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225"/>
  <workbookPr codeName="ThisWorkbook" defaultThemeVersion="124226"/>
  <bookViews>
    <workbookView xWindow="65416" yWindow="65416" windowWidth="29040" windowHeight="1584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Network Top Items" sheetId="13" r:id="rId13"/>
    <sheet name="Time Series" sheetId="14" r:id="rId14"/>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Comment_Type">#N/A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5"/>
  </pivotCaches>
  <extLst>
    <ext xmlns:x14="http://schemas.microsoft.com/office/spreadsheetml/2009/9/main" uri="{BBE1A952-AA13-448e-AADC-164F8A28A991}">
      <x14:slicerCaches>
        <x14:slicerCache r:id="rId19"/>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<sst xmlns="http://schemas.openxmlformats.org/spreadsheetml/2006/main" count="13185" uniqueCount="2980">
  <si>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</si>
  <si>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</si>
  <si>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</si>
  <si>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</si>
  <si>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</si>
  <si>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</si>
  <si>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</si>
  <si>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</si>
  <si>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</si>
  <si>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</si>
  <si>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</si>
  <si>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</si>
  <si>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</si>
  <si>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</si>
  <si>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</si>
  <si>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</si>
  <si>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</si>
  <si>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</si>
  <si>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</si>
  <si>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</si>
  <si>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</si>
  <si>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</si>
  <si>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</si>
  <si>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</si>
  <si>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</si>
  <si>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</si>
  <si>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</si>
  <si>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</si>
  <si>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</si>
  <si>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</si>
  <si>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</si>
  <si>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</si>
  <si>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</si>
  <si>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</si>
  <si>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</si>
  <si>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</si>
  <si>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</si>
  <si>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</si>
  <si>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</si>
  <si>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</si>
  <si>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</si>
  <si>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</si>
  <si>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</si>
  <si>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</si>
  <si>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</si>
  <si>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</si>
  <si>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</si>
  <si>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</si>
  <si>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</si>
  <si>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</si>
  <si>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</si>
  <si>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</si>
  <si>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</si>
  <si>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</si>
  <si>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</si>
  <si>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</si>
  <si>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</si>
  <si>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</si>
  <si>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</si>
  <si>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</si>
  <si>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</si>
  <si>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</si>
  <si>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</si>
  <si>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</si>
  <si>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</si>
  <si>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</si>
  <si>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</si>
  <si>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</si>
  <si>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</si>
  <si>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</si>
  <si>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</si>
  <si>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</si>
  <si>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</si>
  <si>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</si>
  <si>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</si>
  <si>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</si>
  <si>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</si>
  <si>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</si>
  <si>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</si>
  <si>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</si>
  <si>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</si>
  <si>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</si>
  <si>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</si>
  <si>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</si>
  <si>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</si>
  <si>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</si>
  <si>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</si>
  <si>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</si>
  <si>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</si>
  <si>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</si>
  <si>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</si>
  <si>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</si>
  <si>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</si>
  <si>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</si>
  <si>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</si>
  <si>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</si>
  <si>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</si>
  <si>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</si>
  <si>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</si>
  <si>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</si>
  <si>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</si>
  <si>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</si>
  <si>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</si>
  <si>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</si>
  <si>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</si>
  <si>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</si>
  <si>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</si>
  <si>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</si>
  <si>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</si>
  <si>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</si>
  <si>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</si>
  <si>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</si>
  <si>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</si>
  <si>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</si>
  <si>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</si>
  <si>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</si>
  <si>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</si>
  <si>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</si>
  <si>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</si>
  <si>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</si>
  <si>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</si>
  <si>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</si>
  <si>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</si>
  <si>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</si>
  <si>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</si>
  <si>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</si>
  <si>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</si>
  <si>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</si>
  <si>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</si>
  <si>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</si>
  <si>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</si>
  <si>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</si>
  <si>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</si>
  <si>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</si>
  <si>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</si>
  <si>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</si>
  <si>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</si>
  <si>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</si>
  <si>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</si>
  <si>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</si>
  <si>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</si>
  <si>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</si>
  <si>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</si>
  <si>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</si>
  <si>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</si>
  <si>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</si>
  <si>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</si>
  <si>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</si>
  <si>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</si>
  <si>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</si>
  <si>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</si>
  <si>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</si>
  <si>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</si>
  <si>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</si>
  <si>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</si>
  <si>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</si>
  <si>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</si>
  <si>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</si>
  <si>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</si>
  <si>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</si>
  <si>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</si>
  <si>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</si>
  <si>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</si>
  <si>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</si>
  <si>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</si>
  <si>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</si>
  <si>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</si>
  <si>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</si>
  <si>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</si>
  <si>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</si>
  <si>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</si>
  <si>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</si>
  <si>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</si>
  <si>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</si>
  <si>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</si>
  <si>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</si>
  <si>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</si>
  <si>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</si>
  <si>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</si>
  <si>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</si>
  <si>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</si>
  <si>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</si>
  <si>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</si>
  <si>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</si>
  <si>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</si>
  <si>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</si>
  <si>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</si>
  <si>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</si>
  <si>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</si>
  <si>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</si>
  <si>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</si>
  <si>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</si>
  <si>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 xml:space="preserve">iligsten heiligster heiligstes Heiligtum Heiligtümer Heiligtümern Heiligtumes Heiligtums heilsam heilsame heilsamem heilsamen heilsamer heilsamere heilsamerem heilsameren heilsamerer heilsameres heilsames heilsamst heilsamste heilsamstem heilsamsten heilsamster heilsamstes heilst heilste heilstem heilsten heilster heilstes Heilung Heilungen Heirat heirat heirate heiraten Heiraten heiratest heiratet heiratete heirateten heiratetest heiratetet heiratte heiratten heirattest heirattet heiß heiße heißem heißen heißer heißere heißerem heißeren heißerer heißeres heißes heißst heißste heißstem heißsten heißster heißstes heiter heitere heiterem heiteren heiterer heiterere heitererem heitereren heitererer heitereres heiteres Heiterkeit heiterst heiterste heiterstem heitersten heiterster heiterstes heitrer heitrere heitrerem heitreren heitrerer heitreres helfen hell helle hellem hellen heller hellere hellerem helleren hellerer helleres helles Helligkeit Helligkeiten hellst hellste hellstem hellsten hellster hellstes heranwachsen heraufsetzen herausgehoben herausragen herrlich herrliche herrlichem herrlichen herrlicher herrlichere herrlicherem herrlicheren herrlicherer herrlicheres herrliches Herrlichkeit Herrlichkeiten herrlichst herrlichste herrlichstem herrlichsten herrlichster herrlichstes herrschaftlich herrschaftliche herrschaftlichem herrschaftlichen herrschaftlicher herrschaftlichere herrschaftlicherem herrschaftlicheren herrschaftlicherer herrschaftlicheres herrschaftliches herrschaftlichst herrschaftlichste herrschaftlichstem herrschaftlichsten herrschaftlichster herrschaftlichstes hervorragend hervorragende hervorragendem hervorragenden hervorragender hervorragendere hervorragenderem hervorragenderen hervorragenderer hervorragenderes hervorragendes hervorragendst hervorragendste hervorragendstem hervorragendsten hervorragendster hervorragendstes herzig herzige herzigem herzigen herziger herzigere herzigerem herzigeren herzigerer herzigeres herziges herzigst herzigste herzigstem herzigsten herzigster herzigstes herzlich herzliche herzlichem herzlichen herzlicher herzlichere herzlicherem herzlicheren herzlicherer herzlicheres herzliches herzlichst herzlichste herzlichstem herzlichsten herzlichster herzlichstes Highlight Highlights Hilfe Hilfen hilfreich hilfreiche hilfreichem hilfreichen hilfreicher hilfreichere hilfreicherem hilfreicheren hilfreicherer hilfreicheres hilfreiches hilfreichst hilfreichste hilfreichstem hilfreichsten hilfreichster hilfreichstes hilfsbereit hilfsbereite hilfsbereitem hilfsbereiten hilfsbereiter hilfsbereitere hilfsbereiterem hilfsbereiteren hilfsbereiterer hilfsbereiteres hilfsbereites hilfsbereitest hilfsbereiteste hilfsbereitestem hilfsbereitesten hilfsbereitester hilfsbereitestes Hilfsbereitschaft himmlisch himmlische himmlischem himmlischen himmlischer himmlischere himmlischerem himmlischeren himmlischerer himmlischeres himmlisches himmlischst himmlischste himmlischstem himmlischsten himmlischster himmlischstes hinausgehend hinausgehende hinausgehendem hinausgehenden hinausgehender hinausgehendere hinausgehenderem hinausgehenderen hinausgehenderer hinausgehenderes hinausgehendes hinausgehendst hinausgehendste hinausgehendstem hinausgehendsten hinausgehendster hinausgehendstes Hingabe hingeben hinhauen hinreichend hinreichende hinreichendem hinreichenden hinreichender hinreichendere hinreichenderem hinreichenderen hinreichenderer hinreichenderes hinreichendes hinreichendst hinreichendste hinreichendstem hinreichendsten hinreichendster hinreichendstes hinreißend hinterlassen hinzufüg hinzufüge hinzufügen hinzufügest hinzufüget hinzufügst hinzufügt hinzufügte hinzufügten hinzufügtest hinzufügtet hinzugefügt hinzunehmen historisch historische historischem historischen historischer historischere historischerem historischeren historischerer historischeres historisches historischst historischste historischstem historischsten historischster historischstes hoch hochattraktiv Hochdruckgebiet Hochdruckgebiete Hochdruckgebieten Hochdruckgebietes Hochdruckgebiets hoche hochem hochen hocher höcher höchere höcherem höcheren höcherer höcheres hoches hochgestellt hochgestellte hochgestelltem hochgestellten hochgestellter hochgestelltere hochgestellterem hochgestellteren hochgestellterer hochgestellteres hochgestelltes hochgestelltst hochgestelltste hochgestelltstem hochgestelltsten hochgestelltster hochgestelltstes hochgradig hochgradige hochgradigem hochgradigen hochgradiger hochgradigere hochgradigerem hochgradigeren hochgradigerer hochgradigeres hochgradiges hochgradigst hochgradigste hochgradigstem hochgradigsten hochgradigster hochgradigstes hochhalten hochheben hochkarätig hochkarätige hochkarätigem hochkarätigen hochkarätiger hochkarätigere hochkarätigerem hochkarätigeren hochkarätigerer hochkarätigeres hochkarätiges hochkarätigst hochkarätigste hochkarätigstem hochkarätigsten hochkarätigster hochkarätigstes hochklassig hochrangig hochrangige hochrangigem hochrangigen hochrangiger hochrangigere hochrangigerem hochrangigeren hochrangigerer hochrangigeres hochrangiges hochrangigst hochrangigste hochrangigstem hochrangigsten hochrangigster hochrangigstes Hochruf Hochrufe Hochrufen Hochrufes Hochrufs höchst höchste höchstem höchsten höchster höchstes höchstmöglich höchstmögliche höchstmöglichem höchstmöglichen höchstmöglicher höchstmöglichere höchstmöglicherem höchstmöglicheren höchstmöglicherer höchstmöglicheres höchstmögliches höchstmöglichst höchstmöglichste höchstmöglichstem höchstmöglichsten höchstmöglichster höchstmöglichstes hochtreibend hochwertig hochwertige hochwertigem hochwertigen hochwertiger hochwertigere hochwertigerem hochwertigeren hochwertigerer hochwertigeres hochwertiges Hochwertigkeit hochwertigst hochwertigste hochwertigstem hochwertigsten hochwertigster hochwertigstes hoff hoffe hoffen hoffest hoffet Hoffnung Hoffnungen hoffnungsfroh hoffnungsfrohe hoffnungsfrohem hoffnungsfrohen hoffnungsfroher hoffnungsfrohere hoffnungsfroherem hoffnungsfroheren </t>
  </si>
  <si>
    <t>Workbook Settings 21</t>
  </si>
  <si>
    <t xml:space="preserve">hoffnungsfroherer hoffnungsfroheres hoffnungsfrohes hoffnungsfrohst hoffnungsfrohste hoffnungsfrohstem hoffnungsfrohsten hoffnungsfrohster hoffnungsfrohstes hoffnungsvoll hoffnungsvolle hoffnungsvollem hoffnungsvollen hoffnungsvoller hoffnungsvollere hoffnungsvollerem hoffnungsvolleren hoffnungsvollerer hoffnungsvolleres hoffnungsvolles hoffnungsvollst hoffnungsvollste hoffnungsvollstem hoffnungsvollsten hoffnungsvollster hoffnungsvollstes hoffst hofft hoffte hofften hofftest hofftet höflich höfliche höflichem höflichen höflicher höflichere höflicherem höflicheren höflicherer höflicheres höfliches Höflichkeit Höflichkeiten höflichst höflichste höflichstem höflichsten höflichster höflichstes Höhepunkt Höhepunkte Höhepunkten Höhepunktes Höhepunkts hörenswert hörenswerte hörenswertem hörenswerten hörenswerter hörenswertere hörenswerterem hörenswerteren hörenswerterer hörenswerteres hörenswertes hörenswertest hörenswerteste hörenswertestem hörenswertesten hörenswertester hörenswertestes hübsch hübsche hübschem hübschen hübscher hübschere hübscherem hübscheren hübscherer hübscheres hübsches hübschst hübschste hübschstem hübschsten hübschster hübschstes human humane humanem humanen humaner humanere humanerem humaneren humanerer humaneres humanes humanitär humanitäre humanitärem humanitären humanitärer humanitärere humanitärerem humanitäreren humanitärerer humanitäreres humanitäres humanitärst humanitärste humanitärstem humanitärsten humanitärster humanitärstes Humanität humanst humanste humanstem humansten humanster humanstes Humor Humore Humoren Humors humorvoll humorvolle humorvollem humorvollen humorvoller humorvollere humorvollerem humorvolleren humorvollerer humorvolleres humorvolles humorvollst humorvollste humorvollstem humorvollsten humorvollster humorvollstes hundertprozentig hundertprozentige hundertprozentigem hundertprozentigen hundertprozentiger hundertprozentigere hundertprozentigerem hundertprozentigeren hundertprozentigerer hundertprozentigeres hundertprozentiges hundertprozentigst hundertprozentigste hundertprozentigstem hundertprozentigsten hundertprozentigster hundertprozentigstes Hurra Hurrageschrei Hurrageschreis Hurras ideal ideale idealem idealen idealer idealere idealerem idealeren idealerer idealeres ideales idealst idealste idealstem idealsten idealster idealstes idyllisch idyllische idyllischem idyllischen idyllischer idyllischere idyllischerem idyllischeren idyllischerer idyllischeres idyllisches idyllischst idyllischste idyllischstem idyllischsten idyllischster idyllischstes illustre immens immense immensem immensen immenser immensere immenserem immenseren immenserer immenseres immenses immensest immenseste immensestem immensesten immensester immensestes imponierend imposant imposante imposantem imposanten imposanter imposantere imposanterem imposanteren imposanterer imposanteres imposantes imposantest imposanteste imposantestem imposantesten imposantester imposantestes inbrünstig inbrünstige inbrünstigem inbrünstigen inbrünstiger inbrünstigere inbrünstigerem inbrünstigeren inbrünstigerer inbrünstigeres inbrünstiges inbrünstigst inbrünstigste inbrünstigstem inbrünstigsten inbrünstigster inbrünstigstes Individualität Individualitäten individuell individuelle individuellem individuellen individueller individuellere individuellerem individuelleren individuellerer individuelleres individuelles individuellst individuellste individuellstem individuellsten individuellster individuellstes ingeniös ingeniöse ingeniösem ingeniösen ingeniöser ingeniösere ingeniöserem ingeniöseren ingeniöserer ingeniöseres ingeniöses ingeniösest ingeniöseste ingeniösestem ingeniösesten ingeniösester ingeniösestes Innovation Innovationen innovativ innovative innovativem innovativen innovativer innovativere innovativerem innovativeren innovativerer innovativeres innovatives innovativst innovativste innovativstem innovativsten innovativster innovativstes Inspiration Inspirationen inspirieren inspirierend intakt intakte intaktem intakten intakter intaktere intakterem intakteren intakterer intakteres intaktes intaktest intakteste intaktestem intaktesten intaktester intaktestes integer integerst integerste integerstem integersten integerster integerstes integre integrem integren integrer integrere integrerem integreren integrerer integreres integres integrier integriere integrieren integrierest integrieret integrierst integriert integrierte integrierten integriertest integriertet Integrität Intellekt Intellekte Intellekten Intellektes Intellekts intelligent intelligente intelligentem intelligenten intelligenter intelligentere intelligenterem intelligenteren intelligenterer intelligenteres intelligentes intelligentest intelligenteste intelligentestem intelligentesten intelligentester intelligentestes Intelligenz Intelligenzen intensiv intensive intensivem intensiven intensiver intensivere intensiverem intensiveren intensiverer intensiveres intensives intensivst intensivste intensivstem intensivsten intensivster intensivstes interessant interessante interessantem interessanten interessanter interessantere interessanterem interessanteren interessanterer interessanteres interessantes interessantest interessanteste interessantestem interessantesten interessantester interessantestes Interesse Interessenvertretung Interessenvertretungen interessier interessiere interessieren interessierest interessieret interessierst interessiert interessiert interessierte interessierte interessiertem interessierten interessierten interessierter interessiertere interessierterem interessierteren interessierterer interessierteres interessiertes interessiertest interessiertest interessierteste interessiertestem interessiertesten interessiertester interessiertestes interessiertet investier investiere investieren investierest investieret investierst investiert investierte investierten investiertest investiertet Investition Investitionen Jubel jubel jubele jubelen jubeln Jubels jubelst jubelt jubelte jubelten jubeltest jubeltet </t>
  </si>
  <si>
    <t>Workbook Settings 22</t>
  </si>
  <si>
    <t>Jubiläum jubl juble Kauf Käufe Käufen Kaufes Kaufs kinderleicht kinderleichte kinderleichtem kinderleichten kinderleichter kinderleichtere kinderleichterem kinderleichteren kinderleichterer kinderleichteres kinderleichtes kinderleichtst kinderleichtste kinderleichtstem kinderleichtsten kinderleichtster kinderleichtstes klaglos klaglose klaglosem klaglosen klagloser klaglosere klagloserem klagloseren klagloserer klagloseres klagloses klaglosest klagloseste klaglosestem klaglosesten klaglosester klaglosestes klar klär klare kläre klarem klaren klären klarer klarere klarerem klareren klarerer klareres klares klärest kläret Klarheit Klarheiten klarst klärst klarste klarstem klarsten klarster klarstes klärt klärte klärten klärtest klärtet klasse klassee klasseem klasseen klasseer klasseere klasseerem klasseeren klasseerer klasseeres klassees klassest klasseste klassestem klassesten klassester klassestes klassisch klassische klassischem klassischen klassischer klassischere klassischerem klassischeren klassischerer klassischeres klassisches klassischst klassischste klassischstem klassischsten klassischster klassischstes kletter klettere kletteren klettern kletterst klettert kletterte kletterten klettertest klettertet klimatisiert klimatisierte klimatisiertem klimatisierten klimatisierter klimatisiertere klimatisierterem klimatisierteren klimatisierterer klimatisierteres klimatisiertes klimatisiertst klimatisiertste klimatisiertstem klimatisiertsten klimatisiertster klimatisiertstes klug kluge klugem klugen kluger klüger klügere klügerem klügeren klügerer klügeres kluges klügst klügste klügstem klügsten klügster klügstes knorke knorkem knorken knorker knorkere knorkerem knorkeren knorkerer knorkeres knorkes knorkest knorkeste knorkestem knorkesten knorkester knorkestes knuddelig knuffig kollegial kollegiale kollegialem kollegialen kollegialer kollegialere kollegialerem kollegialeren kollegialerer kollegialeres kollegiales kollegialst kollegialste kollegialstem kollegialsten kollegialster kollegialstes Komfort komfortabel komfortabelst komfortabelste komfortabelstem komfortabelsten komfortabelster komfortabelstes komfortable komfortablem komfortablen komfortabler komfortablere komfortablerem komfortableren komfortablerer komfortableres komfortables Komforts kommod kommode kommodem kommoden kommoder kommodere kommoderem kommoderen kommoderer kommoderes kommodes kommodest kommodeste kommodestem kommodesten kommodester kommodestes Kommunikation Kommunikationen kommunikativ kommunikative kommunikativem kommunikativen kommunikativer kommunikativere kommunikativerem kommunikativeren kommunikativerer kommunikativeres kommunikatives kommunikativst kommunikativste kommunikativstem kommunikativsten kommunikativster kommunikativstes kompatibel kompatibelst kompatibelste kompatibelstem kompatibelsten kompatibelster kompatibelstes Kompatibilität Kompatibilitäten kompatible kompatiblem kompatiblen kompatibler kompatiblere kompatiblerem kompatibleren kompatiblerer kompatibleres kompatibles Kompensation Kompensationen kompensier kompensiere kompensieren kompensierest kompensieret kompensierst kompensiert kompensierte kompensierten kompensiertest kompensiertet kompetent kompetente kompetentem kompetenten kompetenter kompetentere kompetenterem kompetenteren kompetenterer kompetenteres kompetentes kompetentest kompetenteste kompetentestem kompetentesten kompetentester kompetentestes Kompetenz Kompetenzen komplett komplette komplettem kompletten kompletter komplettere kompletterem kompletteren kompletterer kompletteres komplettes komplettest kompletteste komplettestem komplettesten komplettester komplettestes Kompliment Komplimente Komplimenten Komplimentes Kompliments Kompromiss Kompromisse Kompromissen Kompromisses Kompromisss konfliktfrei konfliktfreie konfliktfreiem konfliktfreien konfliktfreier konfliktfreiere konfliktfreierem konfliktfreieren konfliktfreierer konfliktfreieres konfliktfreies konfliktfreist konfliktfreiste konfliktfreistem konfliktfreisten konfliktfreister konfliktfreistes kongenial kongeniale kongenialem kongenialen kongenialer kongenialere kongenialerem kongenialeren kongenialerer kongenialeres kongeniales kongenialst kongenialste kongenialstem kongenialsten kongenialster kongenialstes Konjunkturaufschwung Konjunkturaufschwünge Konjunkturaufschwüngen Konjunkturaufschwunges Konjunkturaufschwungs konkret konkrete konkretem konkreten konkreter konkretere konkreterem konkreteren konkreterer konkreteres konkretes konkretest konkreteste konkretestem konkretesten konkretester konkretestes konkurrenzfähig konkurrenzfähige konkurrenzfähigem konkurrenzfähigen konkurrenzfähiger konkurrenzfähigere konkurrenzfähigerem konkurrenzfähigeren konkurrenzfähigerer konkurrenzfähigeres konkurrenzfähiges konkurrenzfähigst konkurrenzfähigste konkurrenzfähigstem konkurrenzfähigsten konkurrenzfähigster konkurrenzfähigstes Konsens Konsense Konsensen Konsenses konsequent konsequente konsequentem konsequenten konsequenter konsequentere konsequenterem konsequenteren konsequenterer konsequenteres konsequentes konsequentest konsequenteste konsequentestem konsequentesten konsequentester konsequentestes konsistent konsistente konsistentem konsistenten konsistenter konsistentere konsistenterem konsistenteren konsistenterer konsistenteres konsistentes konsistentest konsistenteste konsistentestem konsistentesten konsistentester konsistentestes Konsistenz konsolidier konsolidiere konsolidieren konsolidierest konsolidieret konsolidierst konsolidiert konsolidierte konsolidierten konsolidiertest konsolidiertet Konsolidierung Konsolidierungen konstant konstante konstantem konstanten konstanter konstantere konstanterem konstanteren konstanterer konstanteres konstantes konstantest konstanteste konstantestem konstantesten konstantester konstantestes Konstanz konstruktiv konstruktive konstruktivem konstruktiven konstruktiver konstruktivere konstruktiverem konstruktiveren konstruktiverer konstruktiveres konstruktives konstruktivst konstruk</t>
  </si>
  <si>
    <t>Workbook Settings 23</t>
  </si>
  <si>
    <t>tivste konstruktivstem konstruktivsten konstruktivster konstruktivstes Konsultation Konsultationen konsultier konsultiere konsultieren konsultierest konsultieret konsultierst konsultiert konsultierte konsultierten konsultiertest konsultiertet kontinuierlich kontinuierliche kontinuierlichem kontinuierlichen kontinuierlicher kontinuierlichere kontinuierlicherem kontinuierlicheren kontinuierlicherer kontinuierlicheres kontinuierliches kontinuierlichst kontinuierlichste kontinuierlichstem kontinuierlichsten kontinuierlichster kontinuierlichstes Kontinuität konzertiert konzertierte konzertiertem konzertierten konzertierter konzertiertere konzertierterem konzertierteren konzertierterer konzertierteres konzertiertes konzertiertst konzertiertste konzertiertstem konzertiertsten konzertiertster konzertiertstes Kooperation Kooperationen kooperativ kooperative kooperativem kooperativen kooperativer kooperativere kooperativerem kooperativeren kooperativerer kooperativeres kooperatives kooperativst kooperativste kooperativstem kooperativsten kooperativster kooperativstes kooperieren koordinieren koordiniert koordinierte koordiniertem koordinierten koordinierter koordiniertere koordinierterem koordinierteren koordinierterer koordinierteres koordiniertes koordiniertst koordiniertste koordiniertstem koordiniertsten koordiniertster koordiniertstes Koordinierung Koordinierungen korrekt korrekte korrektem korrekten korrekter korrektere korrekterem korrekteren korrekterer korrekteres korrektes korrektest korrekteste korrektestem korrektesten korrektester korrektestes Korrektheit Korrektur Korrekturen kostbar kostbare kostbarem kostbaren kostbarer kostbarere kostbarerem kostbareren kostbarerer kostbareres kostbares Kostbarkeit Kostbarkeiten kostbarst kostbarste kostbarstem kostbarsten kostbarster kostbarstes kostengünstig kostengünstige kostengünstigem kostengünstigen kostengünstiger kostengünstigere kostengünstigerem kostengünstigeren kostengünstigerer kostengünstigeres kostengünstiges kostengünstigst kostengünstigste kostengünstigstem kostengünstigsten kostengünstigster kostengünstigstes kostenlos kostenlose kostenlosem kostenlosen kostenloser kostenlosere kostenloserem kostenloseren kostenloserer kostenloseres kostenloses kostenlosst kostenlosste kostenlosstem kostenlossten kostenlosster kostenlosstes Kraft Kräfte Kräften kräftig kräftige kräftigem kräftigen kräftiger kräftigere kräftigerem kräftigeren kräftigerer kräftigeres kräftiges kräftigst kräftigste kräftigstem kräftigsten kräftigster kräftigstes kraftvoll kraftvolle kraftvollem kraftvollen kraftvoller kraftvollere kraftvollerem kraftvolleren kraftvollerer kraftvolleres kraftvolles kraftvollst kraftvollste kraftvollstem kraftvollsten kraftvollster kraftvollstes kreativ kreative kreativem kreativen kreativer kreativere kreativerem kreativeren kreativerer kreativeres kreatives Kreativität kreativst kreativste kreativstem kreativsten kreativster kreativstes kritisch kritische kritischem kritischen kritischer kritischere kritischerem kritischeren kritischerer kritischeres kritisches kritischst kritischste kritischstem kritischsten kritischster kritischstes kulant kulante kulantem kulanten kulanter kulantere kulanterem kulanteren kulanterer kulanteres kulantes kulantest kulanteste kulantestem kulantesten kulantester kulantestes Kulanz kultiviert kultivierte kultiviertem kultivierten kultivierter kultiviertere kultivierterem kultivierteren kultivierterer kultivierteres kultiviertes kultiviertest kultivierteste kultiviertestem kultiviertesten kultiviertester kultiviertestes kümmer kümmere kümmeren kümmern kümmerst kümmert kümmerte kümmerten kümmertest kümmertet künstlerisch künstlerische künstlerischem künstlerischen künstlerischer künstlerischere künstlerischerem künstlerischeren künstlerischerer künstlerischeres künstlerisches künstlerischst künstlerischste künstlerischstem künstlerischsten künstlerischster künstlerischstes kunstreich kunstreiche kunstreichem kunstreichen kunstreicher kunstreichere kunstreicherem kunstreicheren kunstreicherer kunstreicheres kunstreiches kunstreichst kunstreichste kunstreichstem kunstreichsten kunstreichster kunstreichstes kunstvoll kunstvolle kunstvollem kunstvollen kunstvoller kunstvollere kunstvollerem kunstvolleren kunstvollerer kunstvolleres kunstvolles kunstvollst kunstvollste kunstvollstem kunstvollsten kunstvollster kunstvollstes Kur Kuren kurier kuriere kurieren kurierest kurieret kurierst kuriert kurierte kurierten kuriertest kuriertet lach lache lächel lächele lächelen lächeln lächelst lächelt lächelte lächelten lächeltest lächeltet lachen lachest lachet lächl lächle lachst lacht lachte lachten lachtest lachtet langlebig langlebige langlebigem langlebigen langlebiger langlebigere langlebigerem langlebigeren langlebigerer langlebigeres langlebiges Langlebigkeit langlebigst langlebigste langlebigstem langlebigsten langlebigster langlebigstes lässig Laune Launen lautstark lautstarke lautstarkem lautstarken lautstarker lautstarkere lautstarkerem lautstarkeren lautstarkerer lautstarkeres lautstarkes lautstarkst lautstarkste lautstarkstem lautstarksten lautstarkster lautstarkstes lebendig lebendige lebendigem lebendigen lebendiger lebendigere lebendigerem lebendigeren lebendigerer lebendigeres lebendiges lebendigst lebendigste lebendigstem lebendigsten lebendigster lebendigstes lebensfähig lebensfähige lebensfähigem lebensfähigen lebensfähiger lebensfähigere lebensfähigerem lebensfähigeren lebensfähigerer lebensfähigeres lebensfähiges Lebensfähigkeit Lebensfähigkeiten lebensfähigst lebensfähigste lebensfähigstem lebensfähigsten lebensfähigster lebensfähigstes lebhaft lebhafte lebhaftem lebhaften lebhafter lebhaftere lebhafterem lebhafteren lebhafterer lebhafteres lebhaftes lebhaftest lebhafteste lebhaftestem lebhaftesten lebhaftester lebhaftestes legal legale legalem legalen legaler legalere legalerem legaleren legalerer legaleres legales Legalität legalst legalste legalstem legalsten legalster legalstes legendär leg</t>
  </si>
  <si>
    <t>Workbook Settings 24</t>
  </si>
  <si>
    <t>endäre legendärem legendären legendärer legendärere legendärerem legendäreren legendärerer legendäreres legendäres legendärst legendärste legendärstem legendärsten legendärster legendärstes legitim legitime legitimem legitimen legitimer legitimere legitimerem legitimeren legitimerer legitimeres legitimes Legitimität legitimst legitimste legitimstem legitimsten legitimster legitimstes leicht leichte leichtem leichten leichter leichtere leichterem leichteren leichterer leichteres leichtes leichtest leichteste leichtestem leichtesten leichtester leichtestes Leichtigkeit Leidenschaft Leidenschaften leidenschaftlich leidenschaftliche leidenschaftlichem leidenschaftlichen leidenschaftlicher leidenschaftlichere leidenschaftlicherem leidenschaftlicheren leidenschaftlicherer leidenschaftlicheres leidenschaftliches leidenschaftlichst leidenschaftlichste leidenschaftlichstem leidenschaftlichsten leidenschaftlichster leidenschaftlichstes Leistung Leistungen leistungsfähig leistungsfähige leistungsfähigem leistungsfähigen leistungsfähiger leistungsfähigere leistungsfähigerem leistungsfähigeren leistungsfähigerer leistungsfähigeres leistungsfähiges Leistungsfähigkeit Leistungsfähigkeiten leistungsfähigst leistungsfähigste leistungsfähigstem leistungsfähigsten leistungsfähigster leistungsfähigstes leistungsstark leistungsstarke leistungsstarkem leistungsstarken leistungsstarker leistungsstarkere leistungsstarkerem leistungsstarkeren leistungsstarkerer leistungsstarkeres leistungsstarkes leistungsstarkst leistungsstarkste leistungsstarkstem leistungsstarksten leistungsstarkster leistungsstarkstes lern lerne lernen lernest lernet lernst lernt lernte lernten lerntest lerntet leuchtend leutselig leutselige leutseligem leutseligen leutseliger leutseligere leutseligerem leutseligeren leutseligerer leutseligeres leutseliges leutseligst leutseligste leutseligstem leutseligsten leutseligster leutseligstes liberal liberale liberalem liberalen liberaler liberalere liberalerem liberaleren liberalerer liberaleres liberales Liberalismus liberalst liberalste liberalstem liberalsten liberalster liberalstes lieb Liebe liebe liebem Lieben lieben liebenswert liebenswerte liebenswertem liebenswerten liebenswerter liebenswertere liebenswerterem liebenswerteren liebenswerterer liebenswerteres liebenswertes liebenswertest liebenswerteste liebenswertestem liebenswertesten liebenswertester liebenswertestes liebenswürdig liebenswürdige liebenswürdigem liebenswürdigen liebenswürdiger liebenswürdigere liebenswürdigerem liebenswürdigeren liebenswürdigerer liebenswürdigeres liebenswürdiges liebenswürdigst liebenswürdigste liebenswürdigstem liebenswürdigsten liebenswürdigster liebenswürdigstes lieber liebere lieberem lieberen lieberer lieberes liebes liebevoll liebevolle liebevollem liebevollen liebevoller liebevollere liebevollerem liebevolleren liebevollerer liebevolleres liebevolles liebevollst liebevollste liebevollstem liebevollsten liebevollster liebevollstes Liebling Lieblinge Lieblingen Lieblings liebst liebste liebstem liebsten liebster liebstes linder lindere linderen lindern linderst lindert linderte linderten lindertest lindertet Linderung Linderungen Linderungnen Lob lob Lobe lobe loben Loben lobenswert lobenswerte lobenswertem lobenswerten lobenswerter lobenswertere lobenswerterem lobenswerteren lobenswerterer lobenswerteres lobenswertes lobenswertest lobenswerteste lobenswertestem lobenswertesten lobenswertester lobenswertestes Lobes lobest lobet löblich löbliche löblichem löblichen löblicher löblichere löblicherem löblicheren löblicherer löblicheres löbliches löblichst löblichste löblichstem löblichsten löblichster löblichstes Lobs lobst lobt lobte lobten lobtest lobtet locker lockere lockerem lockeren lockerer lockerere lockererem lockereren lockererer lockereres lockeres lockerst lockerste lockerstem lockersten lockerster lockerstes lockrer lockrere lockrerem lockreren lockrerer lockreres logisch logische logischem logischen logischer logischere logischerem logischeren logischerer logischeres logisches logischst logischste logischstem logischsten logischster logischstes Lohn lohn lohne Löhne lohnen Löhnen lohnend lohnende lohnendem lohnenden lohnender lohnendere lohnenderem lohnenderen lohnenderer lohnenderes lohnendes lohnendst lohnendste lohnendstem lohnendsten lohnendster lohnendstes Lohnes lohnest lohnet Lohns lohnst lohnt lohnte lohnten lohntest lohntet lös löse lösen lösest löset löst löste lösten löstest löstet Lösung Lösungen loyal loyale loyalem loyalen loyaler loyalere loyalerem loyaleren loyalerer loyaleres loyales Loyalität Loyalitäten loyalst loyalste loyalstem loyalsten loyalster loyalstes lückenlos lückenlose lückenlosem lückenlosen lückenloser lückenlosere lückenloserem lückenloseren lückenloserer lückenloseres lückenloses lückenlosest lückenloseste lückenlosestem lückenlosesten lückenlosester lückenlosestes lukrativ lukrative lukrativem lukrativen lukrativer lukrativere lukrativerem lukrativeren lukrativerer lukrativeres lukratives lukrativst lukrativste lukrativstem lukrativsten lukrativster lukrativstes luxoriös luxuriös luxuriöse luxuriösem luxuriösen luxuriöser luxuriösere luxuriöserem luxuriöseren luxuriöserer luxuriöseres luxuriöses luxuriösest luxuriöseste luxuriösestem luxuriösesten luxuriösester luxuriösestes Luxus Macht Mächte Mächten mächtig mächtige mächtigem mächtigen mächtiger mächtigere mächtigerem mächtigeren mächtigerer mächtigeres mächtiges mächtigst mächtigste mächtigstem mächtigsten mächtigster mächtigstes Magie Magien magisch magische magischem magischen magischer magischere magischerem magischeren magischerer magischeres magisches magischst magischste magischstem magischsten magischster magischstes Majestät Majestäten majestätisch majestätische majestätischem majestätischen majestätischer majestätischere majestätischerem majestätischeren majestätischerer majestätischeres majestätisches majestätischst majestätischste majestätischstem majestätischsten majestätischster majestätis</t>
  </si>
  <si>
    <t>Workbook Settings 25</t>
  </si>
  <si>
    <t>chstes makellos makellose makellosem makellosen makelloser makellosere makelloserem makelloseren makelloserer makelloseres makelloses makellosest makelloseste makellosestem makellosesten makellosester makellosestes malerisch malerische malerischem malerischen malerischer malerischere malerischerem malerischeren malerischerer malerischeres malerisches malerischst malerischste malerischstem malerischsten malerischster malerischstes markant markante markantem markanten markanter markantere markanterem markanteren markanterer markanteres markantes markantest markanteste markantestem markantesten markantester markantestes massiv massive massivem massiven massiver massivere massiverem massiveren massiverer massiveres massives massivst massivste massivstem massivsten massivster massivstes maximal maximale maximalem maximalen maximaler maximalere maximalerem maximaleren maximalerer maximaleres maximales maximalst maximalste maximalstem maximalsten maximalster maximalstes maximier maximiere maximieren maximierest maximieret maximierst maximiert maximierte maximierten maximiertest maximiertet Maximum meisterhaft meisterhafte meisterhaftem meisterhaften meisterhafter meisterhaftere meisterhafterem meisterhafteren meisterhafterer meisterhafteres meisterhaftes meisterhaftest meisterhafteste meisterhaftestem meisterhaftesten meisterhaftester meisterhaftestes meisterlich meisterliche meisterlichem meisterlichen meisterlicher meisterlichere meisterlicherem meisterlicheren meisterlicherer meisterlicheres meisterliches meisterlichst meisterlichste meisterlichstem meisterlichsten meisterlichster meisterlichstes Meisterschaft Meisterschaften Meisterwerk Meisterwerke Meisterwerken Meisterwerkes Meisterwerks Menschenwürde menschenwürdig menschenwürdige menschenwürdigem menschenwürdigen menschenwürdiger menschenwürdigere menschenwürdigerem menschenwürdigeren menschenwürdigerer menschenwürdigeres menschenwürdiges menschenwürdigst menschenwürdigste menschenwürdigstem menschenwürdigsten menschenwürdigster menschenwürdigstes menschlich menschliche menschlichem menschlichen menschlicher menschlichere menschlicherem menschlicheren menschlicherer menschlicheres menschliches Menschlichkeit Menschlichkeiten menschlichst menschlichste menschlichstem menschlichsten menschlichster menschlichstes messbar mild Milde milde mildem milden milder mildere milderem milderen milderer milderes mildes mildst mildste mildstem mildsten mildster mildstes miteinander mitfühl mitfühle mitfühlen mitfühlest mitfühlet mitfühlst mitfühlt mitfühlte mitfühlten mitfühltest mitfühltet Mitgefühl Mitgefühles Mitgefühls mitgefühlt mitmenschlich mitmenschliche mitmenschlichem mitmenschlichen mitmenschlicher mitmenschlichere mitmenschlicherem mitmenschlicheren mitmenschlicherer mitmenschlicheres mitmenschliches mitmenschlichst mitmenschlichste mitmenschlichstem mitmenschlichsten mitmenschlichster mitmenschlichstes mobil mobile mobilem mobilen mobiler mobilere mobilerem mobileren mobilerer mobileres mobiles mobilisier mobilisiere mobilisieren mobilisierest mobilisieret mobilisierst mobilisiert mobilisierte mobilisierten mobilisiertest mobilisiertet Mobilität mobilst mobilste mobilstem mobilsten mobilster mobilstes modern moderne modernem modernen moderner modernere modernerem moderneren modernerer moderneres modernes modernisieren Modernisierung Modernisierungen Modernität Modernitäten modernst modernste modernstem modernsten modernster modernstes mögen möglich mögliche möglichem möglichen möglicher möglichere möglicherem möglicheren möglicherer möglicheres mögliches Möglichkeit Möglichkeiten möglichst möglichste möglichstem möglichsten möglichster möglichstes mondän mondäne mondänem mondänen mondäner mondänere mondänerem mondäneren mondänerer mondäneres mondänes mondänst mondänste mondänstem mondänsten mondänster mondänstes monumental monumentale monumentalem monumentalen monumentaler monumentalere monumentalerem monumentaleren monumentalerer monumentaleres monumentales monumentalst monumentalste monumentalstem monumentalsten monumentalster monumentalstes Moral Moralen moralisch moralische moralischem moralischen moralischer moralischere moralischerem moralischeren moralischerer moralischeres moralisches moralischst moralischste moralischstem moralischsten moralischster moralischstes Motivation Motivationen motivieren motiviert motivierte motiviertem motivierten motivierter motiviertere motivierterem motivierteren motivierterer motivierteres motiviertes motiviertest motivierteste motiviertestem motiviertesten motiviertester motiviertestes mühelos mühelose mühelosem mühelosen müheloser mühelosere müheloserem müheloseren müheloserer müheloseres müheloses mühelosest müheloseste mühelosestem mühelosesten mühelosester mühelosestes mustergültig mustergültige mustergültigem mustergültigen mustergültiger mustergültigere mustergültigerem mustergültigeren mustergültigerer mustergültigeres mustergültiges mustergültigst mustergültigste mustergültigstem mustergültigsten mustergültigster mustergültigstes Mut Mutes mutig mutige mutigem mutigen mutiger mutigere mutigerem mutigeren mutigerer mutigeres mutiges mutigst mutigste mutigstem mutigsten mutigster mutigstes Muts nachahmenswert nachahmenswerte nachahmenswertem nachahmenswerten nachahmenswerter nachahmenswertere nachahmenswerterem nachahmenswerteren nachahmenswerterer nachahmenswerteres nachahmenswertes nachahmenswertest nachahmenswerteste nachahmenswertestem nachahmenswertesten nachahmenswertester nachahmenswertestes nachhaltig nachhaltige nachhaltigem nachhaltigen nachhaltiger nachhaltigere nachhaltigerem nachhaltigeren nachhaltigerer nachhaltigeres nachhaltiges Nachhaltigkeit nachhaltigst nachhaltigste nachhaltigstem nachhaltigsten nachhaltigster nachhaltigstes nah nahe Nähe nahem nahen naher nahere naherem naheren naherer naheres nahes nähr nähre nähren nährest nähret nährst nährt nährte nährten nährtest nährtet nahst nahste nahstem nahsten nahster nahstes namhaft namhafte namhaftem namhaften namhafter namh</t>
  </si>
  <si>
    <t>Workbook Settings 26</t>
  </si>
  <si>
    <t>aftere namhafterem namhafteren namhafterer namhafteres namhaftes namhaftest namhafteste namhaftestem namhaftesten namhaftester namhaftestes nennenswert nennenswerte nennenswertem nennenswerten nennenswerter nennenswertere nennenswerterem nennenswerteren nennenswerterer nennenswerteres nennenswertes nennenswertest nennenswerteste nennenswertestem nennenswertesten nennenswertester nennenswertestes nett nette nettem netten netter nettere netterem netteren netterer netteres nettes nettest netteste nettestem nettesten nettester nettestes neu neue neuem neuen neuer neuere neuerem neueren neuerer neueres neues neuest neueste neuestem neuesten neuester neuestes neust neuste neustem neusten neuster neustes niedlich niedliche niedlichem niedlichen niedlicher niedlichere niedlicherem niedlicheren niedlicherer niedlicheres niedliches niedlichst niedlichste niedlichstem niedlichsten niedlichster niedlichstes nütz nutzbringend nutzbringende nutzbringendem nutzbringenden nutzbringender nutzbringendere nutzbringenderem nutzbringenderen nutzbringenderer nutzbringenderes nutzbringendes nutzbringendst nutzbringendste nutzbringendstem nutzbringendsten nutzbringendster nutzbringendstes nütze Nutzen nützen Nutzens nützest nützet nützlich nützliche nützlichem nützlichen nützlicher nützlichere nützlicherem nützlicheren nützlicherer nützlicheres nützliches nützlichst nützlichste nützlichstem nützlichsten nützlichster nützlichstes nützt nützte nützten nütztest nütztet Oase offensichtlich offensichtliche offensichtlichem offensichtlichen offensichtlicher offensichtlichere offensichtlicherem offensichtlicheren offensichtlicherer offensichtlicheres offensichtliches offensichtlichst offensichtlichste offensichtlichstem offensichtlichsten offensichtlichster offensichtlichstes optimal Optimalität Optimismus Optimist Optimisten optimistisch ordentlich ordentliche ordentlichem ordentlichen ordentlicher ordentlichere ordentlicherem ordentlicheren ordentlicherer ordentlicheres ordentliches ordentlichst ordentlichste ordentlichstem ordentlichsten ordentlichster ordentlichstes ordnungsgemäß ordnungsgemäße ordnungsgemäßem ordnungsgemäßen ordnungsgemäßer ordnungsgemäßere ordnungsgemäßerem ordnungsgemäßeren ordnungsgemäßerer ordnungsgemäßeres ordnungsgemäßes ordnungsgemäßst ordnungsgemäßste ordnungsgemäßstem ordnungsgemäßsten ordnungsgemäßster ordnungsgemäßstes Ordnungsmäßigkeit original Originalität Originalitäten packend Pannenhilfe Pannenhilfen Paradies Paradiese Paradiesen Paradieses paradiesisch paradiesische paradiesischem paradiesischen paradiesischer paradiesischere paradiesischerem paradiesischeren paradiesischerer paradiesischeres paradiesisches paradiesischst paradiesischste paradiesischstem paradiesischsten paradiesischster paradiesischstes Paradiess Partner Partnern Partners Partnerschaft Partnerschaften partnerschaftlich partnerschaftliche partnerschaftlichem partnerschaftlichen partnerschaftlicher partnerschaftlichere partnerschaftlicherem partnerschaftlicheren partnerschaftlicherer partnerschaftlicheres partnerschaftliches partnerschaftlichst partnerschaftlichste partnerschaftlichstem partnerschaftlichsten partnerschaftlichster partnerschaftlichstes passend perfekt perfekte perfektem perfekten perfekter perfektere perfekterem perfekteren perfekterer perfekteres perfektes perfektest perfekteste perfektestem perfektesten perfektester perfektestes Perfektion Perfektionen Perfektionismus Perfektionist Perfektionisten pfleg Pflege pflege pflegen pflegest pfleget pflegst pflegt pflegte pflegten pflegtest pflegtet phänomenal phänomenale phänomenalem phänomenalen phänomenaler phänomenalere phänomenalerem phänomenaleren phänomenalerer phänomenaleres phänomenales phänomenalst phänomenalste phänomenalstem phänomenalsten phänomenalster phänomenalstes Phantasie Phantasien phantasievoll phantasievolle phantasievollem phantasievollen phantasievoller phantasievollere phantasievollerem phantasievolleren phantasievollerer phantasievolleres phantasievolles phantasievollst phantasievollste phantasievollstem phantasievollsten phantasievollster phantasievollstes phantastisch planmäßig planmäßige planmäßigem planmäßigen planmäßiger planmäßigere planmäßigerem planmäßigeren planmäßigerer planmäßigeres planmäßiges planmäßigst planmäßigste planmäßigstem planmäßigsten planmäßigster planmäßigstes planvoll planvolle planvollem planvollen planvoller planvollere planvollerem planvolleren planvollerer planvolleres planvolles planvollst planvollste planvollstem planvollsten planvollster planvollstes plausibel plausibelst plausibelste plausibelstem plausibelsten plausibelster plausibelstes Plausibilität plausible plausiblem plausiblen plausibler plausiblere plausiblerem plausibleren plausiblerer plausibleres plausibles pompös pompöse pompösem pompösen pompöser pompösere pompöserem pompöseren pompöserer pompöseres pompöses pompösest pompöseste pompösestem pompösesten pompösester pompösestes populär positiv Positivität potent potente potentem potenten potenter potentere potenterem potenteren potenterer potenteres potentes potentest potenteste potentestem potentesten potentester potentestes Potenz Potenzen Pracht Prachten prächtig prächtige prächtigem prächtigen prächtiger prächtigere prächtigerem prächtigeren prächtigerer prächtigeres prächtiges Prächtigkeit prächtigst prächtigste prächtigstem prächtigsten prächtigster prächtigstes Prachtnen prachtvoll prachtvolle prachtvollem prachtvollen prachtvoller prachtvollere prachtvollerem prachtvolleren prachtvollerer prachtvolleres prachtvolles prachtvollst prachtvollste prachtvollstem prachtvollsten prachtvollster prachtvollstes Präferenz Präferenzen praktikabel praktikabelst praktikabelste praktikabelstem praktikabelsten praktikabelster praktikabelstes Praktikabilität praktikable praktikablem praktikablen praktikabler praktikablere praktikablerem praktikableren praktikablerer praktikableres praktikables praktisch prall pralle prallem prallen praller prallere prallerem pralleren prallerer pralleres prall</t>
  </si>
  <si>
    <t>Workbook Settings 27</t>
  </si>
  <si>
    <t>es prallst prallste prallstem prallsten prallster prallstes präzis präzise Präzision preisgünstig preisgünstige preisgünstigem preisgünstigen preisgünstiger preisgünstigere preisgünstigerem preisgünstigeren preisgünstigerer preisgünstigeres preisgünstiges preisgünstigst preisgünstigste preisgünstigstem preisgünstigsten preisgünstigster preisgünstigstes Premien Premium Premiums Prestige Prestiges prima Privileg privilegiert privilegierte privilegiertem privilegierten privilegierter privilegiertere privilegierterem privilegierteren privilegierterer privilegierteres privilegiertes privilegiertest privilegierteste privilegiertestem privilegiertesten privilegiertester privilegiertestes problemlos problemlose problemlosem problemlosen problemloser problemlosere problemloserem problemloseren problemloserer problemloseres problemloses problemlosst problemlosste problemlosstem problemlossten problemlosster problemlosstes produktiv produktive produktivem produktiven produktiver produktivere produktiverem produktiveren produktiverer produktiveres produktives Produktivität produktivst produktivste produktivstem produktivsten produktivster produktivstes professionell profiliert profilierte profiliertem profilierten profilierter profiliertere profilierterem profilierteren profilierterer profilierteres profiliertes profiliertest profilierteste profiliertestem profiliertesten profiliertester profiliertestes Profit profitabel profitabelst profitabelste profitabelstem profitabelsten profitabelster profitabelstes profitable profitablem profitablen profitabler profitablere profitablerem profitableren profitablerer profitableres profitables profitieren Progression progressiv prominent prominente prominentem prominenten prominenter prominentere prominenterem prominenteren prominenterer prominenteres prominentes prominentest prominenteste prominentestem prominentesten prominentester prominentestes protzig protzige protzigem protzigen protziger protzigere protzigerem protzigeren protzigerer protzigeres protziges protzigst protzigste protzigstem protzigsten protzigster protzigstes prunkvoll prunkvolle prunkvollem prunkvollen prunkvoller prunkvollere prunkvollerem prunkvolleren prunkvollerer prunkvolleres prunkvolles prunkvollst prunkvollste prunkvollstem prunkvollsten prunkvollster prunkvollstes pünktlich pünktliche pünktlichem pünktlichen pünktlicher pünktlichere pünktlicherem pünktlicheren pünktlicherer pünktlicheres pünktliches Pünktlichkeit pünktlichst pünktlichste pünktlichstem pünktlichsten pünktlichster pünktlichstes puppig puppige puppigem puppigen puppiger puppigere puppigerem puppigeren puppigerer puppigeres puppiges puppigst puppigste puppigstem puppigsten puppigster puppigstes Qualifikation Qualifikationen qualifizier qualifiziere qualifizieren qualifizierest qualifizieret qualifizierst qualifiziert qualifiziert qualifizierte qualifizierte qualifiziertem qualifizierten qualifizierten qualifizierter qualifiziertere qualifizierterem qualifizierteren qualifizierterer qualifizierteres qualifiziertes qualifiziertest qualifiziertest qualifizierteste qualifiziertestem qualifiziertesten qualifiziertester qualifiziertestes qualifiziertet Qualität Qualitäten qualitativ qualitative qualitativem qualitativen qualitativer qualitativere qualitativerem qualitativeren qualitativerer qualitativeres qualitatives qualitativst qualitativste qualitativstem qualitativsten qualitativster qualitativstes Qualitätsverbesserung Qualitätsverbesserungen qualitätsvoll quicklebendig quicklebendige quicklebendigem quicklebendigen quicklebendiger quicklebendigere quicklebendigerem quicklebendigeren quicklebendigerer quicklebendigeres quicklebendiges quicklebendigst quicklebendigste quicklebendigstem quicklebendigsten quicklebendigster quicklebendigstes raffiniert raffinierte raffiniertem raffinierten raffinierter raffiniertere raffinierterem raffinierteren raffinierterer raffinierteres raffiniertes raffiniertest raffinierteste raffiniertestem raffiniertesten raffiniertester raffiniertestes Rat rational realistisch Recht Rechte Rechten Rechtes rechtfertig rechtfertige rechtfertigen rechtfertigest rechtfertiget rechtfertigst rechtfertigt rechtfertigte rechtfertigten rechtfertigtest rechtfertigtet rechtlich rechtliche rechtlichem rechtlichen rechtlicher rechtlichere rechtlicherem rechtlicheren rechtlicherer rechtlicheres rechtliches rechtlichst rechtlichste rechtlichstem rechtlichsten rechtlichster rechtlichstes rechtmäßig rechtmäßige rechtmäßigem rechtmäßigen rechtmäßiger rechtmäßigere rechtmäßigerem rechtmäßigeren rechtmäßigerer rechtmäßigeres rechtmäßiges Rechtmäßigkeit rechtmäßigst rechtmäßigste rechtmäßigstem rechtmäßigsten rechtmäßigster rechtmäßigstes rechtsgültig rechtsgültige rechtsgültigem rechtsgültigen rechtsgültiger rechtsgültigere rechtsgültigerem rechtsgültigeren rechtsgültigerer rechtsgültigeres rechtsgültiges Rechtsgültigkeit rechtsgültigst rechtsgültigste rechtsgültigstem rechtsgültigsten rechtsgültigster rechtsgültigstes Rehabilitation Rehabilitationen rehabilitier rehabilitiere rehabilitieren rehabilitierest rehabilitieret rehabilitierst rehabilitiert rehabilitierte rehabilitierten rehabilitiertest rehabilitiertet reibungslos reibungslose reibungslosem reibungslosen reibungsloser reibungslosere reibungsloserem reibungsloseren reibungsloserer reibungsloseres reibungsloses reibungslosest reibungsloseste reibungslosestem reibungslosesten reibungslosester reibungslosestes reich reichhaltig reichhaltige reichhaltigem reichhaltigen reichhaltiger reichhaltigere reichhaltigerem reichhaltigeren reichhaltigerer reichhaltigeres reichhaltiges reichhaltigst reichhaltigste reichhaltigstem reichhaltigsten reichhaltigster reichhaltigstes reichlich reichliche reichlichem reichlichen reichlicher reichlichere reichlicherem reichlicheren reichlicherer reichlicheres reichliches reichlichst reichlichste reichlichstem reichlichsten reichlichster reichlichstes Reichtum Reichtümer Reichtümern Reichtumes Reichtums reif reif reife reife reife</t>
  </si>
  <si>
    <t>Workbook Settings 28</t>
  </si>
  <si>
    <t>m reifen reifen reifer reifere reiferem reiferen reiferer reiferes reifes reifest reifet reifst reifst reifste reifstem reifsten reifster reifstes reift reifte reiften reiftest reiftet rein reine reinem reinen reiner reinere reinerem reineren reinerer reineres reines Reinheit reinig reinige reinigen reinigest reiniget reinigst reinigt reinigte reinigten reinigtest reinigtet Reinigung Reinigungen reinst reinste reinstem reinsten reinster reinstes reizend reizende reizendem reizenden reizender reizendere reizenderem reizenderen reizenderer reizenderes reizendes reizendst reizendste reizendstem reizendsten reizendster reizendstes reizvoll reizvolle reizvollem reizvollen reizvoller reizvollere reizvollerem reizvolleren reizvollerer reizvolleres reizvolles reizvollst reizvollste reizvollstem reizvollsten reizvollster reizvollstes relevant relevante relevantem relevanten relevanter relevantere relevanterem relevanteren relevanterer relevanteres relevantes relevantest relevanteste relevantestem relevantesten relevantester relevantestes Relevanz Relevanzen renommiert renommierte renommiertem renommierten renommierter renommiertere renommierterem renommierteren renommierterer renommierteres renommiertes renommiertest renommierteste renommiertestem renommiertesten renommiertester renommiertestes renovieren Renovierung Renovierungen rentabel rentabelst rentabelste rentabelstem rentabelsten rentabelster rentabelstes Rentabilität rentable rentablem rentablen rentabler rentablere rentablerem rentableren rentablerer rentableres rentables Reparatur Reparaturen reparieren repräsentativ repräsentative repräsentativem repräsentativen repräsentativer repräsentativere repräsentativerem repräsentativeren repräsentativerer repräsentativeres repräsentatives repräsentativst repräsentativste repräsentativstem repräsentativsten repräsentativster repräsentativstes Respekt respektabel respektabelst respektabelste respektabelstem respektabelsten respektabelster respektabelstes respektable respektablem respektablen respektabler respektablere respektablerem respektableren respektablerer respektableres respektables Respekte Respekten Respektes respektieren Respekts respektvoll respektvolle respektvollem respektvollen respektvoller respektvollere respektvollerem respektvolleren respektvollerer respektvolleres respektvolles respektvollst respektvollste respektvollstem respektvollsten respektvollster respektvollstes rett rette retten rettest rettet rettete retteten rettetest rettetet rettte rettten retttest retttet Rettung Rettungen revanchier revanchiere revanchieren revanchierest revanchieret revanchierst revanchiert revanchierte revanchierten revanchiertest revanchiertet richtig richtige richtigem richtigen richtiger richtigere richtigerem richtigeren richtigerer richtigeres richtiges richtigst richtigste richtigstellen richtigstem richtigsten richtigster richtigstes riesengroß riesengroße riesengroßem riesengroßen riesengroßer riesengroßere riesengroßerem riesengroßeren riesengroßerer riesengroßeres riesengroßes riesengroßst riesengroßste riesengroßstem riesengroßsten riesengroßster riesengroßstes riesig riesige riesigem riesigen riesiger riesigere riesigerem riesigeren riesigerer riesigeres riesiges riesigst riesigste riesigstem riesigsten riesigster riesigstes robust robuste robustem robusten robuster robustere robusterem robusteren robusterer robusteres robustes robustest robusteste robustestem robustesten robustester robustestes Robustheit Romantik romantisch rosarot rosarote rosarotem rosaroten rosaroter rosarotere rosaroterem rosaroteren rosaroterer rosaroteres rosarotes rosarotst rosarotste rosarotstem rosarotsten rosarotster rosarotstes rosig rosige rosigem rosigen rosiger rosigere rosigerem rosigeren rosigerer rosigeres rosiges rosigst rosigste rosigstem rosigsten rosigster rosigstes Rückendeckung Rückgrat Rückgrate Rückgraten Rückgrates Rückgrats rückhaltlos rückhaltlose rückhaltlosem rückhaltlosen rückhaltloser rückhaltlosere rückhaltloserem rückhaltloseren rückhaltloserer rückhaltloseres rückhaltloses rückhaltlosest rückhaltloseste rückhaltlosestem rückhaltlosesten rückhaltlosester rückhaltlosestes Rücksicht rücksichtsvoll rücksichtsvolle rücksichtsvollem rücksichtsvollen rücksichtsvoller rücksichtsvollere rücksichtsvollerem rücksichtsvolleren rücksichtsvollerer rücksichtsvolleres rücksichtsvolles rücksichtsvollst rücksichtsvollste rücksichtsvollstem rücksichtsvollsten rücksichtsvollster rücksichtsvollstes rückversicher rückversichere rückversicheren rückversichern rückversicherst rückversichert rückversicherte rückversicherten rückversichertest rückversichertet Rückversicherung Ruhe ruhig Ruhm Ruhmes ruhmreich ruhmreiche ruhmreichem ruhmreichen ruhmreicher ruhmreichere ruhmreicherem ruhmreicheren ruhmreicherer ruhmreicheres ruhmreiches ruhmreichst ruhmreichste ruhmreichstem ruhmreichsten ruhmreichster ruhmreichstes Ruhms rührig rührige rührigem rührigen rühriger rührigere rührigerem rührigeren rührigerer rührigeres rühriges rührigst rührigste rührigstem rührigsten rührigster rührigstes sachgemäß sachgemäße sachgemäßem sachgemäßen sachgemäßer sachgemäßere sachgemäßerem sachgemäßeren sachgemäßerer sachgemäßeres sachgemäßes sachgemäßst sachgemäßste sachgemäßstem sachgemäßsten sachgemäßster sachgemäßstes sagenhaft sagenhafte sagenhaftem sagenhaften sagenhafter sagenhaftere sagenhafterem sagenhafteren sagenhafterer sagenhafteres sagenhaftes sagenhaftest sagenhafteste sagenhaftestem sagenhaftesten sagenhaftester sagenhaftestes sanft sanfte sanftem sanften sanfter sanftere sanfterem sanfteren sanfterer sanfteres sanftes sanftest sanfteste sanftestem sanftesten sanftester sanftestes satt satte sattem satten satter sattere satterem satteren satterer satteres sattes sattest satteste sattestem sattesten sattester sattestes sauber saubere sauberem sauberen sauberer sauberere saubererem saubereren saubererer saubereres sauberes Sauberkeit sauberst sauberste sauberstem saubersten sauberster sauberstes saubrer saubrere s</t>
  </si>
  <si>
    <t>Workbook Settings 29</t>
  </si>
  <si>
    <t>aubrerem saubreren saubrerer saubreres schaff schaffe schaffen schaffest schaffet schaffst schafft schaffte schafften schafftest schafftet scharf scharfe scharfem scharfen scharfer schärfer schärfere schärferem schärferen schärferer schärferes scharfes schärfst schärfste schärfstem schärfsten schärfster schärfstes Schatz schätz Schätze schätze schätzen Schätzen Schatzes schätzest schätzet Schatzs schätzt schätzte schätzten schätztest schätztet schenk schenke schenken schenkest schenket schenkst schenkt schenkte schenkten schenktest schenktet Schenkung Schenkungen schick schicke schickem schicken schicker schickere schickerem schickeren schickerer schickeres schickes schickst schickste schickstem schicksten schickster schickstes schiller schillere schilleren schillern schillernd schillerst schillert schillerte schillerten schillertest schillertet Schirmherr Schirmherren Schirmherrschaft Schirmherrschaften Schirmherrschaftnen schlagend schlagende schlagendem schlagenden schlagender schlagendere schlagenderem schlagenderen schlagenderer schlagenderes schlagendes schlagendst schlagendste schlagendstem schlagendsten schlagendster schlagendstes schlank schlanke schlankem schlanken schlanker schlankere schlankerem schlankeren schlankerer schlankeres schlankes schlankst schlankste schlankstem schlanksten schlankster schlankstes schlau schlaue schlauem schlauen schlauer schlauere schlauerem schlaueren schlauerer schlaueres schlaues schlauest schlaueste schlauestem schlauesten schlauester schlauestes Schlauheit schlaust schlauste schlaustem schlausten schlauster schlaustes schlüssig schlüssige schlüssigem schlüssigen schlüssiger schlüssigere schlüssigerem schlüssigeren schlüssigerer schlüssigeres schlüssiges schlüssigst schlüssigste schlüssigstem schlüssigsten schlüssigster schlüssigstes schmackhaft schmackhafte schmackhaftem schmackhaften schmackhafter schmackhaftere schmackhafterem schmackhafteren schmackhafterer schmackhafteres schmackhaftes schmackhaftest schmackhafteste schmackhaftestem schmackhaftesten schmackhaftester schmackhaftestes schmeichelnd schmuck Schmuck schmück Schmucke schmucke schmücke schmuckem Schmucken schmucken schmücken schmucker schmuckere schmuckerem schmuckeren schmuckerer schmuckeres Schmuckes schmuckes schmückest schmücket Schmucks schmuckst schmückst schmuckste schmuckstem schmucksten schmuckster schmuckstes schmückt schmückte schmückten schmücktest schmücktet Schnäppchen Schnäppchens schnell schnelle schnellem schnellen schneller schnellere schnellerem schnelleren schnellerer schnelleres schnelles Schnelligkeit Schnelligkeiten schnellst schnellste schnellstem schnellsten schnellster schnellstes schön schöne schönem schönen schöner schönere schönerem schöneren schönerer schöneres schönes Schönheit Schönheiten schönst schönste schönstem schönsten schönster schönstes schuldlos schuldlose schuldlosem schuldlosen schuldloser schuldlosere schuldloserem schuldloseren schuldloserer schuldloseres schuldloses schuldlosest schuldloseste schuldlosestem schuldlosesten schuldlosester schuldlosestes Schuldlosigkeit Schutz Schutze Schütze Schutzen Schützen Schutzes Schutzmaßnahmen Schutzs Schwung Schwünge Schwüngen Schwunges schwunghaft schwunghafte schwunghaftem schwunghaften schwunghafter schwunghaftere schwunghafterem schwunghafteren schwunghafterer schwunghafteres schwunghaftes schwunghaftest schwunghafteste schwunghaftestem schwunghaftesten schwunghaftester schwunghaftestes Schwungs sehenswert sehenswerte sehenswertem sehenswerten sehenswerter sehenswertere sehenswerterem sehenswerteren sehenswerterer sehenswerteres sehenswertes sehenswertest sehenswerteste sehenswertestem sehenswertesten sehenswertester sehenswertestes selbstständig Selbstständigkeit Sensation sensationell sensationelle sensationellem sensationellen sensationeller sensationellere sensationellerem sensationelleren sensationellerer sensationelleres sensationelles sensationellst sensationellste sensationellstem sensationellsten sensationellster sensationellstes Sensationen sensibel sensibelst sensibelste sensibelstem sensibelsten sensibelster sensibelstes sensible sensiblem sensiblen sensibler sensiblere sensiblerem sensibleren sensiblerer sensibleres sensibles seriös seriöse seriösem seriösen seriöser seriösere seriöserem seriöseren seriöserer seriöseres seriöses seriösest seriöseste seriösestem seriösesten seriösester seriösestes Seriösität sexy sexye sexyem sexyen sexyer sexyere sexyerem sexyeren sexyerer sexyeres sexyes sexyst sexyste sexystem sexysten sexyster sexystes sicher sicher sichere sichere sicherem sicheren sicheren sicherer sicherere sichererem sichereren sichererer sichereres sicheres sichergestellt Sicherheit Sicherheiten sichern sicherst sicherst sicherste sicherstell sicherstelle sicherstellen sicherstellest sicherstellet sicherstellst sicherstellt sicherstellte sicherstellten sicherstelltest sicherstelltet sicherstem sichersten sicherster sicherstes sichert sicherte sicherten sichertest sichertet sichrer sichrere sichrerem sichreren sichrerer sichreres sichtbar sichtbare sichtbarem sichtbaren sichtbarer sichtbarere sichtbarerem sichtbareren sichtbarerer sichtbareres sichtbares sichtbarst sichtbarste sichtbarstem sichtbarsten sichtbarster sichtbarstes Siegeszug Siegeszüge Siegeszügen Siegeszuges Siegeszugs simpel simpelst simpelste simpelstem simpelsten simpelster simpelstes simple simplem simplen simpler simplere simplerem simpleren simplerer simpleres simples Sinn Sinne Sinnen Sinnes Sinns sinnvoll sinnvolle sinnvollem sinnvollen sinnvoller sinnvollere sinnvollerem sinnvolleren sinnvollerer sinnvolleres sinnvolles sinnvollst sinnvollste sinnvollstem sinnvollsten sinnvollster sinnvollstes solid solidarisch solidarische solidarischem solidarischen solidarischer solidarischere solidarischerem solidarischeren solidarischerer solidarischeres solidarisches solidarischst solidarischste solidarischstem solidarischsten solidarischster solidarischstes Solidarität solide solidem soliden solider solidere</t>
  </si>
  <si>
    <t>Workbook Settings 30</t>
  </si>
  <si>
    <t xml:space="preserve"> soliderem solideren soliderer solideres solides solidst solidste solidstem solidsten solidster solidstes sonnendurchflutet sonnendurchflutete sonnendurchflutetem sonnendurchfluteten sonnendurchfluteter sonnendurchflutetere sonnendurchfluteterem sonnendurchfluteteren sonnendurchfluteterer sonnendurchfluteteres sonnendurchflutetes sonnendurchflutetst sonnendurchflutetste sonnendurchflutetstem sonnendurchflutetsten sonnendurchflutetster sonnendurchflutetstes sonnig sonnige sonnigem sonnigen sonniger sonnigere sonnigerem sonnigeren sonnigerer sonnigeres sonniges sonnigst sonnigste sonnigstem sonnigsten sonnigster sonnigstes sorg sorge sorgen sorgenfrei sorgenfreie sorgenfreiem sorgenfreien sorgenfreier sorgenfreiere sorgenfreierem sorgenfreieren sorgenfreierer sorgenfreieres sorgenfreies sorgenfreist sorgenfreiste sorgenfreistem sorgenfreisten sorgenfreister sorgenfreistes sorgest sorget sorgfältig sorgfältige sorgfältigem sorgfältigen sorgfältiger sorgfältigere sorgfältigerem sorgfältigeren sorgfältigerer sorgfältigeres sorgfältiges Sorgfältigkeit sorgfältigst sorgfältigste sorgfältigstem sorgfältigsten sorgfältigster sorgfältigstes sorglos sorglose sorglosem sorglosen sorgloser sorglosere sorgloserem sorgloseren sorgloserer sorgloseres sorgloses sorglosest sorgloseste sorglosestem sorglosesten sorglosester sorglosestes Sorglosigkeit sorgsam sorgsame sorgsamem sorgsamen sorgsamer sorgsamere sorgsamerem sorgsameren sorgsamerer sorgsameres sorgsames sorgsamst sorgsamste sorgsamstem sorgsamsten sorgsamster sorgsamstes sorgst sorgt sorgte sorgten sorgtest sorgtet souverän spannend spannende spannendem spannenden spannender spannendere spannenderem spannenderen spannenderer spannenderes spannendes spannendst spannendste spannendstem spannendsten spannendster spannendstes spar spare sparen sparest sparet sparsam sparsame sparsamem sparsamen sparsamer sparsamere sparsamerem sparsameren sparsamerer sparsameres sparsames Sparsamkeit Sparsamkeiten sparsamst sparsamste sparsamstem sparsamsten sparsamster sparsamstes sparst spart sparte sparten spartest spartet Spass Spaß Spässe Spässen Spasses spaßig spaßige spaßigem spaßigen spaßiger spaßigere spaßigerem spaßigeren spaßigerer spaßigeres spaßiges spaßigst spaßigste spaßigstem spaßigsten spaßigster spaßigstes Spasss spektakel spektakulär spektakuläre spektakulärem spektakulären spektakulärer spektakulärere spektakulärerem spektakuläreren spektakulärerer spektakuläreres spektakuläres spektakulärst spektakulärste spektakulärstem spektakulärsten spektakulärster spektakulärstes spend Spende spende spenden Spenden spendest spendet spendete spendeten spendetest spendetet spendte spendten spendtest spendtet Spezialität Spezialitäten speziell spezielle speziellem speziellen spezieller speziellere speziellerem spezielleren speziellerer spezielleres spezielles speziellst speziellste speziellstem speziellsten speziellster speziellstes spielend spielerisch spielerische spielerischem spielerischen spielerischer spielerischere spielerischerem spielerischeren spielerischerer spielerischeres spielerisches spielerischst spielerischste spielerischstem spielerischsten spielerischster spielerischstes spitze Sprung Sprünge Sprüngen Sprunges Sprungs spürbar spürbare spürbarem spürbaren spürbarer spürbarere spürbarerem spürbareren spürbarerer spürbareres spürbares spürbarst spürbarste spürbarstem spürbarsten spürbarster spürbarstes stabil stabile stabilem stabilen stabiler stabilere stabilerem stabileren stabilerer stabileres stabiles stabilisier stabilisiere stabilisieren stabilisierest stabilisieret stabilisierst stabilisiert stabilisierte stabilisierten stabilisiertest stabilisiertet Stabilität stabilst stabilste stabilstem stabilsten stabilster stabilstes standhaft standhafte standhaftem standhaften standhafter standhaftere standhafterem standhafteren standhafterer standhafteres standhaftes standhaftest standhafteste standhaftestem standhaftesten standhaftester standhaftestes Standhaftigkeit stark stärk starke Stärke stärke starkem starken stärken Stärken starker stärker stärkere stärkerem stärkeren stärkerer stärkeres starkes stärkest stärket stärkst stärkst stärkste stärkstem stärksten stärkster stärkstes stärkt stärkte stärkten stärktest stärktet stattlich stattliche stattlichem stattlichen stattlicher stattlichere stattlicherem stattlicheren stattlicherer stattlicheres stattliches Stattlichkeit stattlichst stattlichste stattlichstem stattlichsten stattlichster stattlichstes staun staune staunen staunest staunet staunst staunt staunte staunten stauntest stauntet steigen steigend steiger steigere steigeren steigern steigerst steigert steigerte steigerten steigertest steigertet Steigerung Steigerungen Steigflug stift stifte stiften Stifter stiftest stiftet stiftete stifteten stiftetest stiftetet stiftte stiftten stifttest stifttet Stiftung Stiftungen Stil Stile Stilen Stiles Stils stilsicher stilsichere stilsicherem stilsicheren stilsicherer stilsicherere stilsichererem stilsichereren stilsichererer stilsichereres stilsicheres stilsicherst stilsicherste stilsicherstem stilsichersten stilsicherster stilsicherstes stilsichrer stilsichrere stilsichrerem stilsichreren stilsichrerer stilsichreres stilvoll stilvolle stilvollem stilvollen stilvoller stilvollere stilvollerem stilvolleren stilvollerer stilvolleres stilvolles stilvollst stilvollste stilvollstem stilvollsten stilvollster stilvollstes Stimulation Stimulationen stimulier stimuliere stimulieren stimulierest stimulieret stimulierst stimuliert stimulierte stimulierten stimuliertest stimuliertet stolz Stolz stolze stolzem stolzen stolzer stolzere stolzerem stolzeren stolzerer stolzeres Stolzes stolzes stolzest stolzeste stolzestem stolzesten stolzester stolzestes Stolzs störungsfrei störungsfreie störungsfreiem störungsfreien störungsfreier störungsfreiere störungsfreierem störungsfreieren störungsfreierer störungsfreieres störungsfreies störungsfreiest störungsfreieste störungsfreiestem störungsfreiesten störungsfreie</t>
  </si>
  <si>
    <t>Workbook Settings 31</t>
  </si>
  <si>
    <t>ster störungsfreiestes störungsfreist störungsfreiste störungsfreistem störungsfreisten störungsfreister störungsfreistes strahl strahle strahlen strahlend strahlest strahlet strahlst strahlt strahlte strahlten strahltest strahltet Stütze stützen Subvention Subventionen subventionier subventioniere subventionieren subventionierest subventionieret subventionierst subventioniert subventionierte subventionierten subventioniertest subventioniertet Suchtfaktor Suchtfaktoren Suchtfaktors süchtig süchtige süchtigem süchtigen süchtiger süchtigere süchtigerem süchtigeren süchtigerer süchtigeres süchtiges süchtigst süchtigste süchtigstem süchtigsten süchtigster süchtigstes super supere superem superen superer superere supererem supereren supererer supereres superes Superlativ Superlative Superlativen Superlativs superschnell superschnelle superschnellem superschnellen superschneller superschnellere superschnellerem superschnelleren superschnellerer superschnelleres superschnelles superschnellst superschnellste superschnellstem superschnellsten superschnellster superschnellstes superst superste superstem supersten superster superstes süß süße süßem süßen süßer süßere süßerem süßeren süßerer süßeres süßes süßst süßste süßstem süßsten süßster süßstes Symbiose Symbiosen Sympathie sympathisch sympathisier sympathisiere sympathisieren sympathisierest sympathisieret sympathisierst sympathisiert sympathisierte sympathisierten sympathisiertest sympathisiertet systematisch tadellos tadellose tadellosem tadellosen tadelloser tadellosere tadelloserem tadelloseren tadelloserer tadelloseres tadelloses tadellosest tadelloseste tadellosestem tadellosesten tadellosester tadellosestes tadelsfrei tadelsfreie tadelsfreiem tadelsfreien tadelsfreier tadelsfreiere tadelsfreierem tadelsfreieren tadelsfreierer tadelsfreieres tadelsfreies tadelsfreist tadelsfreiste tadelsfreistem tadelsfreisten tadelsfreister tadelsfreistes Talent Talente Talenten Talentes talentiert talentierte talentiertem talentierten talentierter talentiertere talentierterem talentierteren talentierterer talentierteres talentiertes talentiertest talentierteste talentiertestem talentiertesten talentiertester talentiertestes Talents tätig tatkräftig tatkräftige tatkräftigem tatkräftigen tatkräftiger tatkräftigere tatkräftigerem tatkräftigeren tatkräftigerer tatkräftigeres tatkräftiges tatkräftigst tatkräftigste tatkräftigstem tatkräftigsten tatkräftigster tatkräftigstes tauglich taugliche tauglichem tauglichen tauglicher tauglichere tauglicherem tauglicheren tauglicherer tauglicheres taugliches tauglichst tauglichste tauglichstem tauglichsten tauglichster tauglichstes tiefgreifend tiefgreifende tiefgreifendem tiefgreifenden tiefgreifender tiefgreifendere tiefgreifenderem tiefgreifenderen tiefgreifenderer tiefgreifenderes tiefgreifendes tiefgreifendst tiefgreifendste tiefgreifendstem tiefgreifendsten tiefgreifendster tiefgreifendstes tierisch tierische tierischem tierischen tierischer tierischere tierischerem tierischeren tierischerer tierischeres tierisches tierischst tierischste tierischstem tierischsten tierischster tierischstes tolerant tolerante tolerantem toleranten toleranter tolerantere toleranterem toleranteren toleranterer toleranteres tolerantes tolerantest toleranteste tolerantestem tolerantesten tolerantester tolerantestes Toleranz Toleranzen tolerier toleriere tolerieren tolerierest tolerieret tolerierst toleriert tolerierte tolerierten toleriertest toleriertet toll tolle tollem tollen toller tollere tollerem tolleren tollerer tolleres tolles tollst tollste tollstem tollsten tollster tollstes top tope topem topen toper topere toperem toperen toperer toperes topes topp toppe toppen toppest toppet toppst toppt toppte toppten topptest topptet topst topste topstem topsten topster topstes Tradition traditionell Traditionen traditionsreich traditionsreiche traditionsreichem traditionsreichen traditionsreicher traditionsreichere traditionsreicherem traditionsreicheren traditionsreicherer traditionsreicheres traditionsreiches traditionsreichst traditionsreichste traditionsreichstem traditionsreichsten traditionsreichster traditionsreichstes tragfähig tragfähige tragfähigem tragfähigen tragfähiger tragfähigere tragfähigerem tragfähigeren tragfähigerer tragfähigeres tragfähiges tragfähigst tragfähigste tragfähigstem tragfähigsten tragfähigster tragfähigstes transparent transparente transparentem transparenten transparenter transparentere transparenterem transparenteren transparenterer transparenteres transparentes transparentest transparenteste transparentestem transparentesten transparentester transparentestes traumhaft traumhafte traumhaftem traumhaften traumhafter traumhaftere traumhafterem traumhafteren traumhafterer traumhafteres traumhaftes traumhaftest traumhafteste traumhaftestem traumhaftesten traumhaftester traumhaftestes treffend trefflich treffliche trefflichem trefflichen trefflicher trefflichere trefflicherem trefflicheren trefflicherer trefflicheres treffliches trefflichst trefflichste trefflichstem trefflichsten trefflichster trefflichstes treu Treue treue treuem treuen treuer treuere treuerem treueren treuerer treueres treues treuest treueste treuestem treuesten treuester treuestes treust treuste treustem treusten treuster treustes Triumph triumphal triumphale triumphalem triumphalen triumphaler triumphalere triumphalerem triumphaleren triumphalerer triumphaleres triumphales triumphalst triumphalste triumphalstem triumphalsten triumphalster triumphalstes Triumphe Triumphen Triumphes triumphier triumphiere triumphieren triumphierest triumphieret triumphierst triumphiert triumphierte triumphierten triumphiertest triumphiertet Triumphs Trophäe Trophäen Trost tröst tröste trösten Trostes tröstest tröstet tröstete trösteten tröstetest tröstetet Trosts tröstte tröstten trösttest trösttet überdurchschnittlich überdurchschnittliche überdurchschnittlichem überdurchschnittlichen überdurchschnittlicher überdurchschnittlichere überdurchschnittlic</t>
  </si>
  <si>
    <t>Workbook Settings 32</t>
  </si>
  <si>
    <t>herem überdurchschnittlicheren überdurchschnittlicherer überdurchschnittlicheres überdurchschnittliches überdurchschnittlichst überdurchschnittlichste überdurchschnittlichstem überdurchschnittlichsten überdurchschnittlichster überdurchschnittlichstes Übereinkunft Übereinkünfte Übereinkünften Übereinstimmung Überfluß Überflußes Überflußs übergeholt übergelebt übergelegt übergeschäumt überglücklich überglückliche überglücklichem überglücklichen überglücklicher überglücklichere überglücklicherem überglücklicheren überglücklicherer überglücklicheres überglückliches überglücklichst überglücklichste überglücklichstem überglücklichsten überglücklichster überglücklichstes übergroß übergroße übergroßem übergroßen übergroßer übergroßere übergroßerem übergroßeren übergroßerer übergroßeres übergroßes übergroßst übergroßste übergroßstem übergroßsten übergroßster übergroßstes überhol überhole überholen überholest überholet überholst überholt überholte überholten überholtest überholtet überleb überlebe überleben überlebest überlebet überlebst überlebt überlebte überlebten überlebtest überlebtet überleg überlege überlegen überlegene überlegenem überlegenen überlegener überlegenere überlegenerem überlegeneren überlegenerer überlegeneres überlegenes Überlegenheit überlegenst überlegenste überlegenstem überlegensten überlegenster überlegenstes überlegest überleget überlegner überlegnere überlegnerem überlegneren überlegnerer überlegneres überlegst überlegt überlegt überlegte überlegten überlegtest überlegtet Überlegung Überlegungen übermenschlich übermenschliche übermenschlichem übermenschlichen übermenschlicher übermenschlichere übermenschlicherem übermenschlicheren übermenschlicherer übermenschlicheres übermenschliches übermenschlichst übermenschlichste übermenschlichstem übermenschlichsten übermenschlichster übermenschlichstes Überparteilichkeit überragend überraschend überrascht überraschte überraschtem überraschten überraschter überraschtere überraschterem überraschteren überraschterer überraschteres überraschtes überraschtest überraschteste überraschtestem überraschtesten überraschtester überraschtestes überrund überrunde überrunden überrundest überrundet überrundete überrundeten überrundetest überrundetet überrundte überrundten überrundtest überrundtet überschaubar Überschaubarkeit überschäum überschäume überschäumen überschäumest überschäumet überschäumst überschäumt überschäumte überschäumten überschäumtest überschäumtet überschwänglich Überschwänglichkeit übersichtlich übersichtliche übersichtlichem übersichtlichen übersichtlicher übersichtlichere übersichtlicherem übersichtlicheren übersichtlicherer übersichtlicheres übersichtliches übersichtlichst übersichtlichste übersichtlichstem übersichtlichsten übersichtlichster übersichtlichstes übertreffen überwältigend überwältigt überwinden überzeugen überzeugend überzeugt überzeugte überzeugtem überzeugten überzeugter überzeugtere überzeugterem überzeugteren überzeugterer überzeugteres überzeugtes überzeugtest überzeugteste überzeugtestem überzeugtesten überzeugtester überzeugtestes Überzeugung ultimativ ultimative ultimativem ultimativen ultimativer ultimativere ultimativerem ultimativeren ultimativerer ultimativeres ultimatives ultimativst ultimativste ultimativstem ultimativsten ultimativster ultimativstes Umbruch Umbrüche Umbrüchen Umbruches Umbruchs umfangreich umfangreiche umfangreichem umfangreichen umfangreicher umfangreichere umfangreicherem umfangreicheren umfangreicherer umfangreicheres umfangreiches umfangreichst umfangreichste umfangreichstem umfangreichsten umfangreichster umfangreichstes umfassend umgänglich umgängliche umgänglichem umgänglichen umgänglicher umgänglichere umgänglicherem umgänglicheren umgänglicherer umgänglicheres umgängliches umgänglichst umgänglichste umgänglichstem umgänglichsten umgänglichster umgänglichstes umjubelt umsichtig umsichtige umsichtigem umsichtigen umsichtiger umsichtigere umsichtigerem umsichtigeren umsichtigerer umsichtigeres umsichtiges umsichtigst umsichtigste umsichtigstem umsichtigsten umsichtigster umsichtigstes umsorg umsorge umsorgen umsorgest umsorget umsorgst umsorgt umsorgte umsorgten umsorgtest umsorgtet umwerfend unabhängig unabhängige unabhängigem unabhängigen unabhängiger unabhängigere unabhängigerem unabhängigeren unabhängigerer unabhängigeres unabhängiges Unabhängigkeit Unabhängigkeiten unabhängigst unabhängigste unabhängigstem unabhängigsten unabhängigster unabhängigstes unangefochten unangefochtene unangefochtenem unangefochtenen unangefochtener unangefochtenere unangefochtenerem unangefochteneren unangefochtenerer unangefochteneres unangefochtenes unangefochtenst unangefochtenste unangefochtenstem unangefochtensten unangefochtenster unangefochtenstes unantastbar unantastbare unantastbarem unantastbaren unantastbarer unantastbarere unantastbarerem unantastbareren unantastbarerer unantastbareres unantastbares unantastbarst unantastbarste unantastbarstem unantastbarsten unantastbarster unantastbarstes unaufholbar unbedingt unbedingte unbedingtem unbedingten unbedingter unbedingtere unbedingterem unbedingteren unbedingterer unbedingteres unbedingtes unbedingtst unbedingtste unbedingtstem unbedingtsten unbedingtster unbedingtstes unbegrenzt unbegrenzte unbegrenztem unbegrenzten unbegrenzter unbegrenztere unbegrenzterem unbegrenzteren unbegrenzterer unbegrenzteres unbegrenztes unbegrenztest unbegrenzteste unbegrenztestem unbegrenztesten unbegrenztester unbegrenztestes unberührt unberührte unberührtem unberührten unberührter unberührtere unberührterem unberührteren unberührterer unberührteres unberührtes unberührtest unberührteste unberührtestem unberührtesten unberührtester unberührtestes unbeschreiblich unbeschreibliche unbeschreiblichem unbeschreiblichen unbeschreiblicher unbeschreiblichere unbeschreiblicherem unbeschreiblicheren unbeschreiblicherer unbeschreiblicheres unbeschreibliches unbeschreiblichst unbeschreiblichste unbeschreiblichstem unbeschreiblichsten unbeschreiblichster unbe</t>
  </si>
  <si>
    <t>Workbook Settings 33</t>
  </si>
  <si>
    <t>schreiblichstes unbeschwert unbeschwerte unbeschwertem unbeschwerten unbeschwerter unbeschwertere unbeschwerterem unbeschwerteren unbeschwerterer unbeschwerteres unbeschwertes unbeschwertest unbeschwerteste unbeschwertestem unbeschwertesten unbeschwertester unbeschwertestes unbesiegbar unbesiegbare unbesiegbarem unbesiegbaren unbesiegbarer unbesiegbarere unbesiegbarerem unbesiegbareren unbesiegbarerer unbesiegbareres unbesiegbares Unbesiegbarkeit unbesiegbarst unbesiegbarste unbesiegbarstem unbesiegbarsten unbesiegbarster unbesiegbarstes unbestreitbar unbestreitbare unbestreitbarem unbestreitbaren unbestreitbarer unbestreitbarere unbestreitbarerem unbestreitbareren unbestreitbarerer unbestreitbareres unbestreitbares unbestreitbarst unbestreitbarste unbestreitbarstem unbestreitbarsten unbestreitbarster unbestreitbarstes unbestritten unbestrittene unbestrittenem unbestrittenen unbestrittener unbestrittenere unbestrittenerem unbestritteneren unbestrittenerer unbestritteneres unbestrittenes unbestrittenst unbestrittenste unbestrittenstem unbestrittensten unbestrittenster unbestrittenstes unbestrittner unbestrittnere unbestrittnerem unbestrittneren unbestrittnerer unbestrittneres unbezahlbar unbezahlbare unbezahlbarem unbezahlbaren unbezahlbarer unbezahlbarere unbezahlbarerem unbezahlbareren unbezahlbarerer unbezahlbareres unbezahlbares unbezahlbarst unbezahlbarste unbezahlbarstem unbezahlbarsten unbezahlbarster unbezahlbarstes uneingeschränkt uneingeschränkte uneingeschränktem uneingeschränkten uneingeschränkter uneingeschränktere uneingeschränkterem uneingeschränkteren uneingeschränkterer uneingeschränkteres uneingeschränktes uneingeschränktest uneingeschränkteste uneingeschränktestem uneingeschränktesten uneingeschränktester uneingeschränktestes uneinholbar unerhört unerhörte unerhörtem unerhörten unerhörter unerhörtere unerhörterem unerhörteren unerhörterer unerhörteres unerhörtes unerhörtest unerhörteste unerhörtestem unerhörtesten unerhörtester unerhörtestes unermeßlich unermesslich unermeßliche unermeßlichem unermeßlichen unermeßlicher unermeßlichere unermeßlicherem unermeßlicheren unermeßlicherer unermeßlicheres unermeßliches unermeßlichst unermeßlichste unermeßlichstem unermeßlichsten unermeßlichster unermeßlichstes unermüdlich unermüdliche unermüdlichem unermüdlichen unermüdlicher unermüdlichere unermüdlicherem unermüdlicheren unermüdlicherer unermüdlicheres unermüdliches unermüdlichst unermüdlichste unermüdlichstem unermüdlichsten unermüdlichster unermüdlichstes unerreicht unerreichte unerreichtem unerreichten unerreichter unerreichtere unerreichterem unerreichteren unerreichterer unerreichteres unerreichtes unerreichtst unerreichtste unerreichtstem unerreichtsten unerreichtster unerreichtstes unerschrocken unerschrockene unerschrockenem unerschrockenen unerschrockener unerschrockenere unerschrockenerem unerschrockeneren unerschrockenerer unerschrockeneres unerschrockenes Unerschrockenheit unerschrockenst unerschrockenste unerschrockenstem unerschrockensten unerschrockenster unerschrockenstes unerschrockner unerschrocknere unerschrocknerem unerschrockneren unerschrocknerer unerschrockneres unersetzlich unersetzliche unersetzlichem unersetzlichen unersetzlicher unersetzlichere unersetzlicherem unersetzlicheren unersetzlicherer unersetzlicheres unersetzliches unersetzlichst unersetzlichste unersetzlichstem unersetzlichsten unersetzlichster unersetzlichstes unfehlbar unfehlbare unfehlbarem unfehlbaren unfehlbarer unfehlbarere unfehlbarerem unfehlbareren unfehlbarerer unfehlbareres unfehlbares Unfehlbarkeit unfehlbarst unfehlbarste unfehlbarstem unfehlbarsten unfehlbarster unfehlbarstes ungeahnt ungeahnte ungeahntem ungeahnten ungeahnter ungeahntere ungeahnterem ungeahnteren ungeahnterer ungeahnteres ungeahntes ungeahntst ungeahntste ungeahntstem ungeahntsten ungeahntster ungeahntstes ungebrochen ungebrochene ungebrochenem ungebrochenen ungebrochener ungebrochenere ungebrochenerem ungebrocheneren ungebrochenerer ungebrocheneres ungebrochenes ungebrochenst ungebrochenste ungebrochenstem ungebrochensten ungebrochenster ungebrochenstes ungeteilt ungeteilte ungeteiltem ungeteilten ungeteilter ungeteiltere ungeteilterem ungeteilteren ungeteilterer ungeteilteres ungeteiltes ungeteiltst ungeteiltste ungeteiltstem ungeteiltsten ungeteiltster ungeteiltstes ungezwungen ungezwungene ungezwungenem ungezwungenen ungezwungener ungezwungenere ungezwungenerem ungezwungeneren ungezwungenerer ungezwungeneres ungezwungenes ungezwungenst ungezwungenste ungezwungenstem ungezwungensten ungezwungenster ungezwungenstes ungezwungner ungezwungnere ungezwungnerem ungezwungneren ungezwungnerer ungezwungneres unglaublich unglaubliche unglaublichem unglaublichen unglaublicher unglaublichere unglaublicherem unglaublicheren unglaublicherer unglaublicheres unglaubliches unglaublichst unglaublichste unglaublichstem unglaublichsten unglaublichster unglaublichstes universell universelle universellem universellen universeller universellere universellerem universelleren universellerer universelleres universelles universellst universellste universellstem universellsten universellster universellstes unkompliziert unkomplizierte unkompliziertem unkomplizierten unkomplizierter unkompliziertere unkomplizierterem unkomplizierteren unkomplizierterer unkomplizierteres unkompliziertes unkompliziertest unkomplizierteste unkompliziertestem unkompliziertesten unkompliziertester unkompliziertestes unparteiisch unparteiische unparteiischem unparteiischen unparteiischer unparteiischere unparteiischerem unparteiischeren unparteiischerer unparteiischeres unparteiisches unparteiischst unparteiischste unparteiischstem unparteiischsten unparteiischster unparteiischstes Unparteilichkeit unschätzbar unschätzbare unschätzbarem unschätzbaren unschätzbarer unschätzbarere unschätzbarerem unschätzbareren unschätzbarerer unschätzbareres unschätzbares unschätzbarst unschätzbarste unschätzbarstem unschätzbarsten unschätzbarster unschätzbarstes unschlag</t>
  </si>
  <si>
    <t>Workbook Settings 34</t>
  </si>
  <si>
    <t>bar unschlagbare unschlagbarem unschlagbaren unschlagbarer unschlagbarere unschlagbarerem unschlagbareren unschlagbarerer unschlagbareres unschlagbares unschlagbarst unschlagbarste unschlagbarstem unschlagbarsten unschlagbarster unschlagbarstes Unschuld unschuldig unschuldige unschuldigem unschuldigen unschuldiger unschuldigere unschuldigerem unschuldigeren unschuldigerer unschuldigeres unschuldiges unschuldigst unschuldigste unschuldigstem unschuldigsten unschuldigster unschuldigstes unsterblich unsterbliche unsterblichem unsterblichen unsterblicher unsterblichere unsterblicherem unsterblicheren unsterblicherer unsterblicheres unsterbliches Unsterblichkeit unsterblichst unsterblichste unsterblichstem unsterblichsten unsterblichster unsterblichstes untergestützt unternehmerisch unternehmerische unternehmerischem unternehmerischen unternehmerischer unternehmerischere unternehmerischerem unternehmerischeren unternehmerischerer unternehmerischeres unternehmerisches unternehmerischst unternehmerischste unternehmerischstem unternehmerischsten unternehmerischster unternehmerischstes unterstütz unterstütze unterstützen unterstützest unterstützet unterstützt unterstützte unterstützten unterstütztest unterstütztet Unterstützung Unterstützungen untrennbar untrennbare untrennbarem untrennbaren untrennbarer untrennbarere untrennbarerem untrennbareren untrennbarerer untrennbareres untrennbares untrennbarst untrennbarste untrennbarstem untrennbarsten untrennbarster untrennbarstes unübertrefflich unübertreffliche unübertrefflichem unübertrefflichen unübertrefflicher unübertrefflichere unübertrefflicherem unübertrefflicheren unübertrefflicherer unübertrefflicheres unübertreffliches unübertrefflichst unübertrefflichste unübertrefflichstem unübertrefflichsten unübertrefflichster unübertrefflichstes unübertroffen unübertroffene unübertroffenem unübertroffenen unübertroffener unübertroffenere unübertroffenerem unübertroffeneren unübertroffenerer unübertroffeneres unübertroffenes unübertroffenst unübertroffenste unübertroffenstem unübertroffensten unübertroffenster unübertroffenstes unumschränkt unumschränkte unumschränktem unumschränkten unumschränkter unumschränktere unumschränkterem unumschränkteren unumschränkterer unumschränkteres unumschränktes unumschränktest unumschränkteste unumschränktestem unumschränktesten unumschränktester unumschränktestes unumstritten unumstrittene unumstrittenem unumstrittenen unumstrittener unumstrittenere unumstrittenerem unumstritteneren unumstrittenerer unumstritteneres unumstrittenes unumstrittenst unumstrittenste unumstrittenstem unumstrittensten unumstrittenster unumstrittenstes unumstrittner unumstrittnere unumstrittnerem unumstrittneren unumstrittnerer unumstrittneres ununterbrochen ununterbrochene ununterbrochenem ununterbrochenen ununterbrochener ununterbrochenere ununterbrochenerem ununterbrocheneren ununterbrochenerer ununterbrocheneres ununterbrochenes ununterbrochenst ununterbrochenste ununterbrochenstem ununterbrochensten ununterbrochenster ununterbrochenstes unvergleichbar unvergleichbare unvergleichbarem unvergleichbaren unvergleichbarer unvergleichbarere unvergleichbarerem unvergleichbareren unvergleichbarerer unvergleichbareres unvergleichbares unvergleichbarst unvergleichbarste unvergleichbarstem unvergleichbarsten unvergleichbarster unvergleichbarstes unvergleichlich unvergleichliche unvergleichlichem unvergleichlichen unvergleichlicher unvergleichlichere unvergleichlicherem unvergleichlicheren unvergleichlicherer unvergleichlicheres unvergleichliches unvergleichlichst unvergleichlichste unvergleichlichstem unvergleichlichsten unvergleichlichster unvergleichlichstes unverhofft unverhoffte unverhofftem unverhofften unverhoffter unverhofftere unverhoffterem unverhoffteren unverhoffterer unverhoffteres unverhofftes unverhofftest unverhoffteste unverhofftestem unverhofftesten unverhofftester unverhofftestes unverkrampft unverkrampfte unverkrampftem unverkrampften unverkrampfter unverkrampftere unverkrampfterem unverkrampfteren unverkrampfterer unverkrampfteres unverkrampftes unverkrampftest unverkrampfteste unverkrampftestem unverkrampftesten unverkrampftester unverkrampftestes unverwundbar unverwundbare unverwundbarem unverwundbaren unverwundbarer unverwundbarere unverwundbarerem unverwundbareren unverwundbarerer unverwundbareres unverwundbares Unverwundbarkeit unverwundbarst unverwundbarste unverwundbarstem unverwundbarsten unverwundbarster unverwundbarstes unverzichtbar unverzichtbare unverzichtbarem unverzichtbaren unverzichtbarer unverzichtbarere unverzichtbarerem unverzichtbareren unverzichtbarerer unverzichtbareres unverzichtbares Unverzichtbarkeit unverzichtbarst unverzichtbarste unverzichtbarstem unverzichtbarsten unverzichtbarster unverzichtbarstes unwiderstehlich unwiderstehliche unwiderstehlichem unwiderstehlichen unwiderstehlicher unwiderstehlichere unwiderstehlicherem unwiderstehlicheren unwiderstehlicherer unwiderstehlicheres unwiderstehliches Unwiderstehlichkeit unwiderstehlichst unwiderstehlichste unwiderstehlichstem unwiderstehlichsten unwiderstehlichster unwiderstehlichstes unzweifelhaft unzweifelhafte unzweifelhaftem unzweifelhaften unzweifelhafter unzweifelhaftere unzweifelhafterem unzweifelhafteren unzweifelhafterer unzweifelhafteres unzweifelhaftes unzweifelhaftest unzweifelhafteste unzweifelhaftestem unzweifelhaftesten unzweifelhaftester unzweifelhaftestes Upgrade upgraden üppig üppige üppigem üppigen üppiger üppigere üppigerem üppigeren üppigerer üppigeres üppiges üppigst üppigste üppigstem üppigsten üppigster üppigstes verantwortlich verantwortliche verantwortlichem verantwortlichen verantwortlicher verantwortlichere verantwortlicherem verantwortlicheren verantwortlicherer verantwortlicheres verantwortliches verantwortlichst verantwortlichste verantwortlichstem verantwortlichsten verantwortlichster verantwortlichstes Verantwortung Verantwortungen verantwortungsbewußt verantwortungsbewußte verantwortungsbewußtem verantwortungsbewußte</t>
  </si>
  <si>
    <t>Workbook Settings 35</t>
  </si>
  <si>
    <t>n verantwortungsbewußter verantwortungsbewußtere verantwortungsbewußterem verantwortungsbewußteren verantwortungsbewußterer verantwortungsbewußteres verantwortungsbewußtes verantwortungsbewußtst verantwortungsbewußtste verantwortungsbewußtstem verantwortungsbewußtsten verantwortungsbewußtster verantwortungsbewußtstes verantwortungsvoll verantwortungsvolle verantwortungsvollem verantwortungsvollen verantwortungsvoller verantwortungsvollere verantwortungsvollerem verantwortungsvolleren verantwortungsvollerer verantwortungsvolleres verantwortungsvolles verantwortungsvollst verantwortungsvollste verantwortungsvollstem verantwortungsvollsten verantwortungsvollster verantwortungsvollstes Verband Verbände Verbänden Verbandes Verbands verbessern Verbesserung Verbesserungen verbinden verbindlich verbindliche verbindlichem verbindlichen verbindlicher verbindlichere verbindlicherem verbindlicheren verbindlicherer verbindlicheres verbindliches verbindlichst verbindlichste verbindlichstem verbindlichsten verbindlichster verbindlichstes verblüffend verblüffende verblüffendem verblüffenden verblüffender verblüffendere verblüffenderem verblüffenderen verblüffenderer verblüffenderes verblüffendes verblüffendst verblüffendste verblüffendstem verblüffendsten verblüffendster verblüffendstes Verbund Verbundenheit Verbündete verdien verdiene verdienen verdienest verdienet Verdienst verdienst Verdienste Verdiensten Verdienstes Verdiensts verdient verdient verdiente verdiente verdientem verdienten verdienten verdienter verdientere verdienterem verdienteren verdienterer verdienteres verdientes verdientest verdientet verdientst verdientste verdientstem verdientsten verdientster verdientstes veredel veredele veredelen veredeln veredelst veredelt veredelte veredelten veredeltest veredeltet Veredelung veredl veredle verehr verehre verehren verehrest verehret verehrst verehrt verehrt verehrte verehrte verehrtem verehrten verehrten verehrter verehrtere verehrterem verehrteren verehrterer verehrteres verehrtes verehrtest verehrtest verehrteste verehrtestem verehrtesten verehrtester verehrtestes verehrtet Verehrung vereidig vereidige vereidigen vereidigest vereidiget vereidigst vereidigt vereidigte vereidigten vereidigtest vereidigtet verein Vereinbarung Vereinbarungen vereine vereinen vereinest vereinet vereinfachen Vereinfachung Vereinfachungen Vereinigung Vereinigungen vereinst vereint vereinte vereinten vereintest vereintet vererb vererbe vererben vererbest vererbet vererbst vererbt vererbte vererbten vererbtest vererbtet Vererbung Vererbungen verfeinern Verfeinerung Verfeinerungen verführerisch verführerische verführerischem verführerischen verführerischer verführerischere verführerischerem verführerischeren verführerischerer verführerischeres verführerisches verführerischst verführerischste verführerischstem verführerischsten verführerischster verführerischstes vergeben Vergebung Vergebungen vergemacht vergnüg vergnüge vergnügen vergnügest vergnüget vergnügst vergnügt vergnügte vergnügten vergnügtest vergnügtet vergold vergolde vergolden vergoldest vergoldet vergoldete vergoldeten vergoldetest vergoldetet vergoldte vergoldten vergoldtest vergoldtet vergötter vergöttere vergötteren vergöttern vergötterst vergöttert vergöttert vergötterte vergötterten vergöttertest vergöttertet Vergötterung Vergötterungen vergrößer vergrößere vergrößeren vergrößern vergrößerst vergrößert vergrößerte vergrößerten vergrößertest vergrößertet Vergrößerung Vergrößerungen verhandel verhandele verhandelen verhandeln verhandelst verhandelt verhandelte verhandelten verhandeltest verhandeltet Verhandelung verhandl verhandle verheißungsvoll verheißungsvolle verheißungsvollem verheißungsvollen verheißungsvoller verheißungsvollere verheißungsvollerem verheißungsvolleren verheißungsvollerer verheißungsvolleres verheißungsvolles verheißungsvollst verheißungsvollste verheißungsvollstem verheißungsvollsten verheißungsvollster verheißungsvollstes veritabel veritabelst veritabelste veritabelstem veritabelsten veritabelster veritabelstes veritable veritablem veritablen veritabler veritablere veritablerem veritableren veritablerer veritableres veritables verlässlich Verlöbnis Verlöbnise Verlöbnisen Verlöbnises Verlöbniss Verlöbnisse Verlöbnissen Verlöbnisses Verlobung Verlobungen verlockend vermach vermache vermachen vermachest vermachet vermachst vermacht vermachte vermachten vermachtest vermachtet vermehrt vermittel vermittele vermittelen vermitteln vermittelst vermittelt vermittelte vermittelten vermitteltest vermitteltet vermittl vermittle Vermittlung Vernunft vernünftig vernünftige vernünftigem vernünftigen vernünftiger vernünftigere vernünftigerem vernünftigeren vernünftigerer vernünftigeres vernünftiges vernünftigst vernünftigste vernünftigstem vernünftigsten vernünftigster vernünftigstes verschlingen verschöner verschönere verschöneren verschönern verschönerst verschönert verschönerte verschönerten verschönertest verschönertet Verschönerung Verschönerungen versicher versichere versicheren versichern versicherst versichert versicherte versicherten versichertest versichertet Versicherung Versicherungen versiert versierte versiertem versierten versierter versiertere versierterem versierteren versierterer versierteres versiertes versiertest versierteste versiertestem versiertesten versiertester versiertestes versöhn versöhne versöhnen versöhnest versöhnet versöhnlich versöhnst versöhnt versöhnte versöhnten versöhntest versöhntet Versöhnung Versöhnungen Versprechen Versprechens Verstand Verstandes verständlich verständliche verständlichem verständlichen verständlicher verständlichere verständlicherem verständlicheren verständlicherer verständlicheres verständliches verständlichst verständlichste verständlichstem verständlichsten verständlichster verständlichstes Verständnis Verständniss Verständnisse Verständnissen Verständnisses Verstands verstärk verstärke verstärken verstärkest verstärket verstärkst verstärkt verstärkte verstärkten verstärktest ve</t>
  </si>
  <si>
    <t>Workbook Settings 36</t>
  </si>
  <si>
    <t>rstärktet Verstärkung Verstärkungen verstehen verteidig verteidige verteidigen Verteidiger Verteidigern Verteidigers verteidigest verteidiget verteidigst verteidigt verteidigte verteidigten verteidigtest verteidigtet Verteidigung Verteidigungen Vertrag Verträge Verträgen Vertrages Vertrags Vertrauen vertrauenerweckend vertrauenerweckende vertrauenerweckendem vertrauenerweckenden vertrauenerweckender vertrauenerweckendere vertrauenerweckenderem vertrauenerweckenderen vertrauenerweckenderer vertrauenerweckenderes vertrauenerweckendes vertrauenerweckendst vertrauenerweckendste vertrauenerweckendstem vertrauenerweckendsten vertrauenerweckendster vertrauenerweckendstes Vertrauens vertrauensvoll vertrauensvolle vertrauensvollem vertrauensvollen vertrauensvoller vertrauensvollere vertrauensvollerem vertrauensvolleren vertrauensvollerer vertrauensvolleres vertrauensvolles vertrauensvollst vertrauensvollste vertrauensvollstem vertrauensvollsten vertrauensvollster vertrauensvollstes vertrauenswürdig vertrauenswürdige vertrauenswürdigem vertrauenswürdigen vertrauenswürdiger vertrauenswürdigere vertrauenswürdigerem vertrauenswürdigeren vertrauenswürdigerer vertrauenswürdigeres vertrauenswürdiges Vertrauenswürdigkeit vertrauenswürdigst vertrauenswürdigste vertrauenswürdigstem vertrauenswürdigsten vertrauenswürdigster vertrauenswürdigstes vertraulich vertraut vertraute vertrautem vertrauten Vertrauter vertrauter vertrautere vertrauterem vertrauteren vertrauterer vertrauteres vertrautes vertrautest vertrauteste vertrautestem vertrautesten vertrautester vertrautestes Vertrautheit Vertrautheiten verwendbar verwendbare verwendbarem verwendbaren verwendbarer verwendbarere verwendbarerem verwendbareren verwendbarerer verwendbareres verwendbares Verwendbarkeit verwendbarst verwendbarste verwendbarstem verwendbarsten verwendbarster verwendbarstes verwirklichen Verwirklichung Verwirklichungen verwöhn verwöhne verwöhnen verwöhnest verwöhnet verwöhnst verwöhnt verwöhnte verwöhnten verwöhntest verwöhntet verzeihen verzückt verzückte verzücktem verzückten verzückter verzücktere verzückterem verzückteren verzückterer verzückteres verzücktes verzücktest verzückteste verzücktestem verzücktesten verzücktester verzücktestes vielfältig vielfältige vielfältigem vielfältigen vielfältiger vielfältigere vielfältigerem vielfältigeren vielfältigerer vielfältigeres vielfältiges vielfältigst vielfältigste vielfältigstem vielfältigsten vielfältigster vielfältigstes vielseitig vielseitige vielseitigem vielseitigen vielseitiger vielseitigere vielseitigerem vielseitigeren vielseitigerer vielseitigeres vielseitiges Vielseitigkeit vielseitigst vielseitigste vielseitigstem vielseitigsten vielseitigster vielseitigstes vielversprechend vielversprechende vielversprechendem vielversprechenden vielversprechender vielversprechendere vielversprechenderem vielversprechenderen vielversprechenderer vielversprechenderes vielversprechendes vielversprechendst vielversprechendste vielversprechendstem vielversprechendsten vielversprechendster vielversprechendstes Vielzahl Visionär Visionäre Visionären Visionäres Visionärs vital Vitalität vollkommen vollkommene vollkommenem vollkommenen vollkommener vollkommenere vollkommenerem vollkommeneren vollkommenerer vollkommeneres vollkommenes vollkommenst vollkommenste vollkommenstem vollkommensten vollkommenster vollkommenstes vollkommner vollkommnere vollkommnerem vollkommneren vollkommnerer vollkommneres vollständig vollständige vollständigem vollständigen vollständiger vollständigere vollständigerem vollständigeren vollständigerer vollständigeres vollständiges Vollständigkeit vollständigst vollständigste vollständigstem vollständigsten vollständigster vollständigstes voranbringen vorankommen vorantreiben vorbehaltlos vorbehaltlose vorbehaltlosem vorbehaltlosen vorbehaltloser vorbehaltlosere vorbehaltloserem vorbehaltloseren vorbehaltloserer vorbehaltloseres vorbehaltloses vorbehaltlosest vorbehaltloseste vorbehaltlosestem vorbehaltlosesten vorbehaltlosester vorbehaltlosestes vorbereit vorbereite vorbereiten vorbereitest vorbereitet vorbereitete vorbereiteten vorbereitetest vorbereitetet vorbereitte vorbereitten vorbereittest vorbereittet Vorbereitung Vorbereitungen vorbildlich vorbildliche vorbildlichem vorbildlichen vorbildlicher vorbildlichere vorbildlicherem vorbildlicheren vorbildlicherer vorbildlicheres vorbildliches vorbildlichst vorbildlichste vorbildlichstem vorbildlichsten vorbildlichster vorbildlichstes vorgesorgt Vorsicht vorsichtig vorsichtige vorsichtigem vorsichtigen vorsichtiger vorsichtigere vorsichtigerem vorsichtigeren vorsichtigerer vorsichtigeres vorsichtiges vorsichtigst vorsichtigste vorsichtigstem vorsichtigsten vorsichtigster vorsichtigstes vorsorg Vorsorge vorsorge vorsorgen Vorsorgen vorsorgest vorsorget vorsorglich vorsorgliche vorsorglichem vorsorglichen vorsorglicher vorsorglichere vorsorglicherem vorsorglicheren vorsorglicherer vorsorglicheres vorsorgliches vorsorglichst vorsorglichste vorsorglichstem vorsorglichsten vorsorglichster vorsorglichstes vorsorgst vorsorgt vorsorgte vorsorgten vorsorgtest vorsorgtet Vorteil Vorteile Vorteilen Vorteiles vorteilhaft vorteilhafte vorteilhaftem vorteilhaften vorteilhafter vorteilhaftere vorteilhafterem vorteilhafteren vorteilhafterer vorteilhafteres vorteilhaftes vorteilhaftest vorteilhafteste vorteilhaftestem vorteilhaftesten vorteilhaftester vorteilhaftestes Vorteils vorwärts vorzeigbar vorzeigbare vorzeigbarem vorzeigbaren vorzeigbarer vorzeigbarere vorzeigbarerem vorzeigbareren vorzeigbarerer vorzeigbareres vorzeigbares vorzeigbarst vorzeigbarste vorzeigbarstem vorzeigbarsten vorzeigbarster vorzeigbarstes vorzüglich vorzügliche vorzüglichem vorzüglichen vorzüglicher vorzüglichere vorzüglicherem vorzüglicheren vorzüglicherer vorzüglicheres vorzügliches vorzüglichst vorzüglichste vorzüglichstem vorzüglichsten vorzüglichster vorzüglichstes wachs wachsam wachsame wachsamem wachsamen wachsamer wachsamere wachsamerem wachsameren wachsam</t>
  </si>
  <si>
    <t>Workbook Settings 37</t>
  </si>
  <si>
    <t>erer wachsameres wachsames Wachsamkeit wachsamst wachsamste wachsamstem wachsamsten wachsamster wachsamstes wachse wachsen wachsend wachsest wachset wachst wachste wachsten wachstest wachstet Wachstum Wachstums wag wage wagen wagest waget wagst wagt wagte wagten wagtest wagtet wahre wahren wahrest wahret Wahrheit Wahrheiten wahrst wahrt wahrte wahrten wahrtest wahrtet warm wärm warme Wärme wärme warmem warmen wärmen warmer wärmer wärmere wärmerem wärmeren wärmerer wärmeres warmes wärmest wärmet warmherzig warmherzige warmherzigem warmherzigen warmherziger warmherzigere warmherzigerem warmherzigeren warmherzigerer warmherzigeres warmherziges warmherzigst warmherzigste warmherzigstem warmherzigsten warmherzigster warmherzigstes wärmst wärmst wärmste wärmstem wärmsten wärmstens wärmster wärmstes wärmt wärmte wärmten wärmtest wärmtet wegweisend wegweisende wegweisendem wegweisenden wegweisender wegweisendere wegweisenderem wegweisenderen wegweisenderer wegweisenderes wegweisendes wegweisendst wegweisendste wegweisendstem wegweisendsten wegweisendster wegweisendstes weich Weichheit Weichheiten weise weisem weisen weiser weisere weiserem weiseren weiserer weiseres weises weisest weiseste weisestem weisesten weisester weisestes Weisheit Weisheiten weiterempfehlen weitgehend weitgehende weitgehendem weitgehenden weitgehender weitgehendere weitgehenderem weitgehenderen weitgehenderer weitgehenderes weitgehendes weitgehendst weitgehendste weitgehendstem weitgehendsten weitgehendster weitgehendstes weitläufig weitläufige weitläufigem weitläufigen weitläufiger weitläufigere weitläufigerem weitläufigeren weitläufigerer weitläufigeres weitläufiges weitläufigst weitläufigste weitläufigstem weitläufigsten weitläufigster weitläufigstes weiträumig weiträumige weiträumigem weiträumigen weiträumiger weiträumigere weiträumigerem weiträumigeren weiträumigerer weiträumigeres weiträumiges weiträumigst weiträumigste weiträumigstem weiträumigsten weiträumigster weiträumigstes weitreichend weitreichende weitreichendem weitreichenden weitreichender weitreichendere weitreichenderem weitreichenderen weitreichenderer weitreichenderes weitreichendes weitreichendst weitreichendste weitreichendstem weitreichendsten weitreichendster weitreichendstes weitsichtig weitsichtige weitsichtigem weitsichtigen weitsichtiger weitsichtigere weitsichtigerem weitsichtigeren weitsichtigerer weitsichtigeres weitsichtiges Weitsichtigkeit weitsichtigst weitsichtigste weitsichtigstem weitsichtigsten weitsichtigster weitsichtigstes weltberühmt weltberühmte weltberühmtem weltberühmten weltberühmter weltberühmtere weltberühmterem weltberühmteren weltberühmterer weltberühmteres weltberühmtes weltberühmtest weltberühmteste weltberühmtestem weltberühmtesten weltberühmtester weltberühmtestes Wert wertgeschätzt wertig wertschätz wertschätze wertschätzen wertschätzest wertschätzet wertschätzt wertschätzte wertschätzten wertschätztest wertschätztet Wertschätzung Wertsteigerung Wertsteigerungen wertvoll wertvolle wertvollem wertvollen wertvoller wertvollere wertvollerem wertvolleren wertvollerer wertvolleres wertvolles wertvollst wertvollste wertvollstem wertvollsten wertvollster wertvollstes wichtig wichtige wichtigem wichtigen wichtiger wichtigere wichtigerem wichtigeren wichtigerer wichtigeres wichtiges wichtigst wichtigste wichtigstem wichtigsten wichtigster wichtigstes widerstandsfähig widerstandsfähige widerstandsfähigem widerstandsfähigen widerstandsfähiger widerstandsfähigere widerstandsfähigerem widerstandsfähigeren widerstandsfähigerer widerstandsfähigeres widerstandsfähiges Widerstandsfähigkeit widerstandsfähigst widerstandsfähigste widerstandsfähigstem widerstandsfähigsten widerstandsfähigster widerstandsfähigstes wiederaufleben wiederbeleb wiederbelebe wiederbeleben wiederbelebest wiederbelebet wiederbelebst wiederbelebt wiederbelebte wiederbelebten wiederbelebtest wiederbelebtet Wiederbelebung wiedergekehrt wiedergewinnen wiedergutgemacht wiedergutmach wiedergutmache wiedergutmachen wiedergutmachest wiedergutmachet wiedergutmachst wiedergutmacht wiedergutmachte wiedergutmachten wiedergutmachtest wiedergutmachtet Wiedergutmachung Wiedergutmachungen wiederhergestellt wiederherstell wiederherstelle wiederherstellen wiederherstellest wiederherstellet wiederherstellst wiederherstellt wiederherstellte wiederherstellten wiederherstelltest wiederherstelltet Wiederherstellung Wiederkehr wiederkehr wiederkehre wiederkehren wiederkehrest wiederkehret wiederkehrst wiederkehrt wiederkehrte wiederkehrten wiederkehrtest wiederkehrtet wiedervereinig wiedervereinige wiedervereinigen wiedervereinigest wiedervereiniget wiedervereinigst wiedervereinigt wiedervereinigte wiedervereinigten wiedervereinigtest wiedervereinigtet Wiedervereinigung Wiedervereinigungen Wille willenstark willkommen willkommene willkommenem willkommenen willkommener willkommenere willkommenerem willkommeneren willkommenerer willkommeneres willkommenes willkommenst willkommenste willkommenstem willkommensten willkommenster willkommenstes willkommner willkommnere willkommnerem willkommneren willkommnerer willkommneres wirksam wirksame wirksamem wirksamen wirksamer wirksamere wirksamerem wirksameren wirksamerer wirksameres wirksames Wirksamkeit wirksamst wirksamste wirksamstem wirksamsten wirksamster wirksamstes wirkungsvoll wirkungsvolle wirkungsvollem wirkungsvollen wirkungsvoller wirkungsvollere wirkungsvollerem wirkungsvolleren wirkungsvollerer wirkungsvolleres wirkungsvolles wirkungsvollst wirkungsvollste wirkungsvollstem wirkungsvollsten wirkungsvollster wirkungsvollstes wirtschaftlich wirtschaftliche wirtschaftlichem wirtschaftlichen wirtschaftlicher wirtschaftlichere wirtschaftlicherem wirtschaftlicheren wirtschaftlicherer wirtschaftlicheres wirtschaftliches wirtschaftlichst wirtschaftlichste wirtschaftlichstem wirtschaftlichsten wirtschaftlichster wirtschaftlichstes Wissen Witz Witze Witzen Witzes witzig witzige witzigem witzigen witziger witzigere witzigerem witzigeren witzige</t>
  </si>
  <si>
    <t>Workbook Settings 38</t>
  </si>
  <si>
    <t>rer witzigeres witziges witzigst witzigste witzigstem witzigsten witzigster witzigstes wohlbehalten wohlbehaltene wohlbehaltenem wohlbehaltenen wohlbehaltener wohlbehaltenere wohlbehaltenerem wohlbehalteneren wohlbehaltenerer wohlbehalteneres wohlbehaltenes wohlbehaltenst wohlbehaltenste wohlbehaltenstem wohlbehaltensten wohlbehaltenster wohlbehaltenstes Wohlergehen Wohlergehens Wohlgefallen Wohlgefallens wohlgeordnet wohlgeordnete wohlgeordnetem wohlgeordneten wohlgeordneter wohlgeordnetere wohlgeordneterem wohlgeordneteren wohlgeordneterer wohlgeordneteres wohlgeordnetes wohlgeordnetst wohlgeordnetste wohlgeordnetstem wohlgeordnetsten wohlgeordnetster wohlgeordnetstes wohlhabend wohlhabende wohlhabendem wohlhabenden wohlhabender wohlhabendere wohlhabenderem wohlhabenderen wohlhabenderer wohlhabenderes wohlhabendes wohlhabendst wohlhabendste wohlhabendstem wohlhabendsten wohlhabendster wohlhabendstes wohlig wohlige wohligem wohligen wohliger wohligere wohligerem wohligeren wohligerer wohligeres wohliges wohligst wohligste wohligstem wohligsten wohligster wohligstes Wohlstand Wohlstandes Wohlstands Wohltat Wohltaten Wohltäter Wohltätern Wohltäters wohltätig wohltätige wohltätigem wohltätigen wohltätiger wohltätigere wohltätigerem wohltätigeren wohltätigerer wohltätigeres wohltätiges Wohltätigkeit wohltätigst wohltätigste wohltätigstem wohltätigsten wohltätigster wohltätigstes wohltuend wohltuende wohltuendem wohltuenden wohltuender wohltuendere wohltuenderem wohltuenderen wohltuenderer wohltuenderes wohltuendes wohltuendst wohltuendste wohltuendstem wohltuendsten wohltuendster wohltuendstes Wohlwollen wohlwollend wohlwollende wohlwollendem wohlwollenden wohlwollender wohlwollendere wohlwollenderem wohlwollenderen wohlwollenderer wohlwollenderes wohlwollendes wohlwollendst wohlwollendste wohlwollendstem wohlwollendsten wohlwollendster wohlwollendstes Wohlwollens wohnlich wohnliche wohnlichem wohnlichen wohnlicher wohnlichere wohnlicherem wohnlicheren wohnlicherer wohnlicheres wohnliches wohnlichst wohnlichste wohnlichstem wohnlichsten wohnlichster wohnlichstes Wunder wunderbar wunderbare wunderbarem wunderbaren wunderbarer wunderbarere wunderbarerem wunderbareren wunderbarerer wunderbareres wunderbares wunderbarst wunderbarste wunderbarstem wunderbarsten wunderbarster wunderbarstes Wundern Wunders wundersam wundersame wundersamem wundersamen wundersamer wundersamere wundersamerem wundersameren wundersamerer wundersameres wundersames wundersamst wundersamste wundersamstem wundersamsten wundersamster wundersamstes wunderschön wunderschöne wunderschönem wunderschönen wunderschöner wunderschönere wunderschönerem wunderschöneren wunderschönerer wunderschöneres wunderschönes wunderschönst wunderschönste wunderschönstem wunderschönsten wunderschönster wunderschönstes wundervoll wundervolle wundervollem wundervollen wundervoller wundervollere wundervollerem wundervolleren wundervollerer wundervolleres wundervolles wundervollst wundervollste wundervollstem wundervollsten wundervollster wundervollstes wünschenswert wünschenswerte wünschenswertem wünschenswerten wünschenswerter wünschenswertere wünschenswerterem wünschenswerteren wünschenswerterer wünschenswerteres wünschenswertes wünschenswertest wünschenswerteste wünschenswertestem wünschenswertesten wünschenswertester wünschenswertestes wunschgemäß wunschgemäße wunschgemäßem wunschgemäßen wunschgemäßer wunschgemäßere wunschgemäßerem wunschgemäßeren wunschgemäßerer wunschgemäßeres wunschgemäßes wunschgemäßst wunschgemäßste wunschgemäßstem wunschgemäßsten wunschgemäßster wunschgemäßstes würdevoll würdevolle würdevollem würdevollen würdevoller würdevollere würdevollerem würdevolleren würdevollerer würdevolleres würdevolles würdevollst würdevollste würdevollstem würdevollsten würdevollster würdevollstes würdig würdig würdige würdige würdigem würdigen würdigen würdiger würdigere würdigerem würdigeren würdigerer würdigeres würdiges würdigest würdiget würdigst würdigst würdigste würdigstem würdigsten würdigster würdigstes würdigt würdigte würdigten würdigtest würdigtet zauberhaft zauberhafte zauberhaftem zauberhaften zauberhafter zauberhaftere zauberhafterem zauberhafteren zauberhafterer zauberhafteres zauberhaftes zauberhaftest zauberhafteste zauberhaftestem zauberhaftesten zauberhaftester zauberhaftestes zeitsparend zeitsparende zeitsparendem zeitsparenden zeitsparender zeitsparendere zeitsparenderem zeitsparenderen zeitsparenderer zeitsparenderes zeitsparendes zeitsparendst zeitsparendste zeitsparendstem zeitsparendsten zeitsparendster zeitsparendstes Zenit Zenite Zeniten Zenites Zenits Ziel Ziele Zielen Zieles zielgerichtet zielgerichtete zielgerichtetem zielgerichteten zielgerichteter zielgerichtetere zielgerichteterem zielgerichteteren zielgerichteterer zielgerichteteres zielgerichtetes zielgerichtetst zielgerichtetste zielgerichtetstem zielgerichtetsten zielgerichtetster zielgerichtetstes Ziels zielstrebig zielstrebige zielstrebigem zielstrebigen zielstrebiger zielstrebigere zielstrebigerem zielstrebigeren zielstrebigerer zielstrebigeres zielstrebiges zielstrebigst zielstrebigste zielstrebigstem zielstrebigsten zielstrebigster zielstrebigstes zivilisiert zivilisierte zivilisiertem zivilisierten zivilisierter zivilisiertere zivilisierterem zivilisierteren zivilisierterer zivilisierteres zivilisiertes zivilisiertest zivilisierteste zivilisiertestem zivilisiertesten zivilisiertester zivilisiertestes zufließen Zuflucht Zufluchten zufrieden zufriedene zufriedenem zufriedenen zufriedener zufriedenere zufriedenerem zufriedeneren zufriedenerer zufriedeneres zufriedenes Zufriedenheit zufriedenst zufriedenste zufriedenstellend zufriedenstem zufriedensten zufriedenster zufriedenstes zufriedner zufriednere zufriednerem zufriedneren zufriednerer zufriedneres zufügen Zugabe Zugaben zugänglich zugängliche zugänglichem zugänglichen zugänglicher zugänglichere zugänglicherem zugänglicheren zugänglicherer zugänglicheres zugängliches Zugänglichkeit zugänglichst zugä</t>
  </si>
  <si>
    <t>Workbook Settings 39</t>
  </si>
  <si>
    <t>nglichste zugänglichstem zugänglichsten zugänglichster zugänglichstes zugeben zugelegt zugreifen zukunftsweisend zukunftsweisende zukunftsweisendem zukunftsweisenden zukunftsweisender zukunftsweisendere zukunftsweisenderem zukunftsweisenderen zukunftsweisenderer zukunftsweisenderes zukunftsweisendes zukunftsweisendst zukunftsweisendste zukunftsweisendstem zukunftsweisendsten zukunftsweisendster zukunftsweisendstes Zulage Zulagen zulässig zulässige zulässigem zulässigen zulässiger zulässigere zulässigerem zulässigeren zulässigerer zulässigeres zulässiges Zulässigkeit zulässigst zulässigste zulässigstem zulässigsten zulässigster zulässigstes zuleg zulege zulegen zulegest zuleget zulegst zulegt zulegte zulegten zulegtest zulegtet Zuneigung Zuneigungen zurückgewinnen Zusammenarbeit Zusammenarbeiten Zusammengehörigkeit Zusammenhalt Zusammenhalte zusammenhalten Zusammenhalten Zusammenhaltes Zusammenhalts zuschießen Zuschuß Zuschüße Zuschüßen Zuschußes Zuschußs zustimmen Zustimmung Zustimmungen zuverlässig zuverlässige zuverlässigem zuverlässigen zuverlässiger zuverlässigere zuverlässigerem zuverlässigeren zuverlässigerer zuverlässigeres zuverlässiges Zuverlässigkeit zuverlässigst zuverlässigste zuverlässigstem zuverlässigsten zuverlässigster zuverlässigstes Zuversicht zuversichtlich zuversichtliche zuversichtlichem zuversichtlichen zuversichtlicher zuversichtlichere zuversichtlicherem zuversichtlicheren zuversichtlicherer zuversichtlicheres zuversichtliches zuversichtlichst zuversichtlichste zuversichtlichstem zuversichtlichsten zuversichtlichster zuversichtlichstes zuvorkommend zuvorkommende zuvorkommendem zuvorkommenden zuvorkommender zuvorkommendere zuvorkommenderem zuvorkommenderen zuvorkommenderer zuvorkommenderes zuvorkommendes zuvorkommendst zuvorkommendste zuvorkommendstem zuvorkommendsten zuvorkommendster zuvorkommendstes zweifellos zweifellose zweifellosem zweifellosen zweifelloser zweifellosere zweifelloserem zweifelloseren zweifelloserer zweifelloseres zweifelloses zweifellosst zweifellosste zweifellosstem zweifellossten zweifellosster zweifellosstes▓SentimentWordsInList2░Abbau Abbaue abbauen Abbauen Abbaues Abbaus abbrechen Abbruch Abbrüche Abbrüchen Abbruches Abbruchs abdämpfen Abdämpfung Abdämpfungen abdank abdanke abdanken abdankest abdanket abdankst abdankt abdankte abdankten abdanktest abdanktet Abdankung Abdankungen Abfall Abfälle abfallen Abfällen Abfalles abfällig abfällige abfälligem abfälligen abfälliger abfälligere abfälligerem abfälligeren abfälligerer abfälligeres abfälliges abfälligst abfälligste abfälligstem abfälligsten abfälligster abfälligstes Abfalls Abfuhr abführ abführe Abfuhren abführen abführest abführet abführst abführt abführte abführten abführtest abführtet abgebrochen abgedankt abgedroschen abgedroschene abgedroschenem abgedroschenen abgedroschener abgedroschenere abgedroschenerem abgedroscheneren abgedroschenerer abgedroscheneres abgedroschenes abgedroschenst abgedroschenste abgedroschenstem abgedroschensten abgedroschenster abgedroschenstes abgedroschner abgedroschnere abgedroschnerem abgedroschneren abgedroschnerer abgedroschneres abgeführt abgelehnt abgelenkt abgenutzt abgeschreckt abgeschwächt abgestanden abgestandene abgestandenem abgestandenen abgestandener abgestandenere abgestandenerem abgestandeneren abgestandenerer abgestandeneres abgestandenes abgestandenst abgestandenste abgestandenstem abgestandensten abgestandenster abgestandenstes abgestandner abgestandnere abgestandnerem abgestandneren abgestandnerer abgestandneres abgestumpft abgestürzt abgetakelt abgetakelte abgetakeltem abgetakelten abgetakelter abgetakeltere abgetakelterem abgetakelteren abgetakelterer abgetakelteres abgetakeltes abgetakeltst abgetakeltste abgetakeltstem abgetakeltsten abgetakeltster abgetakeltstes abgewertet abgleiten Abgrund abgründig abgründige abgründigem abgründigen abgründiger abgründigere abgründigerem abgründigeren abgründigerer abgründigeres abgründiges abgründigst abgründigste abgründigstem abgründigsten abgründigster abgründigstes abhängig abhängige abhängigem abhängigen abhängiger abhängigere abhängigerem abhängigeren abhängigerer abhängigeres abhängiges Abhängigkeit Abhängigkeiten abhängigst abhängigste abhängigstem abhängigsten abhängigster abhängigstes ablaufen ablehn ablehne ablehnen ablehnest ablehnet ablehnst ablehnt ablehnte ablehnten ablehntest ablehntet Ablehnung Ablehnungen ablenk ablenke ablenken ablenkest ablenket ablenkst ablenkt ablenkte ablenkten ablenktest ablenktet Ablenkung Ablenkungen Abnahme Abnahmen abnehmen Abneigung Abneigungen abnutz abnutze abnutzen abnutzest abnutzet abnutzt abnutzte abnutzten abnutztest abnutztet Abnutzung abraten abreissen Abriss Abrisse Abrissen Abrisses Abrisss abrupt abrupte abruptem abrupten abrupter abruptere abrupterem abrupteren abrupterer abrupteres abruptes abruptest abrupteste abruptestem abruptesten abruptester abruptestes Abrutsch Abrutsche abrutschen Abrutschen Abrutsches Abrutschs abschaffen Abschaffung Abschaffungen abschätzig abschätzige abschätzigem abschätzigen abschätziger abschätzigere abschätzigerem abschätzigeren abschätzigerer abschätzigeres abschätziges abschätzigst abschätzigste abschätzigstem abschätzigsten abschätzigster abschätzigstes abschießen abschreck abschrecke abschrecken abschreckend abschreckest abschrecket abschreckst abschreckt abschreckte abschreckten abschrecktest abschrecktet Abschreckung Abschreckungen abschreiben Abschreibung Abschreibungen Abschuß abschwäch abschwäche abschwächen abschwächest abschwächet abschwächst abschwächt abschwächte abschwächten abschwächtest abschwächtet Abschwächung Abschwächungen absenken Absenkung Absenkungen absinken abspalten Abspaltung Abspaltungen absperren Absperrung Absperrungen absteigen Abstieg Abstiege Abstiegen Abstieges Abstiegs Abstoß Abstöße abstoßen Abstößen abstoßend abstoßende abstoßendem abstoßenden abstoßender abstoßendere abstoßenderem abstoßenderen abstoßenderer abstoßenderes abstoßendes abstoßendst abstoßendste abstoßend</t>
  </si>
  <si>
    <t>Workbook Settings 40</t>
  </si>
  <si>
    <t>stem abstoßendsten abstoßendster abstoßendstes Abstoßes Abstoßs Abstrich Abstriche Abstrichen Abstriches Abstrichs abstumpf abstumpfe abstumpfen abstumpfest abstumpfet abstumpfst abstumpft abstumpfte abstumpften abstumpftest abstumpftet Abstumpfung Absturz abstürz Abstürze abstürze abstürzen Abstürzen Absturzes abstürzest abstürzet Absturzs abstürzt abstürzte abstürzten abstürztest abstürztet absurd absurde absurdem absurden absurder absurdere absurderem absurderen absurderer absurderes absurdes absurdest absurdeste absurdestem absurdesten absurdester absurdestes Absurdität Absurditäten abtragen Abwärtstrend abweichen Abweichung Abweichungen abweisen Abweisung Abweisungen abwert abwerte abwerten abwertest abwertet abwertete abwerteten abwertetest abwertetet abwertte abwertten abwerttest abwerttet Abwertung Abwertungen Abzocke achtlos achtlose achtlosem achtlosen achtloser achtlosere achtloserem achtloseren achtloserer achtloseres achtloses achtlosest achtloseste achtlosestem achtlosesten achtlosester achtlosestes Achtlosigkeit Affäre Affären Aggression Aggressionen aggressiv aggressive aggressivem aggressiven aggressiver aggressivere aggressiverem aggressiveren aggressiverer aggressiveres aggressives Aggressivität Aggressivitäten aggressivst aggressivste aggressivstem aggressivsten aggressivster aggressivstes Aggressor Aggressoren Aggressors Agitation Agitationen Alarm Alarme Alarmen Alarmes alarmier alarmiere alarmieren alarmierest alarmieret alarmierst alarmiert alarmierte alarmierten alarmiertest alarmiertet Alarms alkoholisiert alkoholisierte alkoholisiertem alkoholisierten alkoholisierter alkoholisiertere alkoholisierterem alkoholisierteren alkoholisierterer alkoholisierteres alkoholisiertes alkoholisiertest alkoholisierteste alkoholisiertestem alkoholisiertesten alkoholisiertester alkoholisiertestes Alptraum Alpträume Alpträumen Alptraumes Alptraums alt alte altem alten alter älter ältere älterem älteren älterer älteres altes ältest älteste ältestem ältesten ältester ältestes altmodisch altmodische altmodischem altmodischen altmodischer altmodischere altmodischerem altmodischeren altmodischerer altmodischeres altmodisches altmodischst altmodischste altmodischstem altmodischsten altmodischster altmodischstes Amateur Amateure Amateuren amateurhaft amateurhafte amateurhaftem amateurhaften amateurhafter amateurhaftere amateurhafterem amateurhafteren amateurhafterer amateurhafteres amateurhaftes amateurhaftest amateurhafteste amateurhaftestem amateurhaftesten amateurhaftester amateurhaftestes Amateurs ambivalent ambivalente ambivalentem ambivalenten ambivalenter ambivalentere ambivalenterem ambivalenteren ambivalenterer ambivalenteres ambivalentes ambivalentest ambivalenteste ambivalentestem ambivalentesten ambivalentester ambivalentestes Ambivalenz Ambivalenzen androh androhe androhen androhest androhet androhst androht androhte androhten androhtest androhtet Androhung Androhungen anfällig anfällige anfälligem anfälligen anfälliger anfälligere anfälligerem anfälligeren anfälligerer anfälligeres anfälliges Anfälligkeit anfälligst anfälligste anfälligstem anfälligsten anfälligster anfälligstes angedroht angeklagt angemaßt angespannt angespannt angespannte angespanntem angespannten angespannter angespanntere angespannterem angespannteren angespannterer angespannteres angespanntes angespanntest angespannteste angespanntestem angespanntesten angespanntester angespanntestes angestrengt angestrengt angestrengte angestrengtem angestrengten angestrengter angestrengtere angestrengterem angestrengteren angestrengterer angestrengteres angestrengtes angestrengtest angestrengteste angestrengtestem angestrengtesten angestrengtester angestrengtestes angetrunken angetrunkene angetrunkenem angetrunkenen angetrunkener angetrunkenere angetrunkenerem angetrunkeneren angetrunkenerer angetrunkeneres angetrunkenes angetrunkenst angetrunkenste angetrunkenstem angetrunkensten angetrunkenster angetrunkenstes angetrunkner angetrunknere angetrunknerem angetrunkneren angetrunknerer angetrunkneres angreifen Angreifer Angreifern Angreifers Angriff Angriffe Angriffen Angriffes Angriffs Angst Angste Angsten ängstigen ängstlich ängstliche ängstlichem ängstlichen ängstlicher ängstlichere ängstlicherem ängstlicheren ängstlicherer ängstlicheres ängstliches ängstlichst ängstlichste ängstlichstem ängstlichsten ängstlichster ängstlichstes anklag Anklage anklage anklagen Anklagen anklagest anklaget anklagst anklagt anklagte anklagten anklagtest anklagtet anmaß anmaße anmaßen anmaßest anmaßet anmaßt anmaßte anmaßten anmaßtest anmaßtet Anmaßung Anmaßungen annullier annulliere annullieren annullierest annullieret annullierst annulliert annullierte annullierten annulliertest annulliertet Annullierung Annullierungen Anomalie Anomalien anschießen anspann anspanne anspannen anspannest anspannet anspannst anspannt anspannte anspannten anspanntest anspanntet Anspannung Anspannungen anstößig anstößige anstößigem anstößigen anstößiger anstößigere anstößigerem anstößigeren anstößigerer anstößigeres anstößiges anstößigst anstößigste anstößigstem anstößigsten anstößigster anstößigstes anstreng anstrenge anstrengen anstrengend anstrengende anstrengendem anstrengenden anstrengender anstrengendere anstrengenderem anstrengenderen anstrengenderer anstrengenderes anstrengendes anstrengendst anstrengendste anstrengendstem anstrengendsten anstrengendster anstrengendstes anstrengest anstrenget anstrengst anstrengt anstrengte anstrengten anstrengtest anstrengtet Anstrengung Anstrengungen Antipathie Antipathien antiquiert antiquierte antiquiertem antiquierten antiquierter antiquiertere antiquierterem antiquierteren antiquierterer antiquierteres antiquiertes antiquiertest antiquierteste antiquiertestem antiquiertesten antiquiertester antiquiertestes anzünden apathisch apathische apathischem apathischen apathischer apathischere apathischerem apathischeren apathischerer apathischeres apathisches apathischst apathischste apathischstem apathischsten apathi</t>
  </si>
  <si>
    <t>Workbook Settings 41</t>
  </si>
  <si>
    <t>schster apathischstes apokalyptisch apokalyptische apokalyptischem apokalyptischen apokalyptischer apokalyptischere apokalyptischerem apokalyptischeren apokalyptischerer apokalyptischeres apokalyptisches apokalyptischst apokalyptischste apokalyptischstem apokalyptischsten apokalyptischster apokalyptischstes arbeitslos Arbeitslose arbeitslose arbeitslosem Arbeitslosen arbeitslosen arbeitsloser arbeitslosere arbeitsloserem arbeitsloseren arbeitsloserer arbeitsloseres arbeitsloses Arbeitslosigkeit arbeitslosst arbeitslosste arbeitslosstem arbeitslossten arbeitslosster arbeitslosstes archaisch archaische archaischem archaischen archaischer archaischere archaischerem archaischeren archaischerer archaischeres archaisches archaischst archaischste archaischstem archaischsten archaischster archaischstes Ärger ärgerlich ärgerliche ärgerlichem ärgerlichen ärgerlicher ärgerlichere ärgerlicherem ärgerlicheren ärgerlicherer ärgerlicheres ärgerliches ärgerlichst ärgerlichste ärgerlichstem ärgerlichsten ärgerlichster ärgerlichstes ärgern Ärgernis Ärgernise Ärgernisen Ärgernises Ärgerniss arm arme armem armen armer ärmer ärmere ärmerem ärmeren ärmerer ärmeres armes armselig armselige armseligem armseligen armseliger armseligere armseligerem armseligeren armseligerer armseligeres armseliges armseligst armseligste armseligstem armseligsten armseligster armseligstes ärmst ärmste ärmstem ärmsten ärmster ärmstes Armut arrogant arrogante arrogantem arroganten arroganter arrogantere arroganterem arroganteren arroganterer arroganteres arrogantes arrogantest arroganteste arrogantestem arrogantesten arrogantester arrogantestes Arroganz Arschloch Arschlöcher Arschlöchern Arschloches Arschlochs Attacke Attacken attackier attackiere attackieren attackierest attackieret attackierst attackiert attackierte attackierten attackiertest attackiertet aufbläh aufblähe aufblähen aufblähest aufblähet aufblähst aufbläht aufblähte aufblähten aufblähtest aufblähtet aufblasen aufbringen auffallen aufgeben aufgebläht aufgebracht aufgebrachte aufgebrachtem aufgebrachten aufgebrachter aufgebrachtere aufgebrachterem aufgebrachteren aufgebrachterer aufgebrachteres aufgebrachtes aufgebrachtest aufgebrachteste aufgebrachtestem aufgebrachtesten aufgebrachtester aufgebrachtestes aufgelöst aufgeregt aufgeregt aufgeregte aufgeregtem aufgeregten aufgeregter aufgeregtere aufgeregterem aufgeregteren aufgeregterer aufgeregteres aufgeregtes aufgeregtest aufgeregteste aufgeregtestem aufgeregtesten aufgeregtester aufgeregtestes aufgerührt Aufhebung Aufhebungen aufhören auflös auflöse auflösen auflösest auflöset auflöst auflöste auflösten auflöstest auflöstet Auflösung Auflösungen aufreg aufrege aufregen aufregest aufreget aufregst aufregt aufregte aufregten aufregtest aufregtet Aufregung Aufregungen aufreibend Aufruhr aufrühr Aufruhre aufrühre Aufruhren aufrühren Aufruhres aufrührest aufrühret Aufruhrs aufrührst aufrührt aufrührte aufrührten aufrührtest aufrührtet aufschlagen Aufschrei Aufschreie aufschreien Aufschreien Aufschreies Aufschreis Aufstand Aufstande Aufstände Aufstanden Aufständen Aufstandes Aufstands aufwühlen ausbeut Ausbeute ausbeute ausbeuten Ausbeuten Ausbeuter Ausbeutern Ausbeuters ausbeutest ausbeutet ausbeutete ausbeuteten ausbeutetest ausbeutetet ausbeutte ausbeutten ausbeuttest ausbeuttet Ausbeutung Ausbeutungen ausbrechen Ausbruch Ausbrüche Ausbrüchen Ausbruches Ausbruchs auseinanderfallen auseinandersetzen Auseinandersetzung Auseinandersetzungen Ausfall Ausfälle ausfallen Ausfällen Ausfalles Ausfalls ausgebeutet ausgehungert ausgehungerte ausgehungertem ausgehungerten ausgehungerter ausgehungertere ausgehungerterem ausgehungerteren ausgehungerterer ausgehungerteres ausgehungertes ausgehungertst ausgehungertste ausgehungertstem ausgehungertsten ausgehungertster ausgehungertstes ausgerottet ausgeschaltet ausgesetzt ausgestorben ausgestorbene ausgestorbenem ausgestorbenen ausgestorbener ausgestorbenere ausgestorbenerem ausgestorbeneren ausgestorbenerer ausgestorbeneres ausgestorbenes ausgestorbenst ausgestorbenste ausgestorbenstem ausgestorbensten ausgestorbenster ausgestorbenstes ausgestorbner ausgestorbnere ausgestorbnerem ausgestorbneren ausgestorbnerer ausgestorbneres ausgleiten ausgrenzen Ausgrenzung Auslöschung Auslöschungen ausradier ausradiere ausradieren ausradierest ausradieret ausradierst ausradiert ausradierte ausradierten ausradiertest ausradiertet ausrott ausrotte ausrotten ausrottest ausrottet ausrottete ausrotteten ausrottetest ausrottetet ausrottte ausrottten ausrotttest ausrotttet Ausrottung Ausrottungen ausschalt ausschalte ausschalten ausschaltest ausschaltet ausschaltete ausschalteten ausschaltetest ausschaltetet ausschaltte ausschaltten ausschalttest ausschalttet ausschließen Ausschließung Ausschließungen aussetz aussetze aussetzen aussetzest aussetzet aussetzt aussetzte aussetzten aussetztest aussetztet Aussetzung Aussetzungen aussichtslos aussichtslose aussichtslosem aussichtslosen aussichtsloser aussichtslosere aussichtsloserem aussichtsloseren aussichtsloserer aussichtsloseres aussichtsloses aussichtslosest aussichtsloseste aussichtslosestem aussichtslosesten aussichtslosester aussichtslosestes aussterben banal banale banalem banalen banaler banalere banalerem banaleren banalerer banaleres banales Banalität Banalitäten banalst banalste banalstem banalsten banalster banalstes Bankrott Bankrotte Bankrotten Bankrottes Bankrotts barbarisch barbarische barbarischem barbarischen barbarischer barbarischere barbarischerem barbarischeren barbarischerer barbarischeres barbarisches barbarischst barbarischste barbarischstem barbarischsten barbarischster barbarischstes Barriere Barrieren beängstigend beanstandet bedauerlich bedauerliche bedauerlichem bedauerlichen bedauerlicher bedauerlichere bedauerlicherem bedauerlicheren bedauerlicherer bedauerlicheres bedauerliches bedauerlichst bedauerlichste bedauerlichstem bedauerlichsten bedauerlichster bedauerlichstes bedauern bedauernswert bedauernswerte bedauernswertem be</t>
  </si>
  <si>
    <t>Workbook Settings 42</t>
  </si>
  <si>
    <t>dauernswerten bedauernswerter bedauernswertere bedauernswerterem bedauernswerteren bedauernswerterer bedauernswerteres bedauernswertes bedauernswertest bedauernswerteste bedauernswertestem bedauernswertesten bedauernswertester bedauernswertestes bedenklich bedenkliche bedenklichem bedenklichen bedenklicher bedenklichere bedenklicherem bedenklicheren bedenklicherer bedenklicheres bedenkliches bedenklichst bedenklichste bedenklichstem bedenklichsten bedenklichster bedenklichstes bedeppert bedepperte bedeppertem bedepperten bedepperter bedeppertere bedepperterem bedepperteren bedepperterer bedepperteres bedeppertes bedeppertest bedepperteste bedeppertestem bedeppertesten bedeppertester bedeppertestes bedeutungslos bedeutungslose bedeutungslosem bedeutungslosen bedeutungsloser bedeutungslosere bedeutungsloserem bedeutungsloseren bedeutungsloserer bedeutungsloseres bedeutungsloses bedeutungslosest bedeutungsloseste bedeutungslosestem bedeutungslosesten bedeutungslosester bedeutungslosestes Bedeutungslosigkeit bedräng bedränge bedrängen bedrängest bedränget bedrängst bedrängt bedrängte bedrängten bedrängtest bedrängtet Bedrängung Bedrängungen bedroh bedrohe bedrohen bedrohest bedrohet bedrohlich bedrohliche bedrohlichem bedrohlichen bedrohlicher bedrohlichere bedrohlicherem bedrohlicheren bedrohlicherer bedrohlicheres bedrohliches bedrohlichst bedrohlichste bedrohlichstem bedrohlichsten bedrohlichster bedrohlichstes bedrohst bedroht bedrohte bedrohten bedrohtest bedrohtet Bedrohung Bedrohungen bedrück bedrücke bedrücken bedrückest bedrücket bedrückst bedrückt bedrückt bedrückte bedrückte bedrücktem bedrückten bedrückten bedrückter bedrücktere bedrückterem bedrückteren bedrückterer bedrückteres bedrücktes bedrücktest bedrücktest bedrückteste bedrücktestem bedrücktesten bedrücktester bedrücktestes bedrücktet Bedrückung Bedrückungen bedürftig Bedürftige bedürftige bedürftigem bedürftigen bedürftiger bedürftigere bedürftigerem bedürftigeren bedürftigerer bedürftigeres bedürftiges bedürftigst bedürftigste bedürftigstem bedürftigsten bedürftigster bedürftigstes beeinträchtig beeinträchtige beeinträchtigen beeinträchtigest beeinträchtiget beeinträchtigst beeinträchtigt beeinträchtigte beeinträchtigten beeinträchtigtest beeinträchtigtet Beeinträchtigung Beeinträchtigungen beend beende beenden beendest beendet beendete beendeten beendetest beendetet beendte beendten beendtest beendtet Befall Befälle befallen Befällen Befalles Befalls befangen befangene befangenem befangenen befangener befangenere befangenerem befangeneren befangenerer befangeneres befangenes Befangenheit Befangenheiten befangenst befangenste befangenstem befangensten befangenster befangenstes befangner befangnere befangnerem befangneren befangnerer befangneres befremdlich befremdliche befremdlichem befremdlichen befremdlicher befremdlichere befremdlicherem befremdlicheren befremdlicherer befremdlicheres befremdliches befremdlichst befremdlichste befremdlichstem befremdlichsten befremdlichster befremdlichstes befürcht befürchte befürchten befürchtest befürchtet befürchtete befürchteten befürchtetest befürchtetet befürchtte befürchtten befürchttest befürchttet Befürchtung Befürchtungen begeklagt begesteuert begrenz begrenze begrenzen begrenzest begrenzet begrenzt begrenzt begrenzte begrenzte begrenztem begrenzten begrenzten begrenzter begrenztere begrenzterem begrenzteren begrenzterer begrenzteres begrenztes begrenztest begrenztest begrenzteste begrenztestem begrenztesten begrenztester begrenztestes begrenztet Begrenzung Begrenzungen begriffsstutzig begriffsstutzige begriffsstutzigem begriffsstutzigen begriffsstutziger begriffsstutzigere begriffsstutzigerem begriffsstutzigeren begriffsstutzigerer begriffsstutzigeres begriffsstutziges begriffsstutzigst begriffsstutzigste begriffsstutzigstem begriffsstutzigsten begriffsstutzigster begriffsstutzigstes behämmert behämmerte behämmertem behämmerten behämmerter behämmertere behämmerterem behämmerteren behämmerterer behämmerteres behämmertes behämmertst behämmertste behämmertstem behämmertsten behämmertster behämmertstes behinder behindere behinderen behindern behinderst behindert behinderte behinderten behindertest behindertet Behinderung Behinderungen beklag beklage beklagen beklagenswert beklagenswerte beklagenswertem beklagenswerten beklagenswerter beklagenswertere beklagenswerterem beklagenswerteren beklagenswerterer beklagenswerteres beklagenswertes beklagenswertest beklagenswerteste beklagenswertestem beklagenswertesten beklagenswertester beklagenswertestes beklagest beklaget beklagst beklagt beklagte beklagten beklagtest beklagtet bekloppt bekloppte beklopptem bekloppten bekloppter beklopptere bekloppterem bekloppteren bekloppterer bekloppteres beklopptes beklopptest bekloppteste beklopptestem beklopptesten beklopptester beklopptestes beknackt beknackte beknacktem beknackten beknackter beknacktere beknackterem beknackteren beknackterer beknackteres beknacktes beknacktest beknackteste beknacktestem beknacktesten beknacktester beknacktestes bekümmert bekümmerte bekümmertem bekümmerten bekümmerter bekümmertere bekümmerterem bekümmerteren bekümmerterer bekümmerteres bekümmertes bekümmertst bekümmertste bekümmertstem bekümmertsten bekümmertster bekümmertstes belanglos belanglose belanglosem belanglosen belangloser belanglosere belangloserem belangloseren belangloserer belangloseres belangloses belanglosest belangloseste belanglosestem belanglosesten belanglosester belanglosestes belasten belästig belästige belästigen belästigest belästiget belästigst belästigt belästigte belästigten belästigtest belästigtet Belästigung Belästigungen Belastung Belastungen beleidig beleidige beleidigen beleidigend beleidigest beleidiget beleidigst beleidigt beleidigt beleidigte beleidigten beleidigtest beleidigtet Beleidigung Beleidigungen beraub beraube berauben beraubest beraubet beraubst beraubt beraubte beraubten beraubtest beraubtet bergab beschädig beschädige beschädigen beschädigest beschädiget beschädig</t>
  </si>
  <si>
    <t>Workbook Settings 43</t>
  </si>
  <si>
    <t>st beschädigt beschädigte beschädigten beschädigtest beschädigtet Beschädigung Beschädigungen beschäftigungslos Beschäftigungslose beschäftigungslose beschäftigungslosem beschäftigungslosen Beschäftigungsloser beschäftigungsloser beschäftigungslosere beschäftigungsloserem beschäftigungsloseren beschäftigungsloserer beschäftigungsloseres beschäftigungsloses beschäftigungslosst beschäftigungslosste beschäftigungslosstem beschäftigungslossten beschäftigungslosster beschäftigungslosstes beschäm beschäme beschämen beschämest beschämet beschämst beschämt beschämte beschämten beschämtest beschämtet Beschämung Beschämungen bescheuert bescheuerte bescheuertem bescheuerten bescheuerter bescheuertere bescheuerterem bescheuerteren bescheuerterer bescheuerteres bescheuertes bescheuertest bescheuerteste bescheuertestem bescheuertesten bescheuertester bescheuertestes beschissen beschissene beschissenem beschissenen beschissener beschissenere beschissenerem beschisseneren beschissenerer beschisseneres beschissenes beschissenst beschissenste beschissenstem beschissensten beschissenster beschissenstes beschissner beschissnere beschissnerem beschissneren beschissnerer beschissneres beschneiden Beschneidung Beschneidungen beschränk beschränke beschränken beschränkest beschränket beschränkst beschränkt beschränkt beschränkte beschränkte beschränktem beschränkten beschränkten beschränkter beschränktere beschränkterem beschränkteren beschränkterer beschränkteres beschränktes beschränktest beschränktest beschränkteste beschränktestem beschränktesten beschränktester beschränktestes beschränktet Beschränkung Beschränkungen beschruppt beschuldig beschuldige beschuldigen beschuldigest beschuldiget beschuldigst beschuldigt beschuldigte beschuldigten beschuldigtest beschuldigtet Beschuldigung Beschuldigungen beschwer Beschwerde Beschwerden beschwere beschweren beschwerlich beschwerliche beschwerlichem beschwerlichen beschwerlicher beschwerlichere beschwerlicherem beschwerlicheren beschwerlicherer beschwerlicheres beschwerliches Beschwerlichkeit Beschwerlichkeiten beschwerlichst beschwerlichste beschwerlichstem beschwerlichsten beschwerlichster beschwerlichstes beschwern beschwerst beschwert beschwerte beschwerten beschwertest beschwertet beseitig beseitige beseitigen beseitigest beseitiget beseitigst beseitigt beseitigte beseitigten beseitigtest beseitigtet Beseitigung Beseitigungen Beseitigungnen Besorgnis besorgniserregend besorgniserregende besorgniserregendem besorgniserregenden besorgniserregender besorgniserregendere besorgniserregenderem besorgniserregenderen besorgniserregenderer besorgniserregenderes besorgniserregendes besorgniserregendst besorgniserregendste besorgniserregendstem besorgniserregendsten besorgniserregendster besorgniserregendstes Besorgnisse Besorgnissen besorgt besorgte besorgtem besorgten besorgter besorgtere besorgterem besorgteren besorgterer besorgteres besorgtes besorgtest besorgteste besorgtestem besorgtesten besorgtester besorgtestes bestechen Bestechung Bestechungen besteuer besteuere besteueren besteuern besteuerst besteuert besteuerte besteuerten besteuertest besteuertet Besteuerung Besteuerungen bestraf bestrafe bestrafen bestrafest bestrafet bestrafst bestraft bestrafte bestraften bestraftest bestraftet Bestrafung Bestrafungen bestürzt bestürzte bestürztem bestürzten bestürzter bestürztere bestürzterem bestürzteren bestürzterer bestürzteres bestürztes bestürztest bestürzteste bestürztestem bestürztesten bestürztester bestürztestes Bestürzung betäub betäube betäuben betäubest betäubet betäubst betäubt betäubte betäubten betäubtest betäubtet Betrug betrügen Betrüger betrügerisch betrügerische betrügerischem betrügerischen betrügerischer betrügerischere betrügerischerem betrügerischeren betrügerischerer betrügerischeres betrügerisches betrügerischst betrügerischste betrügerischstem betrügerischsten betrügerischster betrügerischstes Betrügern Betrügers Betruges Betrugs betrunken betrunkene betrunkenem betrunkenen betrunkener betrunkenere betrunkenerem betrunkeneren betrunkenerer betrunkeneres betrunkenes betrunkenst betrunkenste betrunkenstem betrunkensten betrunkenster betrunkenstes Beule Beulen beunruhig beunruhige beunruhigen beunruhigend beunruhigest beunruhiget beunruhigst beunruhigt beunruhigt beunruhigte beunruhigten beunruhigtest beunruhigtet Beunruhigung Beunruhigungen bevormund bevormunde bevormunden bevormundest bevormundet bevormundete bevormundeten bevormundetest bevormundetet bevormundte bevormundten bevormundtest bevormundtet Bevormundung Bevormundungen bewegungslos bewegungslose bewegungslosem bewegungslosen bewegungsloser bewegungslosere bewegungsloserem bewegungsloseren bewegungsloserer bewegungsloseres bewegungsloses bewegungslosst bewegungslosste bewegungslosstem bewegungslossten bewegungslosster bewegungslosstes billig billige billigem billigen billiger billigere billigerem billigeren billigerer billigeres billiges billigst billigste billigstem billigsten billigster billigstes bitter bittere bitterem bitteren bitterer bitterere bittererem bittereren bittererer bittereres bitteres Bitterkeit bitterst bitterste bitterstem bittersten bitterster bitterstes bittrer bittrere bittrerem bittreren bittrerer bittreres bizarr bizarre bizarrem bizarren bizarrer bizarrere bizarrerem bizarreren bizarrerer bizarreres bizarres bizarrst bizarrste bizarrstem bizarrsten bizarrster bizarrstes blauäugig blauäugige blauäugigem blauäugigen blauäugiger blauäugigere blauäugigerem blauäugigeren blauäugigerer blauäugigeres blauäugiges blauäugigst blauäugigste blauäugigstem blauäugigsten blauäugigster blauäugigstes blind blinde blindem blinden blinder blindere blinderem blinderen blinderer blinderes blindes blindest blindeste blindestem blindesten blindester blindestes Blindheit Blockade Blockaden blockieren Blockierung Blockierungen blöd blöde blöde blödee blödeem blödeen blödeer blödeere blödeerem blödeeren blödeerer blödeeres blödees blödem blöden blöder blödere blöderem blöderen blöder</t>
  </si>
  <si>
    <t>Workbook Settings 44</t>
  </si>
  <si>
    <t xml:space="preserve">er blöderes blödes blödest blödest blödeste blödeste blödestem blödestem blödesten blödesten blödester blödester blödestes blödestes Blödheit Blödheiten blutig blutige blutigem blutigen blutiger blutigere blutigerem blutigeren blutigerer blutigeres blutiges blutigst blutigste blutigstem blutigsten blutigster blutigstes Bombardement Bombardements bombardier bombardiere bombardieren bombardierest bombardieret bombardierst bombardiert bombardierte bombardierten bombardiertest bombardiertet Bombardierung Bombardierungen Bombe Bomben borniert bornierte borniertem bornierten bornierter borniertere bornierterem bornierteren bornierterer bornierteres borniertes borniertest bornierteste borniertestem borniertesten borniertester borniertestes bösartig bösartige bösartigem bösartigen bösartiger bösartigere bösartigerem bösartigeren bösartigerer bösartigeres bösartiges Bösartigkeit bösartigst bösartigste bösartigstem bösartigsten bösartigster bösartigstes böse bösee böseem böseen böseer böseere böseerem böseeren böseerer böseeres bösees bösest böseste bösestem bösesten bösester bösestes Bösewicht Bösewichte Bösewichten Bösewichtes Bösewichts boshaft boshafte boshaftem boshaften boshafter boshaftere boshafterem boshafteren boshafterer boshafteres boshaftes boshaftest boshafteste boshaftestem boshaftesten boshaftester boshaftestes Bosheit Bosheiten Brand Brände Bränden Brandes Brands brechen brennen brisant brisante brisantem brisanten brisanter brisantere brisanterem brisanteren brisanterer brisanteres brisantes brisantest brisanteste brisantestem brisantesten brisantester brisantestes Bruch Brüche Brüchen Bruches brüchig brüchige brüchigem brüchigen brüchiger brüchigere brüchigerem brüchigeren brüchigerer brüchigeres brüchiges brüchigst brüchigste brüchigstem brüchigsten brüchigster brüchigstes Bruchs brutal brutale brutalem brutalen brutaler brutalere brutalerem brutaleren brutalerer brutaleres brutales Brutalität Brutalitäten brutalst brutalste brutalstem brutalsten brutalster brutalstes Bürde Bürden Bußgeld Bußgelder Bußgeldern Bußgeldes Bußgelds Chaos chaotisch chaotische chaotischem chaotischen chaotischer chaotischere chaotischerem chaotischeren chaotischerer chaotischeres chaotisches chaotischst chaotischste chaotischstem chaotischsten chaotischster chaotischstes charakterschwach Crash Crashs dahinschwinden dämlich dämliche dämlichem dämlichen dämlicher dämlichere dämlicherem dämlicheren dämlicherer dämlicheres dämliches dämlichst dämlichste dämlichstem dämlichsten dämlichster dämlichstes dämpf dämpfe dämpfen Dämpfer Dämpfern Dämpfers dämpfest dämpfet dämpfst dämpft dämpfte dämpften dämpftest dämpftet debil debile debilem debilen debiler debilere debilerem debileren debilerer debileres debiles debilst debilste debilstem debilsten debilster debilstes defekt Defekt Defekte defekte defektem Defekten defekten defekter defektere defekterem defekteren defekterer defekteres Defektes defektes defektest defekteste defektestem defektesten defektester defektestes Defekts Defizit defizitär defizitäre defizitärem defizitären defizitärer defizitärere defizitärerem defizitäreren defizitärerer defizitäreres defizitäres defizitärst defizitärste defizitärstem defizitärsten defizitärster defizitärstes Defizite Defiziten Defizits Deformation Deformationen deformier deformiere deformieren deformierest deformieret deformierst deformiert deformierte deformierten deformiertest deformiertet degradier degradiere degradieren degradierest degradieret degradierst degradiert degradierte degradierten degradiertest degradiertet Degradierung Degradierungen deinstallieren deinstalliert deinstallierte deinstalliertem deinstallierten deinstallierter deinstalliertere deinstallierterem deinstallierteren deinstallierterer deinstallierteres deinstalliertes deinstalliertst deinstalliertste deinstalliertstem deinstalliertsten deinstalliertster deinstalliertstes dekadent dekadente dekadentem dekadenten dekadenter dekadentere dekadenterem dekadenteren dekadenterer dekadenteres dekadentes dekadentest dekadenteste dekadentestem dekadentesten dekadentester dekadentestes Dekadenz demütig demütige demütigen demütigest demütiget demütigst demütigt demütigte demütigten demütigtest demütigtet Demütigung Demütigungen denkfaul denkfaule denkfaulem denkfaulen denkfauler denkfaulere denkfaulerem denkfauleren denkfaulerer denkfauleres denkfaules denkfaulst denkfaulste denkfaulstem denkfaulsten denkfaulster denkfaulstes Denkfehler Denkfehlern Denkfehlers Depression Depressionen depressiv depressive depressivem depressiven depressiver depressivere depressiverem depressiveren depressiverer depressiveres depressives depressivst depressivste depressivstem depressivsten depressivster depressivstes Desaster Desastern Desasters Desinteresse Desinteresses desinteressiert desinteressierte desinteressiertem desinteressierten desinteressierter desinteressiertere desinteressierterem desinteressierteren desinteressierterer desinteressierteres desinteressiertes desinteressiertst desinteressiertste desinteressiertstem desinteressiertsten desinteressiertster desinteressiertstes desolat desolate desolatem desolaten desolater desolatere desolaterem desolateren desolaterer desolateres desolates desolatest desolateste desolatestem desolatesten desolatester desolatestes destruktiv destruktive destruktivem destruktiven destruktiver destruktivere destruktiverem destruktiveren destruktiverer destruktiveres destruktives destruktivst destruktivste destruktivstem destruktivsten destruktivster destruktivstes dezimier dezimiere dezimieren dezimierest dezimieret dezimierst dezimiert dezimierte dezimierten dezimiertest dezimiertet Dezimierung Dezimierungen Dieb Diebe Dieben Diebes Diebs Diebstahl Diebstähle Diebstählen Diebstahles Diebstahls diffamieren Diffamierung Diffamierungen diffizil diffizile diffizilem diffizilen diffiziler diffizilere diffizilerem diffizileren diffizilerer diffizileres diffiziles diffizilst diffizilste diffizilstem diffizilsten diffizilster diffizilstes </t>
  </si>
  <si>
    <t>Workbook Settings 45</t>
  </si>
  <si>
    <t>diffus diffuse diffusem diffusen diffuser diffusere diffuserem diffuseren diffuserer diffuseres diffuses diffusest diffuseste diffusestem diffusesten diffusester diffusestes Diktator Diktatoren diktatorisch diktatorische diktatorischem diktatorischen diktatorischer diktatorischere diktatorischerem diktatorischeren diktatorischerer diktatorischeres diktatorisches diktatorischst diktatorischste diktatorischstem diktatorischsten diktatorischster diktatorischstes Diktators Dilemma Dilemmas dilettantisch dilettantische dilettantischem dilettantischen dilettantischer dilettantischere dilettantischerem dilettantischeren dilettantischerer dilettantischeres dilettantisches dilettantischst dilettantischste dilettantischstem dilettantischsten dilettantischster dilettantischstes diskreditier diskreditiere diskreditieren diskreditierest diskreditieret diskreditierst diskreditiert diskreditierte diskreditierten diskreditiertest diskreditiertet Diskriminierung Diskriminierungen Dissens Dissense Dissensen Dissenses distanziert distanzierte distanziertem distanzierten distanzierter distanziertere distanzierterem distanzierteren distanzierterer distanzierteres distanziertes distanziertest distanzierteste distanziertestem distanziertesten distanziertester distanziertestes disziplinlos disziplinlose disziplinlosem disziplinlosen disziplinloser disziplinlosere disziplinloserem disziplinloseren disziplinloserer disziplinloseres disziplinloses disziplinlosest disziplinloseste disziplinlosestem disziplinlosesten disziplinlosester disziplinlosestes dominier dominiere dominieren dominierest dominieret dominierst dominiert dominierte dominierten dominiertest dominiertet Dominierung Dominierungen doof doofe doofem doofen doofer doofere dooferem dooferen dooferer dooferes doofes doofst doofste doofstem doofsten doofster doofstes Doppeldeutigkeit Doppeldeutigkeiten Doppelspiel Doppelspiele Doppelspielen Doppelspieles Doppelspiels dramatisch dramatische dramatischem dramatischen dramatischer dramatischere dramatischerem dramatischeren dramatischerer dramatischeres dramatisches dramatischst dramatischste dramatischstem dramatischsten dramatischster dramatischstes dräng dränge drängelnd drängen drängest dränget drängst drängt drängte drängten drängtest drängtet drastisch drastische drastischem drastischen drastischer drastischere drastischerem drastischeren drastischerer drastischeres drastisches drastischst drastischste drastischstem drastischsten drastischster drastischstes Dreck Dreckes dreckig dreckige dreckigem dreckigen dreckiger dreckigere dreckigerem dreckigeren dreckigerer dreckigeres dreckiges dreckigst dreckigste dreckigstem dreckigsten dreckigster dreckigstes Drecks dreist dreiste dreistem dreisten dreister dreistere dreisterem dreisteren dreisterer dreisteres dreistes dreistest dreisteste dreistestem dreistesten dreistester dreistestes Drift drift drifte driften Driften driftest driftet driftete drifteten driftetest driftetet driftte driftten drifttest drifttet droh drohe drohen drohest drohet drohst droht drohte drohten drohtest drohtet Drohung Drohungen drossel drossele drosselen drosseln drosselst drosselt drosselte drosselten drosseltest drosseltet Drosselung Drosselungen drossl drossle dumm dumme dummem dummen dummer dümmer dümmere dümmerem dümmeren dümmerer dümmeres dummes Dummheit Dummheiten Dummkopf Dummköpfe Dummköpfen Dummkopfes Dummkopfs dümmst dümmste dümmstem dümmsten dümmster dümmstes dunkel Dunkelheit Dunkelheiten dunkelst dunkelste dunkelstem dunkelsten dunkelster dunkelstes dunkle dunklem dunklen dunkler dunklere dunklerem dunkleren dunklerer dunkleres dunkles Durcheinander Durcheinandern Durcheinanders durchfallen dürr Dürre dürre dürrem Dürren dürren dürrer dürrere dürrerem dürreren dürrerer dürreres dürres dürrst dürrste dürrstem dürrsten dürrster dürrstes Dussel dusselig dusselige dusseligem dusseligen dusseliger dusseligere dusseligerem dusseligeren dusseligerer dusseligeres dusseliges dusseligst dusseligste dusseligstem dusseligsten dusseligster dusseligstes Dusseln Dussels düster düstere düsterem düsteren düsterer düsterere düstererem düstereren düstererer düstereres düsteres Düsternis Düsternise Düsternisen düsterst düsterste düsterstem düstersten düsterster düsterstes düstrer düstrere düstrerem düstreren düstrerer düstreres Egoist Egoisten egoistisch egoistische egoistischem egoistischen egoistischer egoistischere egoistischerem egoistischeren egoistischerer egoistischeres egoistisches egoistischst egoistischste egoistischstem egoistischsten egoistischster egoistischstes ehebrechen Ehebruch Ehebrüche Ehebrüchen Ehebruches Ehebruchs eigenartig eigenartige eigenartigem eigenartigen eigenartiger eigenartigere eigenartigerem eigenartigeren eigenartigerer eigenartigeres eigenartiges eigenartigst eigenartigste eigenartigstem eigenartigsten eigenartigster eigenartigstes eigenstellt einbehalten einbrechen Einbrecher Einbrechern Einbrechers Einbruch Einbrüche Einbrüchen Einbruches Einbruchs Einbuße Einbußen einfältig einfältige einfältigem einfältigen einfältiger einfältigere einfältigerem einfältigeren einfältigerer einfältigeres einfältiges einfältigst einfältigste einfältigstem einfältigsten einfältigster einfältigstes eingehen eingeschränkt eingeschränkt eingeschränkte eingeschränktem eingeschränkten eingeschränkter eingeschränktere eingeschränkterem eingeschränkteren eingeschränkterer eingeschränkteres eingeschränktes eingeschränktest eingeschränkteste eingeschränktestem eingeschränktesten eingeschränktester eingeschränktestes eingeschrumpft eingeschüchtert eingestürzt einsam einsame einsamem einsamen einsamer einsamere einsamerem einsameren einsamerer einsameres einsames Einsamkeit Einsamkeiten einsamst einsamste einsamstem einsamsten einsamster einsamstes Einschlag Einschläge einschlagen Einschlägen Einschlages Einschlags einschränk einschränke einschränken einschränkest einschränket einschränkst einschränkt einschränkte einschränkten einschränktest einschränktet Einschränkung Einsch</t>
  </si>
  <si>
    <t>Workbook Settings 46</t>
  </si>
  <si>
    <t>ränkungen einschrumpf einschrumpfe einschrumpfen einschrumpfest einschrumpfet einschrumpfst einschrumpft einschrumpfte einschrumpften einschrumpftest einschrumpftet einschüchter einschüchtere einschüchteren einschüchtern einschüchternd einschüchterst einschüchtert einschüchterte einschüchterten einschüchtertest einschüchtertet Einschüchterung Einschüchterungen einsinken einstell einstelle einstellen einstellest einstellet einstellst einstellt einstellte einstellten einstelltest einstelltet Einsturz einstürz Einstürze einstürze einstürzen Einstürzen Einsturzes einstürzest einstürzet Einsturzs einstürzt einstürzte einstürzten einstürztest einstürztet eintönig eintönige eintönigem eintönigen eintöniger eintönigere eintönigerem eintönigeren eintönigerer eintönigeres eintöniges eintönigst eintönigste eintönigstem eintönigsten eintönigster eintönigstes Ekel ekelerregend ekelerregende ekelerregendem ekelerregenden ekelerregender ekelerregendere ekelerregenderem ekelerregenderen ekelerregenderer ekelerregenderes ekelerregendes ekelerregendst ekelerregendste ekelerregendstem ekelerregendsten ekelerregendster ekelerregendstes Ekeles ekelig ekelige ekeligem ekeligen ekeliger ekeligere ekeligerem ekeligeren ekeligerer ekeligeres ekeliges ekeligst ekeligste ekeligstem ekeligsten ekeligster ekeligstes Ekeln Ekels eklatant eklatante eklatantem eklatanten eklatanter eklatantere eklatanterem eklatanteren eklatanterer eklatanteres eklatantes eklatantest eklatanteste eklatantestem eklatantesten eklatantester eklatantestes elend Elend elende elendem elenden elender elendere elenderem elenderen elenderer elenderes elendes elendest elendeste elendestem elendesten elendester elendestes elendig elendige elendigem elendigen elendiger elendigere elendigerem elendigeren elendigerer elendigeres elendiges elendigst elendigste elendigstem elendigsten elendigster elendigstes Elends empör empöre empören empörest empöret empörst empört empörte empörten empörtest empörtet Empörung Empörungen Ende Enden Endes energielos energielose energielosem energielosen energieloser energielosere energieloserem energieloseren energieloserer energieloseres energieloses energielosest energieloseste energielosestem energielosesten energielosester energielosestes Energielosigkeit engstirnig engstirnige engstirnigem engstirnigen engstirniger engstirnigere engstirnigerem engstirnigeren engstirnigerer engstirnigeres engstirniges engstirnigst engstirnigste engstirnigstem engstirnigsten engstirnigster engstirnigstes entbehrungsreich entbinden Entbindung Entbindungen entfremd entfremde entfremden entfremdest entfremdet entfremdete entfremdeten entfremdetest entfremdetet entfremdte entfremdten entfremdtest entfremdtet Entfremdung Entfremdungen entführ entführe entführen entführest entführet entführst entführt entführte entführten entführtest entführtet Entführung Entführungen entgleiten enthaupt enthaupte enthaupten enthauptest enthauptet enthauptete enthaupteten enthauptetest enthauptetet enthauptte enthauptten enthaupttest enthaupttet Enthauptung Enthauptungen entkräftet entlassen Entlassung Entlassungen entmutig entmutige entmutigen entmutigest entmutiget entmutigst entmutigt entmutigte entmutigten entmutigtest entmutigtet Entmutigung Entmutigungen entnervt entnervte entnervtem entnervten entnervter entnervtere entnervterem entnervteren entnervterer entnervteres entnervtes entnervtest entnervteste entnervtestem entnervtesten entnervtester entnervtestes entrüstet entschwinden entsetzlich entsetzliche entsetzlichem entsetzlichen entsetzlicher entsetzlichere entsetzlicherem entsetzlicheren entsetzlicherer entsetzlicheres entsetzliches entsetzlichst entsetzlichste entsetzlichstem entsetzlichsten entsetzlichster entsetzlichstes enttäusch enttäusche enttäuschen enttäuschend enttäuschest enttäuschet enttäuschst enttäuscht enttäuscht enttäuschte enttäuschte enttäuschtem enttäuschten enttäuschten enttäuschter enttäuschtere enttäuschterem enttäuschteren enttäuschterer enttäuschteres enttäuschtes enttäuschtest enttäuschtest enttäuschteste enttäuschtestem enttäuschtesten enttäuschtester enttäuschtestes enttäuschtet Enttäuschung Enttäuschungen entwürdigend entziehen Entziehung Entziehungen Epidemie Epidemien erbärmlich erbärmliche erbärmlichem erbärmlichen erbärmlicher erbärmlichere erbärmlicherem erbärmlicheren erbärmlicherer erbärmlicheres erbärmliches erbärmlichst erbärmlichste erbärmlichstem erbärmlichsten erbärmlichster erbärmlichstes erbittert erbitterte erbittertem erbitterten erbitterter erbittertere erbitterterem erbitterteren erbitterterer erbitterteres erbittertes erbittertst erbittertste erbittertstem erbittertsten erbittertster erbittertstes erbost erboste erbostem erbosten erboster erbostere erbosterem erbosteren erbosterer erbosteres erbostes erbostest erbosteste erbostestem erbostesten erbostester erbostestes erbrechen erdrückend erdrückende erdrückendem erdrückenden erdrückender erdrückendere erdrückenderem erdrückenderen erdrückenderer erdrückenderes erdrückendes erdrückendst erdrückendste erdrückendstem erdrückendsten erdrückendster erdrückendstes ergauner ergaunere ergauneren ergaunern ergaunerst ergaunert ergaunerte ergaunerten ergaunertest ergaunertet ergebnislos ergebnislose ergebnislosem ergebnislosen ergebnisloser ergebnislosere ergebnisloserem ergebnisloseren ergebnisloserer ergebnisloseres ergebnisloses ergebnislosest ergebnisloseste ergebnislosestem ergebnislosesten ergebnislosester ergebnislosestes erleiden erliegen ermahn ermahne ermahnen ermahnest ermahnet ermahnst ermahnt ermahnte ermahnten ermahntest ermahntet Ermahnung Ermahnungen ermord ermorde ermorden ermordest ermordet ermordete ermordeten ermordetest ermordetet ermordte ermordten ermordtest ermordtet Ermordung Ermordungen ermüd ermüde ermüden ermüdest ermüdet ermüdete ermüdeten ermüdetest ermüdetet ermüdte ermüdten ermüdtest ermüdtet Ermüdung Ermüdungen erniedrig erniedrige erniedrigen erniedrigest erniedriget erniedrigst erniedrigt erniedrigte erniedrigten erniedrig</t>
  </si>
  <si>
    <t>Workbook Settings 47</t>
  </si>
  <si>
    <t xml:space="preserve">test erniedrigtet Erniedrigung Erniedrigungen ernüchternd Ernüchterung Ernüchterungen Erosion Erosionen erpress erpresse erpressen erpressest erpresset erpresst erpresste erpressten erpresstest erpresstet Erpressung Erpressungen erschießen erschlaff erschlaffe erschlaffen erschlaffest erschlaffet erschlaffst erschlafft erschlaffte erschlafften erschlafftest erschlafftet erschlagen erschöpf erschöpfe erschöpfen erschöpfest erschöpfet erschöpfst erschöpft erschöpft erschöpfte erschöpfte erschöpftem erschöpften erschöpften erschöpfter erschöpftere erschöpfterem erschöpfteren erschöpfterer erschöpfteres erschöpftes erschöpftest erschöpftest erschöpfteste erschöpftestem erschöpftesten erschöpftester erschöpftestes erschöpftet Erschöpfung Erschöpfungen erschreck erschrecke erschrecken erschreckend erschreckest erschrecket erschreckst erschreckt erschreckte erschreckten erschrecktest erschrecktet erschütter erschüttere erschütteren erschüttern erschütternd erschütterst erschüttert erschüttert erschütterte erschütterten erschüttertest erschüttertet Erschütterung Erschütterungen erschwer erschwere erschweren erschwern erschwerst erschwert erschwerte erschwerten erschwertest erschwertet erstechen erstick ersticke ersticken erstickest ersticket erstickst erstickt erstickte erstickten ersticktest ersticktet ertrinken erwürg erwürge erwürgen erwürgest erwürget erwürgst erwürgt erwürgte erwürgten erwürgtest erwürgtet erzürnt erzürnte erzürntem erzürnten erzürnter erzürntere erzürnterem erzürnteren erzürnterer erzürnteres erzürntes erzürntest erzürnteste erzürntestem erzürntesten erzürntester erzürntestes existenzbedrohend existenzbedrohende existenzbedrohendem existenzbedrohenden existenzbedrohender existenzbedrohendere existenzbedrohenderem existenzbedrohenderen existenzbedrohenderer existenzbedrohenderes existenzbedrohendes existenzbedrohendst existenzbedrohendste existenzbedrohendstem existenzbedrohendsten existenzbedrohendster existenzbedrohendstes explodier explodiere explodieren explodierest explodieret explodierst explodiert explodierte explodierten explodiertest explodiertet Explosion Explosionen fad fade fadem faden fadenscheinig fadenscheinige fadenscheinigem fadenscheinigen fadenscheiniger fadenscheinigere fadenscheinigerem fadenscheinigeren fadenscheinigerer fadenscheinigeres fadenscheiniges fadenscheinigst fadenscheinigste fadenscheinigstem fadenscheinigsten fadenscheinigster fadenscheinigstes fader fadere faderem faderen faderer faderes fades fadst fadste fadstem fadsten fadster fadstes fahrlässig fahrlässige fahrlässigem fahrlässigen fahrlässiger fahrlässigere fahrlässigerem fahrlässigeren fahrlässigerer fahrlässigeres fahrlässiges Fahrlässigkeit Fahrlässigkeiten fahrlässigst fahrlässigste fahrlässigstem fahrlässigsten fahrlässigster fahrlässigstes fallen falsche fälsche falschem falschen fälschen falscher falschere falscherem falscheren falscherer falscheres falsches fälschest fälschet falschst fälschst falschste falschstem falschsten falschster falschstes fälscht fälschte fälschten fälschtest fälschtet Fälschung Fälschungen farblos farblose farblosem farblosen farbloser farblosere farbloserem farbloseren farbloserer farbloseres farbloses farblosest farbloseste farblosestem farblosesten farblosester farblosestes Farce Farcen Faschist Faschisten faschistisch faschistische faschistischem faschistischen faschistischer faschistischere faschistischerem faschistischeren faschistischerer faschistischeres faschistisches faschistischst faschistischste faschistischstem faschistischsten faschistischster faschistischstes fatal fatale fatalem fatalen fataler fatalere fatalerem fataleren fatalerer fataleres fatales fatalst fatalste fatalstem fatalsten fatalster fatalstes faul faule faulem faulen fauler faulere faulerem fauleren faulerer fauleres faules Faulheit faulst faulste faulstem faulsten faulster faulstes Fehde Fehden fehl Fehlanzeige Fehlanzeigen fehle fehlen Fehler fehleranfällig fehlerhaft fehlerhafte fehlerhaftem fehlerhaften fehlerhafter fehlerhaftere fehlerhafterem fehlerhafteren fehlerhafterer fehlerhafteres fehlerhaftes fehlerhaftest fehlerhafteste fehlerhaftestem fehlerhaftesten fehlerhaftester fehlerhaftestes Fehlermeldung Fehlermeldungen Fehlern Fehlers fehlest fehlet Fehlkauf Fehlkäufe Fehlkäufen Fehlkaufes Fehlkaufs Fehlkonstruktion Fehlkonstruktionen Fehlleistung Fehlleistungen fehlst fehlt fehlte fehlten fehltest fehltet Fehltritt Fehltritte Fehltritten Fehltrittes Fehltritts Fehlverhalten feige feigee feigeem feigeen feigeer feigeere feigeerem feigeeren feigeerer feigeeres feigees feigest feigeste feigestem feigesten feigester feigestes Feind Feinde Feinden Feindes feindlich feindliche feindlichem feindlichen feindlicher feindlichere feindlicherem feindlicheren feindlicherer feindlicheres feindliches feindlichst feindlichste feindlichstem feindlichsten feindlichster feindlichstes Feinds feindselig feindselige feindseligem feindseligen feindseliger feindseligere feindseligerem feindseligeren feindseligerer feindseligeres feindseliges feindseligst feindseligste feindseligstem feindseligsten feindseligster feindseligstes fessel fessele fesselen fesseln fesselst fesselt fesselte fesselten fesseltest fesseltet fessl fessle Feuer feuer feuere feueren feuern Feuern Feuers feuerst feuert feuerte feuerten feuertest feuertet Fiasko Fiaskos fies fiese fiesem fiesen fieser fiesere fieserem fieseren fieserer fieseres fieses fiesest fieseste fiesestem fiesesten fiesester fiesestes Finanzkrise Finanzkrisen finster finstere finsterem finsteren finsterer finsterere finstererem finstereren finstererer finstereres finsteres finsterst finsterste finsterstem finstersten finsterster finsterstes finstrer finstrere finstrerem finstreren finstrerer finstreres Finte Finten flach flache flachem flachen flacher flachere flacherem flacheren flacherer flacheres flaches flachst flachste flachstem flachsten flachster flachstes flau flaue flauem flauen flauer flauere flauerem flaueren flauerer flaueres flaues </t>
  </si>
  <si>
    <t>Workbook Settings 48</t>
  </si>
  <si>
    <t>flauest flaueste flauestem flauesten flauester flauestes flaust flauste flaustem flausten flauster flaustes Flaute Flauten Fluch Flüche Flüchen Fluches Fluchs Flucht Fluchten flüchtend flüchtig flüchtige flüchtigem flüchtigen Flüchtiger flüchtiger flüchtigere flüchtigerem flüchtigeren flüchtigerer flüchtigeres flüchtiges Flüchtigkeit Flüchtigkeiten flüchtigst flüchtigste flüchtigstem flüchtigsten flüchtigster flüchtigstes Flüchtling Flüchtlinge Flüchtlingen Flüchtlinges Flüchtlings folgenschwer folgenschwere folgenschwerem folgenschweren folgenschwerer folgenschwerere folgenschwererem folgenschwereren folgenschwererer folgenschwereres folgenschweres folgenschwerst folgenschwerste folgenschwerstem folgenschwersten folgenschwerster folgenschwerstes folgewidrig folgewidrige folgewidrigem folgewidrigen folgewidriger folgewidrigere folgewidrigerem folgewidrigeren folgewidrigerer folgewidrigeres folgewidriges folgewidrigst folgewidrigste folgewidrigstem folgewidrigsten folgewidrigster folgewidrigstes fragil fragile fragilem fragilen fragiler fragilere fragilerem fragileren fragilerer fragileres fragiles fragilst fragilste fragilstem fragilsten fragilster fragilstes fraglich fragliche fraglichem fraglichen fraglicher fraglichere fraglicherem fraglicheren fraglicherer fraglicheres fragliches fraglichst fraglichste fraglichstem fraglichsten fraglichster fraglichstes fragwürdig fragwürdige fragwürdigem fragwürdigen fragwürdiger fragwürdigere fragwürdigerem fragwürdigeren fragwürdigerer fragwürdigeres fragwürdiges fragwürdigst fragwürdigste fragwürdigstem fragwürdigsten fragwürdigster fragwürdigstes frech freche frechem frechen frecher frechere frecherem frecheren frecherer frecheres freches Frechheit Frechheiten frechst frechste frechstem frechsten frechster frechstes fremd fremdartig fremdartige fremdartigem fremdartigen fremdartiger fremdartigere fremdartigerem fremdartigeren fremdartigerer fremdartigeres fremdartiges fremdartigst fremdartigste fremdartigstem fremdartigsten fremdartigster fremdartigstes fremde fremdem fremden fremder fremdere fremderem fremderen fremderer fremderes fremdes fremdest fremdeste fremdestem fremdesten fremdester fremdestes freudlos freudlose freudlosem freudlosen freudloser freudlosere freudloserem freudloseren freudloserer freudloseres freudloses freudlosest freudloseste freudlosestem freudlosesten freudlosester freudlosestes frivol frivole frivolem frivolen frivoler frivolere frivolerem frivoleren frivolerer frivoleres frivoles frivolst frivolste frivolstem frivolsten frivolster frivolstes fruchtlos fruchtlose fruchtlosem fruchtlosen fruchtloser fruchtlosere fruchtloserem fruchtloseren fruchtloserer fruchtloseres fruchtloses fruchtlosst fruchtlosste fruchtlosstem fruchtlossten fruchtlosster fruchtlosstes Frust Frustes Frustration Frustrationen frustrier frustriere frustrieren frustrierend frustrierest frustrieret frustrierst frustriert frustriert frustrierte frustrierte frustriertem frustrierten frustrierten frustrierter frustriertere frustrierterem frustrierteren frustrierterer frustrierteres frustriertes frustriertest frustriertest frustrierteste frustriertestem frustriertesten frustriertester frustriertestes frustriertet Frusts fuchsteufelswild fuchsteufelswilde fuchsteufelswildem fuchsteufelswilden fuchsteufelswilder fuchsteufelswildere fuchsteufelswilderem fuchsteufelswilderen fuchsteufelswilderer fuchsteufelswilderes fuchsteufelswildes fuchsteufelswildst fuchsteufelswildste fuchsteufelswildstem fuchsteufelswildsten fuchsteufelswildster fuchsteufelswildstes Furcht fürcht furchtbar furchtbare furchtbarem furchtbaren furchtbarer furchtbarere furchtbarerem furchtbareren furchtbarerer furchtbareres furchtbares furchtbarst furchtbarste furchtbarstem furchtbarsten furchtbarster furchtbarstes fürchte fürchten fürchterlich fürchterliche fürchterlichem fürchterlichen fürchterlicher fürchterlichere fürchterlicherem fürchterlicheren fürchterlicherer fürchterlicheres fürchterliches fürchterlichst fürchterlichste fürchterlichstem fürchterlichsten fürchterlichster fürchterlichstes furchterregend furchterregende furchterregendem furchterregenden furchterregender furchterregendere furchterregenderem furchterregenderen furchterregenderer furchterregenderes furchterregendes furchterregendst furchterregendste furchterregendstem furchterregendsten furchterregendster furchterregendstes fürchtest fürchtet fürchtete fürchteten fürchtetest fürchtetet fürchtte fürchtten fürchttest fürchttet gallig gallige galligem galligen galliger galligere galligerem galligeren galligerer galligeres galliges galligst galligste galligstem galligsten galligster galligstes gammel gammele gammelen gammelig gammelige gammeligem gammeligen gammeliger gammeligere gammeligerem gammeligeren gammeligerer gammeligeres gammeliges gammeligst gammeligste gammeligstem gammeligsten gammeligster gammeligstes gammeln gammelst gammelt gammelte gammelten gammeltest gammeltet gamml gammle Gammler Gammlern Gammlers gammlig Gangster Gangstern Gangsters Garnichts garstig garstige garstigem garstigen garstiger garstigere garstigerem garstigeren garstigerer garstigeres garstiges garstigst garstigste garstigstem garstigsten garstigster garstigstes Gauner Gaunern Gauners geärgert geblitzt Gebrechen Gebrechens gebrechlich gebrechliche gebrechlichem gebrechlichen gebrechlicher gebrechlichere gebrechlicherem gebrechlicheren gebrechlicherer gebrechlicheres gebrechliches gebrechlichst gebrechlichste gebrechlichstem gebrechlichsten gebrechlichster gebrechlichstes gedämpft gedankenlos gedankenlose gedankenlosem gedankenlosen gedankenloser gedankenlosere gedankenloserem gedankenloseren gedankenloserer gedankenloseres gedankenloses gedankenlosest gedankenloseste gedankenlosestem gedankenlosesten gedankenlosester gedankenlosestes gedemütigt Gedränge Gedrängen Gedränges gedrängt gedrängt gedrängte gedrängtem gedrängten gedrängter gedrängtere gedrängterem gedrängteren gedrängterer gedrängteres gedrängtes gedrängtst gedrängtste gedrängtste</t>
  </si>
  <si>
    <t>Workbook Settings 49</t>
  </si>
  <si>
    <t>m gedrängtsten gedrängtster gedrängtstes gedriftet gedroht gedrosselt gefährd gefährde gefährden gefährdest gefährdet gefährdete gefährdeten gefährdetest gefährdetet gefährdte gefährdten gefährdtest gefährdtet Gefährdung Gefährdungen gefährlich gefährliche gefährlichem gefährlichen gefährlicher gefährlichere gefährlicherem gefährlicheren gefährlicherer gefährlicheres gefährliches gefährlichst gefährlichste gefährlichstem gefährlichsten gefährlichster gefährlichstes gefälscht Gefecht Gefechte Gefechten Gefechtes Gefechts gefehlt gefesselt gefeuert gefürchtet gegammelt Gegner Gegnern Gegners gegraut gehandicapt gehandicapte gehandicaptem gehandicapten gehandicapter gehandicaptere gehandicapterem gehandicapteren gehandicapterer gehandicapteres gehandicaptes gehandicaptest gehandicapteste gehandicaptestem gehandicaptesten gehandicaptester gehandicaptestes gehässig gehässige gehässigem gehässigen gehässiger gehässigere gehässigerem gehässigeren gehässigerer gehässigeres gehässiges gehässigst gehässigste gehässigstem gehässigsten gehässigster gehässigstes gehasst gehemmt geheuchelt gehungert geisteskrank geisteskranke geisteskrankem geisteskranken geisteskranker geisteskrankere geisteskrankerem geisteskrankeren geisteskrankerer geisteskrankeres geisteskrankes Geisteskrankheit Geisteskrankheiten geisteskrankst geisteskrankste geisteskrankstem geisteskranksten geisteskrankster geisteskrankstes geistlos geistlose geistlosem geistlosen geistloser geistlosere geistloserem geistloseren geistloserer geistloseres geistloses geistlosest geistloseste geistlosestem geistlosesten geistlosester geistlosestes Geistlosigkeit Geistlosigkeiten Geiz Geize Geizen Geizes Geizhals Geizhälse Geizhälsen Geizhalses Geizhalss Geizkragen Geizkragens Geizs gejammert gekämpft gekentert gekippt geklagt gekracht gekränkelt gekrankt gekränkt gekränkt gekränkte gekränktem gekränkten gekränkter gekränktere gekränkterem gekränkteren gekränkterer gekränkteres gekränktes gekränktest gekränkteste gekränktestem gekränktesten gekränktester gekränktestes gekündigt gekürzt gelähmt gelähmt gelähmte gelähmtem gelähmten gelähmter gelähmtere gelähmterem gelähmteren gelähmterer gelähmteres gelähmtes gelähmtst gelähmtste gelähmtstem gelähmtsten gelähmtster gelähmtstes gelangweilt Geldstrafe Geldstrafen geleugnet gelöscht gemangelt gemeckert gemein gemeine gemeinem gemeinen gemeiner gemeinere gemeinerem gemeineren gemeinerer gemeineres gemeines gemeinst gemeinste gemeinstem gemeinsten gemeinster gemeinstes gemindert gemordet gemurrt genervt genervte genervtem genervten genervter genervtere genervterem genervteren genervterer genervteres genervtes genervtest genervteste genervtestem genervtesten genervtester genervtestes genörgelt genötigt geprügelt gequält gerächt gerammt gering geringe geringem geringen geringer geringere geringerem geringeren geringerer geringeres geringes geringst geringste geringstem geringsten geringster geringstes geringwertig geringwertige geringwertigem geringwertigen geringwertiger geringwertigere geringwertigerem geringwertigeren geringwertigerer geringwertigeres geringwertiges geringwertigst geringwertigste geringwertigstem geringwertigsten geringwertigster geringwertigstes gerostet gerutscht Geschäftsauflösung Geschäftsauflösungen geschämt geschlottert geschmacklos geschmacklose geschmacklosem geschmacklosen geschmackloser geschmacklosere geschmackloserem geschmackloseren geschmackloserer geschmackloseres geschmackloses geschmacklosest geschmackloseste geschmacklosestem geschmacklosesten geschmacklosester geschmacklosestes Geschmacklosigkeit Geschmacklosigkeiten geschmerzt geschmuggelt geschockt geschrumpft geschubst geschuldet geschwächt gesenkt gesorgt gesprengt Gestank Gestankes Gestanks gestockt gestört gestottert gestreikt gestreßt gestürzt getadelt getäuscht getötet getrauert getrennt getrottet getrotzt gewackelt Gewalt Gewalten gewaltsam gewaltsame gewaltsamem gewaltsamen gewaltsamer gewaltsamere gewaltsamerem gewaltsameren gewaltsamerer gewaltsameres gewaltsames gewaltsamst gewaltsamste gewaltsamstem gewaltsamsten gewaltsamster gewaltsamstes gewalttätig Gewalttätige gewalttätige gewalttätigem gewalttätigen Gewalttätiger gewalttätiger gewalttätigere gewalttätigerem gewalttätigeren gewalttätigerer gewalttätigeres gewalttätiges gewalttätigst gewalttätigste gewalttätigstem gewalttätigsten gewalttätigster gewalttätigstes geweint gewelkt gewütet gezappelt gezaudert gezerrt gezittert gezögert gezüchtigt gezweifelt Gift Gifte Giften Giftes giftig giftige giftigem giftigen giftiger giftigere giftigerem giftigeren giftigerer giftigeres giftiges giftigst giftigste giftigstem giftigsten giftigster giftigstes Gifts glanzlos glanzlose glanzlosem glanzlosen glanzloser glanzlosere glanzloserem glanzloseren glanzloserer glanzloseres glanzloses Glanzlosigkeit glanzlosst glanzlosste glanzlosstem glanzlossten glanzlosster glanzlosstes gleichgültig gleichgültige gleichgültigem gleichgültigen gleichgültiger gleichgültigere gleichgültigerem gleichgültigeren gleichgültigerer gleichgültigeres gleichgültiges Gleichgültigkeit gleichgültigst gleichgültigste gleichgültigstem gleichgültigsten gleichgültigster gleichgültigstes glücklos glücklose glücklosem glücklosen glückloser glücklosere glückloserem glückloseren glückloserer glückloseres glückloses glücklosest glückloseste glücklosestem glücklosesten glücklosester glücklosestes Glücklosigkeit gnadenlos gnadenlose gnadenlosem gnadenlosen gnadenloser gnadenlosere gnadenloserem gnadenloseren gnadenloserer gnadenloseres gnadenloses gnadenlosest gnadenloseste gnadenlosestem gnadenlosesten gnadenlosester gnadenlosestes Gnadenlosigkeit gräßlich grässlich gräßliche gräßlichem gräßlichen gräßlicher gräßlichere gräßlicherem gräßlicheren gräßlicherer gräßlicheres gräßliches gräßlichst gräßlichste gräßlichstem gräßlichsten gräßlichster gräßlichstes grau grau graue graue grauem grauen grauen grauenhaft grauenhafte grauenhaftem grauenhaften grauenhafter grauenhaftere grauenhafterem grauenhaftere</t>
  </si>
  <si>
    <t>Workbook Settings 50</t>
  </si>
  <si>
    <t>n grauenhafterer grauenhafteres grauenhaftes grauenhaftest grauenhafteste grauenhaftestem grauenhaftesten grauenhaftester grauenhaftestes grauenvoll grauenvolle grauenvollem grauenvollen grauenvoller grauenvollere grauenvollerem grauenvolleren grauenvollerer grauenvolleres grauenvolles grauenvollst grauenvollste grauenvollstem grauenvollsten grauenvollster grauenvollstes grauer grauere grauerem graueren grauerer graueres graues grauest grauest graueste grauestem grauesten grauester grauestes grauet grausam grausame grausamem grausamen grausamer grausamere grausamerem grausameren grausamerer grausameres grausames Grausamkeit Grausamkeiten grausamst grausamste grausamstem grausamsten grausamster grausamstes grausig grausige grausigem grausigen grausiger grausigere grausigerem grausigeren grausigerer grausigeres grausiges grausigst grausigste grausigstem grausigsten grausigster grausigstes graust graust grauste graustem grausten grauster graustes graut graute grauten grautest grautet grenzdebil grimmig grimmige grimmigem grimmigen grimmiger grimmigere grimmigerem grimmigeren grimmigerer grimmigeres grimmiges grimmigst grimmigste grimmigstem grimmigsten grimmigster grimmigstes grob grobe grobem groben grober gröber gröbere gröberem gröberen gröberer gröberes grobes gröbst gröbste gröbstem gröbsten gröbster gröbstes groggy groggye groggyem groggyen groggyer groggyere groggyerem groggyeren groggyerer groggyeres groggyes groggyst groggyste groggystem groggysten groggyster groggystes Groll Grolles Grolls grotesk Groteske groteske groteskem Grotesken grotesken grotesker groteskere groteskerem groteskeren groteskerer groteskeres groteskes groteskest groteskeste groteskestem groteskesten groteskester groteskestes grottenschlecht grottenübel gruselig gruselige gruseligem gruseligen gruseliger gruseligere gruseligerem gruseligeren gruseligerer gruseligeres gruseliges gruseligst gruseligste gruseligstem gruseligsten gruseligster gruseligstes haarig haarige haarigem haarigen haariger haarigere haarigerem haarigeren haarigerer haarigeres haariges haarigst haarigste haarigstem haarigsten haarigster haarigstes haarsträubend haarsträubende haarsträubendem haarsträubenden haarsträubender haarsträubendere haarsträubenderem haarsträubenderen haarsträubenderer haarsträubenderes haarsträubendes haarsträubendst haarsträubendste haarsträubendstem haarsträubendsten haarsträubendster haarsträubendstes Habgier habgierig habgierige habgierigem habgierigen habgieriger habgierigere habgierigerem habgierigeren habgierigerer habgierigeres habgieriges habgierigst habgierigste habgierigstem habgierigsten habgierigster habgierigstes Haft Hafte Haften Haftes Hafts halbfertig halbfertige halbfertigem halbfertigen halbfertiger halbfertigere halbfertigerem halbfertigeren halbfertigerer halbfertigeres halbfertiges halbfertigst halbfertigste halbfertigstem halbfertigsten halbfertigster halbfertigstes hämisch hämische hämischem hämischen hämischer hämischere hämischerem hämischeren hämischerer hämischeres hämisches hämischst hämischste hämischstem hämischsten hämischster hämischstes Handgemenge Handgemengen Handgemenges Handicap Handicaps happig happige happigem happigen happiger happigere happigerem happigeren happigerer happigeres happiges happigst happigste happigstem happigsten happigster happigstes harsch harsche harschem harschen harscher harschere harscherem harscheren harscherer harscheres harsches harschest harscheste harschestem harschesten harschester harschestes harschst harschste harschstem harschsten harschster harschstes hart harte Härte hartem harten Härten harter härter härtere härterem härteren härterer härteres hartes härtest härteste härtestem härtesten härtester härtestes hartnäckig hartnäckige hartnäckigem hartnäckigen hartnäckiger hartnäckigere hartnäckigerem hartnäckigeren hartnäckigerer hartnäckigeres hartnäckiges hartnäckigst hartnäckigste hartnäckigstem hartnäckigsten hartnäckigster hartnäckigstes Hass hass hasse hassen hassest hasset hässlich Hasss hasst hasste hassten hasstest hasstet heftig heftige heftigem heftigen heftiger heftigere heftigerem heftigeren heftigerer heftigeres heftiges heftigst heftigste heftigstem heftigsten heftigster heftigstes heikel heikelst heikelste heikelstem heikelsten heikelster heikelstes heikle heiklem heiklen heikler heiklere heiklerem heikleren heiklerer heikleres heikles heillos heillose heillosem heillosen heilloser heillosere heilloserem heilloseren heilloserer heilloseres heilloses heillosest heilloseste heillosestem heillosesten heillosester heillosestes heimgesucht heimgezahlt heimsuch heimsuche heimsuchen heimsuchest heimsuchet heimsuchst heimsucht heimsuchte heimsuchten heimsuchtest heimsuchtet Heimsuchung Heimsuchungen heimtückisch heimtückische heimtückischem heimtückischen heimtückischer heimtückischere heimtückischerem heimtückischeren heimtückischerer heimtückischeres heimtückisches heimtückischst heimtückischste heimtückischstem heimtückischsten heimtückischster heimtückischstes heimzahl heimzahle heimzahlen heimzahlest heimzahlet heimzahlst heimzahlt heimzahlte heimzahlten heimzahltest heimzahltet Hektik hektisch hektische hektischem hektischen hektischer hektischere hektischerem hektischeren hektischerer hektischeres hektisches hektischst hektischste hektischstem hektischsten hektischster hektischstes hemm hemme hemmen hemmest hemmet hemmst hemmt hemmte hemmten hemmtest hemmtet Hemmung Hemmungen herabgesetzt herabsetz herabsetze herabsetzen herabsetzest herabsetzet herabsetzt herabsetzte herabsetzten herabsetztest herabsetztet herausforder herausfordere herausforderen herausfordern herausforderst herausfordert herausforderte herausforderten herausfordertest herausfordertet Herausforderung Herausforderungen herausgefordert herrisch herrische herrischem herrischen herrischer herrischere herrischerem herrischeren herrischerer herrischeres herrisches herrischst herrischste herrischstem herrischsten herrischster herrischstes herunter heruntergemacht herunterm</t>
  </si>
  <si>
    <t>Workbook Settings 51</t>
  </si>
  <si>
    <t>ach heruntermache heruntermachen heruntermachest heruntermachet heruntermachst heruntermacht heruntermachte heruntermachten heruntermachtest heruntermachtet herzlos herzlose herzlosem herzlosen herzloser herzlosere herzloserem herzloseren herzloserer herzloseres herzloses herzlosest herzloseste herzlosestem herzlosesten herzlosester herzlosestes heuchel heuchele Heuchelei Heucheleien heuchelen heucheln heuchelst heuchelt heuchelte heuchelten heucheltest heucheltet heuchl heuchle Heuchler heuchlerisch heuchlerische heuchlerischem heuchlerischen heuchlerischer heuchlerischere heuchlerischerem heuchlerischeren heuchlerischerer heuchlerischeres heuchlerisches heuchlerischst heuchlerischste heuchlerischstem heuchlerischsten heuchlerischster heuchlerischstes Heuchlern Heuchlers hilflos hilflose hilflosem hilflosen hilfloser hilflosere hilfloserem hilfloseren hilfloserer hilfloseres hilfloses hilflosest hilfloseste hilflosestem hilflosesten hilflosester hilflosestes Hilflosigkeit Hindernis Hindernise Hindernisen Hindernises Hinderniss Hindernisse Hindernissen Hindernisses hinfällig hinfällige hinfälligem hinfälligen hinfälliger hinfälligere hinfälligerem hinfälligeren hinfälligerer hinfälligeres hinfälliges hinfälligst hinfälligste hinfälligstem hinfälligsten hinfälligster hinfälligstes Hinterhalt Hinterhalte Hinterhalten Hinterhaltes Hinterhalts Hinterlist hinterlistig hinterlistige hinterlistigem hinterlistigen hinterlistiger hinterlistigere hinterlistigerem hinterlistigeren hinterlistigerer hinterlistigeres hinterlistiges hinterlistigst hinterlistigste hinterlistigstem hinterlistigsten hinterlistigster hinterlistigstes hochtrabend hochtrabende hochtrabendem hochtrabenden hochtrabender hochtrabendere hochtrabenderem hochtrabenderen hochtrabenderer hochtrabenderes hochtrabendes hochtrabendst hochtrabendste hochtrabendstem hochtrabendsten hochtrabendster hochtrabendstes hoffnungslos hoffnungslose hoffnungslosem hoffnungslosen hoffnungsloser hoffnungslosere hoffnungsloserem hoffnungsloseren hoffnungsloserer hoffnungsloseres hoffnungsloses hoffnungslosest hoffnungsloseste hoffnungslosestem hoffnungslosesten hoffnungslosester hoffnungslosestes Hohn Hohnes höhnisch höhnische höhnischem höhnischen höhnischer höhnischere höhnischerem höhnischeren höhnischerer höhnischeres höhnisches höhnischst höhnischste höhnischstem höhnischsten höhnischster höhnischstes Hohns Hölle Höllen Horror Horrors Hunger hunger hungere hungeren Hungeres hungern Hungers Hungersnot Hungersnöte Hungersnöten hungerst hungert hungerte hungerten hungertest hungertet Hungertod Hungertods hungrig hungrige hungrigem hungrigen hungriger hungrigere hungrigerem hungrigeren hungrigerer hungrigeres hungriges hungrigst hungrigste hungrigstem hungrigsten hungrigster hungrigstes Hysterie Hysterien hysterisch hysterische hysterischem hysterischen hysterischer hysterischere hysterischerem hysterischeren hysterischerer hysterischeres hysterisches hysterischst hysterischste hysterischstem hysterischsten hysterischster hysterischstes Idiot Idioten idiotisch idiotische idiotischem idiotischen idiotischer idiotischere idiotischerem idiotischeren idiotischerer idiotischeres idiotisches idiotischst idiotischste idiotischstem idiotischsten idiotischster idiotischstes illegal illegale illegalem illegalen illegaler illegalere illegalerem illegaleren illegalerer illegaleres illegales Illegalität Illegalitäten illegalst illegalste illegalstem illegalsten illegalster illegalstes illoyal illoyale illoyalem illoyalen illoyaler illoyalere illoyalerem illoyaleren illoyalerer illoyaleres illoyales illoyalst illoyalste illoyalstem illoyalsten illoyalster illoyalstes immobil immobile immobilem immobilen immobiler immobilere immobilerem immobileren immobilerer immobileres immobiles Immobilität immobilst immobilste immobilstem immobilsten immobilster immobilstes ineffizient ineffiziente ineffizientem ineffizienten ineffizienter ineffizientere ineffizienterem ineffizienteren ineffizienterer ineffizienteres ineffizientes ineffizientest ineffizienteste ineffizientestem ineffizientesten ineffizientester ineffizientestes Ineffizienz Ineffizienzen Infektion Infektionen Infiltration Infiltrationen infiltrier infiltriere infiltrieren infiltrierest infiltrieret infiltrierst infiltriert infiltrierte infiltrierten infiltriertest infiltriertet Inflation Inflationen inkompetent inkompetente inkompetentem inkompetenten inkompetenter inkompetentere inkompetenterem inkompetenteren inkompetenterer inkompetenteres inkompetentes inkompetentest inkompetenteste inkompetentestem inkompetentesten inkompetentester inkompetentestes Inkompetenz Inkompetenzen inkonsequent inkonsequente inkonsequentem inkonsequenten inkonsequenter inkonsequentere inkonsequenterem inkonsequenteren inkonsequenterer inkonsequenteres inkonsequentes inkonsequentest inkonsequenteste inkonsequentestem inkonsequentesten inkonsequentester inkonsequentestes Inkonsequenz Inkonsequenzen inkonsistent inkonsistente inkonsistentem inkonsistenten inkonsistenter inkonsistentere inkonsistenterem inkonsistenteren inkonsistenterer inkonsistenteres inkonsistentes inkonsistentest inkonsistenteste inkonsistentestem inkonsistentesten inkonsistentester inkonsistentestes Inkonsistenz inkorrekt inkorrekte inkorrektem inkorrekten inkorrekter inkorrektere inkorrekterem inkorrekteren inkorrekterer inkorrekteres inkorrektes inkorrektest inkorrekteste inkorrektestem inkorrektesten inkorrektester inkorrektestes instabil instabile instabilem instabilen instabiler instabilere instabilerem instabileren instabilerer instabileres instabiles Instabilität Instabilitäten instabilst instabilste instabilstem instabilsten instabilster instabilstes intervenieren Intervention Interventionen intolerant intolerante intolerantem intoleranten intoleranter intolerantere intoleranterem intoleranteren intoleranterer intoleranteres intolerantes intolerantest intoleranteste intolerantestem intolerantesten intolerantester intolerantestes Invasion Invasionen irrati</t>
  </si>
  <si>
    <t>Workbook Settings 52</t>
  </si>
  <si>
    <t>onal irrationale irrationalem irrationalen irrationaler irrationalere irrationalerem irrationaleren irrationalerer irrationaleres irrationales irrationalst irrationalste irrationalstem irrationalsten irrationalster irrationalstes irre irree irreem irreen irreer irreere irreerem irreeren irreerer irreeres irrees irrest irreste irrestem irresten irrester irrestes irrsinnig irrsinnige irrsinnigem irrsinnigen irrsinniger irrsinnigere irrsinnigerem irrsinnigeren irrsinnigerer irrsinnigeres irrsinniges irrsinnigst irrsinnigste irrsinnigstem irrsinnigsten irrsinnigster irrsinnigstes Isolation Isolationen isolier isoliere isolieren isolierest isolieret isolierst isoliert isolierte isolierten isoliertest isoliertet Jähzorn jähzornig jähzornige jähzornigem jähzornigen jähzorniger jähzornigere jähzornigerem jähzornigeren jähzornigerer jähzornigeres jähzorniges jähzornigst jähzornigste jähzornigstem jähzornigsten jähzornigster jähzornigstes Jammer jammer jammere jammeren Jammeres jammern Jammers jammerst jammert jammerte jammerten jammertest jammertet kacke kahl kahle kahlem kahlen kahler kahlere kahlerem kahleren kahlerer kahleres kahles kahlst kahlste kahlstem kahlsten kahlster kahlstes kalt kalte Kälte kaltem kalten kalter kälter kältere kälterem kälteren kälterer kälteres kaltes kältest kälteste kältestem kältesten kältester kältestes kaltherzig kaltherzige kaltherzigem kaltherzigen kaltherziger kaltherzigere kaltherzigerem kaltherzigeren kaltherzigerer kaltherzigeres kaltherziges kaltherzigst kaltherzigste kaltherzigstem kaltherzigsten kaltherzigster kaltherzigstes Kampf kämpf kämpfe kämpfen kämpfest kämpfet kämpfst kämpft kämpfte kämpften kämpftest kämpftet Kapitalverbrechen Kapitalverbrechens Kapitulation Kapitulationen kapitulieren kaputt kaputte kaputtem kaputten kaputter kaputtere kaputterem kaputteren kaputterer kaputteres kaputtes kaputtest kaputteste kaputtestem kaputtesten kaputtester kaputtestes katastrophal katastrophale katastrophalem katastrophalen katastrophaler katastrophalere katastrophalerem katastrophaleren katastrophalerer katastrophaleres katastrophales katastrophalst katastrophalste katastrophalstem katastrophalsten katastrophalster katastrophalstes Katastrophe Katastrophen Keim Keime Keimen Keimes keimig Keims kenter kentere kenteren kentern kenterst kentert kenterte kenterten kentertest kentertet kipp kippe kippen kippest kippet kippst kippt kippte kippten kipptest kipptet klag Klage klage klagen Klagen Kläger Klägern Klägers klagest klaget klagst klagt klagte klagten klagtest klagtet klein kleine kleinem kleinen kleiner kleinere kleinerem kleineren kleinerer kleineres kleines kleinst kleinste kleinstem kleinsten kleinster kleinstes Klischee Klischees klobig klobige klobigem klobigen klobiger klobigere klobigerem klobigeren klobigerer klobigeres klobiges klobigst klobigste klobigstem klobigsten klobigster klobigstes knapp knappe knappem knappen knapper knappere knapperem knapperen knapperer knapperes knappes Knappheit knappst knappste knappstem knappsten knappster knappstes knurrig knurrige knurrigem knurrigen knurriger knurrigere knurrigerem knurrigeren knurrigerer knurrigeres knurriges knurrigst knurrigste knurrigstem knurrigsten knurrigster knurrigstes kollabier kollabiere kollabieren kollabierest kollabieret kollabierst kollabiert kollabierte kollabierten kollabiertest kollabiertet Kollaps Kollapse Kollapsen Kollapses kollidier kollidiere kollidieren kollidierest kollidieret kollidierst kollidiert kollidierte kollidierten kollidiertest kollidiertet Kollision Kollisionen Komplikation Komplikationen kompliziert komplizierte kompliziertem komplizierten komplizierter kompliziertere komplizierterem komplizierteren komplizierterer komplizierteres kompliziertes kompliziertest komplizierteste kompliziertestem kompliziertesten kompliziertester kompliziertestes Konflikt Konflikte Konflikten Konfliktes Konflikts Konfrontation Konfrontationen konfrontier konfrontiere konfrontieren konfrontierest konfrontieret konfrontierst konfrontiert konfrontierte konfrontierten konfrontiertest konfrontiertet Konjunkturrückgang Konkurrenz Konkurrenzen Konkurrenzkampf Konkurrenzkämpfe Konkurrenzkämpfen Konkurrenzkampfes Konkurrenzkampfs konkurrieren Konkurs Konkurse Konkursen Konkurses kontraproduktiv kontraproduktive kontraproduktivem kontraproduktiven kontraproduktiver kontraproduktivere kontraproduktiverem kontraproduktiveren kontraproduktiverer kontraproduktiveres kontraproduktives kontraproduktivst kontraproduktivste kontraproduktivstem kontraproduktivsten kontraproduktivster kontraproduktivstes kontrovers Kontroverse kontroverse kontroversem Kontroversen kontroversen kontroverser kontroversere kontroverserem kontroverseren kontroverserer kontroverseres kontroverses kontroversest kontroverseste kontroversestem kontroversesten kontroversester kontroversestes Kopfschmerzen korrupt korrupte korruptem korrupten korrupter korruptere korrupterem korrupteren korrupterer korrupteres korruptes korruptest korrupteste korruptestem korruptesten korruptester korruptestes Korruption Korruptionen kostenintensiv kostenintensive kostenintensivem kostenintensiven kostenintensiver kostenintensivere kostenintensiverem kostenintensiveren kostenintensiverer kostenintensiveres kostenintensives kostenintensivst kostenintensivste kostenintensivstem kostenintensivsten kostenintensivster kostenintensivstes kostspielig kostspielige kostspieligem kostspieligen kostspieliger kostspieligere kostspieligerem kostspieligeren kostspieligerer kostspieligeres kostspieliges Kostspieligkeit kostspieligst kostspieligste kostspieligstem kostspieligsten kostspieligster kostspieligstes Krach krach krache Krache Kräche krachen Krachen Krächen Kraches krachest krachet Krachs krachst kracht krachte krachten krachtest krachtet kraftlos kraftlose kraftlosem kraftlosen kraftloser kraftlosere kraftloserem kraftloseren kraftloserer kraftloseres kraftloses kraftlosest kraftloseste kraftlosestem kraftlosesten kraftlosester kraftlosestes krank</t>
  </si>
  <si>
    <t>Workbook Settings 53</t>
  </si>
  <si>
    <t xml:space="preserve"> krank kränk kranke kranke kränke kränkel kränkele kränkelen kränkeln kränkelst kränkelt kränkelte kränkelten kränkeltest kränkeltet krankem kranken kranken kränken kranker kränker kränkere kränkerem kränkeren kränkerer kränkeres krankes krankest kränkest kranket kränket Krankheit Krankheiten kränkl kränkle kränklich kränkliche kränklichem kränklichen kränklicher kränklichere kränklicherem kränklicheren kränklicherer kränklicheres kränkliches kränklichst kränklichste kränklichstem kränklichsten kränklichster kränklichstes krankst kränkst kränkst kränkste kränkstem kränksten kränkster kränkstes krankt kränkt krankte kränkte krankten kränkten kranktest kränktest kranktet kränktet Kränkung Kränkungen krass krasse krassem krassen krasser krassere krasserem krasseren krasserer krasseres krasses krassest krasseste krassestem krassesten krassester krassestes kriechen Krieg Kriege Kriegen kriegerisch kriegerische kriegerischem kriegerischen kriegerischer kriegerischere kriegerischerem kriegerischeren kriegerischerer kriegerischeres kriegerisches kriegerischst kriegerischste kriegerischstem kriegerischsten kriegerischster kriegerischstes Krieges Kriegs Kriminalität kriminell kriminelle kriminellem kriminellen krimineller kriminellere kriminellerem kriminelleren kriminellerer kriminelleres kriminelles kriminellst kriminellste kriminellstem kriminellsten kriminellster kriminellstes Krise Krisen Kritik Kritiken Kritiker Kritikern Kritikers kritisch kritische kritischem kritischen kritischer kritischere kritischerem kritischeren kritischerer kritischeres kritisches kritischst kritischste kritischstem kritischsten kritischster kritischstes kritisier kritisiere kritisieren kritisierest kritisieret kritisierst kritisiert kritisierte kritisierten kritisiertest kritisiertet krude krudee krudeem krudeen krudeer krudeere krudeerem krudeeren krudeerer krudeeres krudees krudest krudeste krudestem krudesten krudester krudestes krumm krumme krummem krummen krummer krummere krummerem krummeren krummerer krummeres krummes krummst krummste krummstem krummsten krummster krummstes Krüppel Krüppeln Krüppels kümmerlich kümmerliche kümmerlichem kümmerlichen kümmerlicher kümmerlichere kümmerlicherem kümmerlicheren kümmerlicherer kümmerlicheres kümmerliches kümmerlichst kümmerlichste kümmerlichstem kümmerlichsten kümmerlichster kümmerlichstes kündig kündige kündigen kündigest kündiget kündigst kündigt kündigte kündigten kündigtest kündigtet Kündigung Kündigungen Kurseinbruch Kurseinbrüche Kurseinbrüchen Kurseinbruches Kurseinbruchs kurz kürz kurze kürze kurzem kurzen kürzen kurzer kürzer kürzere kürzerem kürzeren kürzerer kürzeres kurzes kürzest kürzest kürzeste kürzestem kürzesten kürzester kürzestes kürzet kurzsichtig kurzsichtige kurzsichtigem kurzsichtigen kurzsichtiger kurzsichtigere kurzsichtigerem kurzsichtigeren kurzsichtigerer kurzsichtigeres kurzsichtiges kurzsichtigst kurzsichtigste kurzsichtigstem kurzsichtigsten kurzsichtigster kurzsichtigstes kürzt kürzte kürzten kürztest kürztet Kürzung Kürzungen labil labile labilem labilen labiler labilere labilerem labileren labilerer labileres labiles labilst labilste labilstem labilsten labilster labilstes lächerlich lächerliche lächerlichem lächerlichen lächerlicher lächerlichere lächerlicherem lächerlicheren lächerlicherer lächerlicheres lächerliches lächerlichst lächerlichste lächerlichstem lächerlichsten lächerlichster lächerlichstes lädiert lädierte lädiertem lädierten lädierter lädiertere lädierterem lädierteren lädierterer lädierteres lädiertes lädiertest lädierteste lädiertestem lädiertesten lädiertester lädiertestes lähm lähme lähmen lähmest lähmet lähmst lähmt lähmte lähmten lähmtest lähmtet Lähmung Lähmungen laienhaft laienhafte laienhaftem laienhaften laienhafter laienhaftere laienhafterem laienhafteren laienhafterer laienhafteres laienhaftes laienhaftest laienhafteste laienhaftestem laienhaftesten laienhaftester laienhaftestes lakonisch lakonische lakonischem lakonischen lakonischer lakonischere lakonischerem lakonischeren lakonischerer lakonischeres lakonisches lakonischst lakonischste lakonischstem lakonischsten lakonischster lakonischstes langatmig langatmige langatmigem langatmigen langatmiger langatmigere langatmigerem langatmigeren langatmigerer langatmigeres langatmiges langatmigst langatmigste langatmigstem langatmigsten langatmigster langatmigstes Langeweile langsam langsame langsamem langsamen langsamer langsamere langsamerem langsameren langsamerer langsameres langsames langsamst langsamste langsamstem langsamsten langsamster langsamstes langweil langweile langweilen Langweiler Langweilern Langweilers langweilest langweilet langweilig langweilige langweiligem langweiligen langweiliger langweiligere langweiligerem langweiligeren langweiligerer langweiligeres langweiliges langweiligst langweiligste langweiligstem langweiligsten langweiligster langweiligstes langweilst langweilt langweilte langweilten langweiltest langweiltet läppisch läppische läppischem läppischen läppischer läppischere läppischerem läppischeren läppischerer läppischeres läppisches läppischst läppischste läppischstem läppischsten läppischster läppischstes lasch lasche laschem laschen lascher laschere lascherem lascheren lascherer lascheres lasches laschest lascheste laschestem laschesten laschester laschestes laschst laschste laschstem laschsten laschster laschstes Last Lasten lästig lästige lästigem lästigen lästiger lästigere lästigerem lästigeren lästigerer lästigeres lästiges lästigst lästigste lästigstem lästigsten lästigster lästigstes Launenhaftigkeit launisch launische launischem launischen launischer launischere launischerem launischeren launischerer launischeres launisches launischst launischste launischstem launischsten launischster launischstes lebensfeindlich lebensfeindliche lebensfeindlichem lebensfeindlichen lebensfeindlicher lebensfeindlichere lebensfeindlicherem lebensfeindlicheren lebensfeindlicherer lebensfeindlicheres lebensfeindliches lebensfeindlichst lebe</t>
  </si>
  <si>
    <t>Workbook Settings 54</t>
  </si>
  <si>
    <t>nsfeindlichste lebensfeindlichstem lebensfeindlichsten lebensfeindlichster lebensfeindlichstes Lebensgefahr Lebensgefahren lebensgefährlich lebensgefährliche lebensgefährlichem lebensgefährlichen lebensgefährlicher lebensgefährlichere lebensgefährlicherem lebensgefährlicheren lebensgefährlicherer lebensgefährlicheres lebensgefährliches lebensgefährlichst lebensgefährlichste lebensgefährlichstem lebensgefährlichsten lebensgefährlichster lebensgefährlichstes leblos leblose leblosem leblosen lebloser leblosere lebloserem lebloseren lebloserer lebloseres lebloses leblosest lebloseste leblosestem leblosesten leblosester leblosestes Leblosigkeit leer Leere leere leerem leeren leerer leerere leererem leereren leererer leereres leeres leerst leerste leerstem leersten leerster leerstes leichtgläubig leichtgläubige leichtgläubigem leichtgläubigen leichtgläubiger leichtgläubigere leichtgläubigerem leichtgläubigeren leichtgläubigerer leichtgläubigeres leichtgläubiges leichtgläubigst leichtgläubigste leichtgläubigstem leichtgläubigsten leichtgläubigster leichtgläubigstes Leichtsinn leichtsinnig leichtsinnige leichtsinnigem leichtsinnigen leichtsinniger leichtsinnigere leichtsinnigerem leichtsinnigeren leichtsinnigerer leichtsinnigeres leichtsinniges leichtsinnigst leichtsinnigste leichtsinnigstem leichtsinnigsten leichtsinnigster leichtsinnigstes Leichtsinns Leichtsinnsfehler Leichtsinnsfehlern Leichtsinnsfehlers Leid leiden Leidende leider Leides Leids leistungsunfähig leugn leugne leugnen leugnest leugnet leugnete leugneten leugnetest leugnetet leugnte leugnten leugntest leugntet lieblos lieblose lieblosem lieblosen liebloser lieblosere liebloserem liebloseren liebloserer liebloseres liebloses lieblosest liebloseste lieblosestem lieblosesten lieblosester lieblosestes Liquidation Liquidationen liquidier liquidiere liquidieren liquidierest liquidieret liquidierst liquidiert liquidierte liquidierten liquidiertest liquidiertet lösch lösche löschen löschest löschet löschst löscht löschte löschten löschtest löschtet Löschung Löschungen loswerden lückenhaft lückenhafte lückenhaftem lückenhaften lückenhafter lückenhaftere lückenhafterem lückenhafteren lückenhafterer lückenhafteres lückenhaftes lückenhaftest lückenhafteste lückenhaftestem lückenhaftesten lückenhaftester lückenhaftestes Lüge Lügen Lügner Lügnern Lügners machtlos machtlose machtlosem machtlosen machtloser machtlosere machtloserem machtloseren machtloserer machtloseres machtloses machtlosest machtloseste machtlosestem machtlosesten machtlosester machtlosestes mager magere magerem mageren magerer magerere magererem magereren magererer magereres mageres magern magerst magerste magerstem magersten magerster magerstes magrer magrere magrerem magreren magrerer magreres Makel makelhaft Makeln Makels Mangel mangel mangelbehaftet mangele mangelen mangelhaft mangelhafte mangelhaftem mangelhaften mangelhafter mangelhaftere mangelhafterem mangelhafteren mangelhafterer mangelhafteres mangelhaftes mangelhaftest mangelhafteste mangelhaftestem mangelhaftesten mangelhaftester mangelhaftestes mangeln mangelst mangelt mangelte mangelten mangeltest mangeltet mangl mangle Manipulation Manipulationen manipulieren Massaker Massakern Massakers maßlos maßlose maßlosem maßlosen maßloser maßlosere maßloserem maßloseren maßloserer maßloseres maßloses Maßlosigkeit maßlosst maßlosste maßlosstem maßlossten maßlosster maßlosstes matt matte mattem matten matter mattere matterem matteren matterer matteres mattes mattest matteste mattestem mattesten mattester mattestes mau maue mauem mauen mauer mauere mauerem maueren mauerer maueres maues mauest maueste mauestem mauesten mauester mauestes maust mauste maustem mausten mauster maustes mecker meckere meckeren meckern meckerst meckert meckerte meckerten meckertest meckertet meiden Melancholie melancholisch melancholische melancholischem melancholischen melancholischer melancholischere melancholischerem melancholischeren melancholischerer melancholischeres melancholisches melancholischst melancholischste melancholischstem melancholischsten melancholischster melancholischstes Melodrama melodramatisch melodramatische melodramatischem melodramatischen melodramatischer melodramatischere melodramatischerem melodramatischeren melodramatischerer melodramatischeres melodramatisches melodramatischst melodramatischste melodramatischstem melodramatischsten melodramatischster melodramatischstes Melodramen menschenunwürdig menschenunwürdige menschenunwürdigem menschenunwürdigen menschenunwürdiger menschenunwürdigere menschenunwürdigerem menschenunwürdigeren menschenunwürdigerer menschenunwürdigeres menschenunwürdiges menschenunwürdigst menschenunwürdigste menschenunwürdigstem menschenunwürdigsten menschenunwürdigster menschenunwürdigstes merkwürdig merkwürdige merkwürdigem merkwürdigen merkwürdiger merkwürdigere merkwürdigerem merkwürdigeren merkwürdigerer merkwürdigeres merkwürdiges Merkwürdigkeit Merkwürdigkeiten merkwürdigst merkwürdigste merkwürdigstem merkwürdigsten merkwürdigster merkwürdigstes mies miese miesem miesen miesepetrig miesepetrige miesepetrigem miesepetrigen miesepetriger miesepetrigere miesepetrigerem miesepetrigeren miesepetrigerer miesepetrigeres miesepetriges miesepetrigst miesepetrigste miesepetrigstem miesepetrigsten miesepetrigster miesepetrigstes mieser miesere mieserem mieseren mieserer mieseres mieses miesest mieseste miesestem miesesten miesester miesestes minder mindere minderen mindern minderst mindert minderte minderten mindertest mindertet Minderung Minderungen minderwertig minderwertige minderwertigem minderwertigen minderwertiger minderwertigere minderwertigerem minderwertigeren minderwertigerer minderwertigeres minderwertiges Minderwertigkeit minderwertigst minderwertigste minderwertigstem minderwertigsten minderwertigster minderwertigstes miserabel miserabelst miserabelste miserabelstem miserabelsten miserabelster miserabelstes miserable miserablem miserablen miserabler miserablere miserablerem miserablere</t>
  </si>
  <si>
    <t>Workbook Settings 55</t>
  </si>
  <si>
    <t>n miserablerer miserableres miserables missachten Missachtung Missbrauch Missbräuche missbrauchen Missbräuchen Missbrauches Missbrauchs missfallen missgelaunt missgelaunte missgelauntem missgelaunten missgelaunter missgelauntere missgelaunterem missgelaunteren missgelaunterer missgelaunteres missgelauntes missgelauntest missgelaunteste missgelauntestem missgelauntesten missgelauntester missgelauntestes Missgeschick Missgeschicke Missgeschicken Missgeschickes Missgeschicks Missglück missglücken misslingen missmutig missraten missratene missratenem missratenen missratener missratenere missratenerem missrateneren missratenerer missrateneres missratenes missratenst missratenste missratenstem missratensten missratenster missratenstes missratner missratnere missratnerem missratneren missratnerer missratneres Misstrauen Misstrauens Misstrauensantrag Misstrauensanträge Misstrauensanträgen Misstrauensantrages Misstrauensantrags misstrauisch Missverständnis Missverständnise Missverständnisen Missverständnises Missverständniss missverstehen Mist mist Mistes Mists mittellos mittellose mittellosem mittellosen mittelloser mittellosere mittelloserem mittelloseren mittelloserer mittelloseres mittelloses mittellosest mittelloseste mittellosestem mittellosesten mittellosester mittellosestes Mittellosigkeit mittelmäßig mittelmäßige mittelmäßigem mittelmäßigen mittelmäßiger mittelmäßigere mittelmäßigerem mittelmäßigeren mittelmäßigerer mittelmäßigeres mittelmäßiges Mittelmäßigkeit mittelmäßigst mittelmäßigste mittelmäßigstem mittelmäßigsten mittelmäßigster mittelmäßigstes monoton monotone monotonem monotonen monotoner monotonere monotonerem monotoneren monotonerer monotoneres monotones Monotonie Monotonien monotonst monotonste monotonstem monotonsten monotonster monotonstes morbid morbide morbidem morbiden morbider morbidere morbiderem morbideren morbiderer morbideres morbides morbidest morbideste morbidestem morbidesten morbidester morbidestes Mord mord morde Morde morden Morden mörderisch mörderische mörderischem mörderischen mörderischer mörderischere mörderischerem mörderischeren mörderischerer mörderischeres mörderisches mörderischst mörderischste mörderischstem mörderischsten mörderischster mörderischstes Mordes mordest mordet mordete mordeten mordetest mordetet Mords mordte mordten mordtest mordtet müde müdem müden müder müdere müderem müderen müderer müderes müdes müdest müdeste müdestem müdesten müdester müdestes Müdigkeit Mühe Mühen mühsam mühsame mühsamem mühsamen mühsamer mühsamere mühsamerem mühsameren mühsamerer mühsameres mühsames mühsamst mühsamste mühsamstem mühsamsten mühsamster mühsamstes Müll Mülls murr murre murren murrest murret mürrisch mürrische mürrischem mürrischen mürrischer mürrischere mürrischerem mürrischeren mürrischerer mürrischeres mürrisches mürrischst mürrischste mürrischstem mürrischsten mürrischster mürrischstes murrst murrt murrte murrten murrtest murrtet mutlos mutlose mutlosem mutlosen mutloser mutlosere mutloserem mutloseren mutloserer mutloseres mutloses mutlosest mutloseste mutlosestem mutlosesten mutlosester mutlosestes Mutlosigkeit nachlassen nachlässig nachlässige nachlässigem nachlässigen nachlässiger nachlässigere nachlässigerem nachlässigeren nachlässigerer nachlässigeres nachlässiges Nachlässigkeit Nachlässigkeiten nachlässigst nachlässigste nachlässigstem nachlässigsten nachlässigster nachlässigstes Nachteil Nachteile Nachteilen Nachteiles nachteilig nachteilige nachteiligem nachteiligen nachteiliger nachteiligere nachteiligerem nachteiligeren nachteiligerer nachteiligeres nachteiliges nachteiligst nachteiligste nachteiligstem nachteiligsten nachteiligster nachteiligstes Nachteils naiv naive naivem naiven naiver naivere naiverem naiveren naiverer naiveres naives Naivität naivst naivste naivstem naivsten naivster naivstes Narr Narren närrisch närrische närrischem närrischen närrischer närrischere närrischerem närrischeren närrischerer närrischeres närrisches närrischst närrischste närrischstem närrischsten närrischster närrischstes negativ negative negativem negativen negativer negativere negativerem negativeren negativerer negativeres negatives Negativität negativst negativste negativstem negativsten negativster negativstes Neid Neides neidisch neidische neidischem neidischen neidischer neidischere neidischerem neidischeren neidischerer neidischeres neidisches neidischst neidischste neidischstem neidischsten neidischster neidischstes Neids nerven nervenaufreibend nervenaufreibende nervenaufreibendem nervenaufreibenden nervenaufreibender nervenaufreibendere nervenaufreibenderem nervenaufreibenderen nervenaufreibenderer nervenaufreibenderes nervenaufreibendes nervenaufreibendst nervenaufreibendste nervenaufreibendstem nervenaufreibendsten nervenaufreibendster nervenaufreibendstes nervig nervige nervigem nervigen nerviger nervigere nervigerem nervigeren nervigerer nervigeres nerviges nervigst nervigste nervigstem nervigsten nervigster nervigstes nervös nervöse nervösem nervösen nervöser nervösere nervöserem nervöseren nervöserer nervöseres nervöses nervösest nervöseste nervösestem nervösesten nervösester nervösestes Nervosität Neustart neutralisier neutralisiere neutralisieren neutralisierest neutralisieret neutralisierst neutralisiert neutralisierte neutralisierten neutralisiertest neutralisiertet Niedergang Niederganges Niedergangs niedergeschlagen niedergeschlagene niedergeschlagenem niedergeschlagenen niedergeschlagener niedergeschlagenere niedergeschlagenerem niedergeschlageneren niedergeschlagenerer niedergeschlageneres niedergeschlagenes Niedergeschlagenheit niedergeschlagenst niedergeschlagenste niedergeschlagenstem niedergeschlagensten niedergeschlagenster niedergeschlagenstes niedergeschlagner niedergeschlagnere niedergeschlagnerem niedergeschlagneren niedergeschlagnerer niedergeschlagneres niedergleitend Niederlage Niederlagen niederschlagen niederschmetternd niederträchtig niederträchtige niederträchtigem niederträchtigen niederträchtiger niederträ</t>
  </si>
  <si>
    <t>Workbook Settings 56</t>
  </si>
  <si>
    <t>chtigere niederträchtigerem niederträchtigeren niederträchtigerer niederträchtigeres niederträchtiges niederträchtigst niederträchtigste niederträchtigstem niederträchtigsten niederträchtigster niederträchtigstes niedrig niedrige niedrigem niedrigen niedriger niedrigere niedrigerem niedrigeren niedrigerer niedrigeres niedriges niedrigst niedrigste niedrigstem niedrigsten niedrigster niedrigstes nörgel nörgele nörgelen nörgeln nörgelst nörgelt nörgelte nörgelten nörgeltest nörgeltet nörgl nörgle Not Nöte Nöten Notfall Notfälle Notfällen Notfalles Notfalls nötig nötige nötigen nötigest nötiget nötigst nötigt nötigte nötigten nötigtest nötigtet Nötigung Nötigungen Notstand Notstände Notständen Notstandes Notstands nutzlos nutzlose nutzlosem nutzlosen nutzloser nutzlosere nutzloserem nutzloseren nutzloserer nutzloseres nutzloses nutzlosest nutzloseste nutzlosestem nutzlosesten nutzlosester nutzlosestes Nutzlosigkeit oberflächlich Oberflächlichkeit Oberflächlichkeiten öde ödee ödeem ödeen ödeer ödeere ödeerem ödeeren ödeerer ödeeres ödees ödest ödeste ödestem ödesten ödester ödestes Offensive Offensiven ominös ominöse ominösem ominösen ominöser ominösere ominöserem ominöseren ominöserer ominöseres ominöses ominösest ominöseste ominösestem ominösesten ominösester ominösestes Opposition Oppositionen ordnungswidrig ordnungswidrige ordnungswidrigem ordnungswidrigen ordnungswidriger ordnungswidrigere ordnungswidrigerem ordnungswidrigeren ordnungswidrigerer ordnungswidrigeres ordnungswidriges ordnungswidrigst ordnungswidrigste ordnungswidrigstem ordnungswidrigsten ordnungswidrigster ordnungswidrigstes Panik Paniken panisch panische panischem panischen panischer panischere panischerem panischeren panischerer panischeres panisches panischst panischste panischstem panischsten panischster panischstes Panne Pannen Pech Peche Pechen Peches Pechs peinlich peinliche peinlichem peinlichen peinlicher peinlichere peinlicherem peinlicheren peinlicherer peinlicheres peinliches peinlichst peinlichste peinlichstem peinlichsten peinlichster peinlichstes Pessimismus pessimistisch Pest Pflicht Pflichten pflichtwidrig pflichtwidrige pflichtwidrigem pflichtwidrigen pflichtwidriger pflichtwidrigere pflichtwidrigerem pflichtwidrigeren pflichtwidrigerer pflichtwidrigeres pflichtwidriges pflichtwidrigst pflichtwidrigste pflichtwidrigstem pflichtwidrigsten pflichtwidrigster pflichtwidrigstes pikiert pikierte pikiertem pikierten pikierter pikiertere pikierterem pikierteren pikierterer pikierteres pikiertes pikiertest pikierteste pikiertestem pikiertesten pikiertester pikiertestes planlos planlose planlosem planlosen planloser planlosere planloserem planloseren planloserer planloseres planloses planlosst planlosste planlosstem planlossten planlosster planlosstes Pleite Pleiten Preissturz Preisstürze Preisstürzen Preissturzes Preissturzs prekär prekäre prekärem prekären prekärer prekärere prekärerem prekäreren prekärerer prekäreres prekäres prekärst prekärste prekärstem prekärsten prekärster prekärstes primitiv Problem problematisch Probleme Problemen Problems profan profane profanem profanen profaner profanere profanerem profaneren profanerer profaneres profanes profanst profanste profanstem profansten profanster profanstes Propaganda Protest protestier protestiere protestieren protestierest protestieret protestierst protestiert protestierte protestierten protestiertest protestiertet Provisorien provisorisch Provisorium Provisoriums Provokation Provokationen provozier provoziere provozieren provozierest provozieret provozierst provoziert provozierte provozierten provoziertest provoziertet prügel prügele prügelen prügeln prügelst prügelt prügelte prügelten prügeltest prügeltet prügl prügle Qual quäl quäle Qualen quälen quälest quälet Qualitätsminderung quälst quält quälte quälten quältest quältet qualvoll qualvolle qualvollem qualvollen qualvoller qualvollere qualvollerem qualvolleren qualvollerer qualvolleres qualvolles qualvollst qualvollste qualvollstem qualvollsten qualvollster qualvollstes rabiat rabiate rabiatem rabiaten rabiater rabiatere rabiaterem rabiateren rabiaterer rabiateres rabiates rabiatest rabiateste rabiatestem rabiatesten rabiatester rabiatestes räch Rache räche rächen rächest rächet rächst rächt rächte rächten rächtest rächtet radikal ramm ramme rammen rammest rammet rammst rammt rammte rammten rammtest rammtet ramponier ramponiere ramponieren ramponierest ramponieret ramponierst ramponiert ramponierte ramponierten ramponiertest ramponiertet rasend rasende rasendem rasenden rasender rasendere rasenderem rasenderen rasenderer rasenderes rasendes rasendst rasendste rasendstem rasendsten rasendster rasendstes Ratlosigkeit Rätselraten Rätselratens Raub Raube Rauben Räuber Räubern Räubers Raubes Raubs rauh rauhe rauhem rauhen rauher rauhere rauherem rauheren rauherer rauheres rauhes rauhest rauheste rauhestem rauhesten rauhester rauhestes rauhst rauhste rauhstem rauhsten rauhster rauhstes rausgeschmissen Rebellen Rebellion rebellisch rebellische rebellischem rebellischen rebellischer rebellischere rebellischerem rebellischeren rebellischerer rebellischeres rebellisches rebellischst rebellischste rebellischstem rebellischsten rebellischster rebellischstes rechthaberisch rechthaberische rechthaberischem rechthaberischen rechthaberischer rechthaberischere rechthaberischerem rechthaberischeren rechthaberischerer rechthaberischeres rechthaberisches rechthaberischst rechthaberischste rechthaberischstem rechthaberischsten rechthaberischster rechthaberischstes rechtswidrig rechtswidrige rechtswidrigem rechtswidrigen rechtswidriger rechtswidrigere rechtswidrigerem rechtswidrigeren rechtswidrigerer rechtswidrigeres rechtswidriges Rechtswidrigkeit Rechtswidrigkeiten rechtswidrigst rechtswidrigste rechtswidrigstem rechtswidrigsten rechtswidrigster rechtswidrigstes Redundanz Redundanzen reduzier reduziere reduzieren reduzierest reduzieret reduzierst reduziert reduzierte reduzierten reduziertest reduziertet Reinfall Reinfäl</t>
  </si>
  <si>
    <t>Workbook Settings 57</t>
  </si>
  <si>
    <t>le Reinfällen Reinfalles Reinfalls Reklamation Reklamationen renitent renitente renitentem renitenten renitenter renitentere renitenterem renitenteren renitenterer renitenteres renitentes renitentest renitenteste renitentestem renitentesten renitentester renitentestes Reparatur Reparaturen repetiv Revolte Revolten Revolution Revolutionen Rezession Rezessionen Risiko riskant riskante riskantem riskanten riskanter riskantere riskanterem riskanteren riskanterer riskanteres riskantes riskantest riskanteste riskantestem riskantesten riskantester riskantestes riskier riskiere riskieren riskierest riskieret riskierst riskiert riskierte riskierten riskiertest riskiertet Rivale Rivalen Rivalität Rivalitäten Rost rost roste Roste rosten Rosten Rostes rostest rostet rostete rosteten rostetest rostetet Rosts rostte rostten rosttest rosttet ruchlos ruchlose ruchlosem ruchlosen ruchloser ruchlosere ruchloserem ruchloseren ruchloserer ruchloseres ruchloses ruchlosest ruchloseste ruchlosestem ruchlosesten ruchlosester ruchlosestes ruckeln Rückfall Rückfälle Rückfällen Rückfalles Rückfalls Rückgang Rückgänge Rückgängen Rückganges Rückgangs rückläufig Rückschritt Rückschritte Rückschritten Rückschrittes Rückschritts Rücksendung Rücksendungen rücksichtslos rücksichtslose rücksichtslosem rücksichtslosen rücksichtsloser rücksichtslosere rücksichtsloserem rücksichtsloseren rücksichtsloserer rücksichtsloseres rücksichtsloses rücksichtslosest rücksichtsloseste rücksichtslosestem rücksichtslosesten rücksichtslosester rücksichtslosestes Rücksichtslosigkeit Rücksichtslosigkeiten Rückstand Rückstände Rückständen Rückstandes rückständig rückständige rückständigem rückständigen rückständiger rückständigere rückständigerem rückständigeren rückständigerer rückständigeres rückständiges Rückständigkeit rückständigst rückständigste rückständigstem rückständigsten rückständigster rückständigstes Rückstands Rücktritt Rücktritte Rücktritten Rücktrittes Rücktritts rückwärts Rückzug rüde rüdee rüdeem rüdeen rüdeer rüdeere rüdeerem rüdeeren rüdeerer rüdeeres rüdees rüdest rüdeste rüdestem rüdesten rüdester rüdestes Ruin ruinös ruinöse ruinösem ruinösen ruinöser ruinösere ruinöserem ruinöseren ruinöserer ruinöseres ruinöses ruinösest ruinöseste ruinösestem ruinösesten ruinösester ruinösestes Ruins ruppig ruppige ruppigem ruppigen ruppiger ruppigere ruppigerem ruppigeren ruppigerer ruppigeres ruppiges ruppigst ruppigste ruppigstem ruppigsten ruppigster ruppigstes Rutsch rutsch Rutsche rutsche rutschen Rutschen Rutsches rutschest rutschet Rutschs rutschst rutscht rutschte rutschten rutschtest rutschtet Sabotage Sabotagen sabotier sabotiere sabotieren sabotierest sabotieret sabotierst sabotiert sabotierte sabotierten sabotiertest sabotiertet Sackgasse Sackgassen sauer sauerst sauerste sauerstem sauersten sauerster sauerstes saure saurem sauren saurer saurere saurerem saureren saurerer saureres saures schäbig schäbige schäbigem schäbigen schäbiger schäbigere schäbigerem schäbigeren schäbigerer schäbigeres schäbiges schäbigst schäbigste schäbigstem schäbigsten schäbigster schäbigstes schade schadee schadeem schadeen schadeer schadeere schadeerem schadeeren schadeerer schadeeres schadees Schaden Schäden Schadens Schadensbild Schadensbilder Schadensbildern Schadensbildes Schadensbilds schadest schadeste schadestem schadesten schadester schadestes schadhaft schadhafte schadhaftem schadhaften schadhafter schadhaftere schadhafterem schadhafteren schadhafterer schadhafteres schadhaftes schadhaftest schadhafteste schadhaftestem schadhaftesten schadhaftester schadhaftestes schädigend schädigenden Schädigung Schädigungen schädlich schädliche schädlichem schädlichen schädlicher schädlichere schädlicherem schädlicheren schädlicherer schädlicheres schädliches schädlichst schädlichste schädlichstem schädlichsten schädlichster schädlichstes schal schale schalem schalen schaler schalere schalerem schaleren schalerer schaleres schales schalst schalste schalstem schalsten schalster schalstes Scham schäm schäme schämen schämest schämet schamlos schamlose schamlosem schamlosen schamloser schamlosere schamloserem schamloseren schamloserer schamloseres schamloses schamlosest schamloseste schamlosestem schamlosesten schamlosester schamlosestes schämst schämt schämte schämten schämtest schämtet Schande Schanden schauerlich schauerliche schauerlichem schauerlichen schauerlicher schauerlichere schauerlicherem schauerlicheren schauerlicherer schauerlicheres schauerliches schauerlichst schauerlichste schauerlichstem schauerlichsten schauerlichster schauerlichstes schaurig schaurige schaurigem schaurigen schauriger schaurigere schaurigerem schaurigeren schaurigerer schaurigeres schauriges schaurigst schaurigste schaurigstem schaurigsten schaurigster schaurigstes scheiden Scheidung Scheidungen scheiss scheiß scheisse scheiße Scheitern Schelte schelten Schelten scheußlich scheusslich scheußliche scheußlichem scheußlichen scheußlicher scheußlichere scheußlicherem scheußlicheren scheußlicherer scheußlicheres scheußliches Scheußlichkeit Scheußlichkeiten scheußlichst scheußlichste scheußlichstem scheußlichsten scheußlichster scheußlichstes schimmelig schimpfend Schlachtfeld Schlachtfelder Schlachtfeldern Schlachtfeldes Schlachtfelds schlaff schlaffe schlaffem schlaffen schlaffer schlaffere schlafferem schlafferen schlafferer schlafferes schlaffes schlaffst schlaffste schlaffstem schlaffsten schlaffster schlaffstes Schlag Schläge schlagen Schlägen Schlägerei Schlägereien Schlages Schlags Schlamperei Schlampereien schlapp schlappe schlappem schlappen schlapper schlappere schlapperem schlapperen schlapperer schlapperes schlappes schlappst schlappste schlappstem schlappsten schlappster schlappstes schlecht schlechte schlechtem schlechten schlechter schlechtere schlechterem schlechteren schlechterer schlechteres schlechtes schlechtest schlechteste schlechtestem schlechtesten schlechtester schlechtestes Schlechtigkeit Schlechtigkeiten schleppend schleppende schleppendem sc</t>
  </si>
  <si>
    <t>Workbook Settings 58</t>
  </si>
  <si>
    <t>hleppenden schleppender schleppendere schleppenderem schleppenderen schleppenderer schleppenderes schleppendes schleppendst schleppendste schleppendstem schleppendsten schleppendster schleppendstes schlicht schlichte schlichtem schlichten schlichter schlichtere schlichterem schlichteren schlichterer schlichteres schlichtes schlichtest schlichteste schlichtestem schlichtesten schlichtester schlichtestes schließen schlimm schlimme schlimmem schlimmen schlimmer schlimmer schlimmere schlimmerem schlimmeren schlimmerer schlimmeres schlimmes schlimmst schlimmste schlimmstem schlimmsten schlimmster schlimmstes Schlitterbahn Schlitterbahnen schlotter schlottere schlotteren schlotterig schlottern schlotterst schlottert schlotterte schlotterten schlottertest schlottertet Schmerz schmerz schmerze schmerzen Schmerzen schmerzerfüllt schmerzerfüllte schmerzerfülltem schmerzerfüllten schmerzerfüllter schmerzerfülltere schmerzerfüllterem schmerzerfüllteren schmerzerfüllterer schmerzerfüllteres schmerzerfülltes schmerzerfülltest schmerzerfüllteste schmerzerfülltestem schmerzerfülltesten schmerzerfülltester schmerzerfülltestes Schmerzes schmerzest schmerzet schmerzhaft schmerzhafte schmerzhaftem schmerzhaften schmerzhafter schmerzhaftere schmerzhafterem schmerzhafteren schmerzhafterer schmerzhafteres schmerzhaftes schmerzhaftest schmerzhafteste schmerzhaftestem schmerzhaftesten schmerzhaftester schmerzhaftestes schmerzlich schmerzliche schmerzlichem schmerzlichen schmerzlicher schmerzlichere schmerzlicherem schmerzlicheren schmerzlicherer schmerzlicheres schmerzliches schmerzlichst schmerzlichste schmerzlichstem schmerzlichsten schmerzlichster schmerzlichstes Schmerzs schmerzt schmerzte schmerzten schmerztest schmerztet schmerzvoll schmerzvolle schmerzvollem schmerzvollen schmerzvoller schmerzvollere schmerzvollerem schmerzvolleren schmerzvollerer schmerzvolleres schmerzvolles schmerzvollst schmerzvollste schmerzvollstem schmerzvollsten schmerzvollster schmerzvollstes Schmuggel schmuggel schmuggele schmuggelen Schmuggeles schmuggeln Schmuggels schmuggelst schmuggelt schmuggelte schmuggelten schmuggeltest schmuggeltet schmuggl schmuggle Schmutz Schmutzes schmutzig schmutzige schmutzigem schmutzigen schmutziger schmutzigere schmutzigerem schmutzigeren schmutzigerer schmutzigeres schmutziges schmutzigst schmutzigste schmutzigstem schmutzigsten schmutzigster schmutzigstes Schmutzs Schock schock Schocke schocke schocken Schocken Schockes schockest schocket schockierend Schockn Schocks schockst schockt schockte schockten schocktest schocktet schonungslos schonungslose schonungslosem schonungslosen schonungsloser schonungslosere schonungsloserem schonungsloseren schonungsloserer schonungsloseres schonungsloses schonungslosest schonungsloseste schonungslosestem schonungslosesten schonungslosester schonungslosestes Schräglauf Schrägläufe Schrägläufen Schräglaufes Schräglaufs Schramme Schrammen Schreck Schrecke Schrecken Schreckes schrecklich schreckliche schrecklichem schrecklichen schrecklicher schrecklichere schrecklicherem schrecklicheren schrecklicherer schrecklicheres schreckliches schrecklichst schrecklichste schrecklichstem schrecklichsten schrecklichster schrecklichstes Schrecks Schrott Schrotte Schrotten Schrottes Schrotts schrumpf schrumpfe schrumpfen schrumpfest schrumpfet schrumpfst schrumpft schrumpfte schrumpften schrumpftest schrumpftet Schubs schubs Schubse schubse schubsen Schubsen Schubses schubsest schubset schubst schubste schubsten schubstest schubstet schuftig schuftige schuftigem schuftigen schuftiger schuftigere schuftigerem schuftigeren schuftigerer schuftigeres schuftiges schuftigst schuftigste schuftigstem schuftigsten schuftigster schuftigstes schuld schulde schulden schuldest schuldet schuldete schuldeten schuldetest schuldetet schuldhaft schuldhafte schuldhaftem schuldhaften schuldhafter schuldhaftere schuldhafterem schuldhafteren schuldhafterer schuldhafteres schuldhaftes schuldhaftest schuldhafteste schuldhaftestem schuldhaftesten schuldhaftester schuldhaftestes schuldig schuldige schuldigem schuldigen schuldiger schuldigere schuldigerem schuldigeren schuldigerer schuldigeres schuldiges schuldigst schuldigste schuldigstem schuldigsten schuldigster schuldigstes Schuldner Schuldnerin Schuldnerinnen Schuldnern Schuldners schuldte schuldten schuldtest schuldtet Schurke Schurken schwach schwäch schwache Schwäche schwäche schwachem schwachen schwächen Schwächen schwacher schwächer schwächere schwächerem schwächeren schwächerer schwächeres schwaches schwächest schwächet schwächlich schwächliche schwächlichem schwächlichen schwächlicher schwächlichere schwächlicherem schwächlicheren schwächlicherer schwächlicheres schwächliches schwächlichst schwächlichste schwächlichstem schwächlichsten schwächlichster schwächlichstes schwächst schwächst schwächste schwächstem schwächsten schwächster schwächstes schwächt schwächte schwächten schwächtest schwächtet Schwächung Schwächungen schwer schwere schwerem schweren schwerer schwerere schwererem schwereren schwererer schwereres schweres schwerfällig schwerfällige schwerfälligem schwerfälligen schwerfälliger schwerfälligere schwerfälligerem schwerfälligeren schwerfälligerer schwerfälligeres schwerfälliges schwerfälligst schwerfälligste schwerfälligstem schwerfälligsten schwerfälligster schwerfälligstes schwerst schwerste schwerstem schwersten schwerster schwerstes schwerwiegend schwerwiegende schwerwiegendem schwerwiegenden schwerwiegender schwerwiegendere schwerwiegenderem schwerwiegenderen schwerwiegenderer schwerwiegenderes schwerwiegendes schwerwiegendst schwerwiegendste schwerwiegendstem schwerwiegendsten schwerwiegendster schwerwiegendstes schwierig schwierige schwierigem schwierigen schwieriger schwierigere schwierigerem schwierigeren schwierigerer schwierigeres schwieriges Schwierigkeit Schwierigkeiten schwierigst schwierigste schwierigstem schwierigsten schwierigster schwierigstes schwinden schwindlig schwindlige schwindligem schwindligen schwi</t>
  </si>
  <si>
    <t>Workbook Settings 59</t>
  </si>
  <si>
    <t xml:space="preserve">ndliger schwindligere schwindligerem schwindligeren schwindligerer schwindligeres schwindliges schwindligst schwindligste schwindligstem schwindligsten schwindligster schwindligstes Schwund Schwundes Schwunds seicht seichte seichtem seichten seichter seichtere seichterem seichteren seichterer seichteres seichtes seichtest seichteste seichtestem seichtesten seichtester seichtestes seltsam seltsame seltsamem seltsamen seltsamer seltsamere seltsamerem seltsameren seltsamerer seltsameres seltsames seltsamst seltsamste seltsamstem seltsamsten seltsamster seltsamstes senk senke senken senkest senket senkst senkt senkte senkten senktest senktet Senkung Senkungen sinken sinnlos sinnlose sinnlosem sinnlosen sinnloser sinnlosere sinnloserem sinnloseren sinnloserer sinnloseres sinnloses sinnlosest sinnloseste sinnlosestem sinnlosesten sinnlosester sinnlosestes Sinnlosigkeit Sinnlosigkeiten Sintflut Skandal Skandale Skandalen Skandales skandalös skandalöse skandalösem skandalösen skandalöser skandalösere skandalöserem skandalöseren skandalöserer skandalöseres skandalöses skandalösest skandalöseste skandalösestem skandalösesten skandalösester skandalösestes Skandals skeptisch skeptische skeptischem skeptischen skeptischer skeptischere skeptischerem skeptischeren skeptischerer skeptischeres skeptisches skeptischst skeptischste skeptischstem skeptischsten skeptischster skeptischstes Sklave Sklaven Sklavenarbeit skrupellos skrupellose skrupellosem skrupellosen skrupelloser skrupellosere skrupelloserem skrupelloseren skrupelloserer skrupelloseres skrupelloses skrupellosest skrupelloseste skrupellosestem skrupellosesten skrupellosester skrupellosestes sorg Sorge sorge sorgen Sorgen sorgenschwer sorgenschwere sorgenschwerem sorgenschweren sorgenschwerer sorgenschwerere sorgenschwererem sorgenschwereren sorgenschwererer sorgenschwereres sorgenschweres sorgenschwerst sorgenschwerste sorgenschwerstem sorgenschwersten sorgenschwerster sorgenschwerstes sorgest sorget sorgst sorgt sorgte sorgten sorgtest sorgtet Spott Spottes Spotts spreng sprenge sprengen sprengest sprenget sprengst Sprengstoff Sprengstoffe Sprengstoffen Sprengstoffes Sprengstoffs sprengt sprengte sprengten sprengtest sprengtet Sprengung Sprengungen spröde sprödee sprödeem sprödeen sprödeer sprödeere sprödeerem sprödeeren sprödeerer sprödeeres sprödees sprödest sprödeste sprödestem sprödesten sprödester sprödestes Stagnation Stagnationen stagnieren starr starre starrem starren starrer starrere starrerem starreren starrerer starreres starres starrst starrste starrstem starrsten starrster starrstes statisch statische statischem statischen statischer statischere statischerem statischeren statischerer statischeres statisches statischst statischste statischstem statischsten statischster statischstes Stau Staus stehlen Sterben Sterbens Steuerhinterziehung stillgelegt stillleg stilllege stilllegen stilllegest stillleget stilllegst stilllegt stilllegte stilllegten stilllegtest stilllegtet Stilllegung Stilllegungen Stillstand Stillstande Stillstanden Stillstandes Stillstands stillstehen stinken stock stocke stocken stockest stocket stockst stockt stockte stockten stocktest stocktet stör störe stören störest störet stornier storniere stornieren stornierest stornieret stornierst storniert stornierte stornierten storniertest storniertet Stornierung Stornierungen störst stört störte störten störtest störtet Störung Störungen Stoß Stöße stoßen Stößen Stoßes Stoßs stotter stottere stotteren stottern stotterst stottert stotterte stotterten stottertest stottertet strafbar strafbare strafbarem strafbaren strafbarer strafbarere strafbarerem strafbareren strafbarerer strafbareres strafbares strafbarst strafbarste strafbarstem strafbarsten strafbarster strafbarstes Strafverfahren Strafverfahrens Strapaze Strapazen Streik streik streike streiken streikest streiket Streiks streikst streikt streikte streikten streiktest streiktet Streit Streite streiten Streiten Streites Streits streng Strenge Stress Streß Stresse Stressen Stresses Stresss strittig stümperhaft stümperhafte stümperhaftem stümperhaften stümperhafter stümperhaftere stümperhafterem stümperhafteren stümperhafterer stümperhafteres stümperhaftes stümperhaftest stümperhafteste stümperhaftestem stümperhaftesten stümperhaftester stümperhaftestes stumpfsinnig stumpfsinnige stumpfsinnigem stumpfsinnigen stumpfsinniger stumpfsinnigere stumpfsinnigerem stumpfsinnigeren stumpfsinnigerer stumpfsinnigeres stumpfsinniges stumpfsinnigst stumpfsinnigste stumpfsinnigstem stumpfsinnigsten stumpfsinnigster stumpfsinnigstes stupide stupidee stupideem stupideen stupideer stupideere stupideerem stupideeren stupideerer stupideeres stupidees stupidest stupideste stupidestem stupidesten stupidester stupidestes stur sture sturem sturen sturer sturere sturerem stureren sturerer stureres stures Sturheit stürmisch stürmische stürmischem stürmischen stürmischer stürmischere stürmischerem stürmischeren stürmischerer stürmischeres stürmisches stürmischst stürmischste stürmischstem stürmischsten stürmischster stürmischstes sturst sturste sturstem stursten sturster sturstes Sturz stürz Sturze stürze Stürze Sturzen stürzen Stürzen Sturzes stürzest stürzet Sturzs stürzt stürzte stürzten stürztest stürztet suboptimal Sucht Süchte Süchten Sündenbock Sündenböcke Sündenböcken Sündenbockes Sündenbocks Tabu tadel tadel tadele tadelen tadeln tadelnswert tadelnswerte tadelnswertem tadelnswerten tadelnswerter tadelnswertere tadelnswerterem tadelnswerteren tadelnswerterer tadelnswerteres tadelnswertes tadelnswertst tadelnswertste tadelnswertstem tadelnswertsten tadelnswertster tadelnswertstes tadelst tadelt tadelte tadelten tadeltest tadeltet tadl tadle tatenlos tatenlose tatenlosem tatenlosen tatenloser tatenlosere tatenloserem tatenloseren tatenloserer tatenloseres tatenloses tatenlosst tatenlosste tatenlosstem tatenlossten tatenlosster tatenlosstes täusch täusche täuschen täuschest täuschet täuschst täuscht täuschte täuschten täuschtest täuschtet </t>
  </si>
  <si>
    <t>Workbook Settings 60</t>
  </si>
  <si>
    <t>Täuschung Täuschungen Terror terrorisier terrorisiere terrorisieren terrorisierest terrorisieret terrorisierst terrorisiert terrorisierte terrorisierten terrorisiertest terrorisiertet Terrorismus Terrors teuer teuerst teuerste teuerstem teuersten teuerster teuerstes Teuerung Teuerungen Teuerungsrate Teuerungsraten Teufelskreis Teufelskreise Teufelskreisen Teufelskreises Teufelskreiss teuflisch teure teurem teuren teurer teurere teurerem teureren teurerer teureres teures Tod Tode Toden Todes Todesfall Todesfälle Todesfällen Todesfalles Todesfalls Todesstrafe Todesstrafen tödlich tödliche tödlichem tödlichen tödlicher tödlichere tödlicherem tödlicheren tödlicherer tödlicheres tödliches tödlichst tödlichste tödlichstem tödlichsten tödlichster tödlichstes Tods Torheit Torheiten töricht törichte törichtem törichten törichter törichtere törichterem törichteren törichterer törichteres törichtes törichtst törichtste törichtstem törichtsten törichtster törichtstes tot töt totalitär tote töte totem toten töten toter totere toterem toteren toterer toteres totes totest tötest toteste totestem totesten totester totestes tötet tötete töteten tötetest tötetet Totschlag Totschläge Totschlägen Totschlages Totschlags tötte tötten töttest töttet träge trägee trägeem trägeen trägeer trägeere trägeerem trägeeren trägeerer trägeeres trägees trägest trägeste trägestem trägesten trägester trägestes Trägheit Trägheiten tragisch Tragödie Tragödien Träne Tränen Trauer trauer trauere traueren trauern trauerst trauert trauerte trauerten trauertest trauertet Trauma traumatisch traumatische traumatischem traumatischen traumatischer traumatischere traumatischerem traumatischeren traumatischerer traumatischeres traumatisches traumatischst traumatischste traumatischstem traumatischsten traumatischster traumatischstes traumatisieren Traumen traurig Traurigkeit Traurigkeiten trenn trenne trennen trennest trennet trennst trennt trennte trennten trenntest trenntet Trennung Trennungen trist triste tristem tristen trister tristere tristerem tristeren tristerer tristeres tristes Tristesse Tristessen tristest tristeste tristestem tristesten tristester tristestes trostlos trostlose trostlosem trostlosen trostloser trostlosere trostloserem trostloseren trostloserer trostloseres trostloses Trostlosigkeit trostlosst trostlosste trostlosstem trostlossten trostlosster trostlosstes Trott trott Trotte trotte trottelig trottelige trotteligem trotteligen trotteliger trotteligere trotteligerem trotteligeren trotteligerer trotteligeres trotteliges trotteligst trotteligste trotteligstem trotteligsten trotteligster trotteligstes trotten Trotten Trottes trottest trottet trottete trotteten trottetest trottetet Trotts trottte trottten trotttest trotttet trotz trotze trotzen trotzest trotzet trotzt trotzte trotzten trotztest trotztet trüb trübe trübem trüben trüber trübere trüberem trüberen trüberer trüberes trübes Trübsal Trübsale Trübsalen trübst trübste trübstem trübsten trübster trübstes trügerisch trügerische trügerischem trügerischen trügerischer trügerischere trügerischerem trügerischeren trügerischerer trügerischeres trügerisches trügerischst trügerischste trügerischstem trügerischsten trügerischster trügerischstes Trugschluß Turbolenz Turbolenzen turbulent turbulente turbulentem turbulenten turbulenter turbulentere turbulenterem turbulenteren turbulenterer turbulenteres turbulentes turbulentest turbulenteste turbulentestem turbulentesten turbulentester turbulentestes Tyrannei Tyranneien tyrannisch tyrannische tyrannischem tyrannischen tyrannischer tyrannischere tyrannischerem tyrannischeren tyrannischerer tyrannischeres tyrannisches tyrannischst tyrannischste tyrannischstem tyrannischsten tyrannischster tyrannischstes Übel übellaunig übellaunige übellaunigem übellaunigen übellauniger übellaunigere übellaunigerem übellaunigeren übellaunigerer übellaunigeres übellauniges übellaunigst übellaunigste übellaunigstem übellaunigsten übellaunigster übellaunigstes Übeln Übels überfallen überflüssig überflüssige überflüssigem überflüssigen überflüssiger überflüssigere überflüssigerem überflüssigeren überflüssigerer überflüssigeres überflüssiges überflüssigst überflüssigste überflüssigstem überflüssigsten überflüssigster überflüssigstes überflutet Überfüllung Übergewicht Übergewichte Übergewichten Übergewichtes übergewichtig übergewichtige übergewichtigem übergewichtigen übergewichtiger übergewichtigere übergewichtigerem übergewichtigeren übergewichtigerer übergewichtigeres übergewichtiges übergewichtigst übergewichtigste übergewichtigstem übergewichtigsten übergewichtigster übergewichtigstes Übergewichts überhöh überhöhe überhöhen überhöhest überhöhet überhöhst überhöht überhöhte überhöhten überhöhtest überhöhtet Überhöhung überlastet Überlastung Übermaß Übermaßes übermäßig übermäßige übermäßigem übermäßigen übermäßiger übermäßigere übermäßigerem übermäßigeren übermäßigerer übermäßigeres übermäßiges übermäßigst übermäßigste übermäßigstem übermäßigsten übermäßigster übermäßigstes Übermaßs überschreiten Überschreitung Überschuß überschwemm überschwemme überschwemmen überschwemmest überschwemmet überschwemmst überschwemmt überschwemmte überschwemmten überschwemmtest überschwemmtet Überschwemmung Überschwemmungen übersehen übertreiben Übertreibung Übertreibungen übertreten übertrieben übertriebene übertriebenem übertriebenen übertriebener übertriebenere übertriebenerem übertriebeneren übertriebenerer übertriebeneres übertriebenes übertriebenst übertriebenste übertriebenstem übertriebensten übertriebenster übertriebenstes übertriebner übertriebnere übertriebnerem übertriebneren übertriebnerer übertriebneres überwältig überwältige überwältigen überwältigest überwältiget überwältigst überwältigt überwältigte überwältigten überwältigtest überwältigtet umgetauscht umgetauscht umständlich umständliche umständlichem umständlichen umständlicher umständlichere umständlicherem umständlicheren umständlicherer umständlicheres umständliches umständlichst umständlic</t>
  </si>
  <si>
    <t>Workbook Settings 61</t>
  </si>
  <si>
    <t>hste umständlichstem umständlichsten umständlichster umständlichstes umstritten umstrittene umstrittenem umstrittenen umstrittener umstrittenere umstrittenerem umstritteneren umstrittenerer umstritteneres umstrittenes umstrittenst umstrittenste umstrittenstem umstrittensten umstrittenster umstrittenstes Umtausch umtausch umtausche Umtausche Umtäusche umtauschen Umtauschen Umtäuschen Umtausches umtauschest umtauschet Umtauschs umtauschst umtauscht umtauschte umtauschten umtauschtest umtauschtet umweltschädlich umweltschädliche umweltschädlichem umweltschädlichen umweltschädlicher umweltschädlichere umweltschädlicherem umweltschädlicheren umweltschädlicherer umweltschädlicheres umweltschädliches umweltschädlichst umweltschädlichste umweltschädlichstem umweltschädlichsten umweltschädlichster umweltschädlichstes unachtsam unachtsame unachtsamem unachtsamen unachtsamer unachtsamere unachtsamerem unachtsameren unachtsamerer unachtsameres unachtsames unachtsamst unachtsamste unachtsamstem unachtsamsten unachtsamster unachtsamstes unangemessen unangemessene unangemessenem unangemessenen unangemessener unangemessenere unangemessenerem unangemesseneren unangemessenerer unangemesseneres unangemessenes unangemessenst unangemessenste unangemessenstem unangemessensten unangemessenster unangemessenstes unangenehm unangenehme unangenehmem unangenehmen unangenehmer unangenehmere unangenehmerem unangenehmeren unangenehmerer unangenehmeres unangenehmes unangenehmst unangenehmste unangenehmstem unangenehmsten unangenehmster unangenehmstes unanständig unanständige unanständigem unanständigen unanständiger unanständigere unanständigerem unanständigeren unanständigerer unanständigeres unanständiges unanständigst unanständigste unanständigstem unanständigsten unanständigster unanständigstes unattraktiv unaufgefordert unaufgeforderte unaufgefordertem unaufgeforderten unaufgeforderter unaufgefordertere unaufgeforderterem unaufgeforderteren unaufgeforderterer unaufgeforderteres unaufgefordertes unaufgefordertst unaufgefordertste unaufgefordertstem unaufgefordertsten unaufgefordertster unaufgefordertstes unaufhörlich unaufhörliche unaufhörlichem unaufhörlichen unaufhörlicher unaufhörlichere unaufhörlicherem unaufhörlicheren unaufhörlicherer unaufhörlicheres unaufhörliches unaufhörlichst unaufhörlichste unaufhörlichstem unaufhörlichsten unaufhörlichster unaufhörlichstes unaufrichtig unaufrichtige unaufrichtigem unaufrichtigen unaufrichtiger unaufrichtigere unaufrichtigerem unaufrichtigeren unaufrichtigerer unaufrichtigeres unaufrichtiges unaufrichtigst unaufrichtigste unaufrichtigstem unaufrichtigsten unaufrichtigster unaufrichtigstes unbarmherzig unbarmherzige unbarmherzigem unbarmherzigen unbarmherziger unbarmherzigere unbarmherzigerem unbarmherzigeren unbarmherzigerer unbarmherzigeres unbarmherziges unbarmherzigst unbarmherzigste unbarmherzigstem unbarmherzigsten unbarmherzigster unbarmherzigstes unbedacht unbedachte unbedachtem unbedachten unbedachter unbedachtere unbedachterem unbedachteren unbedachterer unbedachteres unbedachtes unbedachtest unbedachteste unbedachtestem unbedachtesten unbedachtester unbedachtestes unbedeutend unbedeutende unbedeutendem unbedeutenden unbedeutender unbedeutendere unbedeutenderem unbedeutenderen unbedeutenderer unbedeutenderes unbedeutendes unbedeutendst unbedeutendste unbedeutendstem unbedeutendsten unbedeutendster unbedeutendstes unbefriedigend unbefriedigende unbefriedigendem unbefriedigenden unbefriedigender unbefriedigendere unbefriedigenderem unbefriedigenderen unbefriedigenderer unbefriedigenderes unbefriedigendes unbefriedigendst unbefriedigendste unbefriedigendstem unbefriedigendsten unbefriedigendster unbefriedigendstes unbefriedigt unbefriedigte unbefriedigtem unbefriedigten unbefriedigter unbefriedigtere unbefriedigterem unbefriedigteren unbefriedigterer unbefriedigteres unbefriedigtes unbefriedigtst unbefriedigtste unbefriedigtstem unbefriedigtsten unbefriedigtster unbefriedigtstes unbefugt unbefugte unbefugtem unbefugten unbefugter unbefugtere unbefugterem unbefugteren unbefugterer unbefugteres unbefugtes unbefugtest unbefugteste unbefugtestem unbefugtesten unbefugtester unbefugtestes unbegründet unbegründete unbegründetem unbegründeten unbegründeter unbegründetere unbegründeterem unbegründeteren unbegründeterer unbegründeteres unbegründetes unbegründetst unbegründetste unbegründetstem unbegründetsten unbegründetster unbegründetstes Unbehagen Unbehagens Unbehaglichkeit Unbehaglichkeiten unbeliebt unbeliebte unbeliebtem unbeliebten unbeliebter unbeliebtere unbeliebterem unbeliebteren unbeliebterer unbeliebteres unbeliebtes unbeliebtest unbeliebteste unbeliebtestem unbeliebtesten unbeliebtester unbeliebtestes Unbeliebtheit unbequem unbequeme unbequemem unbequemen unbequemer unbequemere unbequemerem unbequemeren unbequemerer unbequemeres unbequemes Unbequemlichkeit Unbequemlichkeiten unbequemst unbequemste unbequemstem unbequemsten unbequemster unbequemstes unberechtigt unberechtigte unberechtigtem unberechtigten unberechtigter unberechtigtere unberechtigterem unberechtigteren unberechtigterer unberechtigteres unberechtigtes unberechtigtst unberechtigtste unberechtigtstem unberechtigtsten unberechtigtster unberechtigtstes unbestimmt unbestimmte unbestimmtem unbestimmten unbestimmter unbestimmtere unbestimmterem unbestimmteren unbestimmterer unbestimmteres unbestimmtes unbestimmtest unbestimmteste unbestimmtestem unbestimmtesten unbestimmtester unbestimmtestes Unbestimmtheit unbewiesen unbewiesene unbewiesenem unbewiesenen unbewiesener unbewiesenere unbewiesenerem unbewieseneren unbewiesenerer unbewieseneres unbewiesenes unbewiesenst unbewiesenste unbewiesenstem unbewiesensten unbewiesenster unbewiesenstes unbotmäßig unbotmäßige unbotmäßigem unbotmäßigen unbotmäßiger unbotmäßigere unbotmäßigerem unbotmäßigeren unbotmäßigerer unbotmäßigeres unbotmäßiges unbotmäßigst unbotmäßigste unbotmäßigstem unbotmäßigsten unbotmäßigster unbotmäßigstes unbrauchbar undankbar undankbare</t>
  </si>
  <si>
    <t>Workbook Settings 62</t>
  </si>
  <si>
    <t xml:space="preserve"> undankbarem undankbaren undankbarer undankbarere undankbarerem undankbareren undankbarerer undankbareres undankbares Undankbarkeit undankbarst undankbarste undankbarstem undankbarsten undankbarster undankbarstes undemokratisch undemokratische undemokratischem undemokratischen undemokratischer undemokratischere undemokratischerem undemokratischeren undemokratischerer undemokratischeres undemokratisches undemokratischst undemokratischste undemokratischstem undemokratischsten undemokratischster undemokratischstes undiplomatisch undiplomatische undiplomatischem undiplomatischen undiplomatischer undiplomatischere undiplomatischerem undiplomatischeren undiplomatischerer undiplomatischeres undiplomatisches undiplomatischst undiplomatischste undiplomatischstem undiplomatischsten undiplomatischster undiplomatischstes undiszipliniert undisziplinierte undiszipliniertem undisziplinierten undisziplinierter undiszipliniertere undisziplinierterem undisziplinierteren undisziplinierterer undisziplinierteres undiszipliniertes undiszipliniertest undisziplinierteste undiszipliniertestem undiszipliniertesten undiszipliniertester undiszipliniertestes undurchführbar undurchführbare undurchführbarem undurchführbaren undurchführbarer undurchführbarere undurchführbarerem undurchführbareren undurchführbarerer undurchführbareres undurchführbares undurchführbarst undurchführbarste undurchführbarstem undurchführbarsten undurchführbarster undurchführbarstes undurchsichtig undurchsichtige undurchsichtigem undurchsichtigen undurchsichtiger undurchsichtigere undurchsichtigerem undurchsichtigeren undurchsichtigerer undurchsichtigeres undurchsichtiges undurchsichtigst undurchsichtigste undurchsichtigstem undurchsichtigsten undurchsichtigster undurchsichtigstes unehrlich unehrliche unehrlichem unehrlichen unehrlicher unehrlichere unehrlicherem unehrlicheren unehrlicherer unehrlicheres unehrliches Unehrlichkeit unehrlichst unehrlichste unehrlichstem unehrlichsten unehrlichster unehrlichstes uneinig uneinige uneinigem uneinigen uneiniger uneinigere uneinigerem uneinigeren uneinigerer uneinigeres uneiniges Uneinigkeit Uneinigkeiten uneinigst uneinigste uneinigstem uneinigsten uneinigster uneinigstes uneinsichtig uneinsichtige uneinsichtigem uneinsichtigen uneinsichtiger uneinsichtigere uneinsichtigerem uneinsichtigeren uneinsichtigerer uneinsichtigeres uneinsichtiges uneinsichtigst uneinsichtigste uneinsichtigstem uneinsichtigsten uneinsichtigster uneinsichtigstes unerbittlich unerbittliche unerbittlichem unerbittlichen unerbittlicher unerbittlichere unerbittlicherem unerbittlicheren unerbittlicherer unerbittlicheres unerbittliches Unerbittlichkeit unerbittlichst unerbittlichste unerbittlichstem unerbittlichsten unerbittlichster unerbittlichstes unerfreulich unerfreuliche unerfreulichem unerfreulichen unerfreulicher unerfreulichere unerfreulicherem unerfreulicheren unerfreulicherer unerfreulicheres unerfreuliches unerfreulichst unerfreulichste unerfreulichstem unerfreulichsten unerfreulichster unerfreulichstes unerhört unerhörte unerhörtem unerhörten unerhörter unerhörtere unerhörterem unerhörteren unerhörterer unerhörteres unerhörtes unerhörtest unerhörteste unerhörtestem unerhörtesten unerhörtester unerhörtestes unerklärlich unerklärliche unerklärlichem unerklärlichen unerklärlicher unerklärlichere unerklärlicherem unerklärlicheren unerklärlicherer unerklärlicheres unerklärliches unerklärlichst unerklärlichste unerklärlichstem unerklärlichsten unerklärlichster unerklärlichstes unerlaubt unerlaubte unerlaubtem unerlaubten unerlaubter unerlaubtere unerlaubterem unerlaubteren unerlaubterer unerlaubteres unerlaubtes unerlaubtest unerlaubteste unerlaubtestem unerlaubtesten unerlaubtester unerlaubtestes unerquicklich unerquickliche unerquicklichem unerquicklichen unerquicklicher unerquicklichere unerquicklicherem unerquicklicheren unerquicklicherer unerquicklicheres unerquickliches unerquicklichst unerquicklichste unerquicklichstem unerquicklichsten unerquicklichster unerquicklichstes unerträglich unerträgliche unerträglichem unerträglichen unerträglicher unerträglichere unerträglicherem unerträglicheren unerträglicherer unerträglicheres unerträgliches Unerträglichkeit unerträglichst unerträglichste unerträglichstem unerträglichsten unerträglichster unerträglichstes unerwartet unerwartete unerwartetem unerwarteten unerwarteter unerwartetere unerwarteterem unerwarteteren unerwarteterer unerwarteteres unerwartetes unerwartetst unerwartetste unerwartetstem unerwartetsten unerwartetster unerwartetstes unerwiesen unerwünscht unerwünschte unerwünschtem unerwünschten unerwünschter unerwünschtere unerwünschterem unerwünschteren unerwünschterer unerwünschteres unerwünschtes unerwünschtest unerwünschteste unerwünschtestem unerwünschtesten unerwünschtester unerwünschtestes unfähig unfähige unfähigem unfähigen unfähiger unfähigere unfähigerem unfähigeren unfähigerer unfähigeres unfähiges Unfähigkeit unfähigst unfähigste unfähigstem unfähigsten unfähigster unfähigstes unfair unfaire unfairem unfairen unfairer unfairere unfairerem unfaireren unfairerer unfaireres unfaires unfairst unfairste unfairstem unfairsten unfairster unfairstes Unfall Unfälle Unfällen Unfalles Unfalls unfein unfeine unfeinem unfeinen unfeiner unfeinere unfeinerem unfeineren unfeinerer unfeineres unfeines unfeinst unfeinste unfeinstem unfeinsten unfeinster unfeinstes unfreiwillig unfreiwillige unfreiwilligem unfreiwilligen unfreiwilliger unfreiwilligere unfreiwilligerem unfreiwilligeren unfreiwilligerer unfreiwilligeres unfreiwilliges unfreiwilligst unfreiwilligste unfreiwilligstem unfreiwilligsten unfreiwilligster unfreiwilligstes unfreundlich unfreundliche unfreundlichem unfreundlichen unfreundlicher unfreundlichere unfreundlicherem unfreundlicheren unfreundlicherer unfreundlicheres unfreundliches Unfreundlichkeit Unfreundlichkeiten unfreundlichst unfreundlichste unfreundlichstem unfreundlichsten unfreundlichster unfreundlichstes Unfug ungebeten ungebetene ungebetenem u</t>
  </si>
  <si>
    <t>Workbook Settings 63</t>
  </si>
  <si>
    <t>ngebetenen ungebetener ungebetenere ungebetenerem ungebeteneren ungebetenerer ungebeteneres ungebetenes ungebetenst ungebetenste ungebetenstem ungebetensten ungebetenster ungebetenstes ungebetner ungebetnere ungebetnerem ungebetneren ungebetnerer ungebetneres ungebührlich ungebührliche ungebührlichem ungebührlichen ungebührlicher ungebührlichere ungebührlicherem ungebührlicheren ungebührlicherer ungebührlicheres ungebührliches ungebührlichst ungebührlichste ungebührlichstem ungebührlichsten ungebührlichster ungebührlichstes ungedeckt ungedeckte ungedecktem ungedeckten ungedeckter ungedecktere ungedeckterem ungedeckteren ungedeckterer ungedeckteres ungedecktes ungedecktst ungedecktste ungedecktstem ungedecktsten ungedecktster ungedecktstes Ungeduld ungeduldig ungeduldige ungeduldigem ungeduldigen ungeduldiger ungeduldigere ungeduldigerem ungeduldigeren ungeduldigerer ungeduldigeres ungeduldiges ungeduldigst ungeduldigste ungeduldigstem ungeduldigsten ungeduldigster ungeduldigstes ungeeignet ungeeignete ungeeignetem ungeeigneten ungeeigneter ungeeignetere ungeeigneterem ungeeigneteren ungeeigneterer ungeeigneteres ungeeignetes ungeeignetst ungeeignetste ungeeignetstem ungeeignetsten ungeeignetster ungeeignetstes ungeheuer ungeheuerlich ungeheuerliche ungeheuerlichem ungeheuerlichen ungeheuerlicher ungeheuerlichere ungeheuerlicherem ungeheuerlicheren ungeheuerlicherer ungeheuerlicheres ungeheuerliches ungeheuerlichst ungeheuerlichste ungeheuerlichstem ungeheuerlichsten ungeheuerlichster ungeheuerlichstes ungeheuerst ungeheuerste ungeheuerstem ungeheuersten ungeheuerster ungeheuerstes ungeheure ungeheurem ungeheuren ungeheurer ungeheurere ungeheurerem ungeheureren ungeheurerer ungeheureres ungeheures ungehobelt ungehobelte ungehobeltem ungehobelten ungehobelter ungehobeltere ungehobelterem ungehobelteren ungehobelterer ungehobelteres ungehobeltes ungehobeltst ungehobeltste ungehobeltstem ungehobeltsten ungehobeltster ungehobeltstes ungehorsam ungehorsame ungehorsamem ungehorsamen ungehorsamer ungehorsamere ungehorsamerem ungehorsameren ungehorsamerer ungehorsameres ungehorsames Ungehorsamkeit ungehorsamst ungehorsamste ungehorsamstem ungehorsamsten ungehorsamster ungehorsamstes ungeliebt ungeliebte ungeliebtem ungeliebten ungeliebter ungeliebtere ungeliebterem ungeliebteren ungeliebterer ungeliebteres ungeliebtes ungeliebtest ungeliebteste ungeliebtestem ungeliebtesten ungeliebtester ungeliebtestes ungemütlich ungemütliche ungemütlichem ungemütlichen ungemütlicher ungemütlichere ungemütlicherem ungemütlicheren ungemütlicherer ungemütlicheres ungemütliches ungemütlichst ungemütlichste ungemütlichstem ungemütlichsten ungemütlichster ungemütlichstes ungenau ungenaue ungenauem ungenauen ungenauer ungenauere ungenauerem ungenaueren ungenauerer ungenaueres ungenaues ungenauest ungenaueste ungenauestem ungenauesten ungenauester ungenauestes Ungenauigkeit Ungenauigkeiten ungenaust ungenauste ungenaustem ungenausten ungenauster ungenaustes ungeordnet ungeordnete ungeordnetem ungeordneten ungeordneter ungeordnetere ungeordneterem ungeordneteren ungeordneterer ungeordneteres ungeordnetes ungeordnetst ungeordnetste ungeordnetstem ungeordnetsten ungeordnetster ungeordnetstes ungerecht ungerechte ungerechtem ungerechten ungerechter ungerechtere ungerechterem ungerechteren ungerechterer ungerechteres ungerechtes ungerechtest ungerechteste ungerechtestem ungerechtesten ungerechtester ungerechtestes ungerechtfertigt ungerechtfertigte ungerechtfertigtem ungerechtfertigten ungerechtfertigter ungerechtfertigtere ungerechtfertigterem ungerechtfertigteren ungerechtfertigterer ungerechtfertigteres ungerechtfertigtes ungerechtfertigtst ungerechtfertigtste ungerechtfertigtstem ungerechtfertigtsten ungerechtfertigtster ungerechtfertigtstes Ungerechtigkeit Ungerechtigkeiten Ungeschicklichkeit Ungeschicklichkeiten ungeschickt ungeschickte ungeschicktem ungeschickten ungeschickter ungeschicktere ungeschickterem ungeschickteren ungeschickterer ungeschickteres ungeschicktes ungeschicktest ungeschickteste ungeschicktestem ungeschicktesten ungeschicktester ungeschicktestes ungeschminkt ungeschminkte ungeschminktem ungeschminkten ungeschminkter ungeschminktere ungeschminkterem ungeschminkteren ungeschminkterer ungeschminkteres ungeschminktes ungeschminktest ungeschminkteste ungeschminktestem ungeschminktesten ungeschminktester ungeschminktestes ungesetzlich ungesetzliche ungesetzlichem ungesetzlichen ungesetzlicher ungesetzlichere ungesetzlicherem ungesetzlicheren ungesetzlicherer ungesetzlicheres ungesetzliches ungesetzlichst ungesetzlichste ungesetzlichstem ungesetzlichsten ungesetzlichster ungesetzlichstes ungesund ungesunde ungesundem ungesunden ungesunder ungesünder ungesundere ungesündere ungesunderem ungesünderem ungesunderen ungesünderen ungesunderer ungesünderer ungesunderes ungesünderes ungesundes ungesundest ungesündest ungesundeste ungesündeste ungesundestem ungesündestem ungesundesten ungesündesten ungesundester ungesündester ungesundestes ungesündestes ungeübt ungeübte ungeübtem ungeübten ungeübter ungeübtere ungeübterem ungeübteren ungeübterer ungeübteres ungeübtes ungeübtest ungeübteste ungeübtestem ungeübtesten ungeübtester ungeübtestes ungewohnt ungewohnte ungewohntem ungewohnten ungewohnter ungewohntere ungewohnterem ungewohnteren ungewohnterer ungewohnteres ungewohntes ungewohntest ungewohnteste ungewohntestem ungewohntesten ungewohntester ungewohntestes ungewollt ungewollte ungewolltem ungewollten ungewollter ungewolltere ungewollterem ungewollteren ungewollterer ungewollteres ungewolltes ungewolltst ungewolltste ungewolltstem ungewolltsten ungewolltster ungewolltstes ungezogen ungezogene ungezogenem ungezogenen ungezogener ungezogenere ungezogenerem ungezogeneren ungezogenerer ungezogeneres ungezogenes ungezogenst ungezogenste ungezogenstem ungezogensten ungezogenster ungezogenstes ungezogner ungezognere ungezognerem ungezogneren ungezognerer ungezogneres unglaubwürdig unglaubwürdige unglaubwürdigem ung</t>
  </si>
  <si>
    <t>Workbook Settings 64</t>
  </si>
  <si>
    <t>laubwürdigen unglaubwürdiger unglaubwürdigere unglaubwürdigerem unglaubwürdigeren unglaubwürdigerer unglaubwürdigeres unglaubwürdiges Unglaubwürdigkeit unglaubwürdigst unglaubwürdigste unglaubwürdigstem unglaubwürdigsten unglaubwürdigster unglaubwürdigstes ungleich ungleiche ungleichem ungleichen ungleicher ungleichere ungleicherem ungleicheren ungleicherer ungleicheres ungleiches Ungleichheit Ungleichheiten ungleichst ungleichste ungleichstem ungleichsten ungleichster ungleichstes Unglück Unglücke Unglücken Unglückes unglücklich unglückliche unglücklichem unglücklichen unglücklicher unglücklichere unglücklicherem unglücklicheren unglücklicherer unglücklicheres unglückliches unglücklichst unglücklichste unglücklichstem unglücklichsten unglücklichster unglücklichstes Unglücks ungültig ungültige ungültigem ungültigen ungültiger ungültigere ungültigerem ungültigeren ungültigerer ungültigeres ungültiges ungültigst ungültigste ungültigstem ungültigsten ungültigster ungültigstes ungünstig ungünstige ungünstigem ungünstigen ungünstiger ungünstigere ungünstigerem ungünstigeren ungünstigerer ungünstigeres ungünstiges ungünstigst ungünstigste ungünstigstem ungünstigsten ungünstigster ungünstigstes unheilbar Unheilbarkeit unheilvoll unheilvolle unheilvollem unheilvollen unheilvoller unheilvollere unheilvollerem unheilvolleren unheilvollerer unheilvolleres unheilvolles unheilvollst unheilvollste unheilvollstem unheilvollsten unheilvollster unheilvollstes unhöflich unhöfliche unhöflichem unhöflichen unhöflicher unhöflichere unhöflicherem unhöflicheren unhöflicherer unhöflicheres unhöfliches Unhöflichkeit Unhöflichkeiten unhöflichst unhöflichste unhöflichstem unhöflichsten unhöflichster unhöflichstes uninformiert uninformierte uninformiertem uninformierten uninformierter uninformiertere uninformierterem uninformierteren uninformierterer uninformierteres uninformiertes uninformiertst uninformiertste uninformiertstem uninformiertsten uninformiertster uninformiertstes unklar unklare unklarem unklaren unklarer unklarere unklarerem unklareren unklarerer unklareres unklares Unklarheit Unklarheiten unklarst unklarste unklarstem unklarsten unklarster unklarstes unklug unkluge unklugem unklugen unkluger unklugere unklugerem unklugeren unklugerer unklugeres unkluges unklugst unklugste unklugstem unklugsten unklugster unklugstes unkorrekt unkorrekte unkorrektem unkorrekten unkorrekter unkorrektere unkorrekterem unkorrekteren unkorrekterer unkorrekteres unkorrektes unkorrektest unkorrekteste unkorrektestem unkorrektesten unkorrektester unkorrektestes unkritisch unkritische unkritischem unkritischen unkritischer unkritischere unkritischerem unkritischeren unkritischerer unkritischeres unkritisches unkritischst unkritischste unkritischstem unkritischsten unkritischster unkritischstes unlauter unlautere unlauterem unlauteren unlauterer unlauterere unlautererem unlautereren unlautererer unlautereres unlauteres unlauterst unlauterste unlauterstem unlautersten unlauterster unlauterstes unlautrer unlautrere unlautrerem unlautreren unlautrerer unlautreres unliebsam unliebsame unliebsamem unliebsamen unliebsamer unliebsamere unliebsamerem unliebsameren unliebsamerer unliebsameres unliebsames unliebsamst unliebsamste unliebsamstem unliebsamsten unliebsamster unliebsamstes unlogisch unlogische unlogischem unlogischen unlogischer unlogischere unlogischerem unlogischeren unlogischerer unlogischeres unlogisches unlogischst unlogischste unlogischstem unlogischsten unlogischster unlogischstes unmenschlich unmenschliche unmenschlichem unmenschlichen unmenschlicher unmenschlichere unmenschlicherem unmenschlicheren unmenschlicherer unmenschlicheres unmenschliches Unmenschlichkeit Unmenschlichkeiten unmenschlichst unmenschlichste unmenschlichstem unmenschlichsten unmenschlichster unmenschlichstes unmöglich unmögliche unmöglichem unmöglichen unmöglicher unmöglichere unmöglicherem unmöglicheren unmöglicherer unmöglicheres unmögliches unmöglichst unmöglichste unmöglichstem unmöglichsten unmöglichster unmöglichstes Unmoral unmoralisch Unmut Unmutes Unmuts unnötig unnötige unnötigem unnötigen unnötiger unnötigere unnötigerem unnötigeren unnötigerer unnötigeres unnötiges unnötigst unnötigste unnötigstem unnötigsten unnötigster unnötigstes unnütz unnütze unnützem unnützen unnützer unnützere unnützerem unnützeren unnützerer unnützeres unnützes unnützest unnützeste unnützestem unnützesten unnützester unnützestes Unordnung Unordnungen unpassend unpassende unpassendem unpassenden unpassender unpassendere unpassenderem unpassenderen unpassenderer unpassenderes unpassendes unpassendst unpassendste unpassendstem unpassendsten unpassendster unpassendstes unpersönlich unpersönliche unpersönlichem unpersönlichen unpersönlicher unpersönlichere unpersönlicherem unpersönlicheren unpersönlicherer unpersönlicheres unpersönliches unpersönlichst unpersönlichste unpersönlichstem unpersönlichsten unpersönlichster unpersönlichstes unpopulär unpopuläre unpopulärem unpopulären unpopulärer unpopulärere unpopulärerem unpopuläreren unpopulärerer unpopuläreres unpopuläres unpopulärst unpopulärste unpopulärstem unpopulärsten unpopulärster unpopulärstes unpraktisch unqualifiziert unqualifizierte unqualifiziertem unqualifizierten unqualifizierter unqualifiziertere unqualifizierterem unqualifizierteren unqualifizierterer unqualifizierteres unqualifiziertes unqualifiziertest unqualifizierteste unqualifiziertestem unqualifiziertesten unqualifiziertester unqualifiziertestes Unrecht Unrechtes Unrechts unredlich unredliche unredlichem unredlichen unredlicher unredlichere unredlicherem unredlicheren unredlicherer unredlicheres unredliches unredlichst unredlichste unredlichstem unredlichsten unredlichster unredlichstes unregelmäßig unregelmäßige unregelmäßigem unregelmäßigen unregelmäßiger unregelmäßigere unregelmäßigerem unregelmäßigeren unregelmäßigerer unregelmäßigeres unregelmäßiges Unregelmäßigkeit Unregelmäßigkeiten unregelmäßigst unregelmäßigste unregelmäßigstem unrege</t>
  </si>
  <si>
    <t>Workbook Settings 65</t>
  </si>
  <si>
    <t>lmäßigsten unregelmäßigster unregelmäßigstes unrentabel unrentabelst unrentabelste unrentabelstem unrentabelsten unrentabelster unrentabelstes Unrentabilität unrentable unrentablem unrentablen unrentabler unrentablere unrentablerem unrentableren unrentablerer unrentableres unrentables Unruhe unruhig unruhige unruhigem unruhigen unruhiger unruhigere unruhigerem unruhigeren unruhigerer unruhigeres unruhiges unruhigst unruhigste unruhigstem unruhigsten unruhigster unruhigstes unrühmlich unrühmliche unrühmlichem unrühmlichen unrühmlicher unrühmlichere unrühmlicherem unrühmlicheren unrühmlicherer unrühmlicheres unrühmliches unrühmlichst unrühmlichste unrühmlichstem unrühmlichsten unrühmlichster unrühmlichstes unsachgemäß unsachgemäße unsachgemäßem unsachgemäßen unsachgemäßer unsachgemäßere unsachgemäßerem unsachgemäßeren unsachgemäßerer unsachgemäßeres unsachgemäßes unsachgemäßst unsachgemäßste unsachgemäßstem unsachgemäßsten unsachgemäßster unsachgemäßstes unsäglich unsägliche unsäglichem unsäglichen unsäglicher unsäglichere unsäglicherem unsäglicheren unsäglicherer unsäglicheres unsägliches unsäglichst unsäglichste unsäglichstem unsäglichsten unsäglichster unsäglichstes unsauber unsaubere unsauberem unsauberen unsauberer unsauberere unsaubererem unsaubereren unsaubererer unsaubereres unsauberes unsauberst unsauberste unsauberstem unsaubersten unsauberster unsauberstes unsaubrer unsaubrere unsaubrerem unsaubreren unsaubrerer unsaubreres unscharf unscharfe unscharfem unscharfen unscharfer unscharfere unscharferem unscharferen unscharferer unscharferes unscharfes unscharfst unscharfste unscharfstem unscharfsten unscharfster unscharfstes unschön unschöne unschönem unschönen unschöner unschönere unschönerem unschöneren unschönerer unschöneres unschönes unschönst unschönste unschönstem unschönsten unschönster unschönstes unselig unselige unseligem unseligen unseliger unseligere unseligerem unseligeren unseligerer unseligeres unseliges unseligst unseligste unseligstem unseligsten unseligster unseligstes unseriös unseriöse unseriösem unseriösen unseriöser unseriösere unseriöserem unseriöseren unseriöserer unseriöseres unseriöses unseriösest unseriöseste unseriösestem unseriösesten unseriösester unseriösestes unsicher unsichere unsicherem unsicheren unsicherer unsicherere unsichererem unsichereren unsichererer unsichereres unsicheres Unsicherheit Unsicherheiten unsicherst unsicherste unsicherstem unsichersten unsicherster unsicherstes unsichrer unsichrere unsichrerem unsichreren unsichrerer unsichreres Unsinn Unsinnes unsinnig Unsinns unsittlich unsittliche unsittlichem unsittlichen unsittlicher unsittlichere unsittlicherem unsittlicheren unsittlicherer unsittlicheres unsittliches unsittlichst unsittlichste unsittlichstem unsittlichsten unsittlichster unsittlichstes unsolidarisch unsolidarische unsolidarischem unsolidarischen unsolidarischer unsolidarischere unsolidarischerem unsolidarischeren unsolidarischerer unsolidarischeres unsolidarisches unsolidarischst unsolidarischste unsolidarischstem unsolidarischsten unsolidarischster unsolidarischstes unsolide unsozial unsoziale unsozialem unsozialen unsozialer unsozialere unsozialerem unsozialeren unsozialerer unsozialeres unsoziales unsozialst unsozialste unsozialstem unsozialsten unsozialster unsozialstes unsportlich unsportliche unsportlichem unsportlichen unsportlicher unsportlichere unsportlicherem unsportlicheren unsportlicherer unsportlicheres unsportliches unsportlichst unsportlichste unsportlichstem unsportlichsten unsportlichster unsportlichstes unstetig unstetige unstetigem unstetigen unstetiger unstetigere unstetigerem unstetigeren unstetigerer unstetigeres unstetiges Unstetigkeit Unstetigkeiten unstetigst unstetigste unstetigstem unstetigsten unstetigster unstetigstes Unstimmigkeit Unstimmigkeiten untauglich untaugliche untauglichem untauglichen untauglicher untauglichere untauglicherem untauglicheren untauglicherer untauglicheres untaugliches untauglichst untauglichste untauglichstem untauglichsten untauglichster untauglichstes unten unterbelichtet unterbrechen Unterbrechung Unterbrechungen unterdrück unterdrücke unterdrücken unterdrückest unterdrücket unterdrückst unterdrückt unterdrückte unterdrückten unterdrücktest unterdrücktet Unterdrückung Unterdrückungen unterentwickelt unterentwickelte unterentwickeltem unterentwickelten unterentwickelter unterentwickeltere unterentwickelterem unterentwickelteren unterentwickelterer unterentwickelteres unterentwickeltes unterentwickeltst unterentwickeltste unterentwickeltstem unterentwickeltsten unterentwickeltster unterentwickeltstes Untergang Untergänge Untergängen Unterganges Untergangs untergedrückt untergehen untergestellt untergraben unterirdisch unterirdische unterirdischem unterirdischen unterirdischer unterirdischere unterirdischerem unterirdischeren unterirdischerer unterirdischeres unterirdisches unterirdischst unterirdischste unterirdischstem unterirdischsten unterirdischster unterirdischstes unterlassen Unterlassung Unterlassungen unterlaufen unterliegen unterstell unterstelle unterstellen unterstellest unterstellet unterstellst unterstellt unterstellte unterstellten unterstelltest unterstelltet unterwerfen Unterwerfung Unterwerfungen unterwürfig unterwürfige unterwürfigem unterwürfigen unterwürfiger unterwürfigere unterwürfigerem unterwürfigeren unterwürfigerer unterwürfigeres unterwürfiges unterwürfigst unterwürfigste unterwürfigstem unterwürfigsten unterwürfigster unterwürfigstes untragbar untragbare untragbarem untragbaren untragbarer untragbarere untragbarerem untragbareren untragbarerer untragbareres untragbares untragbarst untragbarste untragbarstem untragbarsten untragbarster untragbarstes untreu Untreue untreue untreuem untreuen untreuer untreuere untreuerem untreueren untreuerer untreueres untreues untreuest untreueste untreuestem untreuesten untreuester untreuestes untreust untreuste untreustem untreusten untreuster untreustes untröstlich untröstliche untröstlichem untröstl</t>
  </si>
  <si>
    <t>Workbook Settings 66</t>
  </si>
  <si>
    <t>ichen untröstlicher untröstlichere untröstlicherem untröstlicheren untröstlicherer untröstlicheres untröstliches untröstlichst untröstlichste untröstlichstem untröstlichsten untröstlichster untröstlichstes unübersichtlich unübersichtliche unübersichtlichem unübersichtlichen unübersichtlicher unübersichtlichere unübersichtlicherem unübersichtlicheren unübersichtlicherer unübersichtlicheres unübersichtliches unübersichtlichst unübersichtlichste unübersichtlichstem unübersichtlichsten unübersichtlichster unübersichtlichstes unüblich unübliche unüblichem unüblichen unüblicher unüblichere unüblicherem unüblicheren unüblicherer unüblicheres unübliches unüblichst unüblichste unüblichstem unüblichsten unüblichster unüblichstes unverantwortlich unverantwortliche unverantwortliche unverantwortlichem unverantwortlichen unverantwortlicher unverantwortlichere unverantwortlicherem unverantwortlicheren unverantwortlicherer unverantwortlicheres unverantwortliches Unverantwortlichkeit unverantwortlichst unverantwortlichste unverantwortlichstem unverantwortlichsten unverantwortlichster unverantwortlichstes unverbesserlich unverbesserliche unverbesserlichem unverbesserlichen unverbesserlicher unverbesserlichere unverbesserlicherem unverbesserlicheren unverbesserlicherer unverbesserlicheres unverbesserliches unverbesserlichst unverbesserlichste unverbesserlichstem unverbesserlichsten unverbesserlichster unverbesserlichstes unvereinbar unvereinbare unvereinbarem unvereinbaren unvereinbarer unvereinbarere unvereinbarerem unvereinbareren unvereinbarerer unvereinbareres unvereinbares Unvereinbarkeit Unvereinbarkeiten unvereinbarst unvereinbarste unvereinbarstem unvereinbarsten unvereinbarster unvereinbarstes unverhältnismäßig unverhältnismäßige unverhältnismäßigem unverhältnismäßigen unverhältnismäßiger unverhältnismäßigere unverhältnismäßigerem unverhältnismäßigeren unverhältnismäßigerer unverhältnismäßigeres unverhältnismäßiges Unverhältnismäßigkeit unverhältnismäßigst unverhältnismäßigste unverhältnismäßigstem unverhältnismäßigsten unverhältnismäßigster unverhältnismäßigstes unverlangt unverlangte unverlangtem unverlangten unverlangter unverlangtere unverlangterem unverlangteren unverlangterer unverlangteres unverlangtes unverlangtst unverlangtste unverlangtstem unverlangtsten unverlangtster unverlangtstes unvermeidlich unvermeidliche unvermeidlichem unvermeidlichen unvermeidlicher unvermeidlichere unvermeidlicherem unvermeidlicheren unvermeidlicherer unvermeidlicheres unvermeidliches unvermeidlichst unvermeidlichste unvermeidlichstem unvermeidlichsten unvermeidlichster unvermeidlichstes unvernünftig Unverschämtheit Unverschämtheiten unverständlich unverständliche unverständlichem unverständlichen unverständlicher unverständlichere unverständlicherem unverständlicheren unverständlicherer unverständlicheres unverständliches unverständlichst unverständlichste unverständlichstem unverständlichsten unverständlichster unverständlichstes unvollkommen unvollkommene unvollkommenem unvollkommenen unvollkommener unvollkommenere unvollkommenerem unvollkommeneren unvollkommenerer unvollkommeneres unvollkommenes Unvollkommenheit Unvollkommenheiten unvollkommenst unvollkommenste unvollkommenstem unvollkommensten unvollkommenster unvollkommenstes unvollkommner unvollkommnere unvollkommnerem unvollkommneren unvollkommnerer unvollkommneres unvollständig unvollständige unvollständigem unvollständigen unvollständiger unvollständigere unvollständigerem unvollständigeren unvollständigerer unvollständigeres unvollständiges Unvollständigkeit unvollständigst unvollständigste unvollständigstem unvollständigsten unvollständigster unvollständigstes unvorhergesehen unvorhergesehene unvorhergesehenem unvorhergesehenen unvorhergesehener unvorhergesehenere unvorhergesehenerem unvorhergeseheneren unvorhergesehenerer unvorhergeseheneres unvorhergesehenes unvorhergesehenst unvorhergesehenste unvorhergesehenstem unvorhergesehensten unvorhergesehenster unvorhergesehenstes unwahr unwahre unwahrem unwahren unwahrer unwahrere unwahrerem unwahreren unwahrerer unwahreres unwahres Unwahrheit Unwahrheiten unwahrst unwahrste unwahrstem unwahrsten unwahrster unwahrstes unwichtig unwichtige unwichtigem unwichtigen unwichtiger unwichtigere unwichtigerem unwichtigeren unwichtigerer unwichtigeres unwichtiges unwichtigst unwichtigste unwichtigstem unwichtigsten unwichtigster unwichtigstes unwillig unwillige unwilligem unwilligen unwilliger unwilligere unwilligerem unwilligeren unwilligerer unwilligeres unwilliges unwilligst unwilligste unwilligstem unwilligsten unwilligster unwilligstes unwirksam unwirksame unwirksamem unwirksamen unwirksamer unwirksamere unwirksamerem unwirksameren unwirksamerer unwirksameres unwirksames Unwirksamkeit unwirksamst unwirksamste unwirksamstem unwirksamsten unwirksamster unwirksamstes unwirtlich unwirtliche unwirtlichem unwirtlichen unwirtlicher unwirtlichere unwirtlicherem unwirtlicheren unwirtlicherer unwirtlicheres unwirtliches unwirtlichst unwirtlichste unwirtlichstem unwirtlichsten unwirtlichster unwirtlichstes unwirtschaftlich unwirtschaftliche unwirtschaftlichem unwirtschaftlichen unwirtschaftlicher unwirtschaftlichere unwirtschaftlicherem unwirtschaftlicheren unwirtschaftlicherer unwirtschaftlicheres unwirtschaftliches Unwirtschaftlichkeit unwirtschaftlichst unwirtschaftlichste unwirtschaftlichstem unwirtschaftlichsten unwirtschaftlichster unwirtschaftlichstes unwissend unwissende unwissendem unwissenden unwissender unwissendere unwissenderem unwissenderen unwissenderer unwissenderes unwissendes unwissendst unwissendste unwissendstem unwissendsten unwissendster unwissendstes Unwissenheit unwürdig unwürdige unwürdigem unwürdigen unwürdiger unwürdigere unwürdigerem unwürdigeren unwürdigerer unwürdigeres unwürdiges unwürdigst unwürdigste unwürdigstem unwürdigsten unwürdigster unwürdigstes unzivilisiert unzivilisierte unzivilisiertem unzivilisierten unzivilisierter unzivilisiertere unzivilisierterem unzivilisierteren unziv</t>
  </si>
  <si>
    <t>Workbook Settings 67</t>
  </si>
  <si>
    <t>ilisierterer unzivilisierteres unzivilisiertes unzivilisiertest unzivilisierteste unzivilisiertestem unzivilisiertesten unzivilisiertester unzivilisiertestes unzüchtig unzüchtige unzüchtigem unzüchtigen unzüchtiger unzüchtigere unzüchtigerem unzüchtigeren unzüchtigerer unzüchtigeres unzüchtiges unzüchtigst unzüchtigste unzüchtigstem unzüchtigsten unzüchtigster unzüchtigstes unzufrieden unzufriedene unzufriedenem unzufriedenen unzufriedener unzufriedenere unzufriedenerem unzufriedeneren unzufriedenerer unzufriedeneres unzufriedenes Unzufriedenheit unzufriedenst unzufriedenste unzufriedenstem unzufriedensten unzufriedenster unzufriedenstes unzufriedner unzufriednere unzufriednerem unzufriedneren unzufriednerer unzufriedneres unzulässig unzulässige unzulässigem unzulässigen unzulässiger unzulässigere unzulässigerem unzulässigeren unzulässigerer unzulässigeres unzulässiges unzulässigst unzulässigste unzulässigstem unzulässigsten unzulässigster unzulässigstes unzumutbar unzumutbare unzumutbarem unzumutbaren unzumutbarer unzumutbarere unzumutbarerem unzumutbareren unzumutbarerer unzumutbareres unzumutbares Unzumutbarkeit Unzumutbarkeiten unzumutbarst unzumutbarste unzumutbarstem unzumutbarsten unzumutbarster unzumutbarstes unzurechnungsfähig unzurechnungsfähige unzurechnungsfähigem unzurechnungsfähigen unzurechnungsfähiger unzurechnungsfähigere unzurechnungsfähigerem unzurechnungsfähigeren unzurechnungsfähigerer unzurechnungsfähigeres unzurechnungsfähiges unzurechnungsfähigst unzurechnungsfähigste unzurechnungsfähigstem unzurechnungsfähigsten unzurechnungsfähigster unzurechnungsfähigstes unzureichend unzureichende unzureichendem unzureichenden unzureichender unzureichendere unzureichenderem unzureichenderen unzureichenderer unzureichenderes unzureichendes unzureichendst unzureichendste unzureichendstem unzureichendsten unzureichendster unzureichendstes unzusammenhängend unzusammenhängende unzusammenhängendem unzusammenhängenden unzusammenhängender unzusammenhängendere unzusammenhängenderem unzusammenhängenderen unzusammenhängenderer unzusammenhängenderes unzusammenhängendes unzusammenhängendst unzusammenhängendste unzusammenhängendstem unzusammenhängendsten unzusammenhängendster unzusammenhängendstes unzuverlässig unzuverlässige unzuverlässigem unzuverlässigen unzuverlässiger unzuverlässigere unzuverlässigerem unzuverlässigeren unzuverlässigerer unzuverlässigeres unzuverlässiges Unzuverlässigkeit unzuverlässigst unzuverlässigste unzuverlässigstem unzuverlässigsten unzuverlässigster unzuverlässigstes vage Vagheit Vagheiten verabscheuungswürdig verabscheuungswürdige verabscheuungswürdigem verabscheuungswürdigen verabscheuungswürdiger verabscheuungswürdigere verabscheuungswürdigerem verabscheuungswürdigeren verabscheuungswürdigerer verabscheuungswürdigeres verabscheuungswürdiges verabscheuungswürdigst verabscheuungswürdigste verabscheuungswürdigstem verabscheuungswürdigsten verabscheuungswürdigster verabscheuungswürdigstes veracht verachte verachten verachtest verachtet verachtete verachteten verachtetest verachtetet verächtlich verächtliche verächtlichem verächtlichen verächtlicher verächtlichere verächtlicherem verächtlicheren verächtlicherer verächtlicheres verächtliches verächtlichst verächtlichste verächtlichstem verächtlichsten verächtlichster verächtlichstes verachtte verachtten verachttest verachttet Verachtung veraltet verängstigt verärger verärgere verärgeren verärgern verärgerst verärgert verärgerte verärgerten verärgertest verärgertet verarschen verbann verbanne verbannen verbannest verbannet verbannst verbannt verbannte verbannten verbanntest verbanntet Verbannung Verbannungen verbeul verbeule verbeulen verbeulest verbeulet verbeulst verbeult verbeulte verbeulten verbeultest verbeultet verbieten verbittert verblass verblasse verblassen verblassest verblasset verblasst verblasste verblassten verblasstest verblasstet Verbot Verbote verboten Verboten verbotene verbotenem verbotenen verbotener verbotenere verbotenerem verboteneren verbotenerer verboteneres verbotenes verbotenst verbotenste verbotenstem verbotensten verbotenster verbotenstes Verbotes verbotner verbotnere verbotnerem verbotneren verbotnerer verbotneres Verbots Verdacht Verdachte Verdachten Verdachtes Verdächtige Verdachts verdamm verdamme verdammen verdammest verdammet verdammst verdammt verdammt verdammte verdammte verdammtem verdammten verdammten verdammter verdammtere verdammterem verdammteren verdammterer verdammteres verdammtes verdammtest verdammtest verdammteste verdammtestem verdammtesten verdammtester verdammtestes verdammtet verdeck verdecke verdecken verdeckest verdecket verdeckst verdeckt verdeckte verdeckten verdecktest verdecktet verderben verderblich verderbliche verderblichem verderblichen verderblicher verderblichere verderblicherem verderblicheren verderblicherer verderblicheres verderbliches verderblichst verderblichste verderblichstem verderblichsten verderblichster verderblichstes verdorben verdorbene verdorbenem verdorbenen verdorbener verdorbenere verdorbenerem verdorbeneren verdorbenerer verdorbeneres verdorbenes Verdorbenheit verdorbenst verdorbenste verdorbenstem verdorbensten verdorbenster verdorbenstes verdorbner verdorbnere verdorbnerem verdorbneren verdorbnerer verdorbneres verdräng verdränge verdrängen verdrängest verdränget verdrängst verdrängt verdrängte verdrängten verdrängtest verdrängtet Verdrängung Verdrängungen verdrießlich verdrießliche verdrießlichem verdrießlichen verdrießlicher verdrießlichere verdrießlicherem verdrießlicheren verdrießlicherer verdrießlicheres verdrießliches verdrießlichst verdrießlichste verdrießlichstem verdrießlichsten verdrießlichster verdrießlichstes verdunkel verdunkele verdunkelen verdunkeln verdunkelst verdunkelt verdunkelte verdunkelten verdunkeltest verdunkeltet verdunkl verdunkle vereitel vereitele vereitelen vereiteln vereitelst vereitelt vereitelte vereitelten vereiteltest vereiteltet vereitl vereitle Verfall verfallen verfallene verfallenem verfallene</t>
  </si>
  <si>
    <t>Workbook Settings 68</t>
  </si>
  <si>
    <t>n verfallener verfallenere verfallenerem verfalleneren verfallenerer verfalleneres verfallenes verfallenst verfallenste verfallenstem verfallensten verfallenster verfallenstes Verfalles verfallner verfallnere verfallnerem verfallneren verfallnerer verfallneres Verfalls verfälsch verfälsche verfälschen verfälschest verfälschet verfälschst verfälscht verfälschte verfälschten verfälschtest verfälschtet verfassungswidrig verfehl verfehle verfehlen verfehlest verfehlet verfehlst verfehlt verfehlte verfehlten verfehltest verfehltet Verfehlung Verfehlungen verfluch verfluche verfluchen verfluchest verfluchet verfluchst verflucht verfluchte verfluchten verfluchtest verfluchtet vergammelt vergammelte vergammeltem vergammelten vergammelter vergammeltere vergammelterem vergammelteren vergammelterer vergammelteres vergammeltes vergammeltst vergammeltste vergammeltstem vergammeltsten vergammeltster vergammeltstes vergeblich vergebliche vergeblichem vergeblichen vergeblicher vergeblichere vergeblicherem vergeblicheren vergeblicherer vergeblicheres vergebliches vergeblichst vergeblichste vergeblichstem vergeblichsten vergeblichster vergeblichstes vergelten Vergeltung Vergeltungen Vergeltungsmaßnahme Vergeltungsmaßnahmen vergesenkt vergeud vergeude vergeuden vergeudest vergeudet vergeudete vergeudeten vergeudetest vergeudetet vergeudte vergeudten vergeudtest vergeudtet Vergeudung Vergeudungen vergewaltig vergewaltige vergewaltigen vergewaltigest vergewaltiget vergewaltigst vergewaltigt vergewaltigte vergewaltigten vergewaltigtest vergewaltigtet Vergewaltigung Vergewaltigungen vergezögert Verhängnis Verhängnise Verhängnisen Verhängnises Verhängniss Verhängnisse Verhängnissen Verhängnisses verhängnisvoll verharmlos verharmlose verharmlosen verharmlosest verharmloset verharmlost verharmloste verharmlosten verharmlostest verharmlostet verhasst verhasste verhasstem verhassten verhasster verhasstere verhassterem verhassteren verhassterer verhassteres verhasstes verhasstest verhassteste verhasstestem verhasstesten verhasstester verhasstestes verheer verheere verheeren verheerend verheerende verheerendem verheerenden verheerender verheerendere verheerenderem verheerenderen verheerenderer verheerenderes verheerendes verheerendst verheerendste verheerendstem verheerendsten verheerendster verheerendstes verheern verheerst verheert verheerte verheerten verheertest verheertet verherrlich verherrliche verherrlichen verherrlichest verherrlichet verherrlichst verherrlicht verherrlichte verherrlichten verherrlichtest verherrlichtet Verherrlichung verhöhn verhöhne verhöhnen verhöhnest verhöhnet verhöhnst verhöhnt verhöhnte verhöhnten verhöhntest verhöhntet verirr verirre verirren verirrest verirret verirrst verirrt verirrte verirrten verirrtest verirrtet verkehrswidrig verkehrswidrige verkehrswidrigem verkehrswidrigen verkehrswidriger verkehrswidrigere verkehrswidrigerem verkehrswidrigeren verkehrswidrigerer verkehrswidrigeres verkehrswidriges verkehrswidrigst verkehrswidrigste verkehrswidrigstem verkehrswidrigsten verkehrswidrigster verkehrswidrigstes verkleiner verkleinere verkleineren verkleinern verkleinerst verkleinert verkleinerte verkleinerten verkleinertest verkleinertet Verkleinerung Verkleinerungen verkrüppeln verlangsam verlangsame verlangsamen verlangsamest verlangsamet verlangsamst verlangsamt verlangsamte verlangsamten verlangsamtest verlangsamtet Verlangsamung Verlangsamungen verletz verletzbar verletzbare verletzbarem verletzbaren verletzbarer verletzbarere verletzbarerem verletzbareren verletzbarerer verletzbareres verletzbares verletzbarst verletzbarste verletzbarstem verletzbarsten verletzbarster verletzbarstes verletze verletzen verletzest verletzet verletzlich verletzliche verletzlichem verletzlichen verletzlicher verletzlichere verletzlicherem verletzlicheren verletzlicherer verletzlicheres verletzliches verletzlichst verletzlichste verletzlichstem verletzlichsten verletzlichster verletzlichstes verletzt verletzt verletzte verletzte verletztem verletzten verletzten verletzter verletztere verletzterem verletzteren verletzterer verletzteres verletztes verletztest verletztest verletzteste verletztestem verletztesten verletztester verletztestes verletztet Verletzung Verletzungen verleumd verleumde verleumden verleumdest verleumdet verleumdete verleumdeten verleumdetest verleumdetet verleumdte verleumdten verleumdtest verleumdtet Verleumdung Verleumdungen verlieren Verlierer Verlierern Verlierers verlogen verlogene verlogenem verlogenen verlogener verlogenere verlogenerem verlogeneren verlogenerer verlogeneres verlogenes verlogenst verlogenste verlogenstem verlogensten verlogenster verlogenstes verlogner verlognere verlognerem verlogneren verlognerer verlogneres Verlust vermeiden Vermeidung Vermeidungen verminder vermindere verminderen vermindern verminderst vermindert verminderte verminderten vermindertest vermindertet Verminderung Verminderungen Vernachlässigung Vernachlässigungen vernicht vernichte vernichten vernichtend vernichtest vernichtet vernichtete vernichteten vernichtetest vernichtetet vernichtte vernichtten vernichttest vernichttet Vernichtung Vernichtungen Verrat Verrate verraten Verraten Verräter verräterisch verräterische verräterischem verräterischen verräterischer verräterischere verräterischerem verräterischeren verräterischerer verräterischeres verräterisches verräterischst verräterischste verräterischstem verräterischsten verräterischster verräterischstes Verrätern Verräters Verrates Verrats verringern verrucht verruchte verruchtem verruchten verruchter verruchtere verruchterem verruchteren verruchterer verruchteres verruchtes verruchtest verruchteste verruchtestem verruchtesten verruchtester verruchtestes verrückt verrückte verrücktem verrückten Verrückter verrückter verrücktere verrückterem verrückteren verrückterer verrückteres verrücktes verrücktest verrückteste verrücktestem verrücktesten verrücktester verrücktestes Verrücktheit Verrücktheiten Versagen Versäumnis Versäumnise Ver</t>
  </si>
  <si>
    <t>Workbook Settings 69</t>
  </si>
  <si>
    <t>säumnisen Versäumnises Versäumniss verschimmelt verschlechtern Verschlechterung Verschlechterungen verschlepp verschleppe verschleppen verschleppest verschleppet verschleppst verschleppt verschleppte verschleppten verschlepptest verschlepptet verschleuder verschleudere verschleuderen verschleudern verschleuderst verschleudert verschleuderte verschleuderten verschleudertest verschleudertet verschlingen verschmutz verschmutze verschmutzen verschmutzest verschmutzet verschmutzt verschmutzte verschmutzten verschmutztest verschmutztet Verschmutzung Verschmutzungen verschwend verschwende verschwenden verschwenderisch verschwenderische verschwenderischem verschwenderischen verschwenderischer verschwenderischere verschwenderischerem verschwenderischeren verschwenderischerer verschwenderischeres verschwenderisches verschwenderischst verschwenderischste verschwenderischstem verschwenderischsten verschwenderischster verschwenderischstes verschwendest verschwendet verschwendete verschwendeten verschwendetest verschwendetet verschwendte verschwendten verschwendtest verschwendtet Verschwendung Verschwendungen verschwinden Verschwörung Verschwörungen versenk versenke versenken versenkest versenket versenkst versenkt versenkte versenkten versenktest versenktet Versenkung Versenkungen versklav versklave versklaven versklavest versklavet versklavst versklavt versklavt versklavte versklavte versklavtem versklavten versklavten versklavter versklavtere versklavterem versklavteren versklavterer versklavteres versklavtes versklavtest versklavtest versklavteste versklavtestem versklavtesten versklavtester versklavtestes versklavtet Versklavung Versklavungen verspätet verspiel verspiele verspielen verspielest verspielet verspielst verspielt verspielte verspielten verspieltest verspieltet verstimm verstimme verstimmen verstimmest verstimmet verstimmst verstimmt verstimmte verstimmten verstimmtest verstimmtet verstopfen Verstoß Verstöße verstoßen Verstößen Verstoßes Verstoßs verstrick verstricke verstricken verstrickest verstricket verstrickst verstrickt verstrickte verstrickten verstricktest verstricktet Verstrickung Verstrickungen Versuchung Versuchungen vertreiben Vertreibung Vertreibungen verurteil verurteile verurteilen verurteilest verurteilet verurteilst verurteilt verurteilte verurteilten verurteiltest verurteiltet Verurteilung Verurteilungen Verweigerung Verweigerungen verwelken verwerflich verwerfliche verwerflichem verwerflichen verwerflicher verwerflichere verwerflicherem verwerflicheren verwerflicherer verwerflicheres verwerfliches verwerflichst verwerflichste verwerflichstem verwerflichsten verwerflichster verwerflichstes Verwerfung Verwerfungen verwickel verwickele verwickelen verwickeln verwickelst verwickelt verwickelte verwickelten verwickeltest verwickeltet verwickl verwickle verwirr verwirre verwirren verwirrest verwirret verwirrst verwirrt verwirrte verwirrten verwirrtest verwirrtet Verwirrung Verwirrungen verworren verworrene verworrenem verworrenen verworrener verworrenere verworrenerem verworreneren verworrenerer verworreneres verworrenes verworrenst verworrenste verworrenstem verworrensten verworrenster verworrenstes verworrner verworrnere verworrnerem verworrneren verworrnerer verworrneres verwund verwunde verwunden verwundest verwundet verwundete verwundeten verwundetest verwundetet verwundte verwundten verwundtest verwundtet Verwundung Verwundungen verwüst verwüste verwüsten verwüstest verwüstet verwüstst verwüstt verwüstte verwüstten verwüsttest verwüsttet Verwüstung Verwüstungen verzerr verzerre verzerren verzerrest verzerret verzerrst verzerrt verzerrte verzerrten verzerrtest verzerrtet Verzerrung Verzerrungen Verzicht Verzichte verzichten Verzichten Verzichtes Verzichts verzöger verzögere verzögeren verzögern verzögerst verzögert verzögerte verzögerten verzögertest verzögertet Verzögerung Verzögerungen verzweifel verzweifele verzweifelen verzweifeln verzweifelst verzweifelt verzweifelt verzweifelte verzweifelte verzweifeltem verzweifelten verzweifelten verzweifelter verzweifeltere verzweifelterem verzweifelteren verzweifelterer verzweifelteres verzweifeltes verzweifeltest verzweifeltet verzweifeltst verzweifeltste verzweifeltstem verzweifeltsten verzweifeltster verzweifeltstes verzweifl verzweifle Verzweiflung Verzweiflungen verzwickt verzwickte verzwicktem verzwickten verzwickter verzwicktere verzwickterem verzwickteren verzwickterer verzwickteres verzwicktes verzwicktest verzwickteste verzwicktestem verzwicktesten verzwicktester verzwicktestes volltrunken volltrunkene volltrunkenem volltrunkenen volltrunkener volltrunkenere volltrunkenerem volltrunkeneren volltrunkenerer volltrunkeneres volltrunkenes volltrunkenst volltrunkenste volltrunkenstem volltrunkensten volltrunkenster volltrunkenstes vorhersehbar vorhersehbare vorhersehbarem vorhersehbaren vorhersehbarer vorhersehbarere vorhersehbarerem vorhersehbareren vorhersehbarerer vorhersehbareres vorhersehbares vorhersehbarst vorhersehbarste vorhersehbarstem vorhersehbarsten vorhersehbarster vorhersehbarstes Vorurteil Vorurteile Vorurteilen Vorurteils Vorwand Vorwände Vorwänden Vorwandes Vorwands vorwerfen Vorwurf Vorwürfe Vorwürfen Vorwurfes Vorwurfs vorzeitig vorzeitige vorzeitigem vorzeitigen vorzeitiger vorzeitigere vorzeitigerem vorzeitigeren vorzeitigerer vorzeitigeres vorzeitiges vorzeitigst vorzeitigste vorzeitigstem vorzeitigsten vorzeitigster vorzeitigstes vulgär vulgäre vulgärem vulgären vulgärer vulgärere vulgärerem vulgäreren vulgärerer vulgäreres vulgäres vulgärst vulgärste vulgärstem vulgärsten vulgärster vulgärstes wackel wackele wackelen wackelig wackelige wackeligem wackeligen wackeliger wackeligere wackeligerem wackeligeren wackeligerer wackeligeres wackeliges wackeligst wackeligste wackeligstem wackeligsten wackeligster wackeligstes wackeln wackelst wackelt wackelte wackelten wackeltest wackeltet wackl wackle Wahnsinn wahnsinnig wahnsinnige wahnsinnigem wahnsinnigen wahnsinniger wahnsinnigere wahnsinnigerem wahns</t>
  </si>
  <si>
    <t>Workbook Settings 70</t>
  </si>
  <si>
    <t>innigeren wahnsinnigerer wahnsinnigeres wahnsinniges wahnsinnigst wahnsinnigste wahnsinnigstem wahnsinnigsten wahnsinnigster wahnsinnigstes Wahnsinns wankelmütig wankelmütige wankelmütigem wankelmütigen wankelmütiger wankelmütigere wankelmütigerem wankelmütigeren wankelmütigerer wankelmütigeres wankelmütiges wankelmütigst wankelmütigste wankelmütigstem wankelmütigsten wankelmütigster wankelmütigstes wegfallen weglassen wehklagend wein weine weinen weinest weinet weinst weint weinte weinten weintest weintet welk welke welken welkest welket welkst welkt welkte welkten welktest welktet Wermutstropfen Wermutstropfens wertlos wertlose wertlosem wertlosen wertloser wertlosere wertloserem wertloseren wertloserer wertloseres wertloses wertlosest wertloseste wertlosestem wertlosesten wertlosester wertlosestes Wertlosigkeit Wertverlust Wertverluste Wertverlusten Wertverlustes Wertverlusts wettbewerbswidrig Wichtigtuer Wichtigtuern Wichtigtuers wichtigtun widergelegt widerleg widerlege widerlegen widerlegest widerleget widerlegst widerlegt widerlegte widerlegten widerlegtest widerlegtet widernatürlich widernatürliche widernatürlichem widernatürlichen widernatürlicher widernatürlichere widernatürlicherem widernatürlicheren widernatürlicherer widernatürlicheres widernatürliches Widernatürlichkeit Widernatürlichkeiten widernatürlichst widernatürlichste widernatürlichstem widernatürlichsten widernatürlichster widernatürlichstes Widerruf widerrufen Widerrufs widersinnig widersinnige widersinnigem widersinnigen widersinniger widersinnigere widersinnigerem widersinnigeren widersinnigerer widersinnigeres widersinniges widersinnigst widersinnigste widersinnigstem widersinnigsten widersinnigster widersinnigstes widerspenstig widerspenstige widerspenstigem widerspenstigen widerspenstiger widerspenstigere widerspenstigerem widerspenstigeren widerspenstigerer widerspenstigeres widerspenstiges widerspenstigst widerspenstigste widerspenstigstem widerspenstigsten widerspenstigster widerspenstigstes widersprechen Widerspruch Widersprüche Widersprüchen Widerspruches widersprüchlich widersprüchliche widersprüchlichem widersprüchlichen widersprüchlicher widersprüchlichere widersprüchlicherem widersprüchlicheren widersprüchlicherer widersprüchlicheres widersprüchliches widersprüchlichst widersprüchlichste widersprüchlichstem widersprüchlichsten widersprüchlichster widersprüchlichstes Widerspruchs widerwärtig widerwärtige widerwärtigem widerwärtigen widerwärtiger widerwärtigere widerwärtigerem widerwärtigeren widerwärtigerer widerwärtigeres widerwärtiges widerwärtigst widerwärtigste widerwärtigstem widerwärtigsten widerwärtigster widerwärtigstes widrig widrige widrigem widrigen widriger widrigere widrigerem widrigeren widrigerer widrigeres widriges Widrigkeit Widrigkeiten widrigst widrigste widrigstem widrigsten widrigster widrigstes willkürlich willkürliche willkürlichem willkürlichen willkürlicher willkürlichere willkürlicherem willkürlicheren willkürlicherer willkürlicheres willkürliches willkürlichst willkürlichste willkürlichstem willkürlichsten willkürlichster willkürlichstes wirkungslos wirkungslose wirkungslosem wirkungslosen wirkungsloser wirkungslosere wirkungsloserem wirkungsloseren wirkungsloserer wirkungsloseres wirkungsloses wirkungslosest wirkungsloseste wirkungslosestem wirkungslosesten wirkungslosester wirkungslosestes wirr wirre wirrem wirren wirrer wirrere wirrerem wirreren wirrerer wirreres wirres wirrst wirrste wirrstem wirrsten wirrster wirrstes Wirtschaftskrise Wirtschaftskrisen Wrack Wracks Wunde Wunden würgen Wüste Wüsten Wut wüt wüte wüten wütend wutentbrannt wutentbrannte wutentbranntem wutentbrannten wutentbrannter wutentbranntere wutentbrannterem wutentbrannteren wutentbrannterer wutentbrannteres wutentbranntes wutentbranntst wutentbranntste wutentbranntstem wutentbranntsten wutentbranntster wutentbranntstes wütest wütet wütete wüteten wütetest wütetet wutschäumend wutschäumende wutschäumendem wutschäumenden wutschäumender wutschäumendere wutschäumenderem wutschäumenderen wutschäumenderer wutschäumenderes wutschäumendes wutschäumendst wutschäumendste wutschäumendstem wutschäumendsten wutschäumendster wutschäumendstes wütte wütten wüttest wüttet zahlungsunfähig Zahlungsunfähigkeit Zahlungsunfähigkeiten zappel zappele zappelen zappeln zappelst zappelt zappelte zappelten zappeltest zappeltet zappl zapple zauder zaudere zauderen zaudern zauderst zaudert zauderte zauderten zaudertest zaudertet Zeitverschwendung Zeitverschwendungen zensier zensiere zensieren zensierest zensieret zensierst zensiert zensierte zensierten zensiertest zensiertet Zensur Zensuren zerbrechen zerfressen zerr zerre zerren zerrest zerret zerrissen zerrissene zerrissenem zerrissenen zerrissener zerrissenere zerrissenerem zerrisseneren zerrissenerer zerrisseneres zerrissenes zerrissenst zerrissenste zerrissenstem zerrissensten zerrissenster zerrissenstes zerrst zerrt zerrte zerrten zerrtest zerrtet Zerrung Zerrungen zerschlagen zerschlagene zerschlagenem zerschlagenen zerschlagener zerschlagenere zerschlagenerem zerschlageneren zerschlagenerer zerschlageneres zerschlagenes zerschlagenst zerschlagenste zerschlagenstem zerschlagensten zerschlagenster zerschlagenstes Zerschlagung Zerschlagungen zerschmetter zerschmettere zerschmetteren zerschmettern zerschmetterst zerschmettert zerschmetterte zerschmetterten zerschmettertest zerschmettertet zerschunden zerschundene zerschundenem zerschundenen zerschundener zerschundenere zerschundenerem zerschundeneren zerschundenerer zerschundeneres zerschundenes zerschundenst zerschundenste zerschundenstem zerschundensten zerschundenster zerschundenstes zerschundner zerschundnere zerschundnerem zerschundneren zerschundnerer zerschundneres zersetz zersetze zersetzen zersetzend zersetzest zersetzet zersetzt zersetzte zersetzten zersetztest zersetztet zerstör zerstöre zerstören zerstörerisch zerstörerische zerstörerischem zerstörerischen zerstörerischer zerstörerischere zerstörerischerem zerstörer</t>
  </si>
  <si>
    <t>Workbook Settings 71</t>
  </si>
  <si>
    <t>ischeren zerstörerischerer zerstörerischeres zerstörerisches zerstörerischst zerstörerischste zerstörerischstem zerstörerischsten zerstörerischster zerstörerischstes zerstörest zerstöret zerstörst zerstört zerstört zerstörte zerstörten zerstörtest zerstörtet Zerstörung Zerstörungen zerstreuen ziellos ziellose ziellosem ziellosen zielloser ziellosere zielloserem zielloseren zielloserer zielloseres zielloses ziellosest zielloseste ziellosestem ziellosesten ziellosester ziellosestes Ziellosigkeit zitter zittere zitteren zittern zitterst zittert zitterte zitterten zittertest zittertet zöger zögere zögeren zögern zögerst zögert zögerte zögerten zögertest zögertet Zoll Zölle Zöllen Zolles Zolln Zolls Zorn zornig zornige zornigem zornigen zorniger zornigere zornigerem zornigeren zornigerer zornigeres zorniges zornigst zornigste zornigstem zornigsten zornigster zornigstes züchtig züchtige züchtigen züchtigest züchtiget züchtigst züchtigt züchtigte züchtigten züchtigtest züchtigtet Zumutung Zumutungen zurückbleiben zurückgeben zurückgegeben zurückgehen zurückgeschickt zurückgeschickt zurückgeschickte zurückgeschicktem zurückgeschickten zurückgeschickter zurückgeschicktere zurückgeschickterem zurückgeschickteren zurückgeschickterer zurückgeschickteres zurückgeschicktes zurückgeschicktst zurückgeschicktste zurückgeschicktstem zurückgeschicktsten zurückgeschicktster zurückgeschicktstes zurückhalten zurückschick zurückschicke zurückschicken zurückschickest zurückschicket zurückschickst zurückschickt zurückschickte zurückschickten zurückschicktest zurückschicktet zusammenbrechen Zusammenbruch Zusammenbrüche Zusammenbrüchen Zusammenbruches Zusammenbruchs zusammenhanglos zusammenhanglose zusammenhanglosem zusammenhanglosen zusammenhangloser zusammenhanglosere zusammenhangloserem zusammenhangloseren zusammenhangloserer zusammenhangloseres zusammenhangloses zusammenhanglosest zusammenhangloseste zusammenhanglosestem zusammenhanglosesten zusammenhanglosester zusammenhanglosestes zusammenrechen zusammenschlagen Zusammenstoß Zusammenstöße zusammenstoßen Zusammenstößen Zusammenstoßes Zusammenstoßs Zwang Zwänge Zwängen Zwanges Zwangs Zwangslage Zwangslagen Zwangsmaßnahmen zwecklos zwecklose zwecklosem zwecklosen zweckloser zwecklosere zweckloserem zweckloseren zweckloserer zweckloseres zweckloses zwecklosest zweckloseste zwecklosestem zwecklosesten zwecklosester zwecklosestes zweideutig zweideutige zweideutigem zweideutigen zweideutiger zweideutigere zweideutigerem zweideutigeren zweideutigerer zweideutigeres zweideutiges zweideutigst zweideutigste zweideutigstem zweideutigsten zweideutigster zweideutigstes Zweifel zweifel zweifele zweifelen zweifelhaft zweifelhafte zweifelhaftem zweifelhaften zweifelhafter zweifelhaftere zweifelhafterem zweifelhafteren zweifelhafterer zweifelhafteres zweifelhaftes zweifelhaftest zweifelhafteste zweifelhaftestem zweifelhaftesten zweifelhaftester zweifelhaftestes zweifeln zweifelst zweifelt zweifelte zweifelten zweifeltest zweifeltet zweifl zweifle zweitklassig zweitklassige zweitklassigem zweitklassigen zweitklassiger zweitklassigere zweitklassigerem zweitklassigeren zweitklassigerer zweitklassigeres zweitklassiges zweitklassigst zweitklassigste zweitklassigstem zweitklassigsten zweitklassigster zweitklassigstes zwiespältig zwiespältige zwiespältigem zwiespältigen zwiespältiger zwiespältigere zwiespältigerem zwiespältigeren zwiespältigerer zwiespältigeres zwiespältiges zwiespältigst zwiespältigste zwiespältigstem zwiespältigsten zwiespältigster zwiespältigstes Zwietracht zwieträchtig zwieträchtige zwieträchtigem zwieträchtigen zwieträchtiger zwieträchtigere zwieträchtigerem zwieträchtigeren zwieträchtigerer zwieträchtigeres zwieträchtiges zwieträchtigst zwieträchtigste zwieträchtigstem zwieträchtigsten zwieträchtigster zwieträchtigstes zwingen▓AddVertexContent░True▓AddWordList░True&lt;/value&gt;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
  </si>
  <si>
    <t>Workbook Settings 72</t>
  </si>
  <si>
    <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Silver Yellow True False True&lt;/value&gt;
      &lt;/setting&gt;
      &lt;setting name="EdgeAlphaDetails" serializeAs="String"&gt;
        &lt;value&gt;False False 0 0 25 8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t>
  </si>
  <si>
    <t>Workbook Settings 73</t>
  </si>
  <si>
    <t>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550 255, 255, 128 86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t>
  </si>
  <si>
    <t>Workbook Settings 74</t>
  </si>
  <si>
    <t>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</si>
  <si>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Workbook Settings Cell Count</t>
  </si>
  <si>
    <t>Directed</t>
  </si>
  <si>
    <t xml:space="preserve">&lt;?xml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&lt;value&gt;D:\NodeXL\_youtube&lt;/value&gt;
      &lt;/setting&gt;
    &lt;/ExportToPowerPointUserSettings&gt;
    &lt;ExportDataUserSettings&gt;
      &lt;setting name="BrandURL" serializeAs="String"&gt;
        &lt;value /&gt;
      &lt;/setting&gt;
      &lt;setting name="URL" serializeAs="String"&gt;
        &lt;value /&gt;
      &lt;/setting&gt;
      &lt;setting name="ActionLabel" serializeAs="String"&gt;
        &lt;value /&gt;
      &lt;/setting&gt;
      &lt;setting name="ActionURL" serializeAs="String"&gt;
        &lt;value /&gt;
 </t>
  </si>
  <si>
    <t xml:space="preserve">     &lt;/setting&gt;
      &lt;setting name="BrandLogo" serializeAs="String"&gt;
        &lt;value /&gt;
      &lt;/setting&gt;
      &lt;setting name="Hashtag" serializeAs="String"&gt;
        &lt;value /&gt;
      &lt;/setting&gt;
    &lt;/ExportDataUserSettings&gt;
    &lt;AutoScaleUserSettings&gt;
      &lt;setting name="AutoScale" serializeAs="String"&gt;
        &lt;value&gt;True&lt;/value&gt;
      &lt;/setting&gt;
    &lt;/AutoScaleUserSettings&gt;
    &lt;PlugInUserSettings&gt;
      &lt;setting name="PlugInFolderPath" serializeAs="String"&gt;
        &lt;value&gt;D:\Dropbox\_NodeXL\NodeXL Addins&lt;/value&gt;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&lt;ExportToNodeXLGraphGalleryUserSettings&gt;
      &lt;setting name="SpaceDelimitedTags" serializeAs="String"&gt;
        &lt;value&gt;#NodeXL #nxlyoutube&lt;/value&gt;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t>
  </si>
  <si>
    <t>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t>
  </si>
  <si>
    <t xml:space="preserve">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&lt;value&gt;mail.domain.abc&lt;/value&gt;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recommended Youtube videos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t>
  </si>
  <si>
    <t xml:space="preserve">  &lt;/setting&gt;
      &lt;setting name="WordMetricUserSettings" serializeAs="String"&gt;
        &lt;value&gt;CalculateSentiment░True▓TextColumnIsOnEdgeWorksheet░True▓TextColumnName░Comment▓CountByGroup░True▓SkipSingleTerms░True▓WordsToSkip░0 1 2 3 4 5 6 7 8 9 39 #39 a á à â å ä ã ab aber able about above abroad abst accordance according accordingly across actually added after afterwards again against ago ah ahead ahora ain't aint al all allow allows almost alone along alongside already als also also although always am amid amidst among amongst amoungst amp an and años another any anybody anyhow anymore anyone anything anyway anyways anywhere apart apparently aqui aquí are area areas aren aren't arent arise around arpa as así aside aspx aspx at au auch auf aunque aus avec aw away b back backs backward backwards be became because become becomes becoming been before beforehand began begin beginning beginnings begins behind bei beim below beside besides between beyond bin bis both bottom br br briefly but by c c'mon c's cada came can can't cannot cant cause causes cc ce certain certainly channel che clear clearly cmon com come comes como con consequently contain containing contains could could've couldn couldn't couldnt cry cuando currently d ð da damit dann dans dare daren't darent das dass date day days de dear definitely dein deine deinem deinen deiner deines del della dem den denen denn der deren des desde despite después dessen di dich did didn didn't didnt diese diesem diesen dieses different differently dijo dir directly dm do doch does doesn doesn't doesnt doing don don't donde done dont dort dos du due durante durch during ðÿ ðÿš e é è each early edu een eg eh eight eighty ein eine einem einen einer eines either el él eleven ella elle else else elsewhere en enough entirely entre er era es ès esa ese eso especially essai est esta está este esto estos et étaient étais était etant étant état été étée étées étés êtes étiez étions etre être etwa etwas euch euer euren eures even evenly ever evermore every everybody everyone everything everywhere exactly example except f face faces fais fait faites felt few fewer ff fifteen fifth fifty fify fill find finds first five fois follow for för forever former formerly forth forty forward found four fr free from front fue full fully für further furthered furthering furthermore furthers g gave general generally get get gets getting give given gives giving gleich go goes going gone got gotten h ha haben había hace had hadn't hadnt half han happens hardly has hasn hasn't hasnt hasta hat hatte hätte hatten hätten hättest have haven haven't havent having hay he he'd he'll he's hello hence her here here's hereafter hereby herein heres hereupon hers herself het hi hier him himself his hour hours how how'd how'll how's howbeit however href href html http https hundred i ï i.e. i'd i'll i'm i've ich ici ie if ihm ihn ihnen ihr ihre ihrem ihren il im im immediate immediately in in inasmuch indeed inner ins inside insofar instead int into inward is isn isn't isn't isnt ist it it'd it'll it's itd itll its itself ive j je jetzt just k kann knew know known knows können konnte könnte konnten könnten konntest könntest konntet l la las last lately later latest latter latterly le least les less lest let let's lets likely likewise little lo look looking looks los low m made mainly make makes making many más may maybe mayn't maynt me me mean means meantime meanwhile mein meine meinem meines menos merely mi mich might might might've might've mightn't mightnt mine mir mismo mit moi more moreover most most mostly move mr mrs ms much mucho muchos muss musste müsste mussten müssten müsstest must must've mustn't mustnt muy my myself n ñ  na na nach name namely nay ne near nearly necessarily necessary need needed needing needn't neednt needs neither neither net never neverless nevertheless new newer newest next ni nicht nine ninety no no no-one nobody noch non none nonetheless noone nor nor normally nos nos nosotras nosotros nosotros not noted nothing notwithstanding nous now nowhere nu nuestra nuestras nuestro nuestros number numbers nun nur o ó ò ö ob obtain obtained obviously och oder of off official often oh ohne ok okay old older oldest om om on once one one's ones only onto op or or ord os other others otherwise otra otras otro otros ou ought oughtn't oughtnt our ours ourselves out outside over overall owing own own p país para parte parted particular particularly parting pas per per perhaps pero please plus pm poca pocas poco pocos point pointed pointing points por porque possible possibly potentially pouquoi pour predominantly presumably previously primarily probably promptly provided provides puede put puts pw q que que qué qui quickly quien quién quienes quiénes quite quoi quot r ran rather re readily really recent recently regarding regardless regards relatively respectively ro round rt run s said same sans saw say saying says schon se second secondly seconds see seeing seem seemed seeming seems seen sees según sehr sein self selves sent ser serious seriously seven seventy several shall shan't shant she she'd she'll she's shed shell shes should should've shouldn shouldn't shouldnt showed showing shown showns si sí sich side sides sido sie siempre similar similarly since sincere sind six sixty slightly small smaller smallest so so sobre sogar soll sollst sollte sollten solltest solo sólo som some somebody someday somehow someone somethan something sometime sometimes somewhat somewhere somos son soon sorry sous soy ß still su sub subscribe such suggest sup sur sure sus t take taken taking también tan tanto te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t>
  </si>
  <si>
    <t>hough thoughh thought thoughts thousand three throug through throughout thru thus ti tiempo tiene tiene tiene tienen tienes til till tis tja to to toda todas today todo todos together toi too took top toward towards tres tried tries trillion truly tu tú tun turn turned turning turns twas twas twelve twenty twice two u ú ù ü über um um un una und under underneath undoing une unless unlike unlikely uno unos uns unser unsere unserem unseren unseres unter until unto up upon ups upwards url us use used uses using usually v va van very vez vi via video videos viel vom von voor vor vos vosotras vosotros vous w want wanted wanting wants wäre wären wärest was was wasn wasn't wasnt watch way ways we we'd we'll we're we've web wenn went wer werden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wie will wir wird wirst with within without wo won't wonder wont would would've wouldn wouldn't wouldnt wurde wurden würden wurdest würdest www x y ya ye year years yes yet yo you you'd you'll you're you've youd youll your youre yours yourself yourselves youtu youtube youve yu z zu zum zur▓SentimentList1Name░List1▓SentimentList2Name░List2▓SentimentList3Name░List3▓SentimentList1FriendlyName░Positive▓SentimentList2FriendlyName░Negative▓SentimentList3FriendlyName░(Add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t>
  </si>
  <si>
    <t>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t>
  </si>
  <si>
    <t>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t>
  </si>
  <si>
    <t>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t>
  </si>
  <si>
    <t>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t>
  </si>
  <si>
    <t>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t>
  </si>
  <si>
    <t>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t>
  </si>
  <si>
    <t>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t>
  </si>
  <si>
    <t xml:space="preserve">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t>
  </si>
  <si>
    <t>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t>
  </si>
  <si>
    <t>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name="NetworkTopItemsListUserSettings" serializeAs="Xml"&gt;
        &lt;value&gt;
          &lt;NetworkTopItemsListUserSettings xmlns:xsd="http://www.w3.org/2001/XMLSchema"
            xmlns:xsi="http://www.w3.org/2001/XMLSchema-instance"&gt;
            &lt;IsEdgeColumn&gt;true&lt;/IsEdgeColumn&gt;
            &lt;StatusColumnName&gt;Comment&lt;/StatusColumnName&gt;
            &lt;TopTweetersMentionedRepliedTo&gt;false&lt;/TopTweetersMentionedReplied</t>
  </si>
  <si>
    <t>To&gt;
            &lt;NetworkTopItemsUserSettingsToCalculate&gt;
              &lt;NetworkTopItemsUserSettings&gt;
                &lt;NumberOfItemsToGet&gt;10&lt;/NumberOfItemsToGet&gt;
                &lt;WorksheetName&gt;Edges&lt;/WorksheetName&gt;
                &lt;TableName&gt;Edges&lt;/TableName&gt;
                &lt;ColumnName&gt;URLs In Comment&lt;/ColumnName&gt;
                &lt;Delimiter&gt;Space&lt;/Delimiter&gt;
              &lt;/NetworkTopItemsUserSettings&gt;
              &lt;NetworkTopItemsUserSettings&gt;
                &lt;NumberOfItemsToGet&gt;10&lt;/NumberOfItemsToGet&gt;
                &lt;WorksheetName&gt;Edges&lt;/WorksheetName&gt;
                &lt;TableName&gt;Edges&lt;/TableName&gt;
                &lt;ColumnName&gt;Domains In Comment&lt;/ColumnName&gt;
                &lt;Delimiter&gt;Space&lt;/Delimiter&gt;
              &lt;/NetworkTopItemsUserSettings&gt;
              &lt;NetworkTopItemsUserSettings&gt;
                &lt;NumberOfItemsToGet&gt;10&lt;/NumberOfItemsToGet&gt;
                &lt;WorksheetName&gt;Edges&lt;/WorksheetName&gt;
                &lt;TableName&gt;Edges&lt;/TableName&gt;
                &lt;ColumnName&gt;Hashtags In Comment&lt;/ColumnName&gt;
                &lt;Delimiter&gt;Space&lt;/Delimiter&gt;
              &lt;/NetworkTopItemsUserSettings&gt;
            &lt;/NetworkTopItemsUserSettingsToCalculate&gt;
          &lt;/NetworkTopItemsListUserSettings&gt;
        &lt;/value&gt;
      &lt;/setting&gt;
      &lt;setting name="TimeSeriesUserSettings" serializeAs="String"&gt;
        &lt;value&gt;TimeColumnName░Published At▓TimeSlice░Days▓UniqueEdges░False▓SlicerColumns░Comment Type&lt;/value&gt;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&lt;value&gt;D:\NodeXL\_youtube\User-to-User Networks&lt;/value&gt;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&lt;value&gt;Title&lt;/value&gt;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40 15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t>
  </si>
  <si>
    <t>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Comment&lt;/value&gt;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&lt;value&gt;Straight&lt;/value&gt;
      &lt;/setting&gt;
      &lt;setting name="EdgeWidth" serializeAs="String"&gt;
        &lt;value&gt;10&lt;/value&gt;
      &lt;/setting&gt;
      &lt;setting name="AutoSelect" serializeAs="String"&gt;
        &lt;value&gt;True&lt;/value&gt;
      &lt;/setting&gt;
      &lt;setting name="LabelUserSettings" serializeAs="String"&gt;
        &lt;value&gt;Microsoft Sans Serif, 27.75pt White BottomCenter 25 2147483647 Black True 314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t>
  </si>
  <si>
    <t>Autofill Workbook Results</t>
  </si>
  <si>
    <t>Graph History</t>
  </si>
  <si>
    <t>Relationship</t>
  </si>
  <si>
    <t>Comment Type</t>
  </si>
  <si>
    <t>Comment</t>
  </si>
  <si>
    <t>Author Channel ID</t>
  </si>
  <si>
    <t>Author Display Name</t>
  </si>
  <si>
    <t>Author Channel URL</t>
  </si>
  <si>
    <t>Parent ID</t>
  </si>
  <si>
    <t>Video ID</t>
  </si>
  <si>
    <t>Video URL</t>
  </si>
  <si>
    <t>Viewer Rating</t>
  </si>
  <si>
    <t>Like Count</t>
  </si>
  <si>
    <t>Published At</t>
  </si>
  <si>
    <t>Updated At</t>
  </si>
  <si>
    <t>URLs In Comment</t>
  </si>
  <si>
    <t>Domains In Comment</t>
  </si>
  <si>
    <t>Hashtags In Comment</t>
  </si>
  <si>
    <t>UCEm5HlGvJXSCTKsFxWih04g</t>
  </si>
  <si>
    <t>UC6q8R5SJYsuHhleU2GgJKGA</t>
  </si>
  <si>
    <t>UC2jHQ9iN3gjeCs6mCCyI_1g</t>
  </si>
  <si>
    <t>UC625RO8AWt6tzDrFxA22tPQ</t>
  </si>
  <si>
    <t>UCwmXhkHeZ7EbApGCHtpuAlg</t>
  </si>
  <si>
    <t>UCl9gn5ZSJFQ33S_h1D8lGlg</t>
  </si>
  <si>
    <t>UCXBDxpU7E1QT0J1nS-BGnQg</t>
  </si>
  <si>
    <t>UCSnr1NggLE8M63F61SbWGDw</t>
  </si>
  <si>
    <t>UCXxni4CYgsAp7QsUM71k2gQ</t>
  </si>
  <si>
    <t>UCMjfNOw_F_QdVO_NcQ49hwA</t>
  </si>
  <si>
    <t>UCcqj5COuFHh1eHF0xdBQoig</t>
  </si>
  <si>
    <t>UCXpbkjiFlXTpSy3DnioAJjw</t>
  </si>
  <si>
    <t>UCT2t7sQp0Qyi9dxuckjOWAw</t>
  </si>
  <si>
    <t>UCUGm4MAV0xRkCWAIe34oHEA</t>
  </si>
  <si>
    <t>UCfYrvWfah8SKHvX-fQ_oLWQ</t>
  </si>
  <si>
    <t>UC2b3yDPx5ALGuEJSAs_E7kw</t>
  </si>
  <si>
    <t>UCeiKh2VbzXlQeESwZzg7xxQ</t>
  </si>
  <si>
    <t>UCOySjL4JhGjAvIU2BeWaZMA</t>
  </si>
  <si>
    <t>UCkkgApUQlDrsLaod5io227g</t>
  </si>
  <si>
    <t>UCo4986VKClJt42gAAOHqWtQ</t>
  </si>
  <si>
    <t>UC-jjpnxCagdT_bv8huLBmrA</t>
  </si>
  <si>
    <t>UCYS7wFuePefGbkq9zjRt8sQ</t>
  </si>
  <si>
    <t>UCDCjHgdB_5n2ppVPI3Vt8Ew</t>
  </si>
  <si>
    <t>UCYL-NgWVd0Ebir7pXVsMB2w</t>
  </si>
  <si>
    <t>UCg66xuzMQIOjiGIT5PMHOcw</t>
  </si>
  <si>
    <t>UCo6gG1_nUsjZvN4gMpjdGZA</t>
  </si>
  <si>
    <t>UCJNdQJZz7IuBgHWIIoJBvJg</t>
  </si>
  <si>
    <t>UCDmMHvluQEXqJgF4docP0yA</t>
  </si>
  <si>
    <t>UC5J008IAlx4366lCisVipIg</t>
  </si>
  <si>
    <t>UCPvgd5mNI79yGYL0hJAKReA</t>
  </si>
  <si>
    <t>UCerAw4EfTOnYYxLLPZAzMxQ</t>
  </si>
  <si>
    <t>UC8CPBnQ5vh85_8cwZ6gRFBQ</t>
  </si>
  <si>
    <t>UCqV3NeKeh8lNw8bLTheL24g</t>
  </si>
  <si>
    <t>UCadohWhKjy8YKkiOeKLb_jA</t>
  </si>
  <si>
    <t>UCRplO5uLNC-QOf4ZxjI6OaA</t>
  </si>
  <si>
    <t>UCRwYXX2La_JD4KoA6hZqIYw</t>
  </si>
  <si>
    <t>UCOosNpm4X6UrnhAUxCEKY8A</t>
  </si>
  <si>
    <t>UCLIhyce5kxvdas1PvQVkSkg</t>
  </si>
  <si>
    <t>UCOAzGG0Pm_MiO-SQ2Dc-Wdg</t>
  </si>
  <si>
    <t>UCuh2m_8m5pUxe9NMlGxQ1dQ</t>
  </si>
  <si>
    <t>UC9LLQRE_1OPkWUCda2b_kmg</t>
  </si>
  <si>
    <t>UC2AjGU-bTVnwnKI40ucluew</t>
  </si>
  <si>
    <t>UCh5Vq5sKzfQftZkz3sqj8zQ</t>
  </si>
  <si>
    <t>UCbtGUyX5iHwuOUqh6mKuEvw</t>
  </si>
  <si>
    <t>UCz799FrP_bspgWNMBVRz5JQ</t>
  </si>
  <si>
    <t>UC8VGjN2NAbDcGbnw8kcioqw</t>
  </si>
  <si>
    <t>UC3SVNW8fO0QB0VQgw-Cboeg</t>
  </si>
  <si>
    <t>UCB14GBHsqGQ0iUL121nwOKQ</t>
  </si>
  <si>
    <t>UCXWqZlXgy_0lF0b_br8sk0A</t>
  </si>
  <si>
    <t>UCG6UKWK21O1SGwcuG4SaH0A</t>
  </si>
  <si>
    <t>UCfgG-ovLKqB8k2KnSbx32Lw</t>
  </si>
  <si>
    <t>UCqocO9ovci3JuSvsYKR36HA</t>
  </si>
  <si>
    <t>UCF7K5uOzm-xqTb96lpNt_Ow</t>
  </si>
  <si>
    <t>UCXQR00oQ3fj5cTotWvRg0_Q</t>
  </si>
  <si>
    <t>UCLwDXsPUfsO2ZTptCsSyXGg</t>
  </si>
  <si>
    <t>UCpQ5U05w9q913jvPV-T8rlw</t>
  </si>
  <si>
    <t>UC8qUxVyfs-OHn8fApXBqjaQ</t>
  </si>
  <si>
    <t>UCC6RgeCUyUrLDxO1W6Rat-Q</t>
  </si>
  <si>
    <t>UCI8WWtGB9PmGhesq1QVChQg</t>
  </si>
  <si>
    <t>UCUm577M0SQnlguRkdcfUa1Q</t>
  </si>
  <si>
    <t>UCHBzTw6zFU-YYZ9ohpX9lKQ</t>
  </si>
  <si>
    <t>UCoLCzvtVkU29FpAVVsAK-wg</t>
  </si>
  <si>
    <t>UC52SPb7BsvpH0HWbkSk8Jdg</t>
  </si>
  <si>
    <t>UCbldxxrB86AYD-2LJsgqpOA</t>
  </si>
  <si>
    <t>UC0qJaSE8JW7BoCYedij1fPg</t>
  </si>
  <si>
    <t>UCXFOCi3E8fm4KWk7KA1v-FA</t>
  </si>
  <si>
    <t>UCywWdXzN6JZzrDM3WWtIcdA</t>
  </si>
  <si>
    <t>UCIz82_qILaDCMBLYsqErOOw</t>
  </si>
  <si>
    <t>UC1G7AZFqSOf2CIZBzfBNmVQ</t>
  </si>
  <si>
    <t>UChA9cIhy_R5-REFhn28MQOw</t>
  </si>
  <si>
    <t>UCWmEXXyyg4CeL3TS4ba8iUg</t>
  </si>
  <si>
    <t>UChlTB5NW6iUzi67TzRxRcTg</t>
  </si>
  <si>
    <t>UCEkBJ8bqPbMoZwqFrKmPqSA</t>
  </si>
  <si>
    <t>UCVoF08vw5_TGZoAo2JKf0MA</t>
  </si>
  <si>
    <t>UCVJfW61X3yS0PH-25gIjpNA</t>
  </si>
  <si>
    <t>UC3ZPFGJ9YYuozcr4cSnBJ2A</t>
  </si>
  <si>
    <t>UCgHRnRM04bqxuFsbmaogYoQ</t>
  </si>
  <si>
    <t>UCNqum2PJcIKJNqgdpJT_BAQ</t>
  </si>
  <si>
    <t>UCk1fFx94xROs0rc-0X9B5xQ</t>
  </si>
  <si>
    <t>UCaHhU-OK1Vac5L2ghUiDtfw</t>
  </si>
  <si>
    <t>UC9WOPcj0UJiSLURpeHpTLGg</t>
  </si>
  <si>
    <t>UCJIZkb4wSJWKnDl2y3zC5Fg</t>
  </si>
  <si>
    <t>UCdroRJc0_ZpOqXd_5Gp1UEA</t>
  </si>
  <si>
    <t>UCh3yYzeRVs-FINrguoLPzjA</t>
  </si>
  <si>
    <t>UCixxAbFxgX_ukjZQmAnkSPw</t>
  </si>
  <si>
    <t>UCI9yBt6c5JsNA4ojCmidRiQ</t>
  </si>
  <si>
    <t>UCKuZZ1l9Em5c5WYrPKvLJWg</t>
  </si>
  <si>
    <t>UC5lFWTaAy8fFiZpMxEhN98A</t>
  </si>
  <si>
    <t>UCJL0AOQJZ0BewrdqUoIoqRw</t>
  </si>
  <si>
    <t>UCOTJh6zzR3-NAPJBNKaqOgw</t>
  </si>
  <si>
    <t>UC0UMID05DoGXImC7u-VQ8cA</t>
  </si>
  <si>
    <t>UC4B0PCHbdzSSzlHORDsaYjQ</t>
  </si>
  <si>
    <t>UCwya1YV0VVcNVA1ALPpaZ5g</t>
  </si>
  <si>
    <t>UCuPfgSrWOc2EmNcS-dnRC8A</t>
  </si>
  <si>
    <t>UCdtcABJ52mOHCXSIzO6SpGA</t>
  </si>
  <si>
    <t>UC9cKkmwkK5RE3Yon6NglcwA</t>
  </si>
  <si>
    <t>UC6OBGTpqEY5Pn4-4xWg8QhQ</t>
  </si>
  <si>
    <t>UCCwmutQCZD-xOlzyKKl5fag</t>
  </si>
  <si>
    <t>UChPvILLGvBiP_SiUg9srazw</t>
  </si>
  <si>
    <t>UCkNEkfKxEtYneNKzdgiefWg</t>
  </si>
  <si>
    <t>UC-abaNhleZ9l8u2eiQgIHXA</t>
  </si>
  <si>
    <t>UCmB6rgL4vwKdmtRwoK6hNRA</t>
  </si>
  <si>
    <t>UCaz5lJl4O-DlZ0Ype11GGDQ</t>
  </si>
  <si>
    <t>UCiFbxhlcapLxvMvBOJfgiAQ</t>
  </si>
  <si>
    <t>UC500ecg6iu4_fZI7ppnH5xg</t>
  </si>
  <si>
    <t>UCyKVToG2bdyFm9Zr7487GbQ</t>
  </si>
  <si>
    <t>UCTpiluusEpdQER2ESjtp0dQ</t>
  </si>
  <si>
    <t>UCntzGT7YKCWZXmfs7yCRbnw</t>
  </si>
  <si>
    <t>UCvGUF5crGKWgcjNfy69om-w</t>
  </si>
  <si>
    <t>UCkC3h3DJjv33UNvnAUmP8QA</t>
  </si>
  <si>
    <t>UCs_w8C3KKuchf7tTDjLH6EQ</t>
  </si>
  <si>
    <t>UCOQy7XDYjkjhb0QwVMwf-7A</t>
  </si>
  <si>
    <t>UC33YvdKdCbETlDVRz_I42sw</t>
  </si>
  <si>
    <t>UCMS61u_TGqi-c_UEhywFcQg</t>
  </si>
  <si>
    <t>UCeIJT2rmwfiwi5iuVCrorfQ</t>
  </si>
  <si>
    <t>UCA3wy2ieu53FkBf19GeaSzw</t>
  </si>
  <si>
    <t>UCqdyyZiSL4ZHyXE11pNa-PQ</t>
  </si>
  <si>
    <t>UCZCEX7jMFA4Utg6Rl9LjtpQ</t>
  </si>
  <si>
    <t>UCXFnJs6JEY91BWkgElUiIig</t>
  </si>
  <si>
    <t>UCx3Xvg2G9MUra2f7eWrweGg</t>
  </si>
  <si>
    <t>UClHeEpe_QWW1jxCMatKCkzQ</t>
  </si>
  <si>
    <t>UC6xUcpewcYKMIvXWC39bu9A</t>
  </si>
  <si>
    <t>UC9jGt1X3J14c5GAeAO8EDvQ</t>
  </si>
  <si>
    <t>UCA4upGBl9EGqYOrMkBRxIUg</t>
  </si>
  <si>
    <t>UCRaAPyppJGU5Yds5lDDlb1Q</t>
  </si>
  <si>
    <t>UCV6YNtkIq41tS1aUynMnoTw</t>
  </si>
  <si>
    <t>UCV5NmnIggBXfHNRqsqYBPHg</t>
  </si>
  <si>
    <t>UChkL5Lh3Dn5xtgmO7QrjuDw</t>
  </si>
  <si>
    <t>UCuTRD7EkeDxVFdkdziqGAWA</t>
  </si>
  <si>
    <t>UCuyDUN7SDHJd3-UQhX69A9w</t>
  </si>
  <si>
    <t>UCJ7JJfGzhW5TZX5Pbsp6XyQ</t>
  </si>
  <si>
    <t>UCBG9ELVWsYR8H8WS_KGQufQ</t>
  </si>
  <si>
    <t>UCEPBRv8fyf8zIR1gzyGn8qg</t>
  </si>
  <si>
    <t>UC4rU9PYja99OHl9qHrP0llQ</t>
  </si>
  <si>
    <t>UCybalFNVaTrZPHp-_cPGb8Q</t>
  </si>
  <si>
    <t>UC_8SF2yDQfYFS_B66zwsdDw</t>
  </si>
  <si>
    <t>UCVTt3IPhlNu2cae9QyIFZHg</t>
  </si>
  <si>
    <t>UC5atOZ2cXiS_TcTq8DV2gzQ</t>
  </si>
  <si>
    <t>UCVi7No8pCGF2Ojhz1c_aUZQ</t>
  </si>
  <si>
    <t>UCOXSSL56qhApdeIzp6y6b2A</t>
  </si>
  <si>
    <t>UCylMH4anH1qZ3BI7zKmRE7Q</t>
  </si>
  <si>
    <t>UCngfwdBt4V8gv-d14tu20HQ</t>
  </si>
  <si>
    <t>UCCwa-poBFGXBJL1OhOSf1wQ</t>
  </si>
  <si>
    <t>UClPlgNc4dpa-ymND_dWE-9w</t>
  </si>
  <si>
    <t>UC7V-eKD4-9qacoIOSfjCkvQ</t>
  </si>
  <si>
    <t>UCl_-t3QxGQvNu9-Wp1iGLdQ</t>
  </si>
  <si>
    <t>UC72mAuOZR5GBLYq7vDITHuw</t>
  </si>
  <si>
    <t>UCe9SZXN8hQOR5jjWTKgMNiA</t>
  </si>
  <si>
    <t>UCZ8nrFIJyJwN6R0ZOALXetQ</t>
  </si>
  <si>
    <t>UCc_IrnsTVtcDBTMBJ6prkag</t>
  </si>
  <si>
    <t>UCd0sHnrF1NVw90DF39XEKDQ</t>
  </si>
  <si>
    <t>UC9AMcBHhYQKbFy83LwC70Fg</t>
  </si>
  <si>
    <t>UCQm-eZonEALK3soY6l1QuCA</t>
  </si>
  <si>
    <t>UCgeaB9V_kFKh-hU_yGjNvjw</t>
  </si>
  <si>
    <t>UCPvkSOa9uU8mqNMYuGeYq1w</t>
  </si>
  <si>
    <t>UCnUI6Ssl3FclHjuE2tEYN8w</t>
  </si>
  <si>
    <t>UC85OOjTRUfgLKNWTMIvPp-Q</t>
  </si>
  <si>
    <t>UC4JxISL4zq6bR8fkL0zzxrA</t>
  </si>
  <si>
    <t>UCuQ_8nkWLkfwU7LROEKCzfg</t>
  </si>
  <si>
    <t>UCxeLD_unYqcF-hMFfpwP8bA</t>
  </si>
  <si>
    <t>UC0-d0qMhGZQ1ZpuIZvQGPzA</t>
  </si>
  <si>
    <t>UCQhhxor95wtiDxuQdQrljCA</t>
  </si>
  <si>
    <t>UCP6YGSaCdnBaF7dShuCR0aA</t>
  </si>
  <si>
    <t>UCTESLPLt2_wAX3ltGs3w09w</t>
  </si>
  <si>
    <t>UCshNH5WXvJ70zeeJkMv6jbQ</t>
  </si>
  <si>
    <t>UCeVaJ_1m9gMXcDFX9d1YtXQ</t>
  </si>
  <si>
    <t>UChq3AzwSatOknzk3fglc94w</t>
  </si>
  <si>
    <t>UCr0Eclqtwor1N3uAYG0Z3rw</t>
  </si>
  <si>
    <t>UC2uIoW3cCj7GB3UTuEDLV1w</t>
  </si>
  <si>
    <t>UCsq8SXE8cep1LI_Y8XfL4jg</t>
  </si>
  <si>
    <t>UC6JkDblmdOQF2NFTBJ5_4Ng</t>
  </si>
  <si>
    <t>UC3M0dy_bsmIy5gLcvLHwahg</t>
  </si>
  <si>
    <t>UC7zED_KFa6-AaMwyUpeSAAQ</t>
  </si>
  <si>
    <t>UCf8SkhKscLmAF_zofz-5VXQ</t>
  </si>
  <si>
    <t>UCk1PoOyEAavdmyr0VdVN1Zg</t>
  </si>
  <si>
    <t>UCxH7QekYGX6Zj7xDozlqXbg</t>
  </si>
  <si>
    <t>UCKrUAYzPSyq1cBlKN08M6qw</t>
  </si>
  <si>
    <t>UCkLPx3Y2qhbDjUwEQRqLv0A</t>
  </si>
  <si>
    <t>UCj-YNRE6g8gXzAaXu-kQ7Og</t>
  </si>
  <si>
    <t>UCmbTaq_33tRrVi_b7V2zzwg</t>
  </si>
  <si>
    <t>UC6-_IKv5-IipN6rYvnyoNUg</t>
  </si>
  <si>
    <t>UC0ejCnEOTEswqFo4wd_6N9g</t>
  </si>
  <si>
    <t>UCl3_JxeNm227rFEceAPDi7A</t>
  </si>
  <si>
    <t>UC66vVHIk59YgD3h1mm1KrXQ</t>
  </si>
  <si>
    <t>UC4n1n-2l0CaRwTErBeFB_ww</t>
  </si>
  <si>
    <t>UCyCJVMyIh50PLFp6vCZ6-Zw</t>
  </si>
  <si>
    <t>UCoB94ow_SQUv369e2uhOXSw</t>
  </si>
  <si>
    <t>UC7roQpV6qEGtQqPL_d0KlHw</t>
  </si>
  <si>
    <t>UCQVbb4dGKq_eQU0Urm0imww</t>
  </si>
  <si>
    <t>UCCb9_Kn8F_Opb3UCGm-lILQ</t>
  </si>
  <si>
    <t>UCv0vw-y0YIwqEbU305hhcFg</t>
  </si>
  <si>
    <t>UCPV_4r46H2Qo-jvCJOshyCw</t>
  </si>
  <si>
    <t>UCB_X37NbtJ8tXBrYj_4mEHg</t>
  </si>
  <si>
    <t>UCNciB2joNhQCbcvuS_sf_fQ</t>
  </si>
  <si>
    <t>UCA6OvhEq-_c8R9hHdJkqp3A</t>
  </si>
  <si>
    <t>UCNZfOYWp05qz-k-2UKkfCTA</t>
  </si>
  <si>
    <t>UCo0TNY6-xhfq93AOKF_zDng</t>
  </si>
  <si>
    <t>UCudmJpNyT3lLYSTkmkhDm8w</t>
  </si>
  <si>
    <t>UCcBoleECTMUEbXqg2AZNHdg</t>
  </si>
  <si>
    <t>UCgGajeuaTuh2HMsWDSnsD7Q</t>
  </si>
  <si>
    <t>UC_gmpAYBi-b5LaCaWZnDBhQ</t>
  </si>
  <si>
    <t>UCqDiq5jdrPYU0Qck9GJDbRg</t>
  </si>
  <si>
    <t>UCEqAdgfHAPJPDq0hZqxjvyA</t>
  </si>
  <si>
    <t>UCRZps3dH47Yd7pj8LmS7vmg</t>
  </si>
  <si>
    <t>UCoVrqzF4FU2Lv5vnB_JXchA</t>
  </si>
  <si>
    <t>UCAsUVwqROYclu1B2tk74kwg</t>
  </si>
  <si>
    <t>UCszcmo-D454RsJIOheCu7QQ</t>
  </si>
  <si>
    <t>UCbmNph6atAoGfqLoCL_duAg</t>
  </si>
  <si>
    <t>UC8Gt-9-7Z9vypF8m3WMaOgg</t>
  </si>
  <si>
    <t>UCVRsFyifrTrADDHncqwLghg</t>
  </si>
  <si>
    <t>UCpSb0VfB8knPbOeEdHGJdnQ</t>
  </si>
  <si>
    <t>UCif9JdoLvBtApiSu94tWjPg</t>
  </si>
  <si>
    <t>UCcyRyUvk-VLYGh8srnf9E2Q</t>
  </si>
  <si>
    <t>UCGajcAd0-l59-ly_FeDMYXw</t>
  </si>
  <si>
    <t>UCewxu9BEC64CfQVzR6vd3cA</t>
  </si>
  <si>
    <t>UC2T_oimRLkjFPyGYeAz6qPw</t>
  </si>
  <si>
    <t>UCqS6Idv3FEU9VQX7-yHwnSw</t>
  </si>
  <si>
    <t>UCY8xUWeaWVE4JY05JUupzYQ</t>
  </si>
  <si>
    <t>UC3WCzD4z9DiTLTempQrMUeg</t>
  </si>
  <si>
    <t>UCoHpLfLDotbsVyGvGlsekQA</t>
  </si>
  <si>
    <t>UClF3Q-_xtSxneYXZZIs3rtQ</t>
  </si>
  <si>
    <t>UCnrbbUoV6A2YP0tCJJfJSsg</t>
  </si>
  <si>
    <t>UCfpw3xq_g1xpdwlyq11atZQ</t>
  </si>
  <si>
    <t>UCdmhCH2BrYLQeiYzykYSBlA</t>
  </si>
  <si>
    <t>Commented Video</t>
  </si>
  <si>
    <t>Replied Comment</t>
  </si>
  <si>
    <t>Posted Video</t>
  </si>
  <si>
    <t>Reply</t>
  </si>
  <si>
    <t>Thanks for the video, but actually I don&amp;#39;t understand why you download Post-Post Network &amp;quot;likes &amp;amp; comments&amp;quot; that seems to not show the name, and then upload in gephi another nodexl file. Could you explain better please? Thank you very much in advance</t>
  </si>
  <si>
    <t>Hi Brittany. Thank you very much for the tutorial.  I downloaded Facebook data but the vertices were all in numbers instead of names. I wonder what I can do to convert the vertices into names?  I noticed that in your tutorial,  the vertices changed from numbers to names.</t>
  </si>
  <si>
    <t>can i use my profile?</t>
  </si>
  <si>
    <t>Thank you for this video. Basically covers the basics of Gephi in one short video</t>
  </si>
  <si>
    <t>+Gilles Havik Yeah, seems so !</t>
  </si>
  <si>
    <t>Seems that this function is no longer open source</t>
  </si>
  <si>
    <t>Hi Marc, any tutorial on the same would be more than helpful. Regards.</t>
  </si>
  <si>
    <t>thanks for the tutorial.</t>
  </si>
  <si>
    <t>I wish it had sound but still, thanks. I learnt a thing or two</t>
  </si>
  <si>
    <t>i wonder, where did you find those twitter account dataset? or how you acquire it?</t>
  </si>
  <si>
    <t>So cool to see you all ...</t>
  </si>
  <si>
    <t>Cool! What a wonderful tool. Hats off to the folks who made this :-)</t>
  </si>
  <si>
    <t>A ti querida Eva por invitarme :  Los que deseen conocer su mapa de audiencia y como llegar a ellas con estrategias pueden contactarme aqui :  &lt;a href="https://vivianfrancos.com/conoce-tus-mapas-de-audiencia-nodexl/"&gt;https://vivianfrancos.com/conoce-tus-mapas-de-audiencia-nodexl/&lt;/a&gt;</t>
  </si>
  <si>
    <t>Gracias por acompañarnos y contarnos tantas cosas interesantes de analítica.</t>
  </si>
  <si>
    <t>Thank You. There are several tips&amp;amp;tricks more.&lt;br&gt;One fun is this&lt;br&gt;Gephi JS - an interactive map directly with gexf file&lt;br&gt;&lt;br&gt;&lt;a href="http://mihkal.indeedsir.com/isfi/"&gt;http://mihkal.indeedsir.com/isfi/&lt;/a&gt;</t>
  </si>
  <si>
    <t>Fantastic video, thanks for sharing Mika!</t>
  </si>
  <si>
    <t>Link to the dataset is below&lt;br&gt;&lt;br&gt;This is a Gephi visualization of the dataset. Layout used is Force Atlas 2 and the size of the nodes is calculated in NodeXL = Betweenness Centrality. So the Graph tells the most influentials in that network by that metric. You can download the gephi dataset and also nodexl data from the links on this page.&lt;br&gt;&lt;br&gt;About the dataset.&lt;br&gt;&lt;br&gt;The graph represents a network of 17,971 Twitter users whose recent tweets contained &amp;quot;premierleague OR &amp;#39;premier league&amp;#39;&amp;quot;, or who were replied to or mentioned in those tweets, taken from a data set limited to a maximum of 18,000 tweets. The network was obtained from Twitter on Wednesday, 01 April 2020 at &lt;a href="https://www.youtube.com/watch?v=o-D-Duv8Mcs&amp;amp;t=10m24s"&gt;10:24&lt;/a&gt; UTC.&lt;br&gt;&lt;br&gt;The tweets in the network were tweeted over the 15-hour, 25-minute period from Tuesday, 31 March 2020 at &lt;a href="https://www.youtube.com/watch?v=o-D-Duv8Mcs&amp;amp;t=18m26s"&gt;18:26&lt;/a&gt; UTC to Wednesday, 01 April 2020 at &lt;a href="https://www.youtube.com/watch?v=o-D-Duv8Mcs&amp;amp;t=09m51s"&gt;09:51&lt;/a&gt; UTC.&lt;br&gt;&lt;br&gt;Additional tweets that were mentioned in this data set were also collected from prior time periods. These tweets may expand the complete time period of the data.&lt;br&gt;&lt;br&gt;There is an edge for each &amp;quot;replies-to&amp;quot; relationship in a tweet, an edge for each &amp;quot;mentions&amp;quot; relationship in a tweet, and a self-loop edge for each tweet that is not a &amp;quot;replies-to&amp;quot; or &amp;quot;mentions&amp;quot;.</t>
  </si>
  <si>
    <t>What, exactly, is this visualization trying to communicate? What is the data about?</t>
  </si>
  <si>
    <t>nice!</t>
  </si>
  <si>
    <t>hi... can&amp;#39;t get data the same nodexl by java.... &lt;br&gt;Who have do it? help me please.</t>
  </si>
  <si>
    <t>Hi Rachit ..by location you mean.. location of friends ..or a particular location..i guess one way would be to import your network and then use filters normally present in excel and then generate a graph ..</t>
  </si>
  <si>
    <t>very nice explanation, thank you for that. But I just wanted to know that if we want to extract location specific data for the analysis work then which software or method would be best.</t>
  </si>
  <si>
    <t>Hi... what is the name of the website you mentioned in minute &lt;a href="http://www.youtube.com/watch?v=39yXz72qdow&amp;amp;t=4m08s"&gt;4:08&lt;/a&gt;?</t>
  </si>
  <si>
    <t>It´s possible to select posts by date from FB? I´m new in NodeXL And I need to know it...</t>
  </si>
  <si>
    <t>this is not up-to-date....</t>
  </si>
  <si>
    <t>Having the same issue ... what&amp;#39;s the way out please</t>
  </si>
  <si>
    <t>Hiiii,  Please help  me . Its Urgent. When i am trying above one. it is showing me error &amp;quot;There is no Twitter user with that screen name&amp;quot;.  i am trying it on Microsoft office 2007. is their some version specific requirement.Please help  me .</t>
  </si>
  <si>
    <t xml:space="preserve"> thank you for your well paced and thorough introduction Professor Cook.  Can you please advise me on any communities that focus on SNA for brand communities? I work in digital brand strategy and am keen to use experimental techniques. my email is mlwrose@gmail.com or twitter @mattrose_rsa. thank you.</t>
  </si>
  <si>
    <t>Is there any way to look at the Twitter user network with the updated version? I&amp;#39;d like to do the analysis you did in the first portion of the video but can&amp;#39;t find a way to generate the same type of data you got using the new import feature. I found this article that talks about updates since June 2013. &lt;a href="https://www.connectedaction.net/new-nodexl-updates-twitter-user-and-list-importer/"&gt;https://www.connectedaction.net/new-nodexl-updates-twitter-user-and-list-importer/&lt;/a&gt;</t>
  </si>
  <si>
    <t xml:space="preserve">great demo :)
</t>
  </si>
  <si>
    <t>Thank you for the step-by-step guide throughout your lecture on NodeXL. It was very helpful to get my feet wet in the field!</t>
  </si>
  <si>
    <t>Mr. Dumitru, if you have Twitter data already stored in an Excel file, you can import it into an analytical program for analysis (R, Stata, Systat, UCINET).  What is the structure of your data?</t>
  </si>
  <si>
    <t>@James Cook Dear Mr Cook,&lt;br&gt;&lt;br&gt;Thank you for replying. The data were collected manually since there is no tool suitable to collect and store it in the format I wanted. The data, covering the full year of 2012, are stored in a excel file with the following column headers: &lt;br&gt;Date&lt;br&gt;Time&lt;br&gt;Lg&lt;br&gt;Tweet content&lt;br&gt;#&lt;br&gt;Mentions tweet body&lt;br&gt;Link&lt;br&gt;Cc&lt;br&gt;RT&lt;br&gt;RT author&lt;br&gt;Fav&lt;br&gt;Fv author&lt;br&gt;Mentions&lt;br&gt;Replies&lt;br&gt;Who replied&lt;br&gt;Reply content&lt;br&gt;&lt;br&gt;Best regards,</t>
  </si>
  <si>
    <t>@Petru Dumitru It looks like you have a number of implicit ties (or &amp;quot;edges&amp;quot;) in each row of data: from the original author to a retweet author; from the original author to a favorite author.  If you want to import this into NodeXL, you might want to find a way (manually, if you have a small data set) to separate out each of those edges into an edge list, perhaps one for the retweeting relation and one for the favoriting relation.  (Of course, what you choose to do depends on what your research question is.)</t>
  </si>
  <si>
    <t>Thank you, Mr Cook. What about handling Twitter data already stored into an excel file? </t>
  </si>
  <si>
    <t>Hi!!  I want to download attributes for the users of a specific facebook fun page, like hometown, gender, birthday etc. But all this collumns in the worksheet are empty (the only attribute collumns that aren&amp;#39;t empty are the First and Last Name). Finally can i download all the attributes or not?</t>
  </si>
  <si>
    <t>Hi Dr James! I want to download attributes for the users of a specific facebook fun page, like hometown, gender, birthday etc. But all this collumns in the worksheet are empty (the only attribute collumns that aren&amp;#39;t empty are the First and Last Name). Finally can i download all the attributes or not?</t>
  </si>
  <si>
    <t>Hello, Alicia.  I might be missing something in what you intend to do, but if you&amp;#39;re only looking at one tweet by one account and its replies, the simplest thing to do would be to go to Twitter and just look up that tweet.  All the replies will be listed underneath that tweet.</t>
  </si>
  <si>
    <t>Hi James, I am a PhD student and I would like to analyze controversial tweets which caused lots of different reactions, so what I would need to collect are specifid tweets which were published by other accounts maybe years ago and all the different replies to that specific tweet (I am talking about more tan 500 replies), I tried a software to download the comments and I was able to download only the tweets from an account not the replies to the comments. I hope now I explained myself, thanks in advance.</t>
  </si>
  <si>
    <t>Ah, I see.  NodeXL isn&amp;#39;t really a good option for this, unfortunately.  Have you looked into the TwitteR package for the statistical program R?</t>
  </si>
  <si>
    <t>I wil check. Thanks for your help</t>
  </si>
  <si>
    <t>Thanks for your video Mr. Cook, I would like to know if there is an option to import the replies from a specific tweet of and specific Twitter account, I need to analyze the replies to only one coment. Could you please help me with this? Thanks in advance!</t>
  </si>
  <si>
    <t>mantab kak...mana yg vide 2 kak?</t>
  </si>
  <si>
    <t>Terima kasih</t>
  </si>
  <si>
    <t>kak, ada link atau tutor buat instal nodeXLnya ngga?</t>
  </si>
  <si>
    <t>I really appreciate this, much thanks for putting this out there! :) May I please request that you shoot videos in the future perhaps with the Cobalt package in R, the white and black don&amp;#39;t fare well with my dyslexia. Different colour schemes and closer-up windows also make for less visual stress. Of course, this is for Augusta so I understand either way and am grateful just to have access to this.</t>
  </si>
  <si>
    <t>Thank you for this video. But I can download historical tweets from a previous timeline? Can you please share codes of collecting historical tweets from an specific timeline?</t>
  </si>
  <si>
    <t>to do this, you&amp;#39;d need to apply for special privileges at &lt;a href="http://developer.twitter.com/"&gt;developer.twitter.com&lt;/a&gt;.</t>
  </si>
  <si>
    <t>This is fantastic, thank you for taking the time to share this!</t>
  </si>
  <si>
    <t>Hello!  Thanks for writing in.  The package twitteR has not been as reliable in use lately as rtweet.  I just ran some rtweet scripts to check and verify that they still work (Twitter can always change an API in ways that temporarily break R packages) -- and for me they do, which suggests that this program may be local for you (or it may be based on the uniqueness of your script).  If you&amp;#39;d like, feel free to send a script to me at james.m.cook@&lt;a href="http://maine.edu/"&gt;maine.edu&lt;/a&gt; over email. One simple question: with authorization, rtweet generates a pop-up window.  Have you checked to make sure that you haven&amp;#39;t blocked pop-up windows in the browser you&amp;#39;re using?</t>
  </si>
  <si>
    <t>Hi James,&lt;br&gt;&lt;br&gt;That’s a great explanation, I have an  issue in getting code using twitteR, rtweet against v2 API. With twitteR I get an error,  OAuth error, incorrectly called  setup_twitter_oauth. With rtweet, i get a 0 value. Almost stuck and frustrated for 3 days now. It’s not hard but I don’t get what’s wrong. Though online platforms solutions didn’t help me. Would you be able to help ?</t>
  </si>
  <si>
    <t>Fantástico, Tulio! Você tem mais videos ensinando a trabalhar com o NodeXL? Tenho interesse em identificar quais páginas os fãs da minha página seguem, é possível essa análise com o NodeXL?</t>
  </si>
  <si>
    <t>Infelizmente não fiz a continuação dos videos... =[</t>
  </si>
  <si>
    <t>onde ta a continuação desses videos ?</t>
  </si>
  <si>
    <t>Ola.. tambem gostaria de saber aonde está a continuação do video.. obrigado</t>
  </si>
  <si>
    <t>Oi, André, obrigado. COmo foram os estudos até hoje? Abs</t>
  </si>
  <si>
    <t>Passei aqui para parabenizá-lo pelo vídeo. Estava apanhando muito tentando aprender sozinho alguns procedimentos aqui tratados de forma extremamente simples. Muito obrigado, ajudou muito no prosseguimento de minha pesquisa.</t>
  </si>
  <si>
    <t>+gustavo camargos Olá Gustavo tudo bem? Também estou fazendo um artigo sobre o tema. Te mandei mensagem no fb, dá uma conferida lá. Abraços</t>
  </si>
  <si>
    <t>Oi gente, abandonei o canal há muito tempo. peço desculpas! Estamos trabalhadno agora diretamente no blog do IBPAD &lt;a href="http://blog.ibpad.com.br"&gt;blog.ibpad.com.br&lt;/a&gt; abs!</t>
  </si>
  <si>
    <t>Olá, ótimo vídeo. Tem alguma previsão para o próximo?&lt;br&gt;Estou fazendo TCC sobre politica nas redes sociais  e estou trabalhando com o nodexl mas ele  importa apenas 200 ultimos tweets, saberia me dizer se tem alguma forma de pegar informação anterior? No nodexl ou utilizando outra forma.&lt;br&gt;Agradeço desde já.</t>
  </si>
  <si>
    <t>OI, Moisés, é super possível. SUgiro abandonar o NodeXL e utilizar o Gephi. Na época que eu fiz o video naõ era conhecido ainda. O que acha?</t>
  </si>
  <si>
    <t>Olá Max, tudo certo? Parabéns pelo vídeo, muito útil.&lt;br&gt;Sou biólogo e preciso fazer um gráfico bipartido para ilustrar a interação de animais com espécies vegetais. Não estou tendo sucesso no NODEXL, você acha possível fazer?</t>
  </si>
  <si>
    <t xml:space="preserve">Oi, Rick, é possível sim. Você vai precisar utilizar o NameGen Web para isso. </t>
  </si>
  <si>
    <t>Oi, Cássio, tudo bem? Há muito tempo não passo por aqui. Sim, é possível. Mas o mais complicado é construir a base de dados. VOcê já possui esses dados? abs</t>
  </si>
  <si>
    <t>Então Max, tenho a base de dados organizada em excel. Estou analisando artigos com o tema open innovation. Eu poderia analisar a ligação entre autores e filiação ou entre autores e revistas onde os trabalhos foram publicados. O que acha?</t>
  </si>
  <si>
    <t>baixei o NODEXL mas quando abro o excel não aparece a aba do NODEXL</t>
  </si>
  <si>
    <t>Max, estou desenvolvendo um artigo de bibliometria e estou buscando um software que possa me ajudar nessa análise. Eu queria verificar os lanços entre os pesquisadores. Isso é possível utilizando o NODEXL?</t>
  </si>
  <si>
    <t>Muuuito Obrigada</t>
  </si>
  <si>
    <t>em import cái YouTube User Network 01 – standard thì nó chạy ra cái lỗi an unexpected problem occurred, lỗi này fix sao ạ</t>
  </si>
  <si>
    <t>i can&amp;#39;t understand how they could not focus on the slides instead on the person.</t>
  </si>
  <si>
    <t>Bummer that this is missing the slides!</t>
  </si>
  <si>
    <t>I like the loop!</t>
  </si>
  <si>
    <t>Thanks Mr Cook for you effort!!</t>
  </si>
  <si>
    <t>Peter Aldhouse has some tips on labeling -- see here: &lt;a href="https://www.peteraldhous.com/CAR/NodeXL_CAR2012.pdf"&gt;https://www.peteraldhous.com/CAR/NodeXL_CAR2012.pdf&lt;/a&gt;</t>
  </si>
  <si>
    <t>sir how to use twitter image as vertices,my data always circle i cannot change it to label or image like in nodexl documentation</t>
  </si>
  <si>
    <t>+Maryam Zolnoori Unfortunately, not at this time, not unless you install a program on a Mac to run Microsoft Windows.  Microsoft Excel for Apple is based on a different programming language, which is why NodeXL won&amp;#39;t work on Apple machines.</t>
  </si>
  <si>
    <t>Hello James:&lt;br&gt;Is it possible to install it on MAC?</t>
  </si>
  <si>
    <t>+James Cook I also can&amp;#39;t open it on windows 10, maybe it works for you because you had it before?</t>
  </si>
  <si>
    <t>@James Cook I can&amp;#39;t find it when I search for it in my computer, and when I try to download it again, it says that the latest version  of this customization is already installed.</t>
  </si>
  <si>
    <t xml:space="preserve">@James Cook Thank you so much!!! I found it in the start but tom :) </t>
  </si>
  <si>
    <t>+Ciro Trejo Moya Hi! Thanks for writing.  I updated to Windows 10, and NodeXL has worked for me there, so the signs are good.</t>
  </si>
  <si>
    <t>+Juliana De Souza Treder Let&amp;#39;s troubleshoot!  When you say you can&amp;#39;t open it, does that mean you A) can&amp;#39;t find it, B) can&amp;#39;t start NodeXL once you find it, or C) can&amp;#39;t use NodeXL properly once you start it up?</t>
  </si>
  <si>
    <t>+Juliana De Souza Treder Good to know.  I had a bit of trouble with this too, on Windows 10 in particular, and the NodeXL folks should fix that bug.  Here&amp;#39;s a trick to try to get around it.  Go to the NodeXL Gallery and pick any example graph -- like &lt;a href="http://www.nodexlgraphgallery.org/Pages/Graph.aspx?graphID=57173"&gt;http://www.nodexlgraphgallery.org/Pages/Graph.aspx?graphID=57173&lt;/a&gt; for example.  Go all the way to the bottom of the page and find the Download the Graph Data as a NodeXL Workbook option.  Download a workbook and save it on your desktop.  Then open the workbook and you will start NodeXL.  Take out all the network data that&amp;#39;s there and save it as a blank network, and you have a good starting place now for all your NodeXL work.  Note: you may get a pop-up message that declares that you can&amp;#39;t open the workbook fully because downloaded from somewhere else and is not in a &amp;quot;trusted location.&amp;quot;  Save it to one of your trusted folders (the Desktop is a handy place usually) and re-open the workbook and you should be OK.  Does this help?</t>
  </si>
  <si>
    <t>+Juliana De Souza Treder Easier solution I just found.  Click the Start button in Windows 10, then click &amp;quot;All Apps.&amp;quot;  NodeXL should appear there in your list.</t>
  </si>
  <si>
    <t>Hello James, I am running Windows 10 by the time, do you have any idea if NodeXL is working on this operating system already?</t>
  </si>
  <si>
    <t>Hello James, I have problem installing NodeXL in my window 8.1 Enterprise. Could you please advice? Thanks</t>
  </si>
  <si>
    <t>in practice, i have so many problems with this software. it doesnt work.</t>
  </si>
  <si>
    <t>works for spanish?</t>
  </si>
  <si>
    <t>Thank you so much for the explanation. I learned a lot! Hope to advance in this program and text mining in general. I wish I can study this topic as part of a PhD program!</t>
  </si>
  <si>
    <t>Hey, I tried Node Excel for Office 13 with Window 8 and I worked for me.</t>
  </si>
  <si>
    <t>Please kindly share the process. it didn&amp;#39;t work for me</t>
  </si>
  <si>
    <t>audio on the video is so quiet I can hardly hear it with my laptop speakers on maximum.</t>
  </si>
  <si>
    <t>I cant install it, only .exe file is available on the link. can u pls upload it into ur google drive &amp;amp; share to me?</t>
  </si>
  <si>
    <t>Dear Piyush, when I tried to visit the page &lt;a href="https://nodexl.codeplex.com/"&gt;https://nodexl.codeplex.com&lt;/a&gt; to download it open with &lt;a href="https://archive.codeplex.com/?p=nodexl"&gt;https://archive.codeplex.com/?p=nodexl&lt;/a&gt; and only allow me to download Nodexl archive.  what to do now. I could have shared the screenshot but here it&amp;#39;s not possible. Kindly help me</t>
  </si>
  <si>
    <t>How did you get the NodeXL tab to show up? You did something there but did not say. I don&amp;#39;t see that tab after installing and running the software.</t>
  </si>
  <si>
    <t>Very Cool. Thank you for this tutorial!!</t>
  </si>
  <si>
    <t>Great tutorial. Thanks Brian!</t>
  </si>
  <si>
    <t>Thank you!! It helped a lot for my PhD!!</t>
  </si>
  <si>
    <t>Merhaba, şu an ben de aynı konu üzerinde bitirme çalışması yapıyorum. Acaba siz nasıl yaptınız, videodaki programı mı kullandınız, biraz bilgi verebilir misiniz rica etsem ?</t>
  </si>
  <si>
    <t>Gerçekten çok teşekkürler yararlı video olmuş .Bitirme projem twitter verileri ile duygu analizi  faydalı oldu..</t>
  </si>
  <si>
    <t>Hocam çok güzel olmuş. Elinize sağlık.</t>
  </si>
  <si>
    <t>@sümeyye çelik aynı hatayı bende yaşıyorum nasıl çözebilirim?</t>
  </si>
  <si>
    <t>@ünzile yeşil &lt;a href="https://www.nodexlgraphgallery.org/Pages/Registration.aspx"&gt;https://www.nodexlgraphgallery.org/Pages/Registration.aspx&lt;/a&gt; surdan indirebilirsiniz.</t>
  </si>
  <si>
    <t>kurulumunu bir bir şekilde gerçekleştirdim fakat şimdide twitter hesap erişimi kısmı pasif geliyor seçemiyrum. ayrıca aramada yapmıyor. ygulama yan yana yapılandırması doğru olmadığından başlatılamadı hatası vereyir neden olabilir cevap verirseniz sevinirim.</t>
  </si>
  <si>
    <t>hocam ücretsiz sürümünü indirip kuramadım farklı bir sitedenmi indirmeye çaliştim acaba linkini paylaşabilirmisiniz ? kurulum yaparken excel 2007 gerekli diye bir uyarı veriyor ve devam  etmiyor ama okudugum yerlerde 2007 ve üstü sürümlerde çalışırr yazıyor&lt;br&gt;&lt;a href="http://download.cnet.com/NodeXL/3001-2077_4-10967171.html"&gt;http://download.cnet.com/NodeXL/3001-2077_4-10967171.html&lt;/a&gt;    den denedim birde&lt;br&gt;&lt;a href="http://nodexl.codeplex.com/"&gt;nodexl.codeplex.com&lt;/a&gt; sitesinde setup yok sanırım.</t>
  </si>
  <si>
    <t>ben de aynısını arıyorum iki video da sizin yorumu görünce yazayım dedim. bulabildiniz mi ?</t>
  </si>
  <si>
    <t>Twitter&amp;#39;dan bir hashtag&amp;#39;te belli tarihler arasında veri çekmek istiyorum . hangi programı kullanmalıyım? örneğin  27/02.2020 - 04/03/2020 tarihleri arasında &lt;a href="http://www.youtube.com/results?search_query=%23m%C3%BClteci"&gt;#mülteci&lt;/a&gt; hashtag&amp;#39;iyle atılan verileri görebilir miyim?</t>
  </si>
  <si>
    <t>Hello sir,&lt;br&gt;I have one question. &lt;br&gt;I recently start my msc thesis, social media  network analysis but i don&amp;#39;t know how to start what kind of analysis we can do and what kind of problem we can solve with social network analysis. What will be my research area .</t>
  </si>
  <si>
    <t>This is a new version?</t>
  </si>
  <si>
    <t>how do i use the fade out when i filter the graph?</t>
  </si>
  <si>
    <t>Why do you use harel over frucherman? Is just a personal preference?</t>
  </si>
  <si>
    <t>This has been extremely helpful, thank you.</t>
  </si>
  <si>
    <t>really helpful, thank you</t>
  </si>
  <si>
    <t>Link download software nya kok error ya min?</t>
  </si>
  <si>
    <t>the link doesnt work :(</t>
  </si>
  <si>
    <t>Thank you! Life saver!</t>
  </si>
  <si>
    <t>Hi Kellogg, could you send me the sample data to me for practise, since the NodeXL has banned the twitter importer for basic version. Really appreciate your help</t>
  </si>
  <si>
    <t>NodeXL generates the graphs, and they can be exported as a standard jpeg file.</t>
  </si>
  <si>
    <t>Which application software is used for graph output?? please help</t>
  </si>
  <si>
    <t>Hi, V.M.. One important change in NodeXL since 2013 is that there is now a Pro (paid) and a Basic (free) version. In the Basic version, many previously free capabilities are no longer available.  In NodeXL Pro now, collecting only mentions (and not replies) is not possible, but it is simple enough in the results to filter out one type or the other.</t>
  </si>
  <si>
    <t>I see, thank you for helping.</t>
  </si>
  <si>
    <t>Dear Dr Cook, Is it right that the preview of the edges&amp;#39; options(for importing data from twitter) of the latest nodeXL kind of different from the 2013 one (that i  saw on ur previous tutorial) ?. As we are no longer able to have an option whether to take mentions only, reply to only,etc.&lt;br&gt;Thank You</t>
  </si>
  <si>
    <t>Great video!</t>
  </si>
  <si>
    <t>Nice work, thanks!</t>
  </si>
  <si>
    <t>We can hardly see what is written in Node EXl I think it would be a lot better understandable to make it a little bit bigger.Thank you any way</t>
  </si>
  <si>
    <t>Thank you for saving my ass 7 years after uploading this video. It&amp;#39;s just annoying that so many features are not available anymore in the basic version.</t>
  </si>
  <si>
    <t>Thanks g</t>
  </si>
  <si>
    <t>Fantastic video, cant wait for the deep dive into NodeXL</t>
  </si>
  <si>
    <t>merhaba hocam bende yüksek lisans tezimde kullanmak istiyorum ama daha çok yeniyim ve daha cok yabancı kaynak buldum , sizle görüşmeyi rica etsem kabul eder misiniz? telefondan bir kaç soru sorsam ? kolaylıklar diliyorum</t>
  </si>
  <si>
    <t>Hocam merhaba, programı sayenizde yükleyip çalıştırdım, doktora tezimde kullanıcam. Bir iki sorum olacak, size nasıl ulaşabilirim. Şimdiden çok teşekkürler. 0532 3084622. Saygılarımla.</t>
  </si>
  <si>
    <t>Merhabalar. İlginiz için çok teşekkür ederim. Sizlerden gelen mesajlar ve yorumlar üzerine buraya bir not sabitledim. Umarım işinizi görür. İyi çalışmalar.</t>
  </si>
  <si>
    <t>SELAM, BU KONUDA YARDIMA İHTİYACIM VAR ULAŞABİLİR MİSİNİZ?</t>
  </si>
  <si>
    <t>Emeğine sağlık kardeşim ❤_xD83D__xDE4B_‍♂️ yeni videolar istiyoruz_xD83D__xDC4D_</t>
  </si>
  <si>
    <t>indirdiğimiz veriyi gephi de açmak için hangi uzantı ile nasıl kaydedceğiz?</t>
  </si>
  <si>
    <t>Merhaba; Mail gelmiyor ne yazık ki?</t>
  </si>
  <si>
    <t>So awful, it ruins an otherwise good video!</t>
  </si>
  <si>
    <t>I hear your clock.  Tick,, tick,, tick,, tick,,</t>
  </si>
  <si>
    <t>I can&amp;#39;t hear u, honestly</t>
  </si>
  <si>
    <t>NIce video. Greatly appreaciated. Which is the next video following that one?</t>
  </si>
  <si>
    <t>Cuál es la data?</t>
  </si>
  <si>
    <t>Links from others to you = in degree&lt;br&gt;&lt;br&gt;Links from you to others = out degree</t>
  </si>
  <si>
    <t>what is indigree and out digree Account please tell me</t>
  </si>
  <si>
    <t>FIRST.</t>
  </si>
  <si>
    <t>Nice</t>
  </si>
  <si>
    <t>Can it instaled in macbook m1? Recomended spesification for laptop/ notebook to run it?</t>
  </si>
  <si>
    <t>مشكورين....</t>
  </si>
  <si>
    <t>اسباب كل كلامك النظري غير التطبيقي والذي اضعتي فيه كثير من وقتنا .....حضرتك اما تسوي دعاية للبرنامج اللي ذكرتيه.....او بهرجه وعرض وكأنك داخله حمله انتخابيه ومحتاجه اصوات  لا بد من تطبيق عملي  حتى نستفيد</t>
  </si>
  <si>
    <t>ممكن خاص او حسابك على تويتر كرما</t>
  </si>
  <si>
    <t>Hi, Thanos, and thanks for writing.  Indeed, you can indeed fix the nodes according to any X/Y variable, which Longitude/Latitude is a particular instance of.  And if you right-click on the graph of your network, you can select &amp;quot;Graph Options,&amp;quot; and one of those graph options is to set a background image. </t>
  </si>
  <si>
    <t>Super! I did both. This software makes a very powerful tool for data visualization!. It is very easy to use and flexible. I&amp;#39;m really impressed!</t>
  </si>
  <si>
    <t>Thank you!</t>
  </si>
  <si>
    <t>Hi James. Thank you for the video. It is really goodE I have a couple of questions for you. I am looking for a free softwrare to visualise the material flow (transportation) of our goods withing the European map. I think from your presentation I can do everything I have in mind but I&amp;#39;m not sure about a couple of things:&lt;br&gt;&lt;br&gt;1) Can I &amp;#39;fix&amp;#39; the position of my nodes on 2-dimensional space (i.e. by inserting Longitude-Latitude)? I see that I can move the position of the nodes but this is one-by-one manually.&lt;br&gt;&lt;br&gt;2) Can I paste a background photo behind my network? In the past I have done the same using Scatterplots to draw points or simple lines over maps.&lt;br&gt;&lt;br&gt;In any case NodeXL is a good software to add in my arsenal :-)</t>
  </si>
  <si>
    <t>Hi what is the url for the assignment.&lt;br&gt;Do you have a powerpoint presentation as well. </t>
  </si>
  <si>
    <t>@TheRaph75 Good question, and yes, there is!  First, set different attributes for the vertices you want to group in the &amp;quot;Other Columns&amp;quot; area of the NodeXL spreadsheet.  Then, select Groups --&amp;gt; Group by Vertex Attribute in the &amp;quot;Analysis&amp;quot; portion of the toolbar on top.  For more info on this, I recommend Analyzing Social Media Networks with NodeXL, a book from the folks who wrote the software.  &lt;a href="http://www.amazon.com/Analyzing-Social-Media-Networks-NodeXL/dp/0123822297"&gt;http://www.amazon.com/Analyzing-Social-Media-Networks-NodeXL/dp/0123822297&lt;/a&gt;</t>
  </si>
  <si>
    <t>@James Cook Thank you for your very quick answer, really appreciated. Just tested it, works very well. Now I have to finetune the layout, but you gave me the right directions :-) Many thanks for your help, i&amp;#39;ll check out the book too! Wish you a nice day professor :-) </t>
  </si>
  <si>
    <t>Good morning professor Cook. I&amp;#39;m a professional IT employée and found NodeXL a few days ago. Your tutorials are very helpful and easely understandable! I&amp;#39;m still struggeling with one point (maybe I missed it somewhere or just didn&amp;#39;t understood it well). Is there a possibility to group graphically vertices into &amp;quot;predefined&amp;quot; groups? For a stupid and simple axample, let&amp;#39;s say i have 6 vertices: A1, A2, A3, and B1, B2, B3. Let&amp;#39;s say there are links between &amp;#39;em, but the question and problem is: can I define manually and graphically two &amp;#39;bubbles&amp;#39;, one which englobes all A vertices and another defined group &amp;#39;bubble&amp;#39; which envelopes all B vertices?!  And if yes, of course, would you be so kind and redirect me to any writte explanation on how to do so? Hope my question was clear enough, as English isn&amp;#39;t my native language, so, pardon me the few mistakes. Thanks in advance, best regards.</t>
  </si>
  <si>
    <t>Excellent practicum. Combined with a couple of hours of theory this should take the novice from &amp;quot;no-nothing&amp;quot; to &amp;quot;enough-to-be-dangerous&amp;quot;. Thanks for posting this to a public forum.</t>
  </si>
  <si>
    <t>Excellent tutorial. I am new to NodeXL and want to do a SNA on some historical figures from the Antiquity. Your video will assist me immensely. Thank you.</t>
  </si>
  <si>
    <t>Thank you so much! So clear - I managed to get a start finally!</t>
  </si>
  <si>
    <t>Thanks a bunch!!!</t>
  </si>
  <si>
    <t>This is very helpful! I am new to exploring SNA and this is an excellent tutorial. Thank you.</t>
  </si>
  <si>
    <t>@Derek Caelin Hello! Thank you for this really helpful video! Please, are you sure that NodeXL still can be used with Facebook ? Their website says otherwise, I don&amp;#39;t want to purchase their program if it doesn&amp;#39;t work with Facebook. Thank you again!</t>
  </si>
  <si>
    <t>Hola Socorro muy buenos dias . No conozco ninguna herramienta externa que mida audiencias de facebook , hay algunas que muestran las mismas analiticas con mascaras que te dejan ver mas facilmente la data, pero  como imaginas son muy costosas  como ejemplo te pongo la plataforma MadGicx y talkwaker</t>
  </si>
  <si>
    <t>Gracias por compartir. Me gustaría saber si con esta herramienta puedo analizar redes en Facebook o ¿qué herramienta puedo usar para analizar esa red social?</t>
  </si>
  <si>
    <t>Yes - it works with your personal network, public groups, and the groups you belong to.</t>
  </si>
  <si>
    <t>@Sarah Tabit I hear that - just deleted my account. it looks like Facebook is no longer supported: &lt;a href="https://www.smrfoundation.org/2019/09/05/nodexl-pro-facebook-data-importers-no-longer-functional/"&gt;https://www.smrfoundation.org/2019/09/05/nodexl-pro-facebook-data-importers-no-longer-functional/&lt;/a&gt;</t>
  </si>
  <si>
    <t>Hello. Can I use NodeXL to analyze social media networks on Facebook?</t>
  </si>
  <si>
    <t>Hello Derek! Thank you for the video. It is really easy to follow and extremely useful.</t>
  </si>
  <si>
    <t>wonderful insightful and absolutely amazing :O :O</t>
  </si>
  <si>
    <t>Thank you Derek! Very intresting and cool use of these 2 sofware!</t>
  </si>
  <si>
    <t>Thank you so much for sharing!</t>
  </si>
  <si>
    <t>this link does not work anymore what do I do?</t>
  </si>
  <si>
    <t>@James Cook Hi, I&amp;#39;m onto the new link already. However, I couldn&amp;#39;t find either download or install button. Do you have any suggestion ?</t>
  </si>
  <si>
    <t>Hello.  Yes; it&amp;#39;s changed since the video has been shot.   Try &lt;a href="https://www.smrfoundation.org/nodexl/installation/"&gt;https://www.smrfoundation.org/nodexl/installation/&lt;/a&gt; for downloads and installation instructions.</t>
  </si>
  <si>
    <t>@Lilo Nguyen Hi, Lily Red. The &lt;a href="http://smrfoundation.org/"&gt;smrfoundation.org&lt;/a&gt; link below has a text link that leads to this page: &lt;a href="https://nodexlgraphgallery.org/Pages/registration.asp"&gt;https://nodexlgraphgallery.org/Pages/registration.asp&lt;/a&gt; . Hope that&amp;#39;s helpful.</t>
  </si>
  <si>
    <t>the link doesnot work its gives me download archives. what should i do?</t>
  </si>
  <si>
    <t>Thank you for impressing video. I&amp;#39;m going to put my formula in a node-exel graph to see the change. I&amp;#39;d like to know how?</t>
  </si>
  <si>
    <t>DK, thanks for writing.  I wouldn&amp;#39;t think about the NodeXL vs. R issue as one that involves general superiority of one over the other.  NodeXL&amp;#39;s strengths are in ease of visualization and analysis within a system that is comfortable to most generalists -- the spreadsheet environment of Microsoft Excel.  R, on the other hand, doesn&amp;#39;t cost anything (sadly, this is no longer the case for a functional version of NodeXL), it is freely extensible with igraph and other packages, and can engage in a more complete set of network analyses, such as QAP regression and exponential random graph modeling.  With work and a LOT of tinkering, R can approach NodeXL in beauty of visualization, but it is a lot of work.  The balance of these features will tip in one direction or another based on what your interests in research might be, how much time you have, and what your skill level in coding might be.</t>
  </si>
  <si>
    <t>Thanks for the detailed reply. That helps a lot. I hope you have a wonderful day!</t>
  </si>
  <si>
    <t>Hello! First of all, I want to thank you for sharing these wonderful videos about social network analysis/web data scraping. I have learned a lot in the past couple of days by watching your videos. As a doctoral student, I feel more confident that I now have one more tool in my toolbox as a researcher. Thank you so much.... I would be grateful if you could answer one question. So far, from your videos, I&amp;#39;ve learned that it is possible to import Twitter data, visualize, and analyze the data (network data) by using R. Do you think NodeXL can do much more than what R is capable of. Or you can pretty much do everything that NodeXL can do by using R? Thank you in advance. Sincerely, Dae</t>
  </si>
  <si>
    <t>Amazing</t>
  </si>
  <si>
    <t>Hello!  To make node shapes be images, first select the shape option &amp;quot;Image&amp;quot; in the Vertex tab, then look for a column titled &amp;quot;Image File&amp;quot; and enter the URL of the image you would like to appear.</t>
  </si>
  <si>
    <t>I would like to ask you how can I put an image to the label of character. Thank you!</t>
  </si>
  <si>
    <t>Very important video</t>
  </si>
  <si>
    <t>How can I add a bidirectional arrow in the NodeXL?</t>
  </si>
  <si>
    <t>Thank you so much for this video. I&amp;#39;m graduating in Social Comunication in Brazil and doing a work about the interactions around a famous TV Show here on Twitter.&lt;br&gt;I&amp;#39;m using NodeXL and some of your tips really helped me, like telling in an easy way what are Clusters and how they are made by the algorithm, or why do NodeXL chooses the more recent interactions on Twitter&amp;#39;s search. Thanks!!</t>
  </si>
  <si>
    <t>Meredian, thanks for writing.  It seems that the last use of the hashtag was in February, and unfortunately Twitter search results go back at best of times only about two weeks.  It you want to capture Tweets as they come in and save them, a low-cost easy service is Tweet Archivist Desktop.</t>
  </si>
  <si>
    <t>Hi Dr James. Many thanks for the information. Anyway, I endeavoured to do analysis on environmental network on Twitter using  &lt;a href="http://www.youtube.com/results?search_query=%23SaveBabakanSiliwangi"&gt;#SaveBabakanSiliwangi&lt;/a&gt;  but the vertices and graphic can&amp;#39;t come up. When I inserted  &lt;a href="http://www.youtube.com/results?search_query=%23SaveBabakanSiliwangi"&gt;#SaveBabakanSiliwangi&lt;/a&gt;  to Import menu &amp;quot;From Twitter Search Network&amp;quot; the vertices are supposed to be appearing because  &lt;a href="http://www.youtube.com/results?search_query=%23SaveBabakanSiliwangi"&gt;#SaveBabakanSiliwangi&lt;/a&gt;  has been widely mentioned in these recent days. Can you give me a hand how to resolve this issue? Thank you in advance and looking forward to hearing from you. </t>
  </si>
  <si>
    <t>Hi Avkash! Thanks for the inspiring information. Anyway, I am currently researching the network of environmental movement in Indonesia with &lt;a href="http://www.youtube.com/results?search_query=%23SaveBabakanSiliwangi"&gt;#SaveBabakanSiliwangi&lt;/a&gt;, but only 1 vertice appeared as the result. The vertices are supposed to be a lot because &lt;a href="http://www.youtube.com/results?search_query=%23SaveBabakan"&gt;#SaveBabakan&lt;/a&gt; Siliwangi have been twitted by around thousand users. Can you give me a hand for this issue? Thank you very much. </t>
  </si>
  <si>
    <t>Hello, Meredian.  What I notice, looking at Twitter, is that the hashtag you mention has been used just once since February, with a Tweet on April 1.  When you search through a hashtag using NodeXL, the Twitter API will only return material going a week or two back in time, which is why the earlier February tweets don&amp;#39;t appear in your search results.  That&amp;#39;s an unfortunate limitation of how Twitter chooses to share its data.</t>
  </si>
  <si>
    <t>Hi James! Thanks for the inspiring information. Anyway, I am currently researching the network of environmental movement in Indonesia with &lt;a href="http://www.youtube.com/results?search_query=%23SaveBabakanSiliwangi"&gt;#SaveBabakanSiliwangi&lt;/a&gt;, but only 1 vertice appeared as the result. The vertices are supposed to be a lot because  &lt;a href="http://www.youtube.com/results?search_query=%23SaveBabakan"&gt;#SaveBabakan&lt;/a&gt;  Siliwangi have been twitted by around thousand users. Can you give me a hand for this issue? Thank you very much. </t>
  </si>
  <si>
    <t>Sure do!  Just browse through my video list for examples.</t>
  </si>
  <si>
    <t>Video has been very helpful to me, as a new NodeXL user. Although I just started using NodeXL, this video has taught me a lot! Thanks for this, James! Do you have anymore walk through videos for NodeXL?</t>
  </si>
  <si>
    <t>Hi James! Very clear and helpful tutorial video, thank you for sharing it! You mentioned the Social Network Analysis textbook at the end of your video, do you mind if sharing the name of it? and what textbooks do you think are good for learning social network analysis? Thanks!</t>
  </si>
  <si>
    <t>Excellent walk through, pretty much did my assignment for me :)</t>
  </si>
  <si>
    <t>Thanks a lot for this tutorial, very helpful</t>
  </si>
  <si>
    <t>+Luxmi Verma I believe you are looking for topical analysis..? &lt;br&gt;Is it?</t>
  </si>
  <si>
    <t>@Luxmi Verma Hi Luxmi.  If you don&amp;#39;t want boxes around your clusters, visit Layout -&amp;gt; Layout Options in the Graph Ribbon and set the width of the box outline to zero.</t>
  </si>
  <si>
    <t>Hi james , how to get rid of cluster boxes i dont need</t>
  </si>
  <si>
    <t>i have the data in terms of author using the hashtag , how can i visualize that as not column is present on twitter user networks</t>
  </si>
  <si>
    <t>+Luxmi Verma Right here: &lt;a href="https://nodexlgraphgallery.org/Pages/registration.aspx"&gt;https://nodexlgraphgallery.org/Pages/registration.aspx&lt;/a&gt;</t>
  </si>
  <si>
    <t>Hi , any idea how to download nodexlpro ?</t>
  </si>
  <si>
    <t>thanks Prof!, also is there a certification of network analysis that i can take , I find this subject quite interesting</t>
  </si>
  <si>
    <t>@Luxmi Verma that depends on the form of data you have.  Can you post an example of a few lines of text to indicate what your lines of data look like?</t>
  </si>
  <si>
    <t>@James Cook the data format is on excel , is there any email id where can i send the data example, i get the edge list from there but to find vertices i have been told to put the data in R software to develop relations as corresponding tweets are mentioned  wondering what to do?</t>
  </si>
  <si>
    <t>Excel is the file format.  Edge list would be the data format, and if you have an edge list you should be able to cut and paste it in right from Excel, since the NodeXL data format is also an edge list.</t>
  </si>
  <si>
    <t>@James Cook  let me explain so i have author names in one column - node but in another column i have their tweets where they are mentioning / reply to other people , if i am just copying the nodes and psting its is giving me a self loop graph how do i show relation ship here? do i need to manually from the tweet take out themention/reply twitter handle and put on vertices column to build or i have to pass it through R or any other software!! before pasting it to node xl</t>
  </si>
  <si>
    <t>@Luxmi Verma Oh, OK, so you &lt;b&gt;don&amp;#39;t&lt;/b&gt; have an edge list yet.  You need to convert your data into an edge list, though.  You certainly don&amp;#39;t have to pass anything through R, although you could.  Try this: you could expand the &amp;quot;Tweets&amp;quot; column (using the Data-&amp;gt;Text to Columns command) so that the Tweet is separated out into different columns with a space as a delimiter.  Then take every result that contains a &amp;quot;@&amp;quot; and you&amp;#39;ll have the nodes to which they are posting -- the target.  You could create your edge list that way.</t>
  </si>
  <si>
    <t>@James Cook Thank you !! you are a rock Star!!!!! i could do that , &lt;br&gt;wanted to take formal training from you , any possibilities online</t>
  </si>
  <si>
    <t>Hi James , i have data downloaded from Radian 6, how can i import that in node xl</t>
  </si>
  <si>
    <t>@Luxmi Verma Hello again, Luxmi.  I&amp;#39;m not exactly sure what you&amp;#39;re asking, but I &lt;b&gt;think&lt;/b&gt; you&amp;#39;re asking whether it is possible to create a network in which hashtags are nodes (and ties indicate the frequency of co-occurrence) from data in which you have a set of users&amp;#39; tweets.  If that is the question, the answer is a definite YES!  What you would do is enter those tweets into a column in the Edges tab of NodeXL (you can put any value in for Vertex 1 and Vertex 2 for these data).  Then use the command NodeXL-&amp;gt;Graph Metrics-&amp;gt;Words and Word Pairs to create a semantic network as seen here: &lt;a href="https://www.youtube.com/watch?v=lbb2lMCSg64"&gt;https://www.youtube.com/watch?v=lbb2lMCSg64&lt;/a&gt; .  I hope this helps!</t>
  </si>
  <si>
    <t>Hi james i want to visualise Hashtag network , again since i have data from Radian 6 how can i visualise it from tweeter user network , as theses are not giving same coloumn name which u mentioned on hashtag network visualisations - tweeter search network</t>
  </si>
  <si>
    <t>so in radian 6 i get data tweet like this &lt;br&gt;&amp;quot;i really &lt;a href="http://www.youtube.com/results?search_query=%23love"&gt;#love&lt;/a&gt; &lt;a href="http://www.youtube.com/results?search_query=%23cupcake"&gt;#cupcake&lt;/a&gt; &amp;quot;&lt;br&gt; &lt;br&gt;so will &lt;a href="http://www.youtube.com/results?search_query=%23love"&gt;#love&lt;/a&gt; will be in vertex1 and cupcake will be in vertex 2?&lt;br&gt;what if only one hashtag is mentioned in a tweet ?&lt;br&gt;or &lt;br&gt;&lt;br&gt;put all tweet in edge tab  how i will find pair , i mean what you mean by put any value in vertex 1 and vertex 2</t>
  </si>
  <si>
    <t>+Dan Nunya To enter three vertices into the program, simply head to the vertices tab and enter the name of each vertex in its own row in the first column.&lt;br&gt;&lt;br&gt;I think you may not mean three VERTICES, though, but perhaps something else.  Do you mean three MODES?  If you need further help, please contact me at james.m.cook@maine.edu and I&amp;#39;d be happy to discuss this in greater detail.</t>
  </si>
  <si>
    <t>sorry professor. i didnt see this post before i wrote you the email. thanks for responding so quickly. the email explains the problem more clearly.</t>
  </si>
  <si>
    <t>I like your tutorials, so I thought I would ask you to help. I am not in your class, but I am struggling with NodeXL. I have an assignment to enter THREE vertices into the program vs two. I can easily place the first two vertices in the NodeXL spreadsheet, but can&amp;#39;t figure out how to put the third into the spreadsheet and still have the graph function show that third list. I&amp;#39;ve been struggling with it for months, and cannot find a tutorial on that, nor is the book any help. Can you please advise?</t>
  </si>
  <si>
    <t>+Nour Abuhadra Unfortunately, that&amp;#39;s due to limitations imposed by Twitter, not a limitation imposed by NodeXL. This means that there&amp;#39;s not any easy workaround for the problem as you encounter it in NodeXL.</t>
  </si>
  <si>
    <t>+James Cook Thank you so much for your help. Do you know any softwares that can assist me in extracting information from Twitter that dates back farther? Or would this limitation occur regardless? I&amp;#39;ve seen some interesting analyses of hashtags that date back over several years (3-4 years) and I&amp;#39;m looking to do a similar thing. Would appreciate any advice you can give! Thanks!</t>
  </si>
  <si>
    <t>@Nour Abuhadra this is most easily done capturing from the Twitter API firehose in the moment (so not headed significantly backwards in time at the moment of data capture).  I unfortunately don&amp;#39;t know of any tricks to get around this Twitter API limitation looking significantly backward in time with many tweets.  If you find a workaround, please let me know!</t>
  </si>
  <si>
    <t>I had a question. How can I extract data from Twitter if the hashtag was active more than 1 week ago. The version I have seems to be limited by only importing tweets that occurred within the last week on my specific hashtag. I would like to extract information from a meeting that happened in February. I would really appreciate your help! Thanks.</t>
  </si>
  <si>
    <t>In my opinion, one should consider the betweenness centrality but not just consider this criterion as the only one! Closeness centrality and also in/out degree values should be considered :) at least, this is what I&amp;#39;m doing for my master thesis.</t>
  </si>
  <si>
    <t>Could the betweeness centrality node be taken as the most influential in the network?</t>
  </si>
  <si>
    <t>Hi, Lena glt. The 2007 version of NodeXL won&amp;#39;t work with Twitter any more because the Twitter API (the way of obtaining data from Twitter&amp;#39;s servers) has since been updated.  You need to use the newest version of NodeXL for it to work with Twitter.</t>
  </si>
  <si>
    <t>Professor Cook, thank you for the reply. I tried everything and noticed that the 2007 NodeXl version that you use here can be still used with Twitter, but only if you have Windows 7 and previous versions. It will not work with any Windows after Windows 7.</t>
  </si>
  <si>
    <t>Dr Cook, thank you for the videos. I&amp;#39;ve been trying to use NodeXl with Twitter. Downloaded the 2007 edition, also installed Excel 2007 to be compatible. Every time i try to do the Import (from either the Twitter search network or Twitter user&amp;#39;s network) it will release the messages like &amp;quot; The network couldn&amp;#39;t be otained {webException} The remote server returned an error: (410) Gone&amp;quot;. &lt;br&gt;What am i doing wrong?</t>
  </si>
  <si>
    <t>Unfortunately, you don&amp;#39;t. It&amp;#39;s not NodeXL that sets up the limit -- it&amp;#39;s Twitter.  Twitter&amp;#39;s API, through which NodeXL and just about every other Twitter-scraping program accesses Twitter posts, has such a limit built in to prevent resource overuse.  There are ways outside of NodeXL to set up scripts that access small number of Tweets per hour over long periods of time, but that&amp;#39;s really in the class of a Python or R solution, not a NodeXL solution.</t>
  </si>
  <si>
    <t>Ok, thank you so much</t>
  </si>
  <si>
    <t>Hi, Dr. Cook, how do you set up nodexl to import all tweets outside the per hour limit?</t>
  </si>
  <si>
    <t>Hi there, how do you use NodeXL to simply export an account&amp;#39;s network, and which nodes in the network are connected? (As opposed to importing data around themes in tweets). Thank you!</t>
  </si>
  <si>
    <t>Hello Mr Kellogg, &lt;br&gt;Thank you so much for those videos. Very very helpful ! &lt;br&gt;&lt;br&gt;I have a problem with the dynamic filters...&lt;br&gt;I added &amp;quot;Oher columns&amp;quot; in my vertices worksheet : dates of Birth, Election and Death. &lt;br&gt;Automatically, they appeared in my dynamic filters at first... but I don&amp;#39;t know why one of them disappeared (&amp;quot;election&amp;quot;, which is the most important for me) from the dynamic filters window. &lt;br&gt;It&amp;#39;s still in my worksheet, but there is no range bar for it when I open the Dynamic filters window. I can&amp;#39;t find the way to make it appears again. &lt;br&gt;Could you help me with this issue ? &lt;br&gt;&lt;br&gt;Thanks a lot !</t>
  </si>
  <si>
    <t>Hi Dr. Cook,  &lt;br&gt;Thank you very much for sharing those methods ! I am an absolute beginner with NodeXL, but I have to learn using it on my own very quickly for my PhD in History. I have 2 problems in the Vertices worksheet :&lt;br&gt;1- for some vertices lines, there are no metrics at all : no degree, no clotheness centrality, no clustering coefficient... nothing ! For 592 vertices, I have all the information, but for 277 others, absolutely nothing. So it only appears 592 vertices in the &amp;quot;overall metrics&amp;quot; worksheet, instead of 869 ! I don&amp;#39;t understand why. I found no reason : some of the &amp;quot;non registered&amp;quot; vertices are linked in edges, some of them not, they are every where in the list... I don&amp;#39;t understand. If I copy and past all my components in a new NodeXL file, it does the same. What can I do ? &lt;br&gt;2- For filter my network, I use the dynamic filter option, which is very useful. But I don&amp;#39;t understand the fonction of the dynamic filter column. It has been automatically fulfilled with &amp;quot;FAUX&amp;quot; or &amp;quot;VRAI&amp;quot;, and I don&amp;#39;t understand the logical here either... I can change from FAUX to VRAI and vice versa but I don&amp;#39;t know what it means. &lt;br&gt;I hope my issues are clearly explained... Thanks so much for helping, &lt;br&gt;ÉS</t>
  </si>
  <si>
    <t>Hello Dr. Cook, &lt;br&gt;May I know whether NodeXL still supports twitter? I have the Pro version of it. And it seems like the Twitter Users Network function only imports my followers and people I follow. There is no edge between any other nodes. I clicked on &amp;quot;plus friends and followers&amp;quot;. And according to the image on the right, it should be exactly what I&amp;#39;m looking for. May I know whether you have also encountered this? And if so, what are some good solutions? Thanks a million!</t>
  </si>
  <si>
    <t>Thank you very much Dr. Cook! This video was very useful! I&amp;#39;m currently using Node XL Pro for analysing a network for my master thesis in Communication and Media Research at the University of Fribourg (CH)! I wanted to use both Node XL Pro and Gephi to do my analysis but maybe I don&amp;#39;t need Gephi now that I&amp;#39;ve understood Node XL Pro better, thank you!</t>
  </si>
  <si>
    <t>Thanks James, you&amp;#39;re life saver for sure. &lt;a href="http://www.youtube.com/results?search_query=%23BestTeacherIndeed"&gt;#BestTeacherIndeed&lt;/a&gt;</t>
  </si>
  <si>
    <t>Thank you, that was very helpful _xD83D__xDE4F__xD83D__xDC4D_</t>
  </si>
  <si>
    <t>thx a lot,was really informative.</t>
  </si>
  <si>
    <t>this is very helpful! thankyou</t>
  </si>
  <si>
    <t>Try just closing down and reopening your NodeXL file.</t>
  </si>
  <si>
    <t>@James Cook it didn&amp;#39;t work. I figured it out though! Went to the &amp;quot;view&amp;quot; ribbon and selected the &amp;quot;document actions&amp;quot; button. It doesnt sound related at all but it worked!</t>
  </si>
  <si>
    <t>I accidentally x&amp;#39;d out of the graph. How do I make it reappear?</t>
  </si>
  <si>
    <t>I WATCH THIS ON 2021, AND IT IS STILL USEFULL. THANKS MAN</t>
  </si>
  <si>
    <t>Hello, Amina!  I’m not quite sure exactly what’s going on with your data, but if Vertex 2 is blank, then you indeed won’t have a tie described, because you need information regarding two Vertices — Vertex 1 AND Vertex 2 — to characterize a tie. I’m not an employee of NodeXL, so I don’t know quite what might be going on with your data. However, if you would like to send me an email with some screen captures of what you’re doing or the actual NodeXL data sheet, I would be glad to take a look.  My email address is james.m.cook@&lt;a href="http://maine.edu/"&gt;maine.edu&lt;/a&gt;.</t>
  </si>
  <si>
    <t>Hi James, I&amp;#39;m getting an error message for edges data where the Vertex 2 column is blank - your graph shows outliers so not sure why Nodexl isn&amp;#39;t allowing me to have data to represent outliers?</t>
  </si>
  <si>
    <t>Thank you so much for the video! Very detailed and clear</t>
  </si>
  <si>
    <t>After 9 years, this video is still helpful. Thank you so much, you save my academic life!</t>
  </si>
  <si>
    <t>Great resource for those just getting started with NodeXL. Thanks very much for posting!</t>
  </si>
  <si>
    <t>Thank you for the video</t>
  </si>
  <si>
    <t>Thank you guys, excellent Job</t>
  </si>
  <si>
    <t>can we build a weight edged graph with nodeXL?</t>
  </si>
  <si>
    <t>not free, not open source though....</t>
  </si>
  <si>
    <t>Hi Avkash!&lt;br&gt;&lt;br&gt;I was wondering if you could tell me how to filter tweets by country in Nodexl. Ex: &lt;a href="http://www.youtube.com/results?search_query=%23adidas"&gt;#adidas&lt;/a&gt; tweets from Mexico only... ?&lt;br&gt;&lt;br&gt;Thanks!</t>
  </si>
  <si>
    <t>Hi Dr. Cook, &lt;br&gt;&lt;br&gt;I was wondering if you can tell me how to filter tweets by region in Nodexl. Ex: &lt;a href="http://www.youtube.com/results?search_query=%23adidas"&gt;#adidas&lt;/a&gt; tweets from Mexico only...?&lt;br&gt;&lt;br&gt;Thank you!</t>
  </si>
  <si>
    <t>Hi there!&lt;br&gt;&lt;br&gt;I was wondering if you could tell me how to filter tweets by country in Nodexl. Ex: &lt;a href="http://www.youtube.com/results?search_query=%23adidas"&gt;#adidas&lt;/a&gt; tweets from Mexico only... ?&lt;br&gt;&lt;br&gt;Thanks!</t>
  </si>
  <si>
    <t>get a real mic you moron, you tie everything you say into a huge web of absolutely garbage, glad your not a teacher, i could tie this all up in 5 minutes cause i know how to make a VIDEO work for me, you stand there with a pencil up your ass... fawk your anoying, i gotta go&lt;br&gt;oh, go fuck yourself</t>
  </si>
  <si>
    <t>Poor sound quality.</t>
  </si>
  <si>
    <t>Dear Miss Davids, I&amp;#39;m not a representative of either Microsoft or the folks who make NodeXL, and they&amp;#39;d be the best folks to ask.  However, I can say from experience that this has happened to my students when one of three things has happened: 1) they&amp;#39;ve got a lot of programs running on their computer or their computer has been booted for a long time and there isn&amp;#39;t a lot of memory available,  2) they&amp;#39;ve had Microsoft Office programs open for a long time and that particular suite of programs has become sluggish, or 3) they&amp;#39;re not working with a full and recent Microsoft Office suite of programs on a Windows machine, but instead are working with an Apple operating system or a less-costly version of Microsoft Office that doesn&amp;#39;t offer full features.  Do any of these apply to your situation?  #1 and #2 can be easily fixed by restarting your program or computer.  #3?  Eh, not so easy -- it&amp;#39;s one of the downsides of NodeXL.</t>
  </si>
  <si>
    <t>i have downloaded and using nodexl basic but the graph visualization is not displaying on the right at all. can anyone please assist me how i get the graph to display. thanks</t>
  </si>
  <si>
    <t>i have been trying for hours to activate it it keeps giving me pop up messages about entering a license received via email which i have not received and cannot proceed</t>
  </si>
  <si>
    <t>my graph is not appearing on the right</t>
  </si>
  <si>
    <t>Not hard at all.  It&amp;#39;s node shape 11 in the node shape column.</t>
  </si>
  <si>
    <t>Good moring, how do I can insert image intoa node?</t>
  </si>
  <si>
    <t>Good moring, how do I can insert image into a node?</t>
  </si>
  <si>
    <t>Thanks a lot for your validations, Please find more contents in &lt;a href="http://vivianfrancos.com/"&gt;vivianfrancos.com&lt;/a&gt;</t>
  </si>
  <si>
    <t>Thanks in a million. Great content. Awesome. Very well explained. I couldn&amp;#39;t find this explanation--simply put anywhere else. Great teachers are hard to find. Grade: A++_xD83D__xDCA5_</t>
  </si>
  <si>
    <t>Thanks in a million. You got the best stuff on earth! Where have you been all these years.</t>
  </si>
  <si>
    <t>Thanks in a million! Very well explained. Great product second to none. This is the nth time that I am watching this again. Great content. Awesome. Grade: A++ _xD83D__xDCA5_</t>
  </si>
  <si>
    <t>Great job but not a good sound quality</t>
  </si>
  <si>
    <t>Here is the actual picture in google drive&lt;br&gt;&lt;br&gt;&lt;a href="https://drive.google.com/file/d/1PbtSxb9-HpDzskfSC5qh5BHOzSlGEPPF/view?usp=sharing"&gt;https://drive.google.com/file/d/1PbtSxb9-HpDzskfSC5qh5BHOzSlGEPPF/view?usp=sharing&lt;/a&gt;</t>
  </si>
  <si>
    <t>more info from&lt;br&gt;&lt;br&gt;&lt;a href="https://fierbmi.com/"&gt;https://fierbmi.com/&lt;/a&gt;</t>
  </si>
  <si>
    <t>link to gephi file&lt;br&gt;&lt;br&gt;&lt;a href="https://drive.google.com/open?id=1dAYfGszD6TI7S6I0vyZt419CBPZe2lwU"&gt;https://drive.google.com/open?id=1dAYfGszD6TI7S6I0vyZt419CBPZe2lwU&lt;/a&gt;</t>
  </si>
  <si>
    <t>Here the original dataset&lt;br&gt;&lt;br&gt;&lt;a href="http://www.nodexlgraphgallery.org/Pages/Graph.aspx?graphID=224174"&gt;http://www.nodexlgraphgallery.org/Pages/Graph.aspx?graphID=224174&lt;/a&gt;</t>
  </si>
  <si>
    <t>My Twitter account. I post a lot stuff like this there&lt;br&gt;&lt;br&gt;&lt;a href="https://twitter.com/mihkal"&gt;https://twitter.com/mihkal&lt;/a&gt;</t>
  </si>
  <si>
    <t>This video lacks the part where nodexl workbook data is exported to gexf. &lt;br&gt;it is simple task. Export menu | GEXF</t>
  </si>
  <si>
    <t>Thanks for this video!
Your viewers may find it useful to download data sets for NodeXL from the NodeXL Graph Gallery.
This reduces the time needed to download a large dataset.  The gallery also features some useful examples of how to best visualize a network.  You can download the machine readable instructions for creating many of the networks you see in the gallery by clicking the link: &amp;quot;Download the NodeXL Options Used to Create the Graph&amp;quot;.</t>
  </si>
  <si>
    <t>@Marc Smith explains social network analysis in this chat with social media metrics students at the University of Nebraska at Omaha.</t>
  </si>
  <si>
    <t>ENLACE PARA TRADUCIR TEXTO DEL VIDEO  &lt;a href="https://docs.google.com/document/d/1GdYAVkfBXcNrpG_b_EAZwHldbSvUpY3GFjEESWu474c/edit?usp=sharing"&gt;https://docs.google.com/document/d/1GdYAVkfBXcNrpG_b_EAZwHldbSvUpY3GFjEESWu474c/edit?usp=sharing&lt;/a&gt;</t>
  </si>
  <si>
    <t>Have a request for the next &amp;quot;NodeXL Weather Report&amp;quot;?</t>
  </si>
  <si>
    <t>&lt;a href="https://www.amazon.com.br/s?i=stripbooks&amp;amp;rh=n%3A6740748011%2Cp_lbr_books_authors_browse-bin%3ATulio+Kahn&amp;amp;s=date-desc-rank&amp;amp;qid=1637233274&amp;amp;ref=sr_pg_1"&gt;https://www.amazon.com.br/s?i=stripbooks&amp;amp;rh=n%3A6740748011%2Cp_lbr_books_authors_browse-bin%3ATulio+Kahn&amp;amp;s=date-desc-rank&amp;amp;qid=1637233274&amp;amp;ref=sr_pg_1&lt;/a&gt;</t>
  </si>
  <si>
    <t>Merhabalar. Node XL ve Sosyal Ağ Analizi konusunda sizlerden mesaj ve yorumlar almaktayım ve ilginize çok teşekkür ederim. Konuya geri dönüş yapmak planlarım arasında olmakla birlikte, bu yakın zamanda olmayacak. Node XL kullanmayı ve bazı temel sosyal ağ analizi kavramlarını öğrenebileceğiniz bir PDF dosyası ayarladım sizler için. İlgili linkten &amp;quot;Node XL ile Ağların Çizimi ve Analizi&amp;quot; isimli PDF doyasına ulaşabilirsiniz. Bu dosya umarım işinizi görür ve daha iyi çalışmalar yapmanıza olanak tanır. Teşekkürler.&lt;br&gt;&lt;br&gt;Node XL ile Ağların Çizimi ve Analizi&lt;br&gt;&lt;br&gt;&lt;a href="https://drive.google.com/file/d/1setCSR5TRFgLAsY6IIbyKG9_eT02Ay5C/view?usp=sharing"&gt;https://drive.google.com/file/d/1setCSR5TRFgLAsY6IIbyKG9_eT02Ay5C/view?usp=sharing&lt;/a&gt;</t>
  </si>
  <si>
    <t>Plot NodeXL location data on a PowerMap &lt;br&gt;From NodeXL &lt;b&gt;Edges&lt;/b&gt; worksheet: Insert -&amp;gt; 3D Map &lt;br&gt;PowerMap automatically recognizes geographic data present. &lt;br&gt;You can add other columns. &lt;br&gt;It generates a 3d world map of the location of Tweets (that have location data).</t>
  </si>
  <si>
    <t xml:space="preserve">NodeXL Tip: You can list all edges first and NodeXL will populate the Vertices list automatically. </t>
  </si>
  <si>
    <t>Thanks for the tip, Marc!  NB: Marc Smith is a NodeXL superstar.  We have him to thank for this excellent open source social network resource.</t>
  </si>
  <si>
    <t>KC, thanks for the comments.  Instead of looking for ONE tool that does everything you want, consider the possibility of taking each package&amp;#39;s strength and stitching them together.  For dynamic filtering and visualization, consider NodeXL or Gephi.  For analysis, consider network analysis in R, or, if you&amp;#39;re looking for a ready-to-go package with a good number of analytic tools, check out UCINET.</t>
  </si>
  <si>
    <t>Update: this guide is old (more than 3 years old), so the link to download has changed.  Try here instead: &lt;a href="https://www.smrfoundation.org/nodexl/installation/"&gt;https://www.smrfoundation.org/nodexl/installation/&lt;/a&gt;</t>
  </si>
  <si>
    <t>se escucha de lo peor</t>
  </si>
  <si>
    <t>Alessandro Castaldo</t>
  </si>
  <si>
    <t>Chong Jin Lee</t>
  </si>
  <si>
    <t>Kurt Venzon</t>
  </si>
  <si>
    <t>Madhavan Sriram</t>
  </si>
  <si>
    <t>Amol Gupta</t>
  </si>
  <si>
    <t>Gilles Havik</t>
  </si>
  <si>
    <t>Rupsayar Das</t>
  </si>
  <si>
    <t>Wegdan Abdulqader</t>
  </si>
  <si>
    <t>C M</t>
  </si>
  <si>
    <t>Fredi Anriko</t>
  </si>
  <si>
    <t>Kevin Hodgson</t>
  </si>
  <si>
    <t>Em Cooper</t>
  </si>
  <si>
    <t>Vivian Francos #SeoHashtag Posiciona tu Hashtag</t>
  </si>
  <si>
    <t>Eva Añón</t>
  </si>
  <si>
    <t>Mika Laiti</t>
  </si>
  <si>
    <t>Alex Fenton</t>
  </si>
  <si>
    <t>Dogface Reilly</t>
  </si>
  <si>
    <t>Eutiquio Chapa</t>
  </si>
  <si>
    <t>Ngoc Phuong Chau</t>
  </si>
  <si>
    <t>prodfranciscan</t>
  </si>
  <si>
    <t>Rachit Gupta</t>
  </si>
  <si>
    <t>Tamer Taha</t>
  </si>
  <si>
    <t>Daniel Ayala Quispe</t>
  </si>
  <si>
    <t>rapidminerprojects iran</t>
  </si>
  <si>
    <t>Yahaya Musa Kayode</t>
  </si>
  <si>
    <t>Arvind Goyal</t>
  </si>
  <si>
    <t>M</t>
  </si>
  <si>
    <t>Rosalie Aguilar</t>
  </si>
  <si>
    <t>seemel akhtar</t>
  </si>
  <si>
    <t>Christina Cha</t>
  </si>
  <si>
    <t>James Cook</t>
  </si>
  <si>
    <t>Petru Dumitru</t>
  </si>
  <si>
    <t>Μιχαήλ Πουλιάσης</t>
  </si>
  <si>
    <t>Alicia Bernal</t>
  </si>
  <si>
    <t>ali [علي] 阿里 Maksum</t>
  </si>
  <si>
    <t>Agung Purnomo</t>
  </si>
  <si>
    <t>dinda futhikhumaira</t>
  </si>
  <si>
    <t>Fond Thinker</t>
  </si>
  <si>
    <t>Zahed Arman</t>
  </si>
  <si>
    <t>Jeffrey Anthony</t>
  </si>
  <si>
    <t>sarvanimaheedhara</t>
  </si>
  <si>
    <t>Klinger Lima</t>
  </si>
  <si>
    <t>Max Stabile</t>
  </si>
  <si>
    <t>Michel Oliveira</t>
  </si>
  <si>
    <t>SuperMarioVT</t>
  </si>
  <si>
    <t>André Jakob</t>
  </si>
  <si>
    <t>Bruno VP</t>
  </si>
  <si>
    <t>gustavo camargos</t>
  </si>
  <si>
    <t>Moisés Guimarães</t>
  </si>
  <si>
    <t>Cassio Menezes</t>
  </si>
  <si>
    <t>Elize Jacinto</t>
  </si>
  <si>
    <t>Nhi Trần</t>
  </si>
  <si>
    <t>Gregor Leban</t>
  </si>
  <si>
    <t>Danny Sheridan</t>
  </si>
  <si>
    <t>Kirk Richardson</t>
  </si>
  <si>
    <t>S.S V</t>
  </si>
  <si>
    <t>DWI SETYO AJI</t>
  </si>
  <si>
    <t>Maryam Zolnoori</t>
  </si>
  <si>
    <t>Juliana T.</t>
  </si>
  <si>
    <t>Ciro Trejo Moya</t>
  </si>
  <si>
    <t>Digital Bradford</t>
  </si>
  <si>
    <t>shahilagh</t>
  </si>
  <si>
    <t>Jose Tijerino</t>
  </si>
  <si>
    <t>Mustafa POLAT</t>
  </si>
  <si>
    <t>Growing World</t>
  </si>
  <si>
    <t>JOSEPH FAYESE</t>
  </si>
  <si>
    <t>kester ratcliff</t>
  </si>
  <si>
    <t>Digonto Sky</t>
  </si>
  <si>
    <t>Neeraj Pandey</t>
  </si>
  <si>
    <t>Melanie Espino</t>
  </si>
  <si>
    <t>habitMi</t>
  </si>
  <si>
    <t>Kaliisa Rogers</t>
  </si>
  <si>
    <t>Ana Paula Teixeira</t>
  </si>
  <si>
    <t>Sümeyra Yılmaz</t>
  </si>
  <si>
    <t>sumeyye aktepe</t>
  </si>
  <si>
    <t>Buracademy</t>
  </si>
  <si>
    <t>ünzile yeşil</t>
  </si>
  <si>
    <t>Erkan</t>
  </si>
  <si>
    <t>sümeyye çelik</t>
  </si>
  <si>
    <t>Özgür Ağrali</t>
  </si>
  <si>
    <t>Ayşen Özenir</t>
  </si>
  <si>
    <t>Srazi Abbas</t>
  </si>
  <si>
    <t>Ezio Alves</t>
  </si>
  <si>
    <t>Fissle Wine</t>
  </si>
  <si>
    <t>Michelle Molina</t>
  </si>
  <si>
    <t>Christian Caldwell</t>
  </si>
  <si>
    <t>nattakan iusakul</t>
  </si>
  <si>
    <t>Yusufil Akbar</t>
  </si>
  <si>
    <t>SABARIHA BINTI CHE HUSSIN</t>
  </si>
  <si>
    <t>Juliana Maria Trammel</t>
  </si>
  <si>
    <t>Niko Feng</t>
  </si>
  <si>
    <t>Shaun Kellogg</t>
  </si>
  <si>
    <t>Ravikant K</t>
  </si>
  <si>
    <t>visca moudy</t>
  </si>
  <si>
    <t>AGray Gray</t>
  </si>
  <si>
    <t>Jasminka Kovačević</t>
  </si>
  <si>
    <t>Fevzi Cankurtaran</t>
  </si>
  <si>
    <t>Kalt Gruen</t>
  </si>
  <si>
    <t>Oscar</t>
  </si>
  <si>
    <t>ISP3026</t>
  </si>
  <si>
    <t>Burcu Bostan</t>
  </si>
  <si>
    <t>B C</t>
  </si>
  <si>
    <t>Kaan</t>
  </si>
  <si>
    <t>Sezgin Durmuş</t>
  </si>
  <si>
    <t>caner canbir</t>
  </si>
  <si>
    <t>Mustafa Mustex</t>
  </si>
  <si>
    <t>cellofeldy</t>
  </si>
  <si>
    <t>Nils Finholt</t>
  </si>
  <si>
    <t>Marlisa Kurniati</t>
  </si>
  <si>
    <t>Filippos Dizen</t>
  </si>
  <si>
    <t>Lorena m s</t>
  </si>
  <si>
    <t>Marc Smith</t>
  </si>
  <si>
    <t>Ikram Khan</t>
  </si>
  <si>
    <t>nogribin</t>
  </si>
  <si>
    <t>Pembudayaan Digital Pulau Pinang</t>
  </si>
  <si>
    <t>imam riauan</t>
  </si>
  <si>
    <t>Najm Abed Khalaf Aleessawi</t>
  </si>
  <si>
    <t>المجلة العلمية</t>
  </si>
  <si>
    <t>a,o</t>
  </si>
  <si>
    <t>Thanos Panagouleas</t>
  </si>
  <si>
    <t>Alexander Sharma</t>
  </si>
  <si>
    <t>TheRaph75</t>
  </si>
  <si>
    <t>James Strawn</t>
  </si>
  <si>
    <t>OdiProfanumVulgus</t>
  </si>
  <si>
    <t>Elena Kochetkova</t>
  </si>
  <si>
    <t>Sonic-Fan-Play</t>
  </si>
  <si>
    <t>Leset</t>
  </si>
  <si>
    <t>Sarah Tabit</t>
  </si>
  <si>
    <t>Socorro López Vázquez</t>
  </si>
  <si>
    <t>Derek Caelin</t>
  </si>
  <si>
    <t>Ella S Prihatini</t>
  </si>
  <si>
    <t>Ahmed Ashour</t>
  </si>
  <si>
    <t>Antonio Alifano</t>
  </si>
  <si>
    <t>Selma Bonifacio</t>
  </si>
  <si>
    <t>sank raf</t>
  </si>
  <si>
    <t>Lilo Nguyen</t>
  </si>
  <si>
    <t>Shugufta Wani</t>
  </si>
  <si>
    <t>이가윤</t>
  </si>
  <si>
    <t>Dae</t>
  </si>
  <si>
    <t>kanwal ahmad</t>
  </si>
  <si>
    <t>Aneta Bartůňková</t>
  </si>
  <si>
    <t>bin gaeedi</t>
  </si>
  <si>
    <t>Sarath Mohan</t>
  </si>
  <si>
    <t>Darlan Kafeltz</t>
  </si>
  <si>
    <t>meredian alam</t>
  </si>
  <si>
    <t>Rise Above Promotions</t>
  </si>
  <si>
    <t>Belle Li</t>
  </si>
  <si>
    <t>Sean Lynch</t>
  </si>
  <si>
    <t>Fabrice Frossard</t>
  </si>
  <si>
    <t>Mridul Gupta</t>
  </si>
  <si>
    <t>Luxmi Verma</t>
  </si>
  <si>
    <t>Dan Nunya</t>
  </si>
  <si>
    <t>Nour Abuhadra</t>
  </si>
  <si>
    <t>Giada Calamai</t>
  </si>
  <si>
    <t>Emmanuel Nwofe</t>
  </si>
  <si>
    <t>Lena glt</t>
  </si>
  <si>
    <t>Marah Archer</t>
  </si>
  <si>
    <t>Gillian Casten</t>
  </si>
  <si>
    <t>Elodie Salmon</t>
  </si>
  <si>
    <t>Rich L</t>
  </si>
  <si>
    <t>Rashed N</t>
  </si>
  <si>
    <t>Kuba Dusza</t>
  </si>
  <si>
    <t>venkat jagadeesh</t>
  </si>
  <si>
    <t>Gladisti Geraldia</t>
  </si>
  <si>
    <t>Robin Nilsson</t>
  </si>
  <si>
    <t>20-018-StefanusLau</t>
  </si>
  <si>
    <t>Amina Gomri</t>
  </si>
  <si>
    <t>Linh Hiền</t>
  </si>
  <si>
    <t>Đức Nguyễn</t>
  </si>
  <si>
    <t>DrWhiteChocolateNRok</t>
  </si>
  <si>
    <t>Majestic005</t>
  </si>
  <si>
    <t>Suchetana Gupta</t>
  </si>
  <si>
    <t>open-ecommerce.org</t>
  </si>
  <si>
    <t>Alfonso Flores</t>
  </si>
  <si>
    <t>Dwayne Harvey</t>
  </si>
  <si>
    <t>Dan McCreary</t>
  </si>
  <si>
    <t>Empress Chariot</t>
  </si>
  <si>
    <t>Felipe Ribeiro</t>
  </si>
  <si>
    <t>John G</t>
  </si>
  <si>
    <t>Sadiq A</t>
  </si>
  <si>
    <t>Jeremy Harris Lipschultz</t>
  </si>
  <si>
    <t>Tulio Kahn</t>
  </si>
  <si>
    <t>Gustavo Moreno</t>
  </si>
  <si>
    <t>Ugg6wDyPqW_12ngCoAEC</t>
  </si>
  <si>
    <t>UgxR9Ql4a93_SIC-BNx4AaABAg</t>
  </si>
  <si>
    <t>UgwoWkJPUeRcf8htcKR4AaABAg</t>
  </si>
  <si>
    <t>Ugz6IH6qHiKDI-D4KvN4AaABAg</t>
  </si>
  <si>
    <t>UgjWD8cNubbsdHgCoAEC</t>
  </si>
  <si>
    <t>Ugj7qltlvCkU5XgCoAEC</t>
  </si>
  <si>
    <t>UgwumINODDc_l1ragCl4AaABAg</t>
  </si>
  <si>
    <t>UghgU3_GX8nRnngCoAEC</t>
  </si>
  <si>
    <t>UgzTxYmvboeRWeWUopF4AaABAg</t>
  </si>
  <si>
    <t>Ugw82uvq2WwXsJNkNe54AaABAg</t>
  </si>
  <si>
    <t>UgxYUzqtN3NCCtXTapZ4AaABAg</t>
  </si>
  <si>
    <t>Ugyrqnf8LZWHUYRwKiJ4AaABAg</t>
  </si>
  <si>
    <t>UgifF8TqLqyg_3gCoAEC</t>
  </si>
  <si>
    <t>UgjUQsL8290inngCoAEC</t>
  </si>
  <si>
    <t>UggQXnyZNDpSGXgCoAEC</t>
  </si>
  <si>
    <t>UgirV-DDfVYSB3gCoAEC</t>
  </si>
  <si>
    <t>UgjqFt8feDH0mHgCoAEC</t>
  </si>
  <si>
    <t>UgxYLs8W-8yNkOdYPrV4AaABAg</t>
  </si>
  <si>
    <t>Ugh1guaSjMdvpXgCoAEC</t>
  </si>
  <si>
    <t>UgibY0BOAVLR33gCoAEC</t>
  </si>
  <si>
    <t>UgxyM85EsIWIsu2e85J4AaABAg</t>
  </si>
  <si>
    <t>UgzW5mmanrSbF70cVX54AaABAg</t>
  </si>
  <si>
    <t>UgyY-471aqOucVMavT54AaABAg</t>
  </si>
  <si>
    <t>Ugjd4n-S0eHX23gCoAEC</t>
  </si>
  <si>
    <t>UggtoHb3Y2R5-ngCoAEC</t>
  </si>
  <si>
    <t>UgyCVYSA068GO9AIJOF4AaABAg</t>
  </si>
  <si>
    <t>Ugx8SZT2gQweZ_BjFbx4AaABAg</t>
  </si>
  <si>
    <t>UgxVHioXgWmg6uzyuEt4AaABAg</t>
  </si>
  <si>
    <t>UgxAhRAFDxIv6pA8KA14AaABAg</t>
  </si>
  <si>
    <t>UggQYUbwQ53QkHgCoAEC</t>
  </si>
  <si>
    <t>Ugg5GL5eGQVeDHgCoAEC</t>
  </si>
  <si>
    <t>Ugx7BTPhMCHHGhNpJ-F4AaABAg</t>
  </si>
  <si>
    <t>UgzhlFPwcgyhRwrtmn94AaABAg</t>
  </si>
  <si>
    <t>Ugxpp9q7RY6dIqFJpKd4AaABAg</t>
  </si>
  <si>
    <t>UgxfN_fy2eIJt1LKN814AaABAg</t>
  </si>
  <si>
    <t>UgxrKkvOyPZPKrtL5Qx4AaABAg</t>
  </si>
  <si>
    <t>UgjxSl3xBT3Bw3gCoAEC</t>
  </si>
  <si>
    <t>UghPezZiqsUaIXgCoAEC</t>
  </si>
  <si>
    <t>UghciJ0OgAnM7XgCoAEC</t>
  </si>
  <si>
    <t>Ugj1z4qym4XX13gCoAEC</t>
  </si>
  <si>
    <t>UgijL0mmKttMo3gCoAEC</t>
  </si>
  <si>
    <t>UgglV6t1rOoKAngCoAEC</t>
  </si>
  <si>
    <t>UgjbVu5aRVHxUHgCoAEC</t>
  </si>
  <si>
    <t>UgjhDlrOuztNEngCoAEC</t>
  </si>
  <si>
    <t>UggypM6ymR9-YXgCoAEC</t>
  </si>
  <si>
    <t>Ugi6RvNXtTzNW3gCoAEC</t>
  </si>
  <si>
    <t>UgjbDm4LAgJ_4ngCoAEC</t>
  </si>
  <si>
    <t>UggkLAE60L1w0ngCoAEC</t>
  </si>
  <si>
    <t>Ugglmql1Nc0OV3gCoAEC</t>
  </si>
  <si>
    <t>UgwHD6S1yvKN2VTolhB4AaABAg</t>
  </si>
  <si>
    <t>Ugy90ELdOflQDjLz6LB4AaABAg</t>
  </si>
  <si>
    <t>UgzDL7pmu1zHpkOXGrR4AaABAg</t>
  </si>
  <si>
    <t>UgwlyCZUCxnxBjbLfol4AaABAg</t>
  </si>
  <si>
    <t>UgyndlUWvHnhc29lHfZ4AaABAg</t>
  </si>
  <si>
    <t>hN3-wTOxrsY</t>
  </si>
  <si>
    <t>PmDKuAnKiGA</t>
  </si>
  <si>
    <t>hTnnEnpQkkk</t>
  </si>
  <si>
    <t>5_mfdaFBRy4</t>
  </si>
  <si>
    <t>0M3T65Iw3Ac</t>
  </si>
  <si>
    <t>3s6qbWY07FI</t>
  </si>
  <si>
    <t>o-D-Duv8Mcs</t>
  </si>
  <si>
    <t>39yXz72qdow</t>
  </si>
  <si>
    <t>vp7VXgvVAPg</t>
  </si>
  <si>
    <t>hVfI1U7uHR4</t>
  </si>
  <si>
    <t>bCENPBWjEaE</t>
  </si>
  <si>
    <t>x9IzmOWAlnA</t>
  </si>
  <si>
    <t>WHociTCrX48</t>
  </si>
  <si>
    <t>aJuHtKjYySE</t>
  </si>
  <si>
    <t>ZYLWHRa8Et4</t>
  </si>
  <si>
    <t>1VVN0ZlxXmI</t>
  </si>
  <si>
    <t>lbb2lMCSg64</t>
  </si>
  <si>
    <t>1yCjhTuLA1o</t>
  </si>
  <si>
    <t>AyMwPYpmYng</t>
  </si>
  <si>
    <t>tzkLBf9t7MY</t>
  </si>
  <si>
    <t>zMlwGOki4Yg</t>
  </si>
  <si>
    <t>GYSgH1g_YQI</t>
  </si>
  <si>
    <t>_ci5QaUkAfw</t>
  </si>
  <si>
    <t>yknqOhpUtzQ</t>
  </si>
  <si>
    <t>TrCcbMEkJM0</t>
  </si>
  <si>
    <t>0snyC8fNhXo</t>
  </si>
  <si>
    <t>CwQ8IrHZDgA</t>
  </si>
  <si>
    <t>t8YHRVf60BU</t>
  </si>
  <si>
    <t>owl9we4ldFI</t>
  </si>
  <si>
    <t>mjAq8eA7uOM</t>
  </si>
  <si>
    <t>leNjC1CQiow</t>
  </si>
  <si>
    <t>-dB0rwt6_U8</t>
  </si>
  <si>
    <t>xKhYGRpbwOc</t>
  </si>
  <si>
    <t>l0n5rKT0ztI</t>
  </si>
  <si>
    <t>o53sJ939r7A</t>
  </si>
  <si>
    <t>08MqGSL9TNQ</t>
  </si>
  <si>
    <t>THdrju-UWjo</t>
  </si>
  <si>
    <t>Gs4NPuKIXdo</t>
  </si>
  <si>
    <t>zEgrruOITHw</t>
  </si>
  <si>
    <t>PC-PgkhpsNc</t>
  </si>
  <si>
    <t>DfVp1zDYNLg</t>
  </si>
  <si>
    <t>pwsImFyc0lE</t>
  </si>
  <si>
    <t>3x-TXaTF3-Y</t>
  </si>
  <si>
    <t>8lDndBPEDj4</t>
  </si>
  <si>
    <t>qYS-obITp8U</t>
  </si>
  <si>
    <t>AAk39e00SlY</t>
  </si>
  <si>
    <t>vi01cIzeiqw</t>
  </si>
  <si>
    <t>XmBgsR82uPo</t>
  </si>
  <si>
    <t>8cNW3OD6I0o</t>
  </si>
  <si>
    <t>V5J2bUOoNh8</t>
  </si>
  <si>
    <t>R544_0CS46g</t>
  </si>
  <si>
    <t>imzmS6mzOws</t>
  </si>
  <si>
    <t>mGfzlUpCpxw</t>
  </si>
  <si>
    <t>M-7plTokyJ4</t>
  </si>
  <si>
    <t>fhuWyA2B_m4</t>
  </si>
  <si>
    <t>Ec0agEZ557k</t>
  </si>
  <si>
    <t>PbYZl4BZjJ8</t>
  </si>
  <si>
    <t>6syIwTVbrt0</t>
  </si>
  <si>
    <t>4joYD7ye-R0</t>
  </si>
  <si>
    <t>ETE3foyjx_E</t>
  </si>
  <si>
    <t>IUlPHNXUDFI</t>
  </si>
  <si>
    <t>WoFbiZxNGt4</t>
  </si>
  <si>
    <t>MtpFeGA-57Y</t>
  </si>
  <si>
    <t>zg1s4bF59Ss</t>
  </si>
  <si>
    <t>gYfi-UXg0RE</t>
  </si>
  <si>
    <t>BYS8gVQMH7I</t>
  </si>
  <si>
    <t>yMCTnhBUpOg</t>
  </si>
  <si>
    <t>jBXGN265uPI</t>
  </si>
  <si>
    <t>_LzT3A2_wDA</t>
  </si>
  <si>
    <t>pCYpAmk_2-Y</t>
  </si>
  <si>
    <t>89xmLtfm7G4</t>
  </si>
  <si>
    <t>zkOZhLTTZMU</t>
  </si>
  <si>
    <t>Udl9m3kua9Y</t>
  </si>
  <si>
    <t>kCApYWeu-kE</t>
  </si>
  <si>
    <t>8b-U81FWPI4</t>
  </si>
  <si>
    <t>Ksggp3-Grdo</t>
  </si>
  <si>
    <t>JWbyuFZSm2Y</t>
  </si>
  <si>
    <t>Cp5dejUrVUE</t>
  </si>
  <si>
    <t>GDEZBIXOz_c</t>
  </si>
  <si>
    <t>9YcbpzQ3f8I</t>
  </si>
  <si>
    <t>loKrwwx7OWQ</t>
  </si>
  <si>
    <t>gv96pG-FpNs</t>
  </si>
  <si>
    <t>EEZfb4WC_uE</t>
  </si>
  <si>
    <t>jUz1XgQaXVE</t>
  </si>
  <si>
    <t>Y_20YJMfpWE</t>
  </si>
  <si>
    <t>D2yECwk_gq8</t>
  </si>
  <si>
    <t>5qNwGSCUqHo</t>
  </si>
  <si>
    <t>4ae-mqDr7co</t>
  </si>
  <si>
    <t>ByE9IG1PtOs</t>
  </si>
  <si>
    <t>GUjqCaLet34</t>
  </si>
  <si>
    <t>b6cQRd_1Umg</t>
  </si>
  <si>
    <t>JiEZOB3VElw</t>
  </si>
  <si>
    <t>SUkcT9CYCMQ</t>
  </si>
  <si>
    <t>lBqT_KdC7YQ</t>
  </si>
  <si>
    <t>none</t>
  </si>
  <si>
    <t xml:space="preserve"> https://vivianfrancos.com/conoce-tus-mapas-de-audiencia-nodexl/ https://vivianfrancos.com/conoce-tus-mapas-de-audiencia-nodexl/</t>
  </si>
  <si>
    <t xml:space="preserve"> http://mihkal.indeedsir.com/isfi/ http://mihkal.indeedsir.com/isfi/</t>
  </si>
  <si>
    <t xml:space="preserve"> https://www.youtube.com/watch?v=o-D-Duv8Mcs&amp;amp;t=10m24s https://www.youtube.com/watch?v=o-D-Duv8Mcs&amp;amp;t=18m26s https://www.youtube.com/watch?v=o-D-Duv8Mcs&amp;amp;t=09m51s</t>
  </si>
  <si>
    <t xml:space="preserve"> http://www.youtube.com/watch?v=39yXz72qdow&amp;amp;t=4m08s</t>
  </si>
  <si>
    <t xml:space="preserve"> https://www.connectedaction.net/new-nodexl-updates-twitter-user-and-list-importer/ https://www.connectedaction.net/new-nodexl-updates-twitter-user-and-list-importer/</t>
  </si>
  <si>
    <t xml:space="preserve"> http://developer.twitter.com/</t>
  </si>
  <si>
    <t xml:space="preserve"> http://maine.edu/</t>
  </si>
  <si>
    <t xml:space="preserve"> http://blog.ibpad.com.br</t>
  </si>
  <si>
    <t xml:space="preserve"> https://www.peteraldhous.com/CAR/NodeXL_CAR2012.pdf https://www.peteraldhous.com/CAR/NodeXL_CAR2012.pdf</t>
  </si>
  <si>
    <t xml:space="preserve"> http://www.nodexlgraphgallery.org/Pages/Graph.aspx?graphID=57173 http://www.nodexlgraphgallery.org/Pages/Graph.aspx?graphID=57173</t>
  </si>
  <si>
    <t xml:space="preserve"> https://nodexl.codeplex.com/ https://nodexl.codeplex.com https://archive.codeplex.com/?p=nodexl https://archive.codeplex.com/?p=nodexl</t>
  </si>
  <si>
    <t xml:space="preserve"> https://www.nodexlgraphgallery.org/Pages/Registration.aspx https://www.nodexlgraphgallery.org/Pages/Registration.aspx</t>
  </si>
  <si>
    <t xml:space="preserve"> http://download.cnet.com/NodeXL/3001-2077_4-10967171.html http://download.cnet.com/NodeXL/3001-2077_4-10967171.html http://nodexl.codeplex.com/</t>
  </si>
  <si>
    <t xml:space="preserve"> http://www.youtube.com/results?search_query=%23m%C3%BClteci</t>
  </si>
  <si>
    <t xml:space="preserve"> http://www.amazon.com/Analyzing-Social-Media-Networks-NodeXL/dp/0123822297 http://www.amazon.com/Analyzing-Social-Media-Networks-NodeXL/dp/0123822297</t>
  </si>
  <si>
    <t xml:space="preserve"> https://www.smrfoundation.org/2019/09/05/nodexl-pro-facebook-data-importers-no-longer-functional/ https://www.smrfoundation.org/2019/09/05/nodexl-pro-facebook-data-importers-no-longer-functional/</t>
  </si>
  <si>
    <t xml:space="preserve"> https://www.smrfoundation.org/nodexl/installation/ https://www.smrfoundation.org/nodexl/installation/</t>
  </si>
  <si>
    <t xml:space="preserve"> http://smrfoundation.org/ https://nodexlgraphgallery.org/Pages/registration.asp https://nodexlgraphgallery.org/Pages/registration.asp</t>
  </si>
  <si>
    <t xml:space="preserve"> http://www.youtube.com/results?search_query=%23SaveBabakanSiliwangi http://www.youtube.com/results?search_query=%23SaveBabakanSiliwangi http://www.youtube.com/results?search_query=%23SaveBabakanSiliwangi</t>
  </si>
  <si>
    <t xml:space="preserve"> http://www.youtube.com/results?search_query=%23SaveBabakanSiliwangi http://www.youtube.com/results?search_query=%23SaveBabakan</t>
  </si>
  <si>
    <t xml:space="preserve"> https://nodexlgraphgallery.org/Pages/registration.aspx https://nodexlgraphgallery.org/Pages/registration.aspx</t>
  </si>
  <si>
    <t xml:space="preserve"> https://www.youtube.com/watch?v=lbb2lMCSg64 https://www.youtube.com/watch?v=lbb2lMCSg64</t>
  </si>
  <si>
    <t xml:space="preserve"> http://www.youtube.com/results?search_query=%23love http://www.youtube.com/results?search_query=%23cupcake http://www.youtube.com/results?search_query=%23love</t>
  </si>
  <si>
    <t xml:space="preserve"> http://www.youtube.com/results?search_query=%23BestTeacherIndeed</t>
  </si>
  <si>
    <t xml:space="preserve"> http://www.youtube.com/results?search_query=%23adidas</t>
  </si>
  <si>
    <t xml:space="preserve"> http://vivianfrancos.com/</t>
  </si>
  <si>
    <t xml:space="preserve"> https://drive.google.com/file/d/1PbtSxb9-HpDzskfSC5qh5BHOzSlGEPPF/view?usp=sharing https://drive.google.com/file/d/1PbtSxb9-HpDzskfSC5qh5BHOzSlGEPPF/view?usp=sharing</t>
  </si>
  <si>
    <t xml:space="preserve"> https://fierbmi.com/ https://fierbmi.com/</t>
  </si>
  <si>
    <t xml:space="preserve"> https://drive.google.com/open?id=1dAYfGszD6TI7S6I0vyZt419CBPZe2lwU https://drive.google.com/open?id=1dAYfGszD6TI7S6I0vyZt419CBPZe2lwU</t>
  </si>
  <si>
    <t xml:space="preserve"> http://www.nodexlgraphgallery.org/Pages/Graph.aspx?graphID=224174 http://www.nodexlgraphgallery.org/Pages/Graph.aspx?graphID=224174</t>
  </si>
  <si>
    <t xml:space="preserve"> https://twitter.com/mihkal https://twitter.com/mihkal</t>
  </si>
  <si>
    <t xml:space="preserve"> https://docs.google.com/document/d/1GdYAVkfBXcNrpG_b_EAZwHldbSvUpY3GFjEESWu474c/edit?usp=sharing https://docs.google.com/document/d/1GdYAVkfBXcNrpG_b_EAZwHldbSvUpY3GFjEESWu474c/edit?usp=sharing</t>
  </si>
  <si>
    <t xml:space="preserve"> https://www.amazon.com.br/s?i=stripbooks&amp;amp;rh=n%3A6740748011%2Cp_lbr_books_authors_browse-bin%3ATulio+Kahn&amp;amp;s=date-desc-rank&amp;amp;qid=1637233274&amp;amp;ref=sr_pg_1 https://www.amazon.com.br/s?i=stripbooks&amp;amp;rh=n%3A6740748011%2Cp_lbr_books_authors_browse-bin%3ATulio+Kahn&amp;amp;s=date-desc-rank&amp;amp;qid=1637233274&amp;amp;ref=sr_pg_1</t>
  </si>
  <si>
    <t xml:space="preserve"> https://drive.google.com/file/d/1setCSR5TRFgLAsY6IIbyKG9_eT02Ay5C/view?usp=sharing https://drive.google.com/file/d/1setCSR5TRFgLAsY6IIbyKG9_eT02Ay5C/view?usp=sharing</t>
  </si>
  <si>
    <t>vivianfrancos.com vivianfrancos.com</t>
  </si>
  <si>
    <t>indeedsir.com indeedsir.com</t>
  </si>
  <si>
    <t>youtube.com youtube.com youtube.com</t>
  </si>
  <si>
    <t>youtube.com</t>
  </si>
  <si>
    <t>connectedaction.net connectedaction.net</t>
  </si>
  <si>
    <t>twitter.com</t>
  </si>
  <si>
    <t>maine.edu</t>
  </si>
  <si>
    <t>com.br</t>
  </si>
  <si>
    <t>peteraldhous.com peteraldhous.com</t>
  </si>
  <si>
    <t>nodexlgraphgallery.org nodexlgraphgallery.org</t>
  </si>
  <si>
    <t>codeplex.com codeplex.com codeplex.com codeplex.com</t>
  </si>
  <si>
    <t>cnet.com cnet.com codeplex.com</t>
  </si>
  <si>
    <t>amazon.com amazon.com</t>
  </si>
  <si>
    <t>smrfoundation.org smrfoundation.org</t>
  </si>
  <si>
    <t>smrfoundation.org nodexlgraphgallery.org nodexlgraphgallery.org</t>
  </si>
  <si>
    <t>youtube.com youtube.com</t>
  </si>
  <si>
    <t>vivianfrancos.com</t>
  </si>
  <si>
    <t>google.com google.com</t>
  </si>
  <si>
    <t>fierbmi.com fierbmi.com</t>
  </si>
  <si>
    <t>twitter.com twitter.com</t>
  </si>
  <si>
    <t>com.br com.br</t>
  </si>
  <si>
    <t/>
  </si>
  <si>
    <t>Title</t>
  </si>
  <si>
    <t>Description</t>
  </si>
  <si>
    <t>Custom URL</t>
  </si>
  <si>
    <t>Thumbnail</t>
  </si>
  <si>
    <t>View Count</t>
  </si>
  <si>
    <t>Comment Count</t>
  </si>
  <si>
    <t>Subscriber Count</t>
  </si>
  <si>
    <t>Hidden Subscriber Count</t>
  </si>
  <si>
    <t>Video Count</t>
  </si>
  <si>
    <t>Content Owner</t>
  </si>
  <si>
    <t>Time Linked</t>
  </si>
  <si>
    <t>Custom Menu Item Text</t>
  </si>
  <si>
    <t>Custom Menu Item Action</t>
  </si>
  <si>
    <t>Larry Lugo</t>
  </si>
  <si>
    <t>Brittany Kubinski</t>
  </si>
  <si>
    <t>Francisco Marco-Serrano</t>
  </si>
  <si>
    <t>Sarah Honeychurch</t>
  </si>
  <si>
    <t>MSRC08</t>
  </si>
  <si>
    <t>Yanu Prasetyo</t>
  </si>
  <si>
    <t>metodologiabrasil</t>
  </si>
  <si>
    <t>Nguyen Pham Dinh Phuc _ K14 FUG CT</t>
  </si>
  <si>
    <t>Talks at Google</t>
  </si>
  <si>
    <t>Matt M</t>
  </si>
  <si>
    <t>Piyush Ramachandran</t>
  </si>
  <si>
    <t>brianbritt87</t>
  </si>
  <si>
    <t>Sosyal Ağ Analizi</t>
  </si>
  <si>
    <t>Mesti Sukses</t>
  </si>
  <si>
    <t>NodeXL</t>
  </si>
  <si>
    <t>Dr Alan Shaw</t>
  </si>
  <si>
    <t>Department of English Language and Literature</t>
  </si>
  <si>
    <t>Avkash Chauhan</t>
  </si>
  <si>
    <t>SMART Social Media Research Techniques</t>
  </si>
  <si>
    <t>Açıköğretim Sistemi - Anadolu Üniversitesi</t>
  </si>
  <si>
    <t>Derek Hansen</t>
  </si>
  <si>
    <t>Le Hoang Tieu Phung _ K14 FUG CT</t>
  </si>
  <si>
    <t>vedium</t>
  </si>
  <si>
    <t>chihsungteng</t>
  </si>
  <si>
    <t>RFL Communications, Inc.</t>
  </si>
  <si>
    <t>Microsoft Research</t>
  </si>
  <si>
    <t>Kasper Deibel</t>
  </si>
  <si>
    <t>Steve Boland</t>
  </si>
  <si>
    <t>Clyde Phelix</t>
  </si>
  <si>
    <t>謝章升</t>
  </si>
  <si>
    <t>Polinode</t>
  </si>
  <si>
    <t>JP de Vries</t>
  </si>
  <si>
    <t>Next in Nonprofits</t>
  </si>
  <si>
    <t>Paige Jarreau</t>
  </si>
  <si>
    <t>SF Community Manager Meetup #octribe</t>
  </si>
  <si>
    <t>Social Media Research Foundation</t>
  </si>
  <si>
    <t>Big Data</t>
  </si>
  <si>
    <t>Shalina Chatlani</t>
  </si>
  <si>
    <t>Grzegorz Gałęzowski</t>
  </si>
  <si>
    <t>Global Investigative Journalism Network</t>
  </si>
  <si>
    <t>TASA (The Australian Sociological Association)</t>
  </si>
  <si>
    <t>Kenalin gue Fredi Anriko, biasa di panggil Riko kadang juga Rico... pliss "K" sama "C" jangan di sama-samain!! Ini channel gue buat cuma iseng aja, mumpung lagi libur.. #lahkokguecurhat #BodoAmat #LagiBelajarBranding #PanjangAmat #Gajelas
Mungkin segitu aja, jangan lupa Like, Comment &amp; Subscribe Video gue di youtube biar gue bisa bikin video terus okeh  :D</t>
  </si>
  <si>
    <t>A place for videos around writing, music and teaching</t>
  </si>
  <si>
    <t>The latest videos from Microsoft Research Cambridge.</t>
  </si>
  <si>
    <t>#SEOHashtag Crea e Impulsa el #hashtag de tu marca o evento para llevar trafico a tus redes sociales y pagina web y convertir en ventas
Sigueme en mis redes sociales :  
Twitter @hashtagmarketi7
Facebook https://www.facebook.com/VivianFrancosMarketingConsultant
Linkedin https://www.linkedin.com/in/vivianfrancos
Web Blog  https://vivianfrancos.com/</t>
  </si>
  <si>
    <t>PhD. _xD83D__xDC69_‍_xD83C__xDFEB_ Ayudo en remoto a profesionales de #salud a digitalizarse y desarrollar su #marcapersonal 
_xD83D__xDCBB_ Tuiteo congresos de salud online #SmartTwitter #FarmaHealth
#marketingdigital #socialmedia #enfermedadesraras #redessociales manIger de @igerscoruna</t>
  </si>
  <si>
    <t>Welcome!  My name's James Cook, I'm an Associate Professor of Sociology at the University of Maine at Augusta, and this Youtube channel is home to instructional videos in sociology, how-to walkthroughs for data gathering, data analysis, and data visualization methods, and trailers for upcoming events at UMA, which is perhaps the most open of the state universities in Maine.</t>
  </si>
  <si>
    <t>Kanal Youtube ini terutama didedikasikan kepada Mahasiswa khususnya di Universitas Muhammadiyah Yogyakarta dan umumnya kepada pemirsa yang tertarik dengan dunia penulisan akademik, riset, dan hal menarik lainnya. Terima kasih sudah mampir. Wassalam 
This Youtube Channel is mainly dedicated to students especially at Universitas Muhammadiyah Yogyakarta and generally to viewers who are interested in academic writing, research, and other interesting things. Thank you for watching. Wassalam</t>
  </si>
  <si>
    <t>Road Trip - Traveling - Education - Fun</t>
  </si>
  <si>
    <t>Pembelajar di Sidoarjo</t>
  </si>
  <si>
    <t>Archive of my former remote drum recording studio.
This Youtube channel is no longer in use.</t>
  </si>
  <si>
    <t>Canal do Tulio Kahn. Focado em metodologia de pesquisas e análise de dados, o canal mostra diversos recursos existentes em softwares conhecidos de análise de dados, muitos deles gratuitos. Os videos tem 15 mínutos de duração e abordam técnicas de data science,  da raspagem de dados à estatística multivariada usando I.A. O autor é doutor em ciência política pela USP, foi pesquisador visitante nas Universidades de Michigan, UCSD e Oxford. Além do canal, mantem o Blog do Tulio Kahn e tem mais de 20 livros digitais disponibilizados na Amazon</t>
  </si>
  <si>
    <t>Informática. Acessórios para notebook. Eletrônicos. Suprimentos Multimídia</t>
  </si>
  <si>
    <t>Talks at Google is a leader in the corporate interview series space, providing a platform for influential thinkers, creators, makers and doers to tell us about their work, their lives and what drives them to shape our world.  We host talks virtually and physically across 30+ Google offices worldwide, and often record and release these talks publicly.
Subscribe to our audio-only "Talks at Google" podcast everywhere podcasts are found via https://linktr.ee/talksatgoogle. 
DISCLAIMER: The views or opinions expressed by the guest speakers are solely their own and do not necessarily represent the views or opinions of Google, Inc. The comments on this channel belong only to the person who posted them. We do, however, reserve the right to remove off-topic or inappropriate comments.</t>
  </si>
  <si>
    <t>This is my channel.</t>
  </si>
  <si>
    <t>Just like you, I am a traveler in the world that exists within me and around me. In 2008, I made this channel to seek the wonders of my life by creating expressive videos. Increasing feedback ad subscriptions made me broaden the initial objective. I now create videos that help me and others feel grace, wonder, inner joy, and longing for all the love and beauty that we can see or feel. In my opinion, we are always looking for and moving toward beauty and love— consciously or unconsciously. 
~ The opposite of love is not hate, it's indifference. The opposite of beauty is not ugliness, it's indifference. The opposite of faith is not heresy, it's indifference. And the opposite of life is not death, but indifference between life and death~ 
~ Never loose your childish innocence. This is the most important thing ~ Then ~ Unthinkably good things can happen, even late at the end of the game! It s such a surprise ~</t>
  </si>
  <si>
    <t>Sukses adalah hak semua orang termasuk kalian.
So, Yakinlah pada diri kalian. Bersama kami kalian MESTISUKSES</t>
  </si>
  <si>
    <t>usputni video zapisi</t>
  </si>
  <si>
    <t>Welcome to the home of NodeXL on YouTube!
NodeXL is the Network Overview Discovery and Exploration add-in for the familiar Microsoft® Office® Excel® spreadsheet.  If you can make a pie chart, you can now make a network chart.  Collect network data from a variety of end points including Twitter, Facebook, YouTube, flickr, email, Wikis, blogs, and more!  Analyze, measure and visualize networks with just a few clicks with NodeXL's Automate feature. Get insights into influencers, groups, divisions, and content over time.
NodeXL is brought to you by the Social Media Research Foundation (http://smrfoundation.org) which is dedicated to helping people understand connected structures like society and social media.</t>
  </si>
  <si>
    <t>Tamir edip onardığım ürünlerin çalışmalarını.
Evde bulunup kullanılmayan eşyaların değerlendirilmeleri.
Almış olduğum ürünlerin değerlendirmelerini. 
Sizlerin de kolaylıkla yapabileceği işlerin hap bilgilerini sunacağım.</t>
  </si>
  <si>
    <t>Channel that I follow is all about 'easy listening' and 'easy watching' things..
Interesting but not too hard to be accepted by my LIMITED BRAIN... LOL</t>
  </si>
  <si>
    <t>Hi! I am Filip, This is my video sharing platform. Just walk around it see if you can find something interesting from a wide selection of documentaries, interviews, and video clips. Share yours if you like. Have fun.</t>
  </si>
  <si>
    <t>Program Pembudayaan Komuniti Pembelajaran Dalam Talian Yang Lestari Pulau Pinang</t>
  </si>
  <si>
    <t xml:space="preserve">This is me, imam riauan.
Its about my travel vlog, daily vlog as one of lecture in Indonesia, Universitas Islam Riau. Follow me on @imamriauan facebook/instagram. Ask me on comment, and please like, subscribe, &amp; share. 
Invite me for join trip or business inquiry on @imamriauan
nicetradewithme@gmail.com
</t>
  </si>
  <si>
    <t>Najm Aleessawi</t>
  </si>
  <si>
    <t>قناة تهدف الى تقديم كل ما هو مفيد ونافع في كل مجالات الحياة</t>
  </si>
  <si>
    <t xml:space="preserve">Это обычный среднестатистический треш-канал с компьютерными треш-игрульками, в основном про Соника, в основном про Соника.ехе. 
Так что...оставь надежду на качество, всяк сюда входящий...
</t>
  </si>
  <si>
    <t xml:space="preserve">I make videos about technology - how to use it, and how it impacts us. I'm particularly interested in open source tools. </t>
  </si>
  <si>
    <t>Hello guys. This is my 1st ever channel here. I'll be making strange contents and more! Hope you enjoy and subscribe for more!</t>
  </si>
  <si>
    <t>قناة عامة تنقل محتوى تعليمي</t>
  </si>
  <si>
    <t>Prodramp is an enterprise technology adoption platform to achieve faster adoption through a curated collection of competitions, tasks, content, events, and consultations.</t>
  </si>
  <si>
    <t>"A mistake proves that someone stopped talking long enough to do something", stop reviewing and analyzing everything in your life and go and try it.. Not a single plan is good enough if its not tried in practice.</t>
  </si>
  <si>
    <t>This channel is a platform for showcasing my amateur attempts at various things, music being the primary one. I am trained in Rabindrasangeet and also sing light music. 
I'm open to collaborate with instrumentalists. Please drop me a message on my channel or put a comment on any video.</t>
  </si>
  <si>
    <t>This is the Open-ecommerce.org chanel where we add some customer videos and tutorials in general</t>
  </si>
  <si>
    <t>Playlist 2017 by Brody</t>
  </si>
  <si>
    <t xml:space="preserve">SMART Data Sprint is intensive hands-on work, driven by online data and digital methods. We adopt experimental and inventive ways of reading, seeing, and analysing platform data, with the aim of responding to a set of research questions. 
Our goal is to collectively achieve concrete outcomes, creating the opportunity for knowledge production and providing an environment in which participants can equally contribute and benefit from one another’s expertise. We believe that: 1) new approaches for social media research can be collectively built and designed through this experimental and exploratory process, and advanced by digital methods; 2) the data sprint approach can trigger new possibilities for ongoing digital research, as well as provide descriptions and a broad/narrow view on the subject of study.
</t>
  </si>
  <si>
    <t>Türk yükseköğretim sisteminde 32. yılını tamamlayan Anadolu Üniversitesi Açıköğretim Sistemi, yaklaşık 1 milyon 400 bin öğrencisi ve 2 milyon 200 bin mezununa açıköğretim sistemiyle yükseköğrenim sağlamanın yanı sıra özel projeler yardımıyla Türkiye’nin eğitim sorunlarının aşılmasında vazgeçilmez bir rol üstlenmektedir.
Anadolu Üniversitesi Açıköğretim Sistemi, ülkemizde çağdaş anlamda açıköğretim sistemi ile yeni ihtiyaçların karşılanması konusunda hızla harekete geçebilen çok esnek bir yapıya, güçlü bir organizasyona sahiptir. Uluslararası düzeyde işbirlikleri için cazibe merkezi haline gelen Anadolu Üniversitesi Açıköğretim Sistemi, sahip olduğu teknik alt yapı, kalite düzeyi yüksek ve verimli çalışabilen üretken insan kaynağı ile kendini sürekli yenileyerek uyguladığı açıköğretim sistemi ile Türk Yükseköğretim Sisteminde ülkemizde yükseköğretim alanında birçok ilkleri ve yenilikleri uygulamaya koymaktadır. Bu yönü ile dünyanın mega üniversiteleri arasında yer almaktadır.</t>
  </si>
  <si>
    <t>RFL Communications presents the Research Business DAILY Report! Concise perspectives, insights and analysis about under-reported events impacting the market research world, from RFL Communications Editor &amp; Publisher Bob Lederer. New edition every Monday-Thursday. Join our email list and receive a message as soon as a new RBDR is uploaded: http://ow.ly/CfFWE.</t>
  </si>
  <si>
    <t>At Microsoft, research plays a crucial role in driving those breakthroughs. Our researchers, scientists, and engineers have influenced virtually every Microsoft product we have released in the past three decades, including Cortana, Azure ML, Office, Xbox, HoloLens, Skype, and Windows.
These leading industry thinkers also contribute to important basic and applied research in fields ranging from healthcare to economics. They also provide thought leadership to both business and engineering leaders in fields such as machine learning, artificial intelligence, and cloud computing. 
Microsoft researchers believe in sharing this fundamental, groundbreaking research with the world. We do this through products and services we release, such as Project Oxford and CNTK, and through partnerships with leading universities and research organizations. 
At Microsoft, we believe in the value of research, for our own work and for the world we live in.</t>
  </si>
  <si>
    <t>Videos relating to Polinode - a tool to map, visualize and analyze relationships between people.</t>
  </si>
  <si>
    <t>Jeremy Harris Lipschultz is professor and director of The University of Nebraska at Omaha School of Communication in the College of Communication, Fine Arts and Media.</t>
  </si>
  <si>
    <t>Ideas and presentations on social fundraising and social communications for nonprofit organizations.</t>
  </si>
  <si>
    <t>SF Community Managers Meetup - A free monthly Meetup for online community managers, enthusiasts and innovators interested in social networking applications, social media and online group collaboration. We discuss tools and strategies to enhance participation in the various online communities we support. Meetups are livestreamed from San Francisco and usually happen on the 4th Wednesday of every month at 6pm. We're always looking for speakers and sponsors, so contact us if you are interested.
Meetup
https://www.meetup.com/CommunityManagersinSF/
Livestream
https://www.facebook.com/groups/OCTRIBE/
Hashtag #octribe
https://twitter.com/hashtag/octribe</t>
  </si>
  <si>
    <t>Mapping social media networks using NodeXL
Videos related to social media data collection, analysis, and visualization.
The Social Media Research Foundation builds and maintains the NodeXL application.  NodeXl makes network analysis as easy as making a pie chart.</t>
  </si>
  <si>
    <t>Big Data IT 552 Course</t>
  </si>
  <si>
    <t xml:space="preserve">The Global Investigative Journalism Network (GIJN) is an international association of nonprofit organizations that support, promote, and produce investigative journalism. GIJN holds conferences, conducts trainings, provides resources and a Help Desk, and encourages the creation of similar nonprofit groups. 
It was founded in 2003 when more than 300 journalists from around the world gathered for the second Global Investigative Journalism Conference in Copenhagen. Since then it has grown to 203 member organizations in 80 countries.
+ info: https://gijn.org
GIJN Around the World
GIJN en Español: https://www.youtube.com/channel/UCaDBjn7AT9E3wIwewENnJ5A
GIJN الشبكة العالمية للصحافة الاستقصائية: https://www.youtube.com/channel/UCh2tjxeSpjCD5ztiFcxUgkQ
GIJN en Français: https://www.youtube.com/channel/UCe8mk-x-eax-lmsVuGztJWg
GIJN Russian: https://www.youtube.com/channel/UCrBk5ax8_a8O4wgH3mmCY-w
</t>
  </si>
  <si>
    <t>The Australian Sociological Association (TASA) is the peak professional association for Australian sociologists. Formed in 1963, TASA is celebrating its 50th anniversary this year. TASA holds an annual conference, produces two refereed journals, facilitates networks across specialist fields, and awards prizes for outstanding contributions to Australian sociology.
For more info visit us at http://www.tasa.org.au/</t>
  </si>
  <si>
    <t>larrylugo</t>
  </si>
  <si>
    <t>brittanykubinski</t>
  </si>
  <si>
    <t>marcsmithsociologist</t>
  </si>
  <si>
    <t>kevinhodgson</t>
  </si>
  <si>
    <t>sarahhoneychurch</t>
  </si>
  <si>
    <t>vivianfrancos</t>
  </si>
  <si>
    <t>mikalaiti</t>
  </si>
  <si>
    <t>alexfenton</t>
  </si>
  <si>
    <t>ngocphuongchauph0123</t>
  </si>
  <si>
    <t>jamescookuma</t>
  </si>
  <si>
    <t>petrudumitru</t>
  </si>
  <si>
    <t>tuliokahn</t>
  </si>
  <si>
    <t>gustavocamargos</t>
  </si>
  <si>
    <t>gregorlebanplus</t>
  </si>
  <si>
    <t>talksatgoogle</t>
  </si>
  <si>
    <t>buracademy</t>
  </si>
  <si>
    <t>shaunkellogg</t>
  </si>
  <si>
    <t>christiancaldwell</t>
  </si>
  <si>
    <t>jasminkakovacevic</t>
  </si>
  <si>
    <t>alanshawesq</t>
  </si>
  <si>
    <t>abufade555ye</t>
  </si>
  <si>
    <t>avkashchauhan</t>
  </si>
  <si>
    <t>fabricefrossard</t>
  </si>
  <si>
    <t>emmanuelnwofe</t>
  </si>
  <si>
    <t>kubadusza</t>
  </si>
  <si>
    <t>suchetanagupta</t>
  </si>
  <si>
    <t>openecommerceorg</t>
  </si>
  <si>
    <t>danmccreary</t>
  </si>
  <si>
    <t>acikogretimsistemi</t>
  </si>
  <si>
    <t>kasperdeibel</t>
  </si>
  <si>
    <t>steveboland</t>
  </si>
  <si>
    <t>becketthsieh</t>
  </si>
  <si>
    <t>polinodemilsonspoint</t>
  </si>
  <si>
    <t>jeremyharrislipschultz</t>
  </si>
  <si>
    <t>nextinnonprofits</t>
  </si>
  <si>
    <t>globalinvestigativejournalismnetwork</t>
  </si>
  <si>
    <t>Open Channel URL in Browser</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</si>
  <si>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</si>
  <si>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</si>
  <si>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</si>
  <si>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</si>
  <si>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</si>
  <si>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</si>
  <si>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</si>
  <si>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</si>
  <si>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</si>
  <si>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</si>
  <si>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</si>
  <si>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</si>
  <si>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</si>
  <si>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</si>
  <si>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</si>
  <si>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</si>
  <si>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</si>
  <si>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</si>
  <si>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</si>
  <si>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</si>
  <si>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</si>
  <si>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</si>
  <si>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</si>
  <si>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</si>
  <si>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</si>
  <si>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</si>
  <si>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</si>
  <si>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</si>
  <si>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</si>
  <si>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</si>
  <si>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</si>
  <si>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</si>
  <si>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</si>
  <si>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</si>
  <si>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</si>
  <si>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</si>
  <si>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</si>
  <si>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</si>
  <si>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</si>
  <si>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</si>
  <si>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</si>
  <si>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</si>
  <si>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</si>
  <si>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</si>
  <si>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</si>
  <si>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</si>
  <si>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</si>
  <si>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</si>
  <si>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</si>
  <si>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</si>
  <si>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</si>
  <si>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nodexl</t>
  </si>
  <si>
    <t>data</t>
  </si>
  <si>
    <t>twitter</t>
  </si>
  <si>
    <t>network</t>
  </si>
  <si>
    <t>tweets</t>
  </si>
  <si>
    <t>james</t>
  </si>
  <si>
    <t>graph</t>
  </si>
  <si>
    <t>cook</t>
  </si>
  <si>
    <t>vertices</t>
  </si>
  <si>
    <t>download</t>
  </si>
  <si>
    <t>like</t>
  </si>
  <si>
    <t>great</t>
  </si>
  <si>
    <t>work</t>
  </si>
  <si>
    <t>node</t>
  </si>
  <si>
    <t>analysis</t>
  </si>
  <si>
    <t>ve</t>
  </si>
  <si>
    <t>results</t>
  </si>
  <si>
    <t>help</t>
  </si>
  <si>
    <t>org</t>
  </si>
  <si>
    <t>lot</t>
  </si>
  <si>
    <t>tweet</t>
  </si>
  <si>
    <t>time</t>
  </si>
  <si>
    <t>file</t>
  </si>
  <si>
    <t>list</t>
  </si>
  <si>
    <t>version</t>
  </si>
  <si>
    <t>search_query</t>
  </si>
  <si>
    <t>helpful</t>
  </si>
  <si>
    <t>social</t>
  </si>
  <si>
    <t>good</t>
  </si>
  <si>
    <t>open</t>
  </si>
  <si>
    <t>excel</t>
  </si>
  <si>
    <t>link</t>
  </si>
  <si>
    <t>edge</t>
  </si>
  <si>
    <t>well</t>
  </si>
  <si>
    <t>column</t>
  </si>
  <si>
    <t>windows</t>
  </si>
  <si>
    <t>vertex</t>
  </si>
  <si>
    <t>sharing</t>
  </si>
  <si>
    <t>tutorial</t>
  </si>
  <si>
    <t>software</t>
  </si>
  <si>
    <t>million</t>
  </si>
  <si>
    <t>program</t>
  </si>
  <si>
    <t>import</t>
  </si>
  <si>
    <t>gephi</t>
  </si>
  <si>
    <t>hashtag</t>
  </si>
  <si>
    <t>facebook</t>
  </si>
  <si>
    <t>replies</t>
  </si>
  <si>
    <t>explanation</t>
  </si>
  <si>
    <t>image</t>
  </si>
  <si>
    <t>set</t>
  </si>
  <si>
    <t>specific</t>
  </si>
  <si>
    <t>nodexlgraphgallery</t>
  </si>
  <si>
    <t>pages</t>
  </si>
  <si>
    <t>google</t>
  </si>
  <si>
    <t>content</t>
  </si>
  <si>
    <t>explained</t>
  </si>
  <si>
    <t>best</t>
  </si>
  <si>
    <t>dr</t>
  </si>
  <si>
    <t>nodes</t>
  </si>
  <si>
    <t>user</t>
  </si>
  <si>
    <t>xl</t>
  </si>
  <si>
    <t>question</t>
  </si>
  <si>
    <t>bir</t>
  </si>
  <si>
    <t>simply</t>
  </si>
  <si>
    <t>hard</t>
  </si>
  <si>
    <t>right</t>
  </si>
  <si>
    <t>email</t>
  </si>
  <si>
    <t>microsoft</t>
  </si>
  <si>
    <t>filter</t>
  </si>
  <si>
    <t>edges</t>
  </si>
  <si>
    <t>pro</t>
  </si>
  <si>
    <t>account</t>
  </si>
  <si>
    <t>search</t>
  </si>
  <si>
    <t>mentioned</t>
  </si>
  <si>
    <t>luxmi</t>
  </si>
  <si>
    <t>author</t>
  </si>
  <si>
    <t>smrfoundation</t>
  </si>
  <si>
    <t>start</t>
  </si>
  <si>
    <t>drive</t>
  </si>
  <si>
    <t>location</t>
  </si>
  <si>
    <t>media</t>
  </si>
  <si>
    <t>awesome</t>
  </si>
  <si>
    <t>grade</t>
  </si>
  <si>
    <t>visualization</t>
  </si>
  <si>
    <t>information</t>
  </si>
  <si>
    <t>try</t>
  </si>
  <si>
    <t>users</t>
  </si>
  <si>
    <t>worksheet</t>
  </si>
  <si>
    <t>understand</t>
  </si>
  <si>
    <t>dynamic</t>
  </si>
  <si>
    <t>hope</t>
  </si>
  <si>
    <t>problem</t>
  </si>
  <si>
    <t>issue</t>
  </si>
  <si>
    <t>api</t>
  </si>
  <si>
    <t>2007</t>
  </si>
  <si>
    <t>think</t>
  </si>
  <si>
    <t>advance</t>
  </si>
  <si>
    <t>longer</t>
  </si>
  <si>
    <t>estou</t>
  </si>
  <si>
    <t>dataset</t>
  </si>
  <si>
    <t>teachers</t>
  </si>
  <si>
    <t>easy</t>
  </si>
  <si>
    <t>excellent</t>
  </si>
  <si>
    <t>error</t>
  </si>
  <si>
    <t>option</t>
  </si>
  <si>
    <t>unfortunately</t>
  </si>
  <si>
    <t>reply</t>
  </si>
  <si>
    <t>tab</t>
  </si>
  <si>
    <t>verma</t>
  </si>
  <si>
    <t>gt</t>
  </si>
  <si>
    <t>registration</t>
  </si>
  <si>
    <t>networks</t>
  </si>
  <si>
    <t>share</t>
  </si>
  <si>
    <t>page</t>
  </si>
  <si>
    <t>nice</t>
  </si>
  <si>
    <t>çok</t>
  </si>
  <si>
    <t>usp</t>
  </si>
  <si>
    <t>mentions</t>
  </si>
  <si>
    <t>codeplex</t>
  </si>
  <si>
    <t>10</t>
  </si>
  <si>
    <t>workbook</t>
  </si>
  <si>
    <t>possível</t>
  </si>
  <si>
    <t>muito</t>
  </si>
  <si>
    <t>trying</t>
  </si>
  <si>
    <t>downloaded</t>
  </si>
  <si>
    <t>basic</t>
  </si>
  <si>
    <t>folks</t>
  </si>
  <si>
    <t>office</t>
  </si>
  <si>
    <t>save</t>
  </si>
  <si>
    <t>maine</t>
  </si>
  <si>
    <t>view</t>
  </si>
  <si>
    <t>centrality</t>
  </si>
  <si>
    <t>useful</t>
  </si>
  <si>
    <t>change</t>
  </si>
  <si>
    <t>filters</t>
  </si>
  <si>
    <t>columns</t>
  </si>
  <si>
    <t>window</t>
  </si>
  <si>
    <t>professor</t>
  </si>
  <si>
    <t>consider</t>
  </si>
  <si>
    <t>enter</t>
  </si>
  <si>
    <t>show</t>
  </si>
  <si>
    <t>post</t>
  </si>
  <si>
    <t>manually</t>
  </si>
  <si>
    <t>format</t>
  </si>
  <si>
    <t>options</t>
  </si>
  <si>
    <t>23savebabakansiliwangi</t>
  </si>
  <si>
    <t>#savebabakansiliwangi</t>
  </si>
  <si>
    <t>writing</t>
  </si>
  <si>
    <t>tool</t>
  </si>
  <si>
    <t>installation</t>
  </si>
  <si>
    <t>historical</t>
  </si>
  <si>
    <t>simple</t>
  </si>
  <si>
    <t>attributes</t>
  </si>
  <si>
    <t>analizi</t>
  </si>
  <si>
    <t>2020</t>
  </si>
  <si>
    <t>não</t>
  </si>
  <si>
    <t>oi</t>
  </si>
  <si>
    <t>rtweet</t>
  </si>
  <si>
    <t>package</t>
  </si>
  <si>
    <t>marc</t>
  </si>
  <si>
    <t>metrics</t>
  </si>
  <si>
    <t>sound</t>
  </si>
  <si>
    <t>stuff</t>
  </si>
  <si>
    <t>pop</t>
  </si>
  <si>
    <t>programs</t>
  </si>
  <si>
    <t>computer</t>
  </si>
  <si>
    <t>available</t>
  </si>
  <si>
    <t>features</t>
  </si>
  <si>
    <t>tie</t>
  </si>
  <si>
    <t>wondering</t>
  </si>
  <si>
    <t>send</t>
  </si>
  <si>
    <t>phd</t>
  </si>
  <si>
    <t>lines</t>
  </si>
  <si>
    <t>degree</t>
  </si>
  <si>
    <t>automatically</t>
  </si>
  <si>
    <t>previous</t>
  </si>
  <si>
    <t>research</t>
  </si>
  <si>
    <t>february</t>
  </si>
  <si>
    <t>appreciate</t>
  </si>
  <si>
    <t>limitation</t>
  </si>
  <si>
    <t>spreadsheet</t>
  </si>
  <si>
    <t>create</t>
  </si>
  <si>
    <t>text</t>
  </si>
  <si>
    <t>names</t>
  </si>
  <si>
    <t>layout</t>
  </si>
  <si>
    <t>hand</t>
  </si>
  <si>
    <t>select</t>
  </si>
  <si>
    <t>wonderful</t>
  </si>
  <si>
    <t>couple</t>
  </si>
  <si>
    <t>analyze</t>
  </si>
  <si>
    <t>install</t>
  </si>
  <si>
    <t>cool</t>
  </si>
  <si>
    <t>hear</t>
  </si>
  <si>
    <t>works</t>
  </si>
  <si>
    <t>groups</t>
  </si>
  <si>
    <t>mas</t>
  </si>
  <si>
    <t>group</t>
  </si>
  <si>
    <t>links</t>
  </si>
  <si>
    <t>em</t>
  </si>
  <si>
    <t>kind</t>
  </si>
  <si>
    <t>check</t>
  </si>
  <si>
    <t>amazon</t>
  </si>
  <si>
    <t>map</t>
  </si>
  <si>
    <t>fix</t>
  </si>
  <si>
    <t>tick</t>
  </si>
  <si>
    <t>merhaba</t>
  </si>
  <si>
    <t>ile</t>
  </si>
  <si>
    <t>nasıl</t>
  </si>
  <si>
    <t>pdf</t>
  </si>
  <si>
    <t>hocam</t>
  </si>
  <si>
    <t>gallery</t>
  </si>
  <si>
    <t>graphid</t>
  </si>
  <si>
    <t>você</t>
  </si>
  <si>
    <t>continuação</t>
  </si>
  <si>
    <t>timeline</t>
  </si>
  <si>
    <t>comments</t>
  </si>
  <si>
    <t>collumns</t>
  </si>
  <si>
    <t>empty</t>
  </si>
  <si>
    <t>mihkal</t>
  </si>
  <si>
    <t>earth</t>
  </si>
  <si>
    <t>insert</t>
  </si>
  <si>
    <t>shape</t>
  </si>
  <si>
    <t>assist</t>
  </si>
  <si>
    <t>ask</t>
  </si>
  <si>
    <t>happened</t>
  </si>
  <si>
    <t>running</t>
  </si>
  <si>
    <t>long</t>
  </si>
  <si>
    <t>working</t>
  </si>
  <si>
    <t>apple</t>
  </si>
  <si>
    <t>system</t>
  </si>
  <si>
    <t>easily</t>
  </si>
  <si>
    <t>absolutely</t>
  </si>
  <si>
    <t>ex</t>
  </si>
  <si>
    <t>23adidas</t>
  </si>
  <si>
    <t>#adidas</t>
  </si>
  <si>
    <t>mexico</t>
  </si>
  <si>
    <t>source</t>
  </si>
  <si>
    <t>resource</t>
  </si>
  <si>
    <t>posting</t>
  </si>
  <si>
    <t>life</t>
  </si>
  <si>
    <t>blank</t>
  </si>
  <si>
    <t>won</t>
  </si>
  <si>
    <t>document</t>
  </si>
  <si>
    <t>button</t>
  </si>
  <si>
    <t>worked</t>
  </si>
  <si>
    <t>function</t>
  </si>
  <si>
    <t>past</t>
  </si>
  <si>
    <t>appeared</t>
  </si>
  <si>
    <t>important</t>
  </si>
  <si>
    <t>importing</t>
  </si>
  <si>
    <t>limit</t>
  </si>
  <si>
    <t>solution</t>
  </si>
  <si>
    <t>updated</t>
  </si>
  <si>
    <t>thesis</t>
  </si>
  <si>
    <t>better</t>
  </si>
  <si>
    <t>extract</t>
  </si>
  <si>
    <t>week</t>
  </si>
  <si>
    <t>thing</t>
  </si>
  <si>
    <t>assignment</t>
  </si>
  <si>
    <t>place</t>
  </si>
  <si>
    <t>book</t>
  </si>
  <si>
    <t>radian</t>
  </si>
  <si>
    <t>value</t>
  </si>
  <si>
    <t>visualise</t>
  </si>
  <si>
    <t>answer</t>
  </si>
  <si>
    <t>result</t>
  </si>
  <si>
    <t>loop</t>
  </si>
  <si>
    <t>relation</t>
  </si>
  <si>
    <t>id</t>
  </si>
  <si>
    <t>visualize</t>
  </si>
  <si>
    <t>present</t>
  </si>
  <si>
    <t>environmental</t>
  </si>
  <si>
    <t>supposed</t>
  </si>
  <si>
    <t>april</t>
  </si>
  <si>
    <t>appear</t>
  </si>
  <si>
    <t>desktop</t>
  </si>
  <si>
    <t>tips</t>
  </si>
  <si>
    <t>add</t>
  </si>
  <si>
    <t>learned</t>
  </si>
  <si>
    <t>functional</t>
  </si>
  <si>
    <t>tip</t>
  </si>
  <si>
    <t>based</t>
  </si>
  <si>
    <t>changed</t>
  </si>
  <si>
    <t>derek</t>
  </si>
  <si>
    <t>09</t>
  </si>
  <si>
    <t>herramienta</t>
  </si>
  <si>
    <t>sna</t>
  </si>
  <si>
    <t>finally</t>
  </si>
  <si>
    <t>course</t>
  </si>
  <si>
    <t>wish</t>
  </si>
  <si>
    <t>attribute</t>
  </si>
  <si>
    <t>analyzing</t>
  </si>
  <si>
    <t>click</t>
  </si>
  <si>
    <t>için</t>
  </si>
  <si>
    <t>bu</t>
  </si>
  <si>
    <t>misiniz</t>
  </si>
  <si>
    <t>arasında</t>
  </si>
  <si>
    <t>daha</t>
  </si>
  <si>
    <t>teşekkürler</t>
  </si>
  <si>
    <t>programı</t>
  </si>
  <si>
    <t>fantastic</t>
  </si>
  <si>
    <t>2013</t>
  </si>
  <si>
    <t>etc</t>
  </si>
  <si>
    <t>collecting</t>
  </si>
  <si>
    <t>generates</t>
  </si>
  <si>
    <t>importer</t>
  </si>
  <si>
    <t>archive</t>
  </si>
  <si>
    <t>juliana</t>
  </si>
  <si>
    <t>souza</t>
  </si>
  <si>
    <t>treder</t>
  </si>
  <si>
    <t>01</t>
  </si>
  <si>
    <t>max</t>
  </si>
  <si>
    <t>eu</t>
  </si>
  <si>
    <t>dados</t>
  </si>
  <si>
    <t>acha</t>
  </si>
  <si>
    <t>tudo</t>
  </si>
  <si>
    <t>abs</t>
  </si>
  <si>
    <t>olá</t>
  </si>
  <si>
    <t>vídeo</t>
  </si>
  <si>
    <t>fiz</t>
  </si>
  <si>
    <t>tem</t>
  </si>
  <si>
    <t>forma</t>
  </si>
  <si>
    <t>blog</t>
  </si>
  <si>
    <t>ibpad</t>
  </si>
  <si>
    <t>obrigado</t>
  </si>
  <si>
    <t>kak</t>
  </si>
  <si>
    <t>fun</t>
  </si>
  <si>
    <t>stored</t>
  </si>
  <si>
    <t>original</t>
  </si>
  <si>
    <t>updates</t>
  </si>
  <si>
    <t>duv8mcs</t>
  </si>
  <si>
    <t>utc</t>
  </si>
  <si>
    <t>gexf</t>
  </si>
  <si>
    <t>audiencia</t>
  </si>
  <si>
    <t>request</t>
  </si>
  <si>
    <t>smith</t>
  </si>
  <si>
    <t>explains</t>
  </si>
  <si>
    <t>students</t>
  </si>
  <si>
    <t>university</t>
  </si>
  <si>
    <t>job</t>
  </si>
  <si>
    <t>quality</t>
  </si>
  <si>
    <t>watching</t>
  </si>
  <si>
    <t>moring</t>
  </si>
  <si>
    <t>appearing</t>
  </si>
  <si>
    <t>messages</t>
  </si>
  <si>
    <t>received</t>
  </si>
  <si>
    <t>things</t>
  </si>
  <si>
    <t>suite</t>
  </si>
  <si>
    <t>machine</t>
  </si>
  <si>
    <t>operating</t>
  </si>
  <si>
    <t>apply</t>
  </si>
  <si>
    <t>glad</t>
  </si>
  <si>
    <t>ass</t>
  </si>
  <si>
    <t>country</t>
  </si>
  <si>
    <t>avkash</t>
  </si>
  <si>
    <t>build</t>
  </si>
  <si>
    <t>started</t>
  </si>
  <si>
    <t>detailed</t>
  </si>
  <si>
    <t>message</t>
  </si>
  <si>
    <t>outliers</t>
  </si>
  <si>
    <t>screen</t>
  </si>
  <si>
    <t>actual</t>
  </si>
  <si>
    <t>ribbon</t>
  </si>
  <si>
    <t>saver</t>
  </si>
  <si>
    <t>followers</t>
  </si>
  <si>
    <t>people</t>
  </si>
  <si>
    <t>friends</t>
  </si>
  <si>
    <t>solutions</t>
  </si>
  <si>
    <t>problems</t>
  </si>
  <si>
    <t>592</t>
  </si>
  <si>
    <t>appears</t>
  </si>
  <si>
    <t>faux</t>
  </si>
  <si>
    <t>vrai</t>
  </si>
  <si>
    <t>helping</t>
  </si>
  <si>
    <t>kellogg</t>
  </si>
  <si>
    <t>dates</t>
  </si>
  <si>
    <t>election</t>
  </si>
  <si>
    <t>export</t>
  </si>
  <si>
    <t>sets</t>
  </si>
  <si>
    <t>scraping</t>
  </si>
  <si>
    <t>posts</t>
  </si>
  <si>
    <t>scripts</t>
  </si>
  <si>
    <t>access</t>
  </si>
  <si>
    <t>periods</t>
  </si>
  <si>
    <t>class</t>
  </si>
  <si>
    <t>installed</t>
  </si>
  <si>
    <t>wrong</t>
  </si>
  <si>
    <t>noticed</t>
  </si>
  <si>
    <t>betweenness</t>
  </si>
  <si>
    <t>master</t>
  </si>
  <si>
    <t>understood</t>
  </si>
  <si>
    <t>limited</t>
  </si>
  <si>
    <t>occurred</t>
  </si>
  <si>
    <t>nour</t>
  </si>
  <si>
    <t>abuhadra</t>
  </si>
  <si>
    <t>moment</t>
  </si>
  <si>
    <t>significantly</t>
  </si>
  <si>
    <t>capture</t>
  </si>
  <si>
    <t>tricks</t>
  </si>
  <si>
    <t>workaround</t>
  </si>
  <si>
    <t>interesting</t>
  </si>
  <si>
    <t>analyses</t>
  </si>
  <si>
    <t>hashtags</t>
  </si>
  <si>
    <t>advice</t>
  </si>
  <si>
    <t>imposed</t>
  </si>
  <si>
    <t>tutorials</t>
  </si>
  <si>
    <t>struggling</t>
  </si>
  <si>
    <t>vs</t>
  </si>
  <si>
    <t>advise</t>
  </si>
  <si>
    <t>wrote</t>
  </si>
  <si>
    <t>dan</t>
  </si>
  <si>
    <t>row</t>
  </si>
  <si>
    <t>23love</t>
  </si>
  <si>
    <t>#love</t>
  </si>
  <si>
    <t>tweeter</t>
  </si>
  <si>
    <t>asking</t>
  </si>
  <si>
    <t>ties</t>
  </si>
  <si>
    <t>indicate</t>
  </si>
  <si>
    <t>command</t>
  </si>
  <si>
    <t>lbb2lmcsg64</t>
  </si>
  <si>
    <t>helps</t>
  </si>
  <si>
    <t>online</t>
  </si>
  <si>
    <t>convert</t>
  </si>
  <si>
    <t>pass</t>
  </si>
  <si>
    <t>expand</t>
  </si>
  <si>
    <t>space</t>
  </si>
  <si>
    <t>ll</t>
  </si>
  <si>
    <t>explain</t>
  </si>
  <si>
    <t>paste</t>
  </si>
  <si>
    <t>depends</t>
  </si>
  <si>
    <t>idea</t>
  </si>
  <si>
    <t>boxes</t>
  </si>
  <si>
    <t>clusters</t>
  </si>
  <si>
    <t>visit</t>
  </si>
  <si>
    <t>walk</t>
  </si>
  <si>
    <t>pretty</t>
  </si>
  <si>
    <t>mind</t>
  </si>
  <si>
    <t>examples</t>
  </si>
  <si>
    <t>inspiring</t>
  </si>
  <si>
    <t>researching</t>
  </si>
  <si>
    <t>movement</t>
  </si>
  <si>
    <t>indonesia</t>
  </si>
  <si>
    <t>vertice</t>
  </si>
  <si>
    <t>23savebabakan</t>
  </si>
  <si>
    <t>#savebabakan</t>
  </si>
  <si>
    <t>siliwangi</t>
  </si>
  <si>
    <t>twitted</t>
  </si>
  <si>
    <t>meredian</t>
  </si>
  <si>
    <t>material</t>
  </si>
  <si>
    <t>chooses</t>
  </si>
  <si>
    <t>menu</t>
  </si>
  <si>
    <t>cost</t>
  </si>
  <si>
    <t>interactions</t>
  </si>
  <si>
    <t>helped</t>
  </si>
  <si>
    <t>label</t>
  </si>
  <si>
    <t>amazing</t>
  </si>
  <si>
    <t>student</t>
  </si>
  <si>
    <t>feel</t>
  </si>
  <si>
    <t>grateful</t>
  </si>
  <si>
    <t>case</t>
  </si>
  <si>
    <t>packages</t>
  </si>
  <si>
    <t>complete</t>
  </si>
  <si>
    <t>red</t>
  </si>
  <si>
    <t>asp</t>
  </si>
  <si>
    <t>instructions</t>
  </si>
  <si>
    <t>extremely</t>
  </si>
  <si>
    <t>2019</t>
  </si>
  <si>
    <t>05</t>
  </si>
  <si>
    <t>importers</t>
  </si>
  <si>
    <t>personal</t>
  </si>
  <si>
    <t>public</t>
  </si>
  <si>
    <t>gracias</t>
  </si>
  <si>
    <t>saber</t>
  </si>
  <si>
    <t>puedo</t>
  </si>
  <si>
    <t>analizar</t>
  </si>
  <si>
    <t>redes</t>
  </si>
  <si>
    <t>website</t>
  </si>
  <si>
    <t>understandable</t>
  </si>
  <si>
    <t>possibility</t>
  </si>
  <si>
    <t>graphically</t>
  </si>
  <si>
    <t>language</t>
  </si>
  <si>
    <t>portion</t>
  </si>
  <si>
    <t>info</t>
  </si>
  <si>
    <t>dp</t>
  </si>
  <si>
    <t>0123822297</t>
  </si>
  <si>
    <t>presentation</t>
  </si>
  <si>
    <t>position</t>
  </si>
  <si>
    <t>longitude</t>
  </si>
  <si>
    <t>latitude</t>
  </si>
  <si>
    <t>background</t>
  </si>
  <si>
    <t>super</t>
  </si>
  <si>
    <t>او</t>
  </si>
  <si>
    <t>من</t>
  </si>
  <si>
    <t>laptop</t>
  </si>
  <si>
    <t>following</t>
  </si>
  <si>
    <t>hangi</t>
  </si>
  <si>
    <t>sağlık</t>
  </si>
  <si>
    <t>merhabalar</t>
  </si>
  <si>
    <t>teşekkür</t>
  </si>
  <si>
    <t>ederim</t>
  </si>
  <si>
    <t>sizlerden</t>
  </si>
  <si>
    <t>yorumlar</t>
  </si>
  <si>
    <t>umarım</t>
  </si>
  <si>
    <t>işinizi</t>
  </si>
  <si>
    <t>görür</t>
  </si>
  <si>
    <t>iyi</t>
  </si>
  <si>
    <t>çalışmalar</t>
  </si>
  <si>
    <t>sosyal</t>
  </si>
  <si>
    <t>ağ</t>
  </si>
  <si>
    <t>ağların</t>
  </si>
  <si>
    <t>çizimi</t>
  </si>
  <si>
    <t>1setcsr5trfglasy6iibykg9_et02ay5c</t>
  </si>
  <si>
    <t>tezimde</t>
  </si>
  <si>
    <t>iki</t>
  </si>
  <si>
    <t>size</t>
  </si>
  <si>
    <t>bende</t>
  </si>
  <si>
    <t>istiyorum</t>
  </si>
  <si>
    <t>ama</t>
  </si>
  <si>
    <t>rica</t>
  </si>
  <si>
    <t>etsem</t>
  </si>
  <si>
    <t>bit</t>
  </si>
  <si>
    <t>ur</t>
  </si>
  <si>
    <t>type</t>
  </si>
  <si>
    <t>exported</t>
  </si>
  <si>
    <t>standard</t>
  </si>
  <si>
    <t>sir</t>
  </si>
  <si>
    <t>verileri</t>
  </si>
  <si>
    <t>ben</t>
  </si>
  <si>
    <t>acaba</t>
  </si>
  <si>
    <t>cnet</t>
  </si>
  <si>
    <t>3001</t>
  </si>
  <si>
    <t>2077_4</t>
  </si>
  <si>
    <t>10967171</t>
  </si>
  <si>
    <t>aynı</t>
  </si>
  <si>
    <t>olmuş</t>
  </si>
  <si>
    <t>bitirme</t>
  </si>
  <si>
    <t>installing</t>
  </si>
  <si>
    <t>kindly</t>
  </si>
  <si>
    <t>upload</t>
  </si>
  <si>
    <t>maximum</t>
  </si>
  <si>
    <t>part</t>
  </si>
  <si>
    <t>57173</t>
  </si>
  <si>
    <t>trusted</t>
  </si>
  <si>
    <t>mac</t>
  </si>
  <si>
    <t>peteraldhous</t>
  </si>
  <si>
    <t>car</t>
  </si>
  <si>
    <t>nodexl_car2012</t>
  </si>
  <si>
    <t>missing</t>
  </si>
  <si>
    <t>slides</t>
  </si>
  <si>
    <t>focus</t>
  </si>
  <si>
    <t>cái</t>
  </si>
  <si>
    <t>lỗi</t>
  </si>
  <si>
    <t>artigo</t>
  </si>
  <si>
    <t>análise</t>
  </si>
  <si>
    <t>isso</t>
  </si>
  <si>
    <t>utilizando</t>
  </si>
  <si>
    <t>tenho</t>
  </si>
  <si>
    <t>base</t>
  </si>
  <si>
    <t>tema</t>
  </si>
  <si>
    <t>autores</t>
  </si>
  <si>
    <t>onde</t>
  </si>
  <si>
    <t>foram</t>
  </si>
  <si>
    <t>bem</t>
  </si>
  <si>
    <t>há</t>
  </si>
  <si>
    <t>tempo</t>
  </si>
  <si>
    <t>sim</t>
  </si>
  <si>
    <t>mais</t>
  </si>
  <si>
    <t>já</t>
  </si>
  <si>
    <t>pelo</t>
  </si>
  <si>
    <t>fazer</t>
  </si>
  <si>
    <t>utilizar</t>
  </si>
  <si>
    <t>alguma</t>
  </si>
  <si>
    <t>fazendo</t>
  </si>
  <si>
    <t>gustavo</t>
  </si>
  <si>
    <t>fb</t>
  </si>
  <si>
    <t>minha</t>
  </si>
  <si>
    <t>infelizmente</t>
  </si>
  <si>
    <t>stripbooks</t>
  </si>
  <si>
    <t>rh</t>
  </si>
  <si>
    <t>3a6740748011</t>
  </si>
  <si>
    <t>2cp_lbr_books_authors_browse</t>
  </si>
  <si>
    <t>3atulio</t>
  </si>
  <si>
    <t>kahn</t>
  </si>
  <si>
    <t>desc</t>
  </si>
  <si>
    <t>rank</t>
  </si>
  <si>
    <t>qid</t>
  </si>
  <si>
    <t>1637233274</t>
  </si>
  <si>
    <t>ref</t>
  </si>
  <si>
    <t>sr_pg_1</t>
  </si>
  <si>
    <t>script</t>
  </si>
  <si>
    <t>codes</t>
  </si>
  <si>
    <t>developer</t>
  </si>
  <si>
    <t>collect</t>
  </si>
  <si>
    <t>hometown</t>
  </si>
  <si>
    <t>gender</t>
  </si>
  <si>
    <t>birthday</t>
  </si>
  <si>
    <t>dumitru</t>
  </si>
  <si>
    <t>collected</t>
  </si>
  <si>
    <t>replied</t>
  </si>
  <si>
    <t>ucinet</t>
  </si>
  <si>
    <t>step</t>
  </si>
  <si>
    <t>guide</t>
  </si>
  <si>
    <t>generate</t>
  </si>
  <si>
    <t>connectedaction</t>
  </si>
  <si>
    <t>communities</t>
  </si>
  <si>
    <t>brand</t>
  </si>
  <si>
    <t>minute</t>
  </si>
  <si>
    <t>18</t>
  </si>
  <si>
    <t>wednesday</t>
  </si>
  <si>
    <t>period</t>
  </si>
  <si>
    <t>relationship</t>
  </si>
  <si>
    <t>indeedsir</t>
  </si>
  <si>
    <t>isfi</t>
  </si>
  <si>
    <t>224174</t>
  </si>
  <si>
    <t>1dayfgszd6ti7s6i0vyzt419cbpze2lwu</t>
  </si>
  <si>
    <t>fierbmi</t>
  </si>
  <si>
    <t>1pbtsxb9</t>
  </si>
  <si>
    <t>hpdzskfsc5qh5bhozslgeppf</t>
  </si>
  <si>
    <t>conoce</t>
  </si>
  <si>
    <t>tus</t>
  </si>
  <si>
    <t>mapas</t>
  </si>
  <si>
    <t>docs</t>
  </si>
  <si>
    <t>1gdyavkfbxcnrpg_b_eazwhldbsvupy3gfjeeswu474c</t>
  </si>
  <si>
    <t>edit</t>
  </si>
  <si>
    <t>powermap</t>
  </si>
  <si>
    <t>3d</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</si>
  <si>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</si>
  <si>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</si>
  <si>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</si>
  <si>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</si>
  <si>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</si>
  <si>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</si>
  <si>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</si>
  <si>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</si>
  <si>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</si>
  <si>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</si>
  <si>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</si>
  <si>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</si>
  <si>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</si>
  <si>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</si>
  <si>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</si>
  <si>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</si>
  <si>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</si>
  <si>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</si>
  <si>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</si>
  <si>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</si>
  <si>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</si>
  <si>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</si>
  <si>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</si>
  <si>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</si>
  <si>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</si>
  <si>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</si>
  <si>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</si>
  <si>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</si>
  <si>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</si>
  <si>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</si>
  <si>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</si>
  <si>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</si>
  <si>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</si>
  <si>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</si>
  <si>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</si>
  <si>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</si>
  <si>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</si>
  <si>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</si>
  <si>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</si>
  <si>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</si>
  <si>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</si>
  <si>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</si>
  <si>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</si>
  <si>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</si>
  <si>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</si>
  <si>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</si>
  <si>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</si>
  <si>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</si>
  <si>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</si>
  <si>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</si>
  <si>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</si>
  <si>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</si>
  <si>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</si>
  <si>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</si>
  <si>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</si>
  <si>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</si>
  <si>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</si>
  <si>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Top 10 Vertices, Ranked by Betweenness Centrality</t>
  </si>
  <si>
    <t>Top URLs In Comment in Entire Graph</t>
  </si>
  <si>
    <t>http://www.youtube.com/results?search_query=%23SaveBabakanSiliwangi</t>
  </si>
  <si>
    <t>https://www.smrfoundation.org/nodexl/installation/</t>
  </si>
  <si>
    <t>http://www.youtube.com/results?search_query=%23adidas</t>
  </si>
  <si>
    <t>http://maine.edu/</t>
  </si>
  <si>
    <t>http://www.youtube.com/results?search_query=%23love</t>
  </si>
  <si>
    <t>https://www.youtube.com/watch?v=lbb2lMCSg64</t>
  </si>
  <si>
    <t>https://nodexlgraphgallery.org/Pages/registration.aspx</t>
  </si>
  <si>
    <t>http://www.youtube.com/results?search_query=%23SaveBabakan</t>
  </si>
  <si>
    <t>https://nodexlgraphgallery.org/Pages/registration.asp</t>
  </si>
  <si>
    <t>https://www.smrfoundation.org/2019/09/05/nodexl-pro-facebook-data-importers-no-longer-functional/</t>
  </si>
  <si>
    <t>Entire Graph Count</t>
  </si>
  <si>
    <t>Top URLs In Comment in G1</t>
  </si>
  <si>
    <t>https://www.peteraldhous.com/CAR/NodeXL_CAR2012.pdf</t>
  </si>
  <si>
    <t>http://www.nodexlgraphgallery.org/Pages/Graph.aspx?graphID=57173</t>
  </si>
  <si>
    <t>http://www.amazon.com/Analyzing-Social-Media-Networks-NodeXL/dp/0123822297</t>
  </si>
  <si>
    <t>http://developer.twitter.com/</t>
  </si>
  <si>
    <t>Top URLs In Comment in G2</t>
  </si>
  <si>
    <t>G1 Count</t>
  </si>
  <si>
    <t>Top URLs In Comment in G3</t>
  </si>
  <si>
    <t>G2 Count</t>
  </si>
  <si>
    <t>Top URLs In Comment in G4</t>
  </si>
  <si>
    <t>G3 Count</t>
  </si>
  <si>
    <t>https://docs.google.com/document/d/1GdYAVkfBXcNrpG_b_EAZwHldbSvUpY3GFjEESWu474c/edit?usp=sharing</t>
  </si>
  <si>
    <t>https://vivianfrancos.com/conoce-tus-mapas-de-audiencia-nodexl/</t>
  </si>
  <si>
    <t>http://vivianfrancos.com/</t>
  </si>
  <si>
    <t>Top URLs In Comment in G5</t>
  </si>
  <si>
    <t>G4 Count</t>
  </si>
  <si>
    <t>https://drive.google.com/file/d/1setCSR5TRFgLAsY6IIbyKG9_eT02Ay5C/view?usp=sharing</t>
  </si>
  <si>
    <t>https://www.nodexlgraphgallery.org/Pages/Registration.aspx</t>
  </si>
  <si>
    <t>http://download.cnet.com/NodeXL/3001-2077_4-10967171.html</t>
  </si>
  <si>
    <t>http://www.youtube.com/results?search_query=%23m%C3%BClteci</t>
  </si>
  <si>
    <t>http://nodexl.codeplex.com/</t>
  </si>
  <si>
    <t>Top URLs In Comment in G6</t>
  </si>
  <si>
    <t>G5 Count</t>
  </si>
  <si>
    <t>Top URLs In Comment in G7</t>
  </si>
  <si>
    <t>G6 Count</t>
  </si>
  <si>
    <t>Top URLs In Comment in G8</t>
  </si>
  <si>
    <t>G7 Count</t>
  </si>
  <si>
    <t>http://blog.ibpad.com.br</t>
  </si>
  <si>
    <t>Top URLs In Comment in G9</t>
  </si>
  <si>
    <t>G8 Count</t>
  </si>
  <si>
    <t>http://www.youtube.com/watch?v=39yXz72qdow&amp;amp;t=4m08s</t>
  </si>
  <si>
    <t>Top URLs In Comment in G10</t>
  </si>
  <si>
    <t>G9 Count</t>
  </si>
  <si>
    <t>https://archive.codeplex.com/?p=nodexl</t>
  </si>
  <si>
    <t>https://nodexl.codeplex.com/</t>
  </si>
  <si>
    <t>https://nodexl.codeplex.com</t>
  </si>
  <si>
    <t>G10 Count</t>
  </si>
  <si>
    <t>Top URLs In Comment</t>
  </si>
  <si>
    <t>https://www.smrfoundation.org/nodexl/installation/ http://maine.edu/ https://www.peteraldhous.com/CAR/NodeXL_CAR2012.pdf http://www.nodexlgraphgallery.org/Pages/Graph.aspx?graphID=57173 http://www.amazon.com/Analyzing-Social-Media-Networks-NodeXL/dp/0123822297 https://nodexlgraphgallery.org/Pages/registration.asp https://nodexlgraphgallery.org/Pages/registration.aspx https://www.youtube.com/watch?v=lbb2lMCSg64 http://www.youtube.com/results?search_query=%23love http://developer.twitter.com/</t>
  </si>
  <si>
    <t>http://www.youtube.com/results?search_query=%23SaveBabakanSiliwangi http://www.youtube.com/results?search_query=%23adidas http://www.youtube.com/results?search_query=%23SaveBabakan</t>
  </si>
  <si>
    <t>https://www.smrfoundation.org/2019/09/05/nodexl-pro-facebook-data-importers-no-longer-functional/ https://docs.google.com/document/d/1GdYAVkfBXcNrpG_b_EAZwHldbSvUpY3GFjEESWu474c/edit?usp=sharing https://vivianfrancos.com/conoce-tus-mapas-de-audiencia-nodexl/ http://vivianfrancos.com/</t>
  </si>
  <si>
    <t>https://drive.google.com/file/d/1setCSR5TRFgLAsY6IIbyKG9_eT02Ay5C/view?usp=sharing https://www.nodexlgraphgallery.org/Pages/Registration.aspx http://download.cnet.com/NodeXL/3001-2077_4-10967171.html http://www.youtube.com/results?search_query=%23m%C3%BClteci http://nodexl.codeplex.com/</t>
  </si>
  <si>
    <t>https://archive.codeplex.com/?p=nodexl https://nodexl.codeplex.com/ https://nodexl.codeplex.com</t>
  </si>
  <si>
    <t>https://drive.google.com/file/d/1PbtSxb9-HpDzskfSC5qh5BHOzSlGEPPF/view?usp=sharing https://fierbmi.com/ https://drive.google.com/open?id=1dAYfGszD6TI7S6I0vyZt419CBPZe2lwU http://www.nodexlgraphgallery.org/Pages/Graph.aspx?graphID=224174 https://twitter.com/mihkal http://mihkal.indeedsir.com/isfi/ https://www.youtube.com/watch?v=o-D-Duv8Mcs&amp;amp;t=10m24s https://www.youtube.com/watch?v=o-D-Duv8Mcs&amp;amp;t=18m26s https://www.youtube.com/watch?v=o-D-Duv8Mcs&amp;amp;t=09m51s</t>
  </si>
  <si>
    <t>https://www.amazon.com.br/s?i=stripbooks&amp;amp;rh=n%3A6740748011%2Cp_lbr_books_authors_browse-bin%3ATulio+Kahn&amp;amp;s=date-desc-rank&amp;amp;qid=1637233274&amp;amp;ref=sr_pg_1</t>
  </si>
  <si>
    <t>https://www.connectedaction.net/new-nodexl-updates-twitter-user-and-list-importer/</t>
  </si>
  <si>
    <t>Top Domains In Comment in Entire Graph</t>
  </si>
  <si>
    <t>nodexlgraphgallery.org</t>
  </si>
  <si>
    <t>google.com</t>
  </si>
  <si>
    <t>smrfoundation.org</t>
  </si>
  <si>
    <t>codeplex.com</t>
  </si>
  <si>
    <t>amazon.com</t>
  </si>
  <si>
    <t>Top Domains In Comment in G1</t>
  </si>
  <si>
    <t>peteraldhous.com</t>
  </si>
  <si>
    <t>Top Domains In Comment in G2</t>
  </si>
  <si>
    <t>Top Domains In Comment in G3</t>
  </si>
  <si>
    <t>Top Domains In Comment in G4</t>
  </si>
  <si>
    <t>Top Domains In Comment in G5</t>
  </si>
  <si>
    <t>cnet.com</t>
  </si>
  <si>
    <t>Top Domains In Comment in G6</t>
  </si>
  <si>
    <t>Top Domains In Comment in G7</t>
  </si>
  <si>
    <t>Top Domains In Comment in G8</t>
  </si>
  <si>
    <t>Top Domains In Comment in G9</t>
  </si>
  <si>
    <t>Top Domains In Comment in G10</t>
  </si>
  <si>
    <t>Top Domains In Comment</t>
  </si>
  <si>
    <t>nodexlgraphgallery.org youtube.com smrfoundation.org maine.edu peteraldhous.com amazon.com twitter.com</t>
  </si>
  <si>
    <t>vivianfrancos.com smrfoundation.org google.com</t>
  </si>
  <si>
    <t>google.com nodexlgraphgallery.org cnet.com youtube.com codeplex.com</t>
  </si>
  <si>
    <t>google.com youtube.com fierbmi.com nodexlgraphgallery.org twitter.com indeedsir.com</t>
  </si>
  <si>
    <t>connectedaction.net</t>
  </si>
  <si>
    <t>Top Hashtags In Comment in Entire Graph</t>
  </si>
  <si>
    <t>Top Hashtags In Comment in G1</t>
  </si>
  <si>
    <t>Top Hashtags In Comment in G2</t>
  </si>
  <si>
    <t>Top Hashtags In Comment in G3</t>
  </si>
  <si>
    <t>Top Hashtags In Comment in G4</t>
  </si>
  <si>
    <t>Top Hashtags In Comment in G5</t>
  </si>
  <si>
    <t>Top Hashtags In Comment in G6</t>
  </si>
  <si>
    <t>Top Hashtags In Comment in G7</t>
  </si>
  <si>
    <t>Top Hashtags In Comment in G8</t>
  </si>
  <si>
    <t>Top Hashtags In Comment in G9</t>
  </si>
  <si>
    <t>Top Hashtags In Comment in G10</t>
  </si>
  <si>
    <t>Top Hashtags In Comment</t>
  </si>
  <si>
    <t>Top Words in Comment in Entire Graph</t>
  </si>
  <si>
    <t>Top Words in Comment in G1</t>
  </si>
  <si>
    <t>Top Words in Comment in G2</t>
  </si>
  <si>
    <t>Top Words in Comment in G3</t>
  </si>
  <si>
    <t>Top Words in Comment in G4</t>
  </si>
  <si>
    <t>Top Words in Comment in G5</t>
  </si>
  <si>
    <t>Top Words in Comment in G6</t>
  </si>
  <si>
    <t>Top Words in Comment in G7</t>
  </si>
  <si>
    <t>Top Words in Comment in G8</t>
  </si>
  <si>
    <t>Top Words in Comment in G9</t>
  </si>
  <si>
    <t>Top Words in Comment in G10</t>
  </si>
  <si>
    <t>Top Words in Comment</t>
  </si>
  <si>
    <t>nodexl twitter data network james cook tweets like work graph</t>
  </si>
  <si>
    <t>results search_query nodexl tweets 23savebabakansiliwangi #savebabakansiliwangi graph network vertices lot</t>
  </si>
  <si>
    <t>great million facebook content awesome well explained grade nodexl explanation</t>
  </si>
  <si>
    <t>ve bir çok analizi merhaba ile nasıl node xl hocam</t>
  </si>
  <si>
    <t>nodexl data download tick location gallery powermap edges 3d map</t>
  </si>
  <si>
    <t>vertices dynamic nodexl worksheet understand filter filters helpful help metrics</t>
  </si>
  <si>
    <t>estou nodexl muito possível não oi continuação max eu dados</t>
  </si>
  <si>
    <t>download attributes specific collumns empty location help users facebook fun</t>
  </si>
  <si>
    <t>nodexl codeplex archive tab download kindly share</t>
  </si>
  <si>
    <t>vertices names gephi tutorial post</t>
  </si>
  <si>
    <t>او من</t>
  </si>
  <si>
    <t>data tweets dataset twitter google drive gephi graph network file</t>
  </si>
  <si>
    <t>james cook windows 10</t>
  </si>
  <si>
    <t>cái lỗi</t>
  </si>
  <si>
    <t>amazon stripbooks rh 3a6740748011 2cp_lbr_books_authors_browse 3atulio kahn desc rank qid</t>
  </si>
  <si>
    <t>twitter user updates connectedaction nodexl list importer</t>
  </si>
  <si>
    <t>Top Word Pairs in Comment in Entire Graph</t>
  </si>
  <si>
    <t>results,search_query</t>
  </si>
  <si>
    <t>james,cook</t>
  </si>
  <si>
    <t>nodexlgraphgallery,org</t>
  </si>
  <si>
    <t>org,pages</t>
  </si>
  <si>
    <t>node,xl</t>
  </si>
  <si>
    <t>network,analysis</t>
  </si>
  <si>
    <t>edge,list</t>
  </si>
  <si>
    <t>smrfoundation,org</t>
  </si>
  <si>
    <t>great,content</t>
  </si>
  <si>
    <t>content,awesome</t>
  </si>
  <si>
    <t>Top Word Pairs in Comment in G1</t>
  </si>
  <si>
    <t>luxmi,verma</t>
  </si>
  <si>
    <t>social,network</t>
  </si>
  <si>
    <t>twitter,api</t>
  </si>
  <si>
    <t>dr,cook</t>
  </si>
  <si>
    <t>Top Word Pairs in Comment in G2</t>
  </si>
  <si>
    <t>Top Word Pairs in Comment in G3</t>
  </si>
  <si>
    <t>search_query,23savebabakansiliwangi</t>
  </si>
  <si>
    <t>23savebabakansiliwangi,#savebabakansiliwangi</t>
  </si>
  <si>
    <t>wondering,filter</t>
  </si>
  <si>
    <t>filter,tweets</t>
  </si>
  <si>
    <t>nodexl,ex</t>
  </si>
  <si>
    <t>ex,results</t>
  </si>
  <si>
    <t>search_query,23adidas</t>
  </si>
  <si>
    <t>23adidas,#adidas</t>
  </si>
  <si>
    <t>#adidas,tweets</t>
  </si>
  <si>
    <t>Top Word Pairs in Comment in G4</t>
  </si>
  <si>
    <t>well,explained</t>
  </si>
  <si>
    <t>million,great</t>
  </si>
  <si>
    <t>awesome,well</t>
  </si>
  <si>
    <t>explained,explanation</t>
  </si>
  <si>
    <t>explanation,simply</t>
  </si>
  <si>
    <t>simply,great</t>
  </si>
  <si>
    <t>great,teachers</t>
  </si>
  <si>
    <t>teachers,hard</t>
  </si>
  <si>
    <t>Top Word Pairs in Comment in G5</t>
  </si>
  <si>
    <t>çok,teşekkür</t>
  </si>
  <si>
    <t>teşekkür,ederim</t>
  </si>
  <si>
    <t>ve,yorumlar</t>
  </si>
  <si>
    <t>umarım,işinizi</t>
  </si>
  <si>
    <t>işinizi,görür</t>
  </si>
  <si>
    <t>iyi,çalışmalar</t>
  </si>
  <si>
    <t>sosyal,ağ</t>
  </si>
  <si>
    <t>ağ,analizi</t>
  </si>
  <si>
    <t>xl,ile</t>
  </si>
  <si>
    <t>Top Word Pairs in Comment in G6</t>
  </si>
  <si>
    <t>tick,tick</t>
  </si>
  <si>
    <t>location,data</t>
  </si>
  <si>
    <t>links,degree</t>
  </si>
  <si>
    <t>Top Word Pairs in Comment in G7</t>
  </si>
  <si>
    <t>dynamic,filters</t>
  </si>
  <si>
    <t>vertices,worksheet</t>
  </si>
  <si>
    <t>592,vertices</t>
  </si>
  <si>
    <t>dynamic,filter</t>
  </si>
  <si>
    <t>faux,vrai</t>
  </si>
  <si>
    <t>filters,window</t>
  </si>
  <si>
    <t>Top Word Pairs in Comment in G8</t>
  </si>
  <si>
    <t>blog,ibpad</t>
  </si>
  <si>
    <t>base,dados</t>
  </si>
  <si>
    <t>nodexl,mas</t>
  </si>
  <si>
    <t>tudo,bem</t>
  </si>
  <si>
    <t>há,muito</t>
  </si>
  <si>
    <t>muito,tempo</t>
  </si>
  <si>
    <t>infelizmente,não</t>
  </si>
  <si>
    <t>não,fiz</t>
  </si>
  <si>
    <t>fiz,continuação</t>
  </si>
  <si>
    <t>ibpad,blog</t>
  </si>
  <si>
    <t>Top Word Pairs in Comment in G9</t>
  </si>
  <si>
    <t>download,attributes</t>
  </si>
  <si>
    <t>attributes,users</t>
  </si>
  <si>
    <t>users,specific</t>
  </si>
  <si>
    <t>specific,facebook</t>
  </si>
  <si>
    <t>facebook,fun</t>
  </si>
  <si>
    <t>fun,page</t>
  </si>
  <si>
    <t>page,like</t>
  </si>
  <si>
    <t>like,hometown</t>
  </si>
  <si>
    <t>hometown,gender</t>
  </si>
  <si>
    <t>gender,birthday</t>
  </si>
  <si>
    <t>Top Word Pairs in Comment in G10</t>
  </si>
  <si>
    <t>codeplex,nodexl</t>
  </si>
  <si>
    <t>nodexl,codeplex</t>
  </si>
  <si>
    <t>archive,codeplex</t>
  </si>
  <si>
    <t>nodexl,archive</t>
  </si>
  <si>
    <t>Top Word Pairs in Comment</t>
  </si>
  <si>
    <t>james,cook  edge,list  network,analysis  smrfoundation,org  nodexlgraphgallery,org  org,pages  luxmi,verma  social,network  twitter,api  dr,cook</t>
  </si>
  <si>
    <t>results,search_query  search_query,23savebabakansiliwangi  23savebabakansiliwangi,#savebabakansiliwangi  wondering,filter  filter,tweets  nodexl,ex  ex,results  search_query,23adidas  23adidas,#adidas  #adidas,tweets</t>
  </si>
  <si>
    <t>great,content  content,awesome  well,explained  million,great  awesome,well  explained,explanation  explanation,simply  simply,great  great,teachers  teachers,hard</t>
  </si>
  <si>
    <t>node,xl  çok,teşekkür  teşekkür,ederim  ve,yorumlar  umarım,işinizi  işinizi,görür  iyi,çalışmalar  sosyal,ağ  ağ,analizi  xl,ile</t>
  </si>
  <si>
    <t>tick,tick  location,data  links,degree</t>
  </si>
  <si>
    <t>dynamic,filters  vertices,worksheet  592,vertices  dynamic,filter  faux,vrai  filters,window</t>
  </si>
  <si>
    <t>blog,ibpad  base,dados  nodexl,mas  tudo,bem  há,muito  muito,tempo  infelizmente,não  não,fiz  fiz,continuação  ibpad,blog</t>
  </si>
  <si>
    <t>download,attributes  attributes,users  users,specific  specific,facebook  facebook,fun  fun,page  page,like  like,hometown  hometown,gender  gender,birthday</t>
  </si>
  <si>
    <t>codeplex,nodexl  nodexl,codeplex  archive,codeplex  nodexl,archive</t>
  </si>
  <si>
    <t>vertices,names</t>
  </si>
  <si>
    <t>drive,google  2020,duv8mcs  data,set  tweets,network  wednesday,01  01,april  april,2020  relationship,tweet  google,file  file,1pbtsxb9</t>
  </si>
  <si>
    <t>james,cook  windows,10</t>
  </si>
  <si>
    <t>amazon,stripbooks  stripbooks,rh  rh,3a6740748011  3a6740748011,2cp_lbr_books_authors_browse  2cp_lbr_books_authors_browse,3atulio  3atulio,kahn  kahn,desc  desc,rank  rank,qid  qid,1637233274</t>
  </si>
  <si>
    <t>twitter,user  connectedaction,nodexl  nodexl,updates  updates,twitter  user,list  list,importer</t>
  </si>
  <si>
    <t>URLs In Comment by Count</t>
  </si>
  <si>
    <t>https://vivianfrancos.com/conoce-tus-mapas-de-audiencia-nodexl/ https://docs.google.com/document/d/1GdYAVkfBXcNrpG_b_EAZwHldbSvUpY3GFjEESWu474c/edit?usp=sharing http://vivianfrancos.com/</t>
  </si>
  <si>
    <t>http://mihkal.indeedsir.com/isfi/ https://twitter.com/mihkal http://www.nodexlgraphgallery.org/Pages/Graph.aspx?graphID=224174 https://drive.google.com/open?id=1dAYfGszD6TI7S6I0vyZt419CBPZe2lwU https://fierbmi.com/ https://drive.google.com/file/d/1PbtSxb9-HpDzskfSC5qh5BHOzSlGEPPF/view?usp=sharing https://www.youtube.com/watch?v=o-D-Duv8Mcs&amp;amp;t=10m24s https://www.youtube.com/watch?v=o-D-Duv8Mcs&amp;amp;t=18m26s https://www.youtube.com/watch?v=o-D-Duv8Mcs&amp;amp;t=09m51s</t>
  </si>
  <si>
    <t>https://www.smrfoundation.org/nodexl/installation/ http://maine.edu/ https://www.youtube.com/watch?v=lbb2lMCSg64 https://nodexlgraphgallery.org/Pages/registration.aspx https://nodexlgraphgallery.org/Pages/registration.asp http://www.amazon.com/Analyzing-Social-Media-Networks-NodeXL/dp/0123822297 http://www.nodexlgraphgallery.org/Pages/Graph.aspx?graphID=57173 https://www.peteraldhous.com/CAR/NodeXL_CAR2012.pdf http://smrfoundation.org/ http://developer.twitter.com/</t>
  </si>
  <si>
    <t>http://download.cnet.com/NodeXL/3001-2077_4-10967171.html http://nodexl.codeplex.com/</t>
  </si>
  <si>
    <t>http://www.youtube.com/results?search_query=%23SaveBabakanSiliwangi http://www.youtube.com/results?search_query=%23SaveBabakan</t>
  </si>
  <si>
    <t>http://www.youtube.com/results?search_query=%23love http://www.youtube.com/results?search_query=%23cupcake</t>
  </si>
  <si>
    <t>http://www.youtube.com/results?search_query=%23BestTeacherIndeed</t>
  </si>
  <si>
    <t>URLs In Comment by Salience</t>
  </si>
  <si>
    <t>https://www.smrfoundation.org/nodexl/installation/ https://www.youtube.com/watch?v=lbb2lMCSg64 https://nodexlgraphgallery.org/Pages/registration.aspx https://nodexlgraphgallery.org/Pages/registration.asp http://www.amazon.com/Analyzing-Social-Media-Networks-NodeXL/dp/0123822297 http://www.nodexlgraphgallery.org/Pages/Graph.aspx?graphID=57173 https://www.peteraldhous.com/CAR/NodeXL_CAR2012.pdf http://maine.edu/ http://smrfoundation.org/ http://developer.twitter.com/</t>
  </si>
  <si>
    <t>http://www.youtube.com/results?search_query=%23SaveBabakan http://www.youtube.com/results?search_query=%23SaveBabakanSiliwangi</t>
  </si>
  <si>
    <t>Domains In Comment by Count</t>
  </si>
  <si>
    <t>vivianfrancos.com google.com</t>
  </si>
  <si>
    <t>google.com youtube.com indeedsir.com twitter.com nodexlgraphgallery.org fierbmi.com</t>
  </si>
  <si>
    <t>nodexlgraphgallery.org smrfoundation.org maine.edu youtube.com amazon.com peteraldhous.com twitter.com</t>
  </si>
  <si>
    <t>cnet.com codeplex.com</t>
  </si>
  <si>
    <t>Domains In Comment by Salience</t>
  </si>
  <si>
    <t>google.com vivianfrancos.com</t>
  </si>
  <si>
    <t>youtube.com google.com indeedsir.com twitter.com nodexlgraphgallery.org fierbmi.com</t>
  </si>
  <si>
    <t>nodexlgraphgallery.org smrfoundation.org youtube.com amazon.com peteraldhous.com maine.edu twitter.com</t>
  </si>
  <si>
    <t>Hashtags In Comment by Count</t>
  </si>
  <si>
    <t>Hashtags In Comment by Salience</t>
  </si>
  <si>
    <t>Top Words in Comment by Count</t>
  </si>
  <si>
    <t>escucha peor</t>
  </si>
  <si>
    <t>post understand download network likes comments show upload gephi nodexl</t>
  </si>
  <si>
    <t>vertices names tutorial brittany downloaded facebook data convert noticed changed</t>
  </si>
  <si>
    <t>profile</t>
  </si>
  <si>
    <t>basically covers basics gephi short</t>
  </si>
  <si>
    <t>gilles havik yeah</t>
  </si>
  <si>
    <t>function longer open source</t>
  </si>
  <si>
    <t>marc tutorial helpful</t>
  </si>
  <si>
    <t>nodexl download data gallery location links degree list edges automatically</t>
  </si>
  <si>
    <t>wish sound learnt thing</t>
  </si>
  <si>
    <t>twitter account dataset acquire</t>
  </si>
  <si>
    <t>cool wonderful tool hats folks</t>
  </si>
  <si>
    <t>vivianfrancos audiencia conoce tus mapas nodexl docs google document 1gdyavkfbxcnrpg_b_eazwhldbsvupy3gfjeeswu474c</t>
  </si>
  <si>
    <t>gracias acompañarnos contarnos tantas cosas interesantes analítica</t>
  </si>
  <si>
    <t>tweets dataset data twitter drive google gephi graph network file</t>
  </si>
  <si>
    <t>fantastic sharing mika</t>
  </si>
  <si>
    <t>visualization trying communicate data</t>
  </si>
  <si>
    <t>location rachit friends guess import network filters present excel generate</t>
  </si>
  <si>
    <t>data nodexl java help</t>
  </si>
  <si>
    <t>nice explanation extract location specific data analysis work software method</t>
  </si>
  <si>
    <t>website mentioned minute 39yxz72qdow 4m08s 08</t>
  </si>
  <si>
    <t>select posts fb nodexl</t>
  </si>
  <si>
    <t>help trying hiiii urgent error twitter user screen microsoft office</t>
  </si>
  <si>
    <t>communities brand well paced thorough introduction professor cook advise focus</t>
  </si>
  <si>
    <t>nodexl twitter data org graph list time vertex network microsoft</t>
  </si>
  <si>
    <t>twitter user updates connectedaction nodexl list importer network updated version</t>
  </si>
  <si>
    <t>great demo</t>
  </si>
  <si>
    <t>step guide lecture nodexl helpful feet wet field</t>
  </si>
  <si>
    <t>cook data stored excel file tweet content mentions author handling</t>
  </si>
  <si>
    <t>download attributes collumns empty users specific facebook fun page like</t>
  </si>
  <si>
    <t>replies specific tweets like tweet account analyze help advance download</t>
  </si>
  <si>
    <t>kak mantab mana yg vide</t>
  </si>
  <si>
    <t>terima kasih</t>
  </si>
  <si>
    <t>kak ada link atau tutor buat instal nodexlnya ngga</t>
  </si>
  <si>
    <t>appreciate putting request shoot future cobalt package white black fare</t>
  </si>
  <si>
    <t>historical tweets timeline download previous share codes collecting specific</t>
  </si>
  <si>
    <t>fantastic time share</t>
  </si>
  <si>
    <t>twitter rtweet error help james great explanation issue code v2</t>
  </si>
  <si>
    <t>nodexl fantástico tulio você tem mais ensinando trabalhar tenho interesse</t>
  </si>
  <si>
    <t>oi não possível abs fiz blog ibpad há muito tempo</t>
  </si>
  <si>
    <t>onde ta continuação desses</t>
  </si>
  <si>
    <t>ola tambem gostaria saber aonde continuação obrigado</t>
  </si>
  <si>
    <t>muito passei parabenizá pelo vídeo estava apanhando tentando aprender sozinho</t>
  </si>
  <si>
    <t>gustavo camargos olá tudo bem também estou fazendo artigo tema</t>
  </si>
  <si>
    <t>tem alguma estou nodexl forma olá ótimo vídeo previsão próximo</t>
  </si>
  <si>
    <t>fazer olá max tudo certo parabéns pelo vídeo muito útil</t>
  </si>
  <si>
    <t>estou nodexl max eu excel autores desenvolvendo artigo bibliometria buscando</t>
  </si>
  <si>
    <t>muuuito obrigada</t>
  </si>
  <si>
    <t>cái lỗi em import user network 01 standard thì nó</t>
  </si>
  <si>
    <t>understand focus slides person</t>
  </si>
  <si>
    <t>bummer missing slides</t>
  </si>
  <si>
    <t>like loop</t>
  </si>
  <si>
    <t>cook effort</t>
  </si>
  <si>
    <t>image sir twitter vertices data circle change label like nodexl</t>
  </si>
  <si>
    <t>james install mac</t>
  </si>
  <si>
    <t>james cook start tom search computer try download version customization</t>
  </si>
  <si>
    <t>james running windows 10 time idea nodexl working operating system</t>
  </si>
  <si>
    <t>james problem installing nodexl window enterprise advice</t>
  </si>
  <si>
    <t>practice problems software work</t>
  </si>
  <si>
    <t>works spanish</t>
  </si>
  <si>
    <t>program explanation learned lot hope advance text mining wish study</t>
  </si>
  <si>
    <t>hey node excel office 13 window worked</t>
  </si>
  <si>
    <t>kindly share process work</t>
  </si>
  <si>
    <t>audio quiet hear laptop speakers maximum</t>
  </si>
  <si>
    <t>install exe file available link pls upload ur google drive</t>
  </si>
  <si>
    <t>nodexl codeplex archive download piyush visit page open shared screenshot</t>
  </si>
  <si>
    <t>tab nodexl show installing running software</t>
  </si>
  <si>
    <t>cool tutorial</t>
  </si>
  <si>
    <t>great tutorial brian</t>
  </si>
  <si>
    <t>helped lot phd</t>
  </si>
  <si>
    <t>merhaba şu ben aynı konu üzerinde bitirme çalışması yapıyorum acaba</t>
  </si>
  <si>
    <t>gerçekten çok teşekkürler yararlı olmuş bitirme projem twitter verileri ile</t>
  </si>
  <si>
    <t>hocam çok güzel olmuş elinize sağlık</t>
  </si>
  <si>
    <t>sümeyye çelik aynı hatayı bende yaşıyorum nasıl çözebilirim</t>
  </si>
  <si>
    <t>bir nodexl 2007 ve download cnet 3001 2077_4 10967171 codeplex</t>
  </si>
  <si>
    <t>nodexlgraphgallery org pages registration ünzile yeşil surdan indirebilirsiniz</t>
  </si>
  <si>
    <t>ben aynısını arıyorum iki sizin yorumu görünce yazayım dedim bulabildiniz</t>
  </si>
  <si>
    <t>hashtag arasında 2020 twitter dan bir belli tarihler veri çekmek</t>
  </si>
  <si>
    <t>analysis start social network kind sir question msc thesis media</t>
  </si>
  <si>
    <t>nodexl generates graphs exported standard jpeg file</t>
  </si>
  <si>
    <t>fade filter graph</t>
  </si>
  <si>
    <t>harel frucherman personal preference</t>
  </si>
  <si>
    <t>extremely helpful</t>
  </si>
  <si>
    <t>link download software nya kok error min</t>
  </si>
  <si>
    <t>link work</t>
  </si>
  <si>
    <t>life saver</t>
  </si>
  <si>
    <t>kellogg send sample data practise nodexl banned twitter importer basic</t>
  </si>
  <si>
    <t>application software graph output help</t>
  </si>
  <si>
    <t>dr cook right preview edges options importing data twitter nodexl</t>
  </si>
  <si>
    <t>nice work</t>
  </si>
  <si>
    <t>written node exl think lot better understandable bit bigger</t>
  </si>
  <si>
    <t>saving ass uploading annoying features available basic version</t>
  </si>
  <si>
    <t>fantastic wait deep dive nodexl</t>
  </si>
  <si>
    <t>daha merhaba hocam bende yüksek lisans tezimde kullanmak istiyorum ama</t>
  </si>
  <si>
    <t>hocam merhaba programı sayenizde yükleyip çalıştırdım doktora tezimde kullanıcam bir</t>
  </si>
  <si>
    <t>ve node xl analizi merhabalar için çok teşekkür ederim sizlerden</t>
  </si>
  <si>
    <t>selam bu konuda yardima ihtiyacim var ulaşabilir misiniz</t>
  </si>
  <si>
    <t>emeğine sağlık kardeşim yeni videolar istiyoruz</t>
  </si>
  <si>
    <t>merhaba mail gelmiyor yazık ki indirdiğimiz veriyi gephi açmak için</t>
  </si>
  <si>
    <t>awful ruins good</t>
  </si>
  <si>
    <t>tick hear clock</t>
  </si>
  <si>
    <t>hear honestly</t>
  </si>
  <si>
    <t>nice greatly appreaciated following</t>
  </si>
  <si>
    <t>cuál data</t>
  </si>
  <si>
    <t>indigree digree account</t>
  </si>
  <si>
    <t>instaled macbook m1 recomended spesification laptop notebook</t>
  </si>
  <si>
    <t>مشكورين</t>
  </si>
  <si>
    <t>من اسباب كل كلامك النظري غير التطبيقي والذي اضعتي فيه</t>
  </si>
  <si>
    <t>couple position nodes software james goode questions softwrare visualise material</t>
  </si>
  <si>
    <t>assignment powerpoint presentation well</t>
  </si>
  <si>
    <t>vertices professor cook well group graphically question good morning professional</t>
  </si>
  <si>
    <t>excellent practicum combined couple theory novice dangerous posting public forum</t>
  </si>
  <si>
    <t>excellent tutorial nodexl sna historical figures antiquity assist immensely</t>
  </si>
  <si>
    <t>managed start finally</t>
  </si>
  <si>
    <t>bunch</t>
  </si>
  <si>
    <t>helpful exploring sna excellent tutorial</t>
  </si>
  <si>
    <t>facebook derek caelin helpful nodexl website purchase program work</t>
  </si>
  <si>
    <t>social facebook herramienta puedo analizar nodexl analyze media networks gracias</t>
  </si>
  <si>
    <t>facebook longer smrfoundation org 2019 09 05 nodexl pro data</t>
  </si>
  <si>
    <t>derek easy extremely useful</t>
  </si>
  <si>
    <t>wonderful insightful absolutely amazing</t>
  </si>
  <si>
    <t>derek intresting cool sofware</t>
  </si>
  <si>
    <t>james cook link download install button suggestion</t>
  </si>
  <si>
    <t>link doesnot work download archives</t>
  </si>
  <si>
    <t>impressing formula node exel graph change like</t>
  </si>
  <si>
    <t>data wonderful network learned lot nodexl sharing social analysis scraping</t>
  </si>
  <si>
    <t>like ask image label character</t>
  </si>
  <si>
    <t>add bidirectional arrow nodexl</t>
  </si>
  <si>
    <t>interactions twitter nodexl graduating social comunication brazil work famous tv</t>
  </si>
  <si>
    <t>results search_query 23savebabakansiliwangi #savebabakansiliwangi network vertices information environmental supposed hand</t>
  </si>
  <si>
    <t>nodexl helpful user started taught lot james walk</t>
  </si>
  <si>
    <t>sharing social network analysis james helpful tutorial mentioned textbook end</t>
  </si>
  <si>
    <t>excellent walk pretty assignment</t>
  </si>
  <si>
    <t>lot tutorial helpful</t>
  </si>
  <si>
    <t>luxmi verma believe topical analysis</t>
  </si>
  <si>
    <t>data james network tweet hashtag column radian results search_query vertex</t>
  </si>
  <si>
    <t>help struggling nodexl vertices spreadsheet email like tutorials ask class</t>
  </si>
  <si>
    <t>extract twitter hashtag week information appreciate help question data active</t>
  </si>
  <si>
    <t>node xl pro consider centrality master thesis gephi opinion betweenness</t>
  </si>
  <si>
    <t>betweeness centrality node influential network</t>
  </si>
  <si>
    <t>twitter 2007 network windows cook nodexl dr ve trying downloaded</t>
  </si>
  <si>
    <t>dr cook set nodexl import tweets limit</t>
  </si>
  <si>
    <t>network nodexl simply export account nodes connected opposed importing data</t>
  </si>
  <si>
    <t>vertices dynamic worksheet understand filters filter nodexl metrics 592 appears</t>
  </si>
  <si>
    <t>twitter followers dr cook nodexl supports pro version like users</t>
  </si>
  <si>
    <t>james life saver results search_query 23bestteacherindeed #bestteacherindeed</t>
  </si>
  <si>
    <t>thx lot informative</t>
  </si>
  <si>
    <t>helpful thankyou</t>
  </si>
  <si>
    <t>accidentally graph reappear james cook work figured view ribbon selected</t>
  </si>
  <si>
    <t>2021 usefull man</t>
  </si>
  <si>
    <t>data outliers james error message edges vertex column blank graph</t>
  </si>
  <si>
    <t>helpful save academic life</t>
  </si>
  <si>
    <t>great resource started nodexl posting</t>
  </si>
  <si>
    <t>guys excellent job</t>
  </si>
  <si>
    <t>build weight edged graph nodexl</t>
  </si>
  <si>
    <t>open source</t>
  </si>
  <si>
    <t>tweets wondering filter nodexl ex results search_query 23adidas #adidas mexico</t>
  </si>
  <si>
    <t>tie real mic moron huge absolutely garbage glad teacher minutes</t>
  </si>
  <si>
    <t>poor sound quality</t>
  </si>
  <si>
    <t>graph right received appearing trying activate keeps pop messages entering</t>
  </si>
  <si>
    <t>good moring insert image node intoa</t>
  </si>
  <si>
    <t>great million content awesome well explained grade explanation simply teachers</t>
  </si>
  <si>
    <t>great job good sound quality</t>
  </si>
  <si>
    <t>social marc smith explains network analysis chat media metrics students</t>
  </si>
  <si>
    <t>Top Words in Comment by Salience</t>
  </si>
  <si>
    <t>download gallery location data links degree list useful graph powermap</t>
  </si>
  <si>
    <t>audiencia vivianfrancos conoce tus mapas nodexl docs google document 1gdyavkfbxcnrpg_b_eazwhldbsvupy3gfjeeswu474c</t>
  </si>
  <si>
    <t>tweets network dataset data twitter drive google 2020 duv8mcs utc</t>
  </si>
  <si>
    <t>twitter data org nodexl graph list workbook microsoft edge vertex</t>
  </si>
  <si>
    <t>tweet content mentions author handling twitter james replying collected manually</t>
  </si>
  <si>
    <t>dr james download attributes collumns empty users specific facebook fun</t>
  </si>
  <si>
    <t>tweets download comments replies specific cook option import twitter coment</t>
  </si>
  <si>
    <t>blog ibpad dados não possível abs fiz há muito tempo</t>
  </si>
  <si>
    <t>autores estou nodexl desenvolvendo artigo bibliometria buscando software possa ajudar</t>
  </si>
  <si>
    <t>start tom search computer try download version customization installed open</t>
  </si>
  <si>
    <t>nodexl 2007 ve download cnet 3001 2077_4 10967171 codeplex hocam</t>
  </si>
  <si>
    <t>node xl analizi sosyal ağ bu pdf ile ağların çizimi</t>
  </si>
  <si>
    <t>couple position nodes james goode questions softwrare visualise material flow</t>
  </si>
  <si>
    <t>vertices group graphically question good morning professional employée nodexl tutorials</t>
  </si>
  <si>
    <t>herramienta puedo analizar nodexl analyze media networks gracias compartir gustaría</t>
  </si>
  <si>
    <t>data network learned nodexl sharing social analysis scraping past couple</t>
  </si>
  <si>
    <t>twitter avkash dr endeavoured analysis graphic inserted import menu search</t>
  </si>
  <si>
    <t>network results search_query vertex tweet column data node hashtag 23love</t>
  </si>
  <si>
    <t>extract hashtag week question data active version limited importing tweets</t>
  </si>
  <si>
    <t>node xl pro consider centrality gephi opinion betweenness criterion closeness</t>
  </si>
  <si>
    <t>network windows dr ve trying downloaded edition installed excel compatible</t>
  </si>
  <si>
    <t>understand filters filter nodexl metrics 592 faux vrai election window</t>
  </si>
  <si>
    <t>dr cook region avkash country tweets wondering filter nodexl ex</t>
  </si>
  <si>
    <t>received graph appearing trying activate keeps pop messages entering license</t>
  </si>
  <si>
    <t>intoa good moring insert image node</t>
  </si>
  <si>
    <t>great best stuff earth explanation simply teachers hard content awesome</t>
  </si>
  <si>
    <t>Top Word Pairs in Comment by Count</t>
  </si>
  <si>
    <t>escucha,peor</t>
  </si>
  <si>
    <t>understand,download  download,post  post,post  post,network  network,likes  likes,comments  comments,show  show,upload  upload,gephi  gephi,nodexl</t>
  </si>
  <si>
    <t>vertices,names  brittany,tutorial  tutorial,downloaded  downloaded,facebook  facebook,data  data,vertices  names,convert  convert,vertices  names,noticed  noticed,tutorial</t>
  </si>
  <si>
    <t>basically,covers  covers,basics  basics,gephi  gephi,short</t>
  </si>
  <si>
    <t>gilles,havik  havik,yeah</t>
  </si>
  <si>
    <t>function,longer  longer,open  open,source</t>
  </si>
  <si>
    <t>marc,tutorial  tutorial,helpful</t>
  </si>
  <si>
    <t>links,degree  location,data  request,nodexl  nodexl,weather  weather,report  degree,links  nodexl,tip  tip,list  list,edges  edges,nodexl</t>
  </si>
  <si>
    <t>wish,sound  sound,learnt  learnt,thing</t>
  </si>
  <si>
    <t>twitter,account  account,dataset  dataset,acquire</t>
  </si>
  <si>
    <t>cool,wonderful  wonderful,tool  tool,hats  hats,folks</t>
  </si>
  <si>
    <t>vivianfrancos,conoce  conoce,tus  tus,mapas  mapas,audiencia  audiencia,nodexl  docs,google  google,document  document,1gdyavkfbxcnrpg_b_eazwhldbsvupy3gfjeeswu474c  1gdyavkfbxcnrpg_b_eazwhldbsvupy3gfjeeswu474c,edit  edit,usp</t>
  </si>
  <si>
    <t>gracias,acompañarnos  acompañarnos,contarnos  contarnos,tantas  tantas,cosas  cosas,interesantes  interesantes,analítica</t>
  </si>
  <si>
    <t>drive,google  2020,duv8mcs  data,set  tweets,network  wednesday,01  01,april  april,2020  relationship,tweet  mihkal,indeedsir  indeedsir,isfi</t>
  </si>
  <si>
    <t>fantastic,sharing  sharing,mika</t>
  </si>
  <si>
    <t>visualization,trying  trying,communicate  communicate,data</t>
  </si>
  <si>
    <t>rachit,location  location,location  location,friends  friends,location  location,guess  guess,import  import,network  network,filters  filters,present  present,excel</t>
  </si>
  <si>
    <t>data,nodexl  nodexl,java  java,help</t>
  </si>
  <si>
    <t>nice,explanation  explanation,extract  extract,location  location,specific  specific,data  data,analysis  analysis,work  work,software  software,method  method,best</t>
  </si>
  <si>
    <t>website,mentioned  mentioned,minute  minute,39yxz72qdow  39yxz72qdow,4m08s  4m08s,08</t>
  </si>
  <si>
    <t>select,posts  posts,fb  fb,nodexl</t>
  </si>
  <si>
    <t>hiiii,help  help,urgent  urgent,trying  trying,error  error,twitter  twitter,user  user,screen  screen,trying  trying,microsoft  microsoft,office</t>
  </si>
  <si>
    <t>well,paced  paced,thorough  thorough,introduction  introduction,professor  professor,cook  cook,advise  advise,communities  communities,focus  focus,sna  sna,brand</t>
  </si>
  <si>
    <t>edge,list  nodexlgraphgallery,org  org,pages  smrfoundation,org  twitter,api  luxmi,verma  pages,registration  org,nodexl  nodexl,installation  microsoft,office</t>
  </si>
  <si>
    <t>twitter,user  connectedaction,nodexl  nodexl,updates  updates,twitter  user,list  list,importer  user,network  network,updated  updated,version  version,like</t>
  </si>
  <si>
    <t>great,demo</t>
  </si>
  <si>
    <t>step,step  step,guide  guide,lecture  lecture,nodexl  nodexl,helpful  helpful,feet  feet,wet  wet,field</t>
  </si>
  <si>
    <t>stored,excel  excel,file  cook,handling  handling,twitter  twitter,data  data,stored  james,cook  cook,cook  cook,replying  replying,data</t>
  </si>
  <si>
    <t>replies,specific  specific,tweet  cook,like  like,option  option,import  import,replies  tweet,specific  specific,twitter  twitter,account  account,analyze</t>
  </si>
  <si>
    <t>mantab,kak  kak,mana  mana,yg  yg,vide  vide,kak</t>
  </si>
  <si>
    <t>terima,kasih</t>
  </si>
  <si>
    <t>kak,ada  ada,link  link,atau  atau,tutor  tutor,buat  buat,instal  instal,nodexlnya  nodexlnya,ngga</t>
  </si>
  <si>
    <t>appreciate,putting  putting,request  request,shoot  shoot,future  future,cobalt  cobalt,package  package,white  white,black  black,fare  fare,well</t>
  </si>
  <si>
    <t>historical,tweets  download,historical  tweets,previous  previous,timeline  timeline,share  share,codes  codes,collecting  collecting,historical  tweets,specific  specific,timeline</t>
  </si>
  <si>
    <t>fantastic,time  time,share</t>
  </si>
  <si>
    <t>james,great  great,explanation  explanation,issue  issue,code  code,twitter  twitter,rtweet  rtweet,v2  v2,api  api,twitter  twitter,error</t>
  </si>
  <si>
    <t>fantástico,tulio  tulio,você  você,tem  tem,mais  mais,ensinando  ensinando,trabalhar  trabalhar,nodexl  nodexl,tenho  tenho,interesse  interesse,em</t>
  </si>
  <si>
    <t>blog,ibpad  há,muito  muito,tempo  ibpad,blog  infelizmente,não  não,fiz  fiz,continuação  oi,cássio  cássio,tudo  tudo,bem</t>
  </si>
  <si>
    <t>onde,ta  ta,continuação  continuação,desses</t>
  </si>
  <si>
    <t>ola,tambem  tambem,gostaria  gostaria,saber  saber,aonde  aonde,continuação  continuação,obrigado</t>
  </si>
  <si>
    <t>passei,parabenizá  parabenizá,pelo  pelo,vídeo  vídeo,estava  estava,apanhando  apanhando,muito  muito,tentando  tentando,aprender  aprender,sozinho  sozinho,alguns</t>
  </si>
  <si>
    <t>gustavo,camargos  camargos,olá  olá,gustavo  gustavo,tudo  tudo,bem  bem,também  também,estou  estou,fazendo  fazendo,artigo  artigo,tema</t>
  </si>
  <si>
    <t>tem,alguma  olá,ótimo  ótimo,vídeo  vídeo,tem  alguma,previsão  previsão,próximo  próximo,estou  estou,fazendo  fazendo,tcc  tcc,politica</t>
  </si>
  <si>
    <t>olá,max  max,tudo  tudo,certo  certo,parabéns  parabéns,pelo  pelo,vídeo  vídeo,muito  muito,útil  útil,sou  sou,biólogo</t>
  </si>
  <si>
    <t>max,estou  estou,desenvolvendo  desenvolvendo,artigo  artigo,bibliometria  bibliometria,estou  estou,buscando  buscando,software  software,possa  possa,ajudar  ajudar,nessa</t>
  </si>
  <si>
    <t>muuuito,obrigada</t>
  </si>
  <si>
    <t>em,import  import,cái  cái,user  user,network  network,01  01,standard  standard,thì  thì,nó  nó,chạy  chạy,ra</t>
  </si>
  <si>
    <t>understand,focus  focus,slides  slides,person</t>
  </si>
  <si>
    <t>bummer,missing  missing,slides</t>
  </si>
  <si>
    <t>like,loop</t>
  </si>
  <si>
    <t>cook,effort</t>
  </si>
  <si>
    <t>sir,twitter  twitter,image  image,vertices  vertices,data  data,circle  circle,change  change,label  label,image  image,like  like,nodexl</t>
  </si>
  <si>
    <t>james,install  install,mac</t>
  </si>
  <si>
    <t>james,cook  cook,start  start,tom  cook,search  search,computer  computer,try  try,download  download,version  version,customization  customization,installed</t>
  </si>
  <si>
    <t>james,running  running,windows  windows,10  10,time  time,idea  idea,nodexl  nodexl,working  working,operating  operating,system</t>
  </si>
  <si>
    <t>james,problem  problem,installing  installing,nodexl  nodexl,window  window,enterprise  enterprise,advice</t>
  </si>
  <si>
    <t>practice,problems  problems,software  software,work</t>
  </si>
  <si>
    <t>works,spanish</t>
  </si>
  <si>
    <t>explanation,learned  learned,lot  lot,hope  hope,advance  advance,program  program,text  text,mining  mining,wish  wish,study  study,topic</t>
  </si>
  <si>
    <t>hey,node  node,excel  excel,office  office,13  13,window  window,worked</t>
  </si>
  <si>
    <t>kindly,share  share,process  process,work</t>
  </si>
  <si>
    <t>audio,quiet  quiet,hear  hear,laptop  laptop,speakers  speakers,maximum</t>
  </si>
  <si>
    <t>install,exe  exe,file  file,available  available,link  link,pls  pls,upload  upload,ur  ur,google  google,drive  drive,share</t>
  </si>
  <si>
    <t>codeplex,nodexl  nodexl,codeplex  archive,codeplex  nodexl,archive  piyush,visit  visit,page  page,nodexl  codeplex,download  download,open  open,archive</t>
  </si>
  <si>
    <t>nodexl,tab  tab,show  show,tab  tab,installing  installing,running  running,software</t>
  </si>
  <si>
    <t>cool,tutorial</t>
  </si>
  <si>
    <t>great,tutorial  tutorial,brian</t>
  </si>
  <si>
    <t>helped,lot  lot,phd</t>
  </si>
  <si>
    <t>merhaba,şu  şu,ben  ben,aynı  aynı,konu  konu,üzerinde  üzerinde,bitirme  bitirme,çalışması  çalışması,yapıyorum  yapıyorum,acaba  acaba,siz</t>
  </si>
  <si>
    <t>gerçekten,çok  çok,teşekkürler  teşekkürler,yararlı  yararlı,olmuş  olmuş,bitirme  bitirme,projem  projem,twitter  twitter,verileri  verileri,ile  ile,duygu</t>
  </si>
  <si>
    <t>hocam,çok  çok,güzel  güzel,olmuş  olmuş,elinize  elinize,sağlık</t>
  </si>
  <si>
    <t>sümeyye,çelik  çelik,aynı  aynı,hatayı  hatayı,bende  bende,yaşıyorum  yaşıyorum,nasıl  nasıl,çözebilirim</t>
  </si>
  <si>
    <t>download,cnet  cnet,nodexl  nodexl,3001  3001,2077_4  2077_4,10967171  nodexl,codeplex  hocam,ücretsiz  ücretsiz,sürümünü  sürümünü,indirip  indirip,kuramadım</t>
  </si>
  <si>
    <t>nodexlgraphgallery,org  org,pages  pages,registration  ünzile,yeşil  yeşil,nodexlgraphgallery  registration,nodexlgraphgallery  registration,surdan  surdan,indirebilirsiniz</t>
  </si>
  <si>
    <t>ben,aynısını  aynısını,arıyorum  arıyorum,iki  iki,sizin  sizin,yorumu  yorumu,görünce  görünce,yazayım  yazayım,dedim  dedim,bulabildiniz</t>
  </si>
  <si>
    <t>twitter,dan  dan,bir  bir,hashtag  hashtag,belli  belli,tarihler  tarihler,arasında  arasında,veri  veri,çekmek  çekmek,istiyorum  istiyorum,hangi</t>
  </si>
  <si>
    <t>network,analysis  sir,question  question,start  start,msc  msc,thesis  thesis,social  social,media  media,network  analysis,start  start,kind</t>
  </si>
  <si>
    <t>nodexl,generates  generates,graphs  graphs,exported  exported,standard  standard,jpeg  jpeg,file</t>
  </si>
  <si>
    <t>fade,filter  filter,graph</t>
  </si>
  <si>
    <t>harel,frucherman  frucherman,personal  personal,preference</t>
  </si>
  <si>
    <t>extremely,helpful</t>
  </si>
  <si>
    <t>link,download  download,software  software,nya  nya,kok  kok,error  error,min</t>
  </si>
  <si>
    <t>link,work</t>
  </si>
  <si>
    <t>life,saver</t>
  </si>
  <si>
    <t>kellogg,send  send,sample  sample,data  data,practise  practise,nodexl  nodexl,banned  banned,twitter  twitter,importer  importer,basic  basic,version</t>
  </si>
  <si>
    <t>application,software  software,graph  graph,output  output,help</t>
  </si>
  <si>
    <t>dr,cook  cook,right  right,preview  preview,edges  edges,options  options,importing  importing,data  data,twitter  twitter,nodexl  nodexl,kind</t>
  </si>
  <si>
    <t>nice,work</t>
  </si>
  <si>
    <t>written,node  node,exl  exl,think  think,lot  lot,better  better,understandable  understandable,bit  bit,bigger</t>
  </si>
  <si>
    <t>saving,ass  ass,uploading  uploading,annoying  annoying,features  features,available  available,basic  basic,version</t>
  </si>
  <si>
    <t>fantastic,wait  wait,deep  deep,dive  dive,nodexl</t>
  </si>
  <si>
    <t>merhaba,hocam  hocam,bende  bende,yüksek  yüksek,lisans  lisans,tezimde  tezimde,kullanmak  kullanmak,istiyorum  istiyorum,ama  ama,daha  daha,çok</t>
  </si>
  <si>
    <t>hocam,merhaba  merhaba,programı  programı,sayenizde  sayenizde,yükleyip  yükleyip,çalıştırdım  çalıştırdım,doktora  doktora,tezimde  tezimde,kullanıcam  kullanıcam,bir  bir,iki</t>
  </si>
  <si>
    <t>selam,bu  bu,konuda  konuda,yardima  yardima,ihtiyacim  ihtiyacim,var  var,ulaşabilir  ulaşabilir,misiniz</t>
  </si>
  <si>
    <t>emeğine,sağlık  sağlık,kardeşim  kardeşim,yeni  yeni,videolar  videolar,istiyoruz</t>
  </si>
  <si>
    <t>merhaba,mail  mail,gelmiyor  gelmiyor,yazık  yazık,ki  indirdiğimiz,veriyi  veriyi,gephi  gephi,açmak  açmak,için  için,hangi  hangi,uzantı</t>
  </si>
  <si>
    <t>awful,ruins  ruins,good</t>
  </si>
  <si>
    <t>tick,tick  hear,clock  clock,tick</t>
  </si>
  <si>
    <t>hear,honestly</t>
  </si>
  <si>
    <t>nice,greatly  greatly,appreaciated  appreaciated,following</t>
  </si>
  <si>
    <t>cuál,data</t>
  </si>
  <si>
    <t>indigree,digree  digree,account</t>
  </si>
  <si>
    <t>instaled,macbook  macbook,m1  m1,recomended  recomended,spesification  spesification,laptop  laptop,notebook</t>
  </si>
  <si>
    <t>اسباب,كل  كل,كلامك  كلامك,النظري  النظري,غير  غير,التطبيقي  التطبيقي,والذي  والذي,اضعتي  اضعتي,فيه  فيه,كثير  كثير,من</t>
  </si>
  <si>
    <t>ممكن,خاص  خاص,او  او,حسابك  حسابك,على  على,تويتر  تويتر,كرما</t>
  </si>
  <si>
    <t>position,nodes  james,goode  goode,couple  couple,questions  questions,softwrare  softwrare,visualise  visualise,material  material,flow  flow,transportation  transportation,goods</t>
  </si>
  <si>
    <t>assignment,powerpoint  powerpoint,presentation  presentation,well</t>
  </si>
  <si>
    <t>good,morning  morning,professor  professor,cook  cook,professional  professional,employée  employée,nodexl  nodexl,tutorials  tutorials,helpful  helpful,easely  easely,understandable</t>
  </si>
  <si>
    <t>excellent,practicum  practicum,combined  combined,couple  couple,theory  theory,novice  novice,dangerous  dangerous,posting  posting,public  public,forum</t>
  </si>
  <si>
    <t>excellent,tutorial  tutorial,nodexl  nodexl,sna  sna,historical  historical,figures  figures,antiquity  antiquity,assist  assist,immensely</t>
  </si>
  <si>
    <t>managed,start  start,finally</t>
  </si>
  <si>
    <t>helpful,exploring  exploring,sna  sna,excellent  excellent,tutorial</t>
  </si>
  <si>
    <t>derek,caelin  caelin,helpful  helpful,nodexl  nodexl,facebook  facebook,website  website,purchase  purchase,program  program,work  work,facebook</t>
  </si>
  <si>
    <t>herramienta,puedo  nodexl,analyze  analyze,social  social,media  media,networks  networks,facebook  gracias,compartir  compartir,gustaría  gustaría,saber  saber,herramienta</t>
  </si>
  <si>
    <t>smrfoundation,org  org,2019  2019,09  09,05  05,nodexl  nodexl,pro  pro,facebook  facebook,data  data,importers  importers,longer</t>
  </si>
  <si>
    <t>derek,easy  easy,extremely  extremely,useful</t>
  </si>
  <si>
    <t>wonderful,insightful  insightful,absolutely  absolutely,amazing</t>
  </si>
  <si>
    <t>derek,intresting  intresting,cool  cool,sofware</t>
  </si>
  <si>
    <t>james,cook  cook,link  link,download  download,install  install,button  button,suggestion</t>
  </si>
  <si>
    <t>link,doesnot  doesnot,work  work,download  download,archives</t>
  </si>
  <si>
    <t>impressing,formula  formula,node  node,exel  exel,graph  graph,change  change,like</t>
  </si>
  <si>
    <t>sharing,wonderful  wonderful,social  social,network  network,analysis  analysis,data  data,scraping  scraping,learned  learned,lot  lot,past  past,couple</t>
  </si>
  <si>
    <t>like,ask  ask,image  image,label  label,character</t>
  </si>
  <si>
    <t>add,bidirectional  bidirectional,arrow  arrow,nodexl</t>
  </si>
  <si>
    <t>graduating,social  social,comunication  comunication,brazil  brazil,work  work,interactions  interactions,famous  famous,tv  tv,show  show,twitter  twitter,nodexl</t>
  </si>
  <si>
    <t>results,search_query  search_query,23savebabakansiliwangi  23savebabakansiliwangi,#savebabakansiliwangi  vertices,supposed  inspiring,information  information,researching  researching,network  network,environmental  environmental,movement  movement,indonesia</t>
  </si>
  <si>
    <t>helpful,nodexl  nodexl,user  user,started  started,nodexl  nodexl,taught  taught,lot  lot,james  james,walk  walk,nodexl</t>
  </si>
  <si>
    <t>social,network  network,analysis  james,helpful  helpful,tutorial  tutorial,sharing  sharing,mentioned  mentioned,social  analysis,textbook  textbook,end  end,mind</t>
  </si>
  <si>
    <t>excellent,walk  walk,pretty  pretty,assignment</t>
  </si>
  <si>
    <t>lot,tutorial  tutorial,helpful</t>
  </si>
  <si>
    <t>luxmi,verma  verma,believe  believe,topical  topical,analysis</t>
  </si>
  <si>
    <t>results,search_query  james,cook  search_query,23love  23love,#love  hashtag,network  node,xl  radian,data  data,tweet  tweet,like  like,results</t>
  </si>
  <si>
    <t>like,tutorials  tutorials,ask  ask,help  help,class  class,struggling  struggling,nodexl  nodexl,assignment  assignment,enter  enter,vertices  vertices,program</t>
  </si>
  <si>
    <t>question,extract  extract,data  data,twitter  twitter,hashtag  hashtag,active  active,week  week,version  version,limited  limited,importing  importing,tweets</t>
  </si>
  <si>
    <t>node,xl  xl,pro  master,thesis  opinion,consider  consider,betweenness  betweenness,centrality  centrality,consider  consider,criterion  criterion,closeness  closeness,centrality</t>
  </si>
  <si>
    <t>betweeness,centrality  centrality,node  node,influential  influential,network</t>
  </si>
  <si>
    <t>dr,cook  cook,ve  ve,trying  trying,nodexl  nodexl,twitter  twitter,downloaded  downloaded,2007  2007,edition  edition,installed  installed,excel</t>
  </si>
  <si>
    <t>dr,cook  cook,set  set,nodexl  nodexl,import  import,tweets  tweets,limit</t>
  </si>
  <si>
    <t>nodexl,simply  simply,export  export,account  account,network  network,nodes  nodes,network  network,connected  connected,opposed  opposed,importing  importing,data</t>
  </si>
  <si>
    <t>dynamic,filters  vertices,worksheet  592,vertices  dynamic,filter  faux,vrai  filters,window  dr,cook  cook,sharing  sharing,methods  methods,absolute</t>
  </si>
  <si>
    <t>dr,cook  cook,nodexl  nodexl,supports  supports,twitter  twitter,pro  pro,version  version,like  like,twitter  twitter,users  users,network</t>
  </si>
  <si>
    <t>james,life  life,saver  saver,results  results,search_query  search_query,23bestteacherindeed  23bestteacherindeed,#bestteacherindeed</t>
  </si>
  <si>
    <t>thx,lot  lot,informative</t>
  </si>
  <si>
    <t>helpful,thankyou</t>
  </si>
  <si>
    <t>accidentally,graph  graph,reappear  james,cook  cook,work  work,figured  figured,view  view,ribbon  ribbon,selected  selected,document  document,actions</t>
  </si>
  <si>
    <t>2021,usefull  usefull,man</t>
  </si>
  <si>
    <t>james,error  error,message  message,edges  edges,data  data,vertex  vertex,column  column,blank  blank,graph  graph,shows  shows,outliers</t>
  </si>
  <si>
    <t>helpful,save  save,academic  academic,life</t>
  </si>
  <si>
    <t>great,resource  resource,started  started,nodexl  nodexl,posting</t>
  </si>
  <si>
    <t>guys,excellent  excellent,job</t>
  </si>
  <si>
    <t>build,weight  weight,edged  edged,graph  graph,nodexl</t>
  </si>
  <si>
    <t>open,source</t>
  </si>
  <si>
    <t>wondering,filter  filter,tweets  nodexl,ex  ex,results  results,search_query  search_query,23adidas  23adidas,#adidas  #adidas,tweets  tweets,mexico  tweets,country</t>
  </si>
  <si>
    <t>real,mic  mic,moron  moron,tie  tie,huge  huge,absolutely  absolutely,garbage  garbage,glad  glad,teacher  teacher,tie  tie,minutes</t>
  </si>
  <si>
    <t>poor,sound  sound,quality</t>
  </si>
  <si>
    <t>graph,appearing  appearing,right  trying,activate  activate,keeps  keeps,pop  pop,messages  messages,entering  entering,license  license,received  received,email</t>
  </si>
  <si>
    <t>good,moring  moring,insert  insert,image  image,node  image,intoa  intoa,node</t>
  </si>
  <si>
    <t>great,job  job,good  good,sound  sound,quality</t>
  </si>
  <si>
    <t>marc,smith  smith,explains  explains,social  social,network  network,analysis  analysis,chat  chat,social  social,media  media,metrics  metrics,students</t>
  </si>
  <si>
    <t>Top Word Pairs in Comment by Salience</t>
  </si>
  <si>
    <t>2020,duv8mcs  drive,google  data,set  tweets,network  wednesday,01  01,april  april,2020  relationship,tweet  mihkal,indeedsir  indeedsir,isfi</t>
  </si>
  <si>
    <t>edge,list  nodexlgraphgallery,org  org,pages  smrfoundation,org  pages,registration  org,nodexl  nodexl,installation  twitter,api  microsoft,office  format,edge</t>
  </si>
  <si>
    <t>cook,handling  handling,twitter  twitter,data  data,stored  james,cook  cook,cook  cook,replying  replying,data  data,collected  collected,manually</t>
  </si>
  <si>
    <t>dr,james  james,download  download,attributes  attributes,users  users,specific  specific,facebook  facebook,fun  fun,page  page,like  like,hometown</t>
  </si>
  <si>
    <t>cook,like  like,option  option,import  import,replies  tweet,specific  specific,twitter  twitter,account  account,analyze  analyze,replies  replies,coment</t>
  </si>
  <si>
    <t>blog,ibpad  ibpad,blog  há,muito  muito,tempo  infelizmente,não  não,fiz  fiz,continuação  oi,cássio  cássio,tudo  tudo,bem</t>
  </si>
  <si>
    <t>cook,start  start,tom  cook,search  search,computer  computer,try  try,download  download,version  version,customization  customization,installed  cook,open</t>
  </si>
  <si>
    <t>node,xl  sosyal,ağ  ağ,analizi  xl,ile  ile,ağların  ağların,çizimi  çizimi,ve  ve,analizi  drive,google  google,file</t>
  </si>
  <si>
    <t>avkash,inspiring  james,inspiring  dr,james  james,information  information,endeavoured  endeavoured,analysis  analysis,environmental  environmental,network  network,twitter  twitter,results</t>
  </si>
  <si>
    <t>results,search_query  search_query,23love  23love,#love  hashtag,network  james,cook  node,xl  radian,data  data,tweet  tweet,like  like,results</t>
  </si>
  <si>
    <t>node,xl  xl,pro  opinion,consider  consider,betweenness  betweenness,centrality  centrality,consider  consider,criterion  criterion,closeness  closeness,centrality  centrality,degree</t>
  </si>
  <si>
    <t>dynamic,filters  592,vertices  dynamic,filter  faux,vrai  filters,window  dr,cook  cook,sharing  sharing,methods  methods,absolute  absolute,beginner</t>
  </si>
  <si>
    <t>dr,cook  cook,wondering  tweets,region  region,nodexl  avkash,wondering  tweets,country  country,nodexl  wondering,filter  filter,tweets  nodexl,ex</t>
  </si>
  <si>
    <t>image,node  image,intoa  intoa,node  good,moring  moring,insert  insert,image</t>
  </si>
  <si>
    <t>million,best  best,stuff  stuff,earth  million,great  awesome,well  explained,explanation  explanation,simply  simply,great  great,teachers  teachers,hard</t>
  </si>
  <si>
    <t>Count of Published At</t>
  </si>
  <si>
    <t>Row Labels</t>
  </si>
  <si>
    <t>Grand Total</t>
  </si>
  <si>
    <t>2009</t>
  </si>
  <si>
    <t>May</t>
  </si>
  <si>
    <t>14-May</t>
  </si>
  <si>
    <t>2010</t>
  </si>
  <si>
    <t>Aug</t>
  </si>
  <si>
    <t>11-Aug</t>
  </si>
  <si>
    <t>Sep</t>
  </si>
  <si>
    <t>16-Sep</t>
  </si>
  <si>
    <t>2011</t>
  </si>
  <si>
    <t>Feb</t>
  </si>
  <si>
    <t>7-Feb</t>
  </si>
  <si>
    <t>9-Aug</t>
  </si>
  <si>
    <t>19-Aug</t>
  </si>
  <si>
    <t>2012</t>
  </si>
  <si>
    <t>Mar</t>
  </si>
  <si>
    <t>1-Mar</t>
  </si>
  <si>
    <t>Apr</t>
  </si>
  <si>
    <t>5-Apr</t>
  </si>
  <si>
    <t>6-Apr</t>
  </si>
  <si>
    <t>18-Apr</t>
  </si>
  <si>
    <t>Jun</t>
  </si>
  <si>
    <t>11-Jun</t>
  </si>
  <si>
    <t>8-Sep</t>
  </si>
  <si>
    <t>9-Sep</t>
  </si>
  <si>
    <t>23-Sep</t>
  </si>
  <si>
    <t>30-Sep</t>
  </si>
  <si>
    <t>Oct</t>
  </si>
  <si>
    <t>16-Oct</t>
  </si>
  <si>
    <t>Jan</t>
  </si>
  <si>
    <t>19-Jan</t>
  </si>
  <si>
    <t>14-Feb</t>
  </si>
  <si>
    <t>20-Feb</t>
  </si>
  <si>
    <t>17-Mar</t>
  </si>
  <si>
    <t>24-Mar</t>
  </si>
  <si>
    <t>28-Mar</t>
  </si>
  <si>
    <t>8-Apr</t>
  </si>
  <si>
    <t>12-Apr</t>
  </si>
  <si>
    <t>25-Apr</t>
  </si>
  <si>
    <t>23-May</t>
  </si>
  <si>
    <t>24-May</t>
  </si>
  <si>
    <t>15-Aug</t>
  </si>
  <si>
    <t>15-Sep</t>
  </si>
  <si>
    <t>4-Oct</t>
  </si>
  <si>
    <t>14-Oct</t>
  </si>
  <si>
    <t>15-Oct</t>
  </si>
  <si>
    <t>27-Oct</t>
  </si>
  <si>
    <t>31-Oct</t>
  </si>
  <si>
    <t>Nov</t>
  </si>
  <si>
    <t>7-Nov</t>
  </si>
  <si>
    <t>9-Nov</t>
  </si>
  <si>
    <t>22-Nov</t>
  </si>
  <si>
    <t>Dec</t>
  </si>
  <si>
    <t>5-Dec</t>
  </si>
  <si>
    <t>12-Dec</t>
  </si>
  <si>
    <t>2014</t>
  </si>
  <si>
    <t>4-Feb</t>
  </si>
  <si>
    <t>4-Apr</t>
  </si>
  <si>
    <t>7-Apr</t>
  </si>
  <si>
    <t>9-May</t>
  </si>
  <si>
    <t>10-May</t>
  </si>
  <si>
    <t>2-Aug</t>
  </si>
  <si>
    <t>10-Aug</t>
  </si>
  <si>
    <t>21-Aug</t>
  </si>
  <si>
    <t>23-Aug</t>
  </si>
  <si>
    <t>1-Sep</t>
  </si>
  <si>
    <t>7-Sep</t>
  </si>
  <si>
    <t>19-Oct</t>
  </si>
  <si>
    <t>3-Dec</t>
  </si>
  <si>
    <t>4-Dec</t>
  </si>
  <si>
    <t>8-Dec</t>
  </si>
  <si>
    <t>2015</t>
  </si>
  <si>
    <t>4-Jan</t>
  </si>
  <si>
    <t>2-Feb</t>
  </si>
  <si>
    <t>19-Feb</t>
  </si>
  <si>
    <t>5-Mar</t>
  </si>
  <si>
    <t>19-Mar</t>
  </si>
  <si>
    <t>2-Apr</t>
  </si>
  <si>
    <t>20-Apr</t>
  </si>
  <si>
    <t>2-May</t>
  </si>
  <si>
    <t>7-May</t>
  </si>
  <si>
    <t>8-May</t>
  </si>
  <si>
    <t>11-May</t>
  </si>
  <si>
    <t>13-May</t>
  </si>
  <si>
    <t>31-May</t>
  </si>
  <si>
    <t>17-Jun</t>
  </si>
  <si>
    <t>18-Jun</t>
  </si>
  <si>
    <t>19-Jun</t>
  </si>
  <si>
    <t>Jul</t>
  </si>
  <si>
    <t>27-Jul</t>
  </si>
  <si>
    <t>28-Jul</t>
  </si>
  <si>
    <t>1-Aug</t>
  </si>
  <si>
    <t>27-Aug</t>
  </si>
  <si>
    <t>3-Sep</t>
  </si>
  <si>
    <t>14-Sep</t>
  </si>
  <si>
    <t>17-Sep</t>
  </si>
  <si>
    <t>3-Oct</t>
  </si>
  <si>
    <t>9-Oct</t>
  </si>
  <si>
    <t>11-Oct</t>
  </si>
  <si>
    <t>17-Oct</t>
  </si>
  <si>
    <t>20-Oct</t>
  </si>
  <si>
    <t>10-Nov</t>
  </si>
  <si>
    <t>14-Nov</t>
  </si>
  <si>
    <t>17-Nov</t>
  </si>
  <si>
    <t>30-Dec</t>
  </si>
  <si>
    <t>2016</t>
  </si>
  <si>
    <t>13-Jan</t>
  </si>
  <si>
    <t>18-Feb</t>
  </si>
  <si>
    <t>23-Feb</t>
  </si>
  <si>
    <t>25-Feb</t>
  </si>
  <si>
    <t>12-Mar</t>
  </si>
  <si>
    <t>23-Mar</t>
  </si>
  <si>
    <t>3-May</t>
  </si>
  <si>
    <t>4-May</t>
  </si>
  <si>
    <t>12-May</t>
  </si>
  <si>
    <t>28-May</t>
  </si>
  <si>
    <t>21-Jun</t>
  </si>
  <si>
    <t>4-Jul</t>
  </si>
  <si>
    <t>5-Jul</t>
  </si>
  <si>
    <t>6-Jul</t>
  </si>
  <si>
    <t>26-Jul</t>
  </si>
  <si>
    <t>3-Aug</t>
  </si>
  <si>
    <t>8-Aug</t>
  </si>
  <si>
    <t>17-Aug</t>
  </si>
  <si>
    <t>30-Aug</t>
  </si>
  <si>
    <t>31-Aug</t>
  </si>
  <si>
    <t>13-Oct</t>
  </si>
  <si>
    <t>6-Dec</t>
  </si>
  <si>
    <t>2017</t>
  </si>
  <si>
    <t>6-Jan</t>
  </si>
  <si>
    <t>7-Jan</t>
  </si>
  <si>
    <t>27-Jan</t>
  </si>
  <si>
    <t>12-Feb</t>
  </si>
  <si>
    <t>2-Mar</t>
  </si>
  <si>
    <t>24-Apr</t>
  </si>
  <si>
    <t>25-May</t>
  </si>
  <si>
    <t>12-Jun</t>
  </si>
  <si>
    <t>30-Jun</t>
  </si>
  <si>
    <t>2-Jul</t>
  </si>
  <si>
    <t>19-Jul</t>
  </si>
  <si>
    <t>29-Jul</t>
  </si>
  <si>
    <t>4-Sep</t>
  </si>
  <si>
    <t>20-Sep</t>
  </si>
  <si>
    <t>27-Sep</t>
  </si>
  <si>
    <t>2-Nov</t>
  </si>
  <si>
    <t>1-Dec</t>
  </si>
  <si>
    <t>2018</t>
  </si>
  <si>
    <t>25-Jan</t>
  </si>
  <si>
    <t>1-Feb</t>
  </si>
  <si>
    <t>9-Feb</t>
  </si>
  <si>
    <t>17-Feb</t>
  </si>
  <si>
    <t>27-Feb</t>
  </si>
  <si>
    <t>22-Mar</t>
  </si>
  <si>
    <t>26-Mar</t>
  </si>
  <si>
    <t>27-Mar</t>
  </si>
  <si>
    <t>10-Apr</t>
  </si>
  <si>
    <t>26-Apr</t>
  </si>
  <si>
    <t>6-May</t>
  </si>
  <si>
    <t>1-Jul</t>
  </si>
  <si>
    <t>8-Jul</t>
  </si>
  <si>
    <t>12-Aug</t>
  </si>
  <si>
    <t>29-Nov</t>
  </si>
  <si>
    <t>1-Jan</t>
  </si>
  <si>
    <t>2-Jan</t>
  </si>
  <si>
    <t>3-Jan</t>
  </si>
  <si>
    <t>12-Jan</t>
  </si>
  <si>
    <t>20-Jan</t>
  </si>
  <si>
    <t>22-Jan</t>
  </si>
  <si>
    <t>11-Mar</t>
  </si>
  <si>
    <t>14-Mar</t>
  </si>
  <si>
    <t>9-Apr</t>
  </si>
  <si>
    <t>13-Apr</t>
  </si>
  <si>
    <t>21-Apr</t>
  </si>
  <si>
    <t>15-May</t>
  </si>
  <si>
    <t>17-Jul</t>
  </si>
  <si>
    <t>30-Jul</t>
  </si>
  <si>
    <t>16-Aug</t>
  </si>
  <si>
    <t>22-Aug</t>
  </si>
  <si>
    <t>12-Oct</t>
  </si>
  <si>
    <t>21-Oct</t>
  </si>
  <si>
    <t>26-Oct</t>
  </si>
  <si>
    <t>30-Nov</t>
  </si>
  <si>
    <t>17-Jan</t>
  </si>
  <si>
    <t>28-Feb</t>
  </si>
  <si>
    <t>3-Mar</t>
  </si>
  <si>
    <t>7-Mar</t>
  </si>
  <si>
    <t>13-Mar</t>
  </si>
  <si>
    <t>3-Apr</t>
  </si>
  <si>
    <t>14-Apr</t>
  </si>
  <si>
    <t>16-May</t>
  </si>
  <si>
    <t>20-May</t>
  </si>
  <si>
    <t>30-May</t>
  </si>
  <si>
    <t>3-Jun</t>
  </si>
  <si>
    <t>13-Jul</t>
  </si>
  <si>
    <t>14-Jul</t>
  </si>
  <si>
    <t>3-Nov</t>
  </si>
  <si>
    <t>18-Nov</t>
  </si>
  <si>
    <t>20-Nov</t>
  </si>
  <si>
    <t>21-Dec</t>
  </si>
  <si>
    <t>2021</t>
  </si>
  <si>
    <t>11-Jan</t>
  </si>
  <si>
    <t>14-Jan</t>
  </si>
  <si>
    <t>26-Jan</t>
  </si>
  <si>
    <t>24-Feb</t>
  </si>
  <si>
    <t>4-Mar</t>
  </si>
  <si>
    <t>27-May</t>
  </si>
  <si>
    <t>22-Jul</t>
  </si>
  <si>
    <t>6-Aug</t>
  </si>
  <si>
    <t>5-Oct</t>
  </si>
  <si>
    <t>6-Oct</t>
  </si>
  <si>
    <t>8-Nov</t>
  </si>
  <si>
    <t>21-Nov</t>
  </si>
  <si>
    <t>2022</t>
  </si>
  <si>
    <t>29-Mar</t>
  </si>
  <si>
    <t>11-Apr</t>
  </si>
  <si>
    <t>19-Apr</t>
  </si>
  <si>
    <t>19-May</t>
  </si>
  <si>
    <t>128, 128, 128</t>
  </si>
  <si>
    <t>135, 121, 121</t>
  </si>
  <si>
    <t>144, 112, 112</t>
  </si>
  <si>
    <t>151, 105, 105</t>
  </si>
  <si>
    <t>167, 89, 89</t>
  </si>
  <si>
    <t>177, 79, 79</t>
  </si>
  <si>
    <t>161, 95, 95</t>
  </si>
  <si>
    <t>193, 62, 62</t>
  </si>
  <si>
    <t>Red</t>
  </si>
  <si>
    <t>G1: nodexl twitter data network james cook tweets like work graph</t>
  </si>
  <si>
    <t>G2: social</t>
  </si>
  <si>
    <t>G3: results search_query nodexl tweets 23savebabakansiliwangi #savebabakansiliwangi graph network vertices lot</t>
  </si>
  <si>
    <t>G4: great million facebook content awesome well explained grade nodexl explanation</t>
  </si>
  <si>
    <t>G5: ve bir çok analizi merhaba ile nasıl node xl hocam</t>
  </si>
  <si>
    <t>G6: nodexl data download tick location gallery powermap edges 3d map</t>
  </si>
  <si>
    <t>G7: vertices dynamic nodexl worksheet understand filter filters helpful help metrics</t>
  </si>
  <si>
    <t>G8: estou nodexl muito possível não oi continuação max eu dados</t>
  </si>
  <si>
    <t>G9: download attributes specific collumns empty location help users facebook fun</t>
  </si>
  <si>
    <t>G10: nodexl codeplex archive tab download kindly share</t>
  </si>
  <si>
    <t>G11: vertices names gephi tutorial post</t>
  </si>
  <si>
    <t>G12: او من</t>
  </si>
  <si>
    <t>G13: kak</t>
  </si>
  <si>
    <t>G15: link</t>
  </si>
  <si>
    <t>G16: slides</t>
  </si>
  <si>
    <t>G17: data tweets dataset twitter google drive gephi graph network file</t>
  </si>
  <si>
    <t>G18: james cook windows 10</t>
  </si>
  <si>
    <t>G20: cái lỗi</t>
  </si>
  <si>
    <t>G21: amazon stripbooks rh 3a6740748011 2cp_lbr_books_authors_browse 3atulio kahn desc rank qid</t>
  </si>
  <si>
    <t>G22: twitter user updates connectedaction nodexl list importer</t>
  </si>
  <si>
    <t>Edge Weight▓1▓17▓0▓True▓Gray▓Red▓▓Edge Weight▓1▓6▓0▓3▓10▓False▓Edge Weight▓1▓6▓0▓40▓15▓False▓▓0▓0▓0▓True▓Black▓Black▓▓Betweenness Centrality▓0▓1044▓3▓150▓1000▓False▓▓0▓0▓0▓0▓0▓False▓▓0▓0▓0▓0▓0▓False▓▓0▓0▓0▓0▓0▓False</t>
  </si>
  <si>
    <t>GraphSource░YouTubeUser▓GraphTerm░NodeXL▓ImportDescription░The graph represents the network of YouTube videos whose title, keywords, description, categories, or author's username contain "NodeXL".  The network was obtained from YouTube on Wednesday, 29 June 2022 at 14:37 UTC.
The network was limited to 100 videos.
There is an edge for each user who comented an a video.  There is an edge for each user who replied to a comment.▓ImportSuggestedTitle░YouTube Users NodeXL▓ImportSuggestedFileNameNoExtension░2022-06-29 14-36-57 NodeXL YouTube Users NodeXL▓GroupingDescription░The graph's vertices were grouped by cluster using the Clauset-Newman-Moore cluster algorithm.▓LayoutAlgorithm░The graph was laid out using the Harel-Koren Fast Multiscale layout algorithm.▓GraphDirectedness░The graph is directed.</t>
  </si>
  <si>
    <t>YouTubeUser</t>
  </si>
  <si>
    <t>The graph represents the network of YouTube videos whose title, keywords, description, categories, or author's username contain "NodeXL".  The network was obtained from YouTube on Wednesday, 29 June 2022 at 14:37 UTC.
The network was limited to 100 videos.
There is an edge for each user who comented an a video.  There is an edge for each user who replied to a comment.</t>
  </si>
  <si>
    <t>The graph was laid out using the Harel-Koren Fast Multiscale layout algorithm.</t>
  </si>
  <si>
    <t>The graph's vertices were grouped by cluster using the Clauset-Newman-Moore cluster algorithm.</t>
  </si>
  <si>
    <t>https://nodexlgraphgallery.org/Pages/Graph.aspx?graphID=278774</t>
  </si>
  <si>
    <t>https://nodexlgraphgallery.org/Images/Image.ashx?graphID=278774&amp;type=f</t>
  </si>
  <si>
    <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</si>
</sst>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0" fontId="0" fillId="0" borderId="0" xfId="0" quotePrefix="1"/>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22" fontId="0" fillId="0" borderId="0" xfId="0" applyNumberFormat="1" applyAlignment="1">
      <alignment/>
    </xf>
    <xf numFmtId="22"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1" fontId="0" fillId="4" borderId="1" xfId="24" applyNumberFormat="1" applyAlignment="1" quotePrefix="1">
      <alignment/>
    </xf>
    <xf numFmtId="167" fontId="0" fillId="4" borderId="1" xfId="24"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33">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2"/>
      <tableStyleElement type="headerRow" dxfId="331"/>
    </tableStyle>
    <tableStyle name="NodeXL Table" pivot="0" count="1">
      <tableStyleElement type="headerRow" dxfId="33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7617482"/>
        <c:axId val="3013019"/>
      </c:barChart>
      <c:catAx>
        <c:axId val="3761748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13019"/>
        <c:crosses val="autoZero"/>
        <c:auto val="1"/>
        <c:lblOffset val="100"/>
        <c:noMultiLvlLbl val="0"/>
      </c:catAx>
      <c:valAx>
        <c:axId val="30130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174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NodeXL from NodeXL YouTube User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Series'!$A$26:$A$431</c:f>
              <c:strCache>
                <c:ptCount val="283"/>
                <c:pt idx="0">
                  <c:v>14-May
May
2009</c:v>
                </c:pt>
                <c:pt idx="1">
                  <c:v>11-Aug
Aug
2010</c:v>
                </c:pt>
                <c:pt idx="2">
                  <c:v>16-Sep
Sep</c:v>
                </c:pt>
                <c:pt idx="3">
                  <c:v>7-Feb
Feb
2011</c:v>
                </c:pt>
                <c:pt idx="4">
                  <c:v>9-Aug
Aug</c:v>
                </c:pt>
                <c:pt idx="5">
                  <c:v>19-Aug</c:v>
                </c:pt>
                <c:pt idx="6">
                  <c:v>1-Mar
Mar
2012</c:v>
                </c:pt>
                <c:pt idx="7">
                  <c:v>5-Apr
Apr</c:v>
                </c:pt>
                <c:pt idx="8">
                  <c:v>6-Apr</c:v>
                </c:pt>
                <c:pt idx="9">
                  <c:v>18-Apr</c:v>
                </c:pt>
                <c:pt idx="10">
                  <c:v>11-Jun
Jun</c:v>
                </c:pt>
                <c:pt idx="11">
                  <c:v>8-Sep
Sep</c:v>
                </c:pt>
                <c:pt idx="12">
                  <c:v>9-Sep</c:v>
                </c:pt>
                <c:pt idx="13">
                  <c:v>23-Sep</c:v>
                </c:pt>
                <c:pt idx="14">
                  <c:v>30-Sep</c:v>
                </c:pt>
                <c:pt idx="15">
                  <c:v>16-Oct
Oct</c:v>
                </c:pt>
                <c:pt idx="16">
                  <c:v>19-Jan
Jan
2013</c:v>
                </c:pt>
                <c:pt idx="17">
                  <c:v>14-Feb
Feb</c:v>
                </c:pt>
                <c:pt idx="18">
                  <c:v>20-Feb</c:v>
                </c:pt>
                <c:pt idx="19">
                  <c:v>17-Mar
Mar</c:v>
                </c:pt>
                <c:pt idx="20">
                  <c:v>24-Mar</c:v>
                </c:pt>
                <c:pt idx="21">
                  <c:v>28-Mar</c:v>
                </c:pt>
                <c:pt idx="22">
                  <c:v>8-Apr
Apr</c:v>
                </c:pt>
                <c:pt idx="23">
                  <c:v>12-Apr</c:v>
                </c:pt>
                <c:pt idx="24">
                  <c:v>25-Apr</c:v>
                </c:pt>
                <c:pt idx="25">
                  <c:v>23-May
May</c:v>
                </c:pt>
                <c:pt idx="26">
                  <c:v>24-May</c:v>
                </c:pt>
                <c:pt idx="27">
                  <c:v>15-Aug
Aug</c:v>
                </c:pt>
                <c:pt idx="28">
                  <c:v>15-Sep
Sep</c:v>
                </c:pt>
                <c:pt idx="29">
                  <c:v>23-Sep</c:v>
                </c:pt>
                <c:pt idx="30">
                  <c:v>4-Oct
Oct</c:v>
                </c:pt>
                <c:pt idx="31">
                  <c:v>14-Oct</c:v>
                </c:pt>
                <c:pt idx="32">
                  <c:v>15-Oct</c:v>
                </c:pt>
                <c:pt idx="33">
                  <c:v>27-Oct</c:v>
                </c:pt>
                <c:pt idx="34">
                  <c:v>31-Oct</c:v>
                </c:pt>
                <c:pt idx="35">
                  <c:v>7-Nov
Nov</c:v>
                </c:pt>
                <c:pt idx="36">
                  <c:v>9-Nov</c:v>
                </c:pt>
                <c:pt idx="37">
                  <c:v>22-Nov</c:v>
                </c:pt>
                <c:pt idx="38">
                  <c:v>5-Dec
Dec</c:v>
                </c:pt>
                <c:pt idx="39">
                  <c:v>12-Dec</c:v>
                </c:pt>
                <c:pt idx="40">
                  <c:v>19-Jan
Jan
2014</c:v>
                </c:pt>
                <c:pt idx="41">
                  <c:v>4-Feb
Feb</c:v>
                </c:pt>
                <c:pt idx="42">
                  <c:v>4-Apr
Apr</c:v>
                </c:pt>
                <c:pt idx="43">
                  <c:v>6-Apr</c:v>
                </c:pt>
                <c:pt idx="44">
                  <c:v>7-Apr</c:v>
                </c:pt>
                <c:pt idx="45">
                  <c:v>9-May
May</c:v>
                </c:pt>
                <c:pt idx="46">
                  <c:v>10-May</c:v>
                </c:pt>
                <c:pt idx="47">
                  <c:v>14-May</c:v>
                </c:pt>
                <c:pt idx="48">
                  <c:v>11-Jun
Jun</c:v>
                </c:pt>
                <c:pt idx="49">
                  <c:v>2-Aug
Aug</c:v>
                </c:pt>
                <c:pt idx="50">
                  <c:v>10-Aug</c:v>
                </c:pt>
                <c:pt idx="51">
                  <c:v>21-Aug</c:v>
                </c:pt>
                <c:pt idx="52">
                  <c:v>23-Aug</c:v>
                </c:pt>
                <c:pt idx="53">
                  <c:v>1-Sep
Sep</c:v>
                </c:pt>
                <c:pt idx="54">
                  <c:v>7-Sep</c:v>
                </c:pt>
                <c:pt idx="55">
                  <c:v>19-Oct
Oct</c:v>
                </c:pt>
                <c:pt idx="56">
                  <c:v>3-Dec
Dec</c:v>
                </c:pt>
                <c:pt idx="57">
                  <c:v>4-Dec</c:v>
                </c:pt>
                <c:pt idx="58">
                  <c:v>8-Dec</c:v>
                </c:pt>
                <c:pt idx="59">
                  <c:v>4-Jan
Jan
2015</c:v>
                </c:pt>
                <c:pt idx="60">
                  <c:v>2-Feb
Feb</c:v>
                </c:pt>
                <c:pt idx="61">
                  <c:v>4-Feb</c:v>
                </c:pt>
                <c:pt idx="62">
                  <c:v>7-Feb</c:v>
                </c:pt>
                <c:pt idx="63">
                  <c:v>14-Feb</c:v>
                </c:pt>
                <c:pt idx="64">
                  <c:v>19-Feb</c:v>
                </c:pt>
                <c:pt idx="65">
                  <c:v>5-Mar
Mar</c:v>
                </c:pt>
                <c:pt idx="66">
                  <c:v>17-Mar</c:v>
                </c:pt>
                <c:pt idx="67">
                  <c:v>19-Mar</c:v>
                </c:pt>
                <c:pt idx="68">
                  <c:v>2-Apr
Apr</c:v>
                </c:pt>
                <c:pt idx="69">
                  <c:v>8-Apr</c:v>
                </c:pt>
                <c:pt idx="70">
                  <c:v>20-Apr</c:v>
                </c:pt>
                <c:pt idx="71">
                  <c:v>2-May
May</c:v>
                </c:pt>
                <c:pt idx="72">
                  <c:v>7-May</c:v>
                </c:pt>
                <c:pt idx="73">
                  <c:v>8-May</c:v>
                </c:pt>
                <c:pt idx="74">
                  <c:v>11-May</c:v>
                </c:pt>
                <c:pt idx="75">
                  <c:v>13-May</c:v>
                </c:pt>
                <c:pt idx="76">
                  <c:v>31-May</c:v>
                </c:pt>
                <c:pt idx="77">
                  <c:v>17-Jun
Jun</c:v>
                </c:pt>
                <c:pt idx="78">
                  <c:v>18-Jun</c:v>
                </c:pt>
                <c:pt idx="79">
                  <c:v>19-Jun</c:v>
                </c:pt>
                <c:pt idx="80">
                  <c:v>27-Jul
Jul</c:v>
                </c:pt>
                <c:pt idx="81">
                  <c:v>28-Jul</c:v>
                </c:pt>
                <c:pt idx="82">
                  <c:v>1-Aug
Aug</c:v>
                </c:pt>
                <c:pt idx="83">
                  <c:v>11-Aug</c:v>
                </c:pt>
                <c:pt idx="84">
                  <c:v>27-Aug</c:v>
                </c:pt>
                <c:pt idx="85">
                  <c:v>1-Sep
Sep</c:v>
                </c:pt>
                <c:pt idx="86">
                  <c:v>3-Sep</c:v>
                </c:pt>
                <c:pt idx="87">
                  <c:v>14-Sep</c:v>
                </c:pt>
                <c:pt idx="88">
                  <c:v>17-Sep</c:v>
                </c:pt>
                <c:pt idx="89">
                  <c:v>3-Oct
Oct</c:v>
                </c:pt>
                <c:pt idx="90">
                  <c:v>9-Oct</c:v>
                </c:pt>
                <c:pt idx="91">
                  <c:v>11-Oct</c:v>
                </c:pt>
                <c:pt idx="92">
                  <c:v>17-Oct</c:v>
                </c:pt>
                <c:pt idx="93">
                  <c:v>20-Oct</c:v>
                </c:pt>
                <c:pt idx="94">
                  <c:v>10-Nov
Nov</c:v>
                </c:pt>
                <c:pt idx="95">
                  <c:v>14-Nov</c:v>
                </c:pt>
                <c:pt idx="96">
                  <c:v>17-Nov</c:v>
                </c:pt>
                <c:pt idx="97">
                  <c:v>3-Dec
Dec</c:v>
                </c:pt>
                <c:pt idx="98">
                  <c:v>12-Dec</c:v>
                </c:pt>
                <c:pt idx="99">
                  <c:v>30-Dec</c:v>
                </c:pt>
                <c:pt idx="100">
                  <c:v>13-Jan
Jan
2016</c:v>
                </c:pt>
                <c:pt idx="101">
                  <c:v>18-Feb
Feb</c:v>
                </c:pt>
                <c:pt idx="102">
                  <c:v>23-Feb</c:v>
                </c:pt>
                <c:pt idx="103">
                  <c:v>25-Feb</c:v>
                </c:pt>
                <c:pt idx="104">
                  <c:v>1-Mar
Mar</c:v>
                </c:pt>
                <c:pt idx="105">
                  <c:v>5-Mar</c:v>
                </c:pt>
                <c:pt idx="106">
                  <c:v>12-Mar</c:v>
                </c:pt>
                <c:pt idx="107">
                  <c:v>19-Mar</c:v>
                </c:pt>
                <c:pt idx="108">
                  <c:v>23-Mar</c:v>
                </c:pt>
                <c:pt idx="109">
                  <c:v>3-May
May</c:v>
                </c:pt>
                <c:pt idx="110">
                  <c:v>4-May</c:v>
                </c:pt>
                <c:pt idx="111">
                  <c:v>9-May</c:v>
                </c:pt>
                <c:pt idx="112">
                  <c:v>10-May</c:v>
                </c:pt>
                <c:pt idx="113">
                  <c:v>11-May</c:v>
                </c:pt>
                <c:pt idx="114">
                  <c:v>12-May</c:v>
                </c:pt>
                <c:pt idx="115">
                  <c:v>23-May</c:v>
                </c:pt>
                <c:pt idx="116">
                  <c:v>28-May</c:v>
                </c:pt>
                <c:pt idx="117">
                  <c:v>31-May</c:v>
                </c:pt>
                <c:pt idx="118">
                  <c:v>21-Jun
Jun</c:v>
                </c:pt>
                <c:pt idx="119">
                  <c:v>4-Jul
Jul</c:v>
                </c:pt>
                <c:pt idx="120">
                  <c:v>5-Jul</c:v>
                </c:pt>
                <c:pt idx="121">
                  <c:v>6-Jul</c:v>
                </c:pt>
                <c:pt idx="122">
                  <c:v>26-Jul</c:v>
                </c:pt>
                <c:pt idx="123">
                  <c:v>3-Aug
Aug</c:v>
                </c:pt>
                <c:pt idx="124">
                  <c:v>8-Aug</c:v>
                </c:pt>
                <c:pt idx="125">
                  <c:v>11-Aug</c:v>
                </c:pt>
                <c:pt idx="126">
                  <c:v>17-Aug</c:v>
                </c:pt>
                <c:pt idx="127">
                  <c:v>30-Aug</c:v>
                </c:pt>
                <c:pt idx="128">
                  <c:v>31-Aug</c:v>
                </c:pt>
                <c:pt idx="129">
                  <c:v>7-Sep
Sep</c:v>
                </c:pt>
                <c:pt idx="130">
                  <c:v>14-Sep</c:v>
                </c:pt>
                <c:pt idx="131">
                  <c:v>13-Oct
Oct</c:v>
                </c:pt>
                <c:pt idx="132">
                  <c:v>14-Oct</c:v>
                </c:pt>
                <c:pt idx="133">
                  <c:v>15-Oct</c:v>
                </c:pt>
                <c:pt idx="134">
                  <c:v>22-Nov
Nov</c:v>
                </c:pt>
                <c:pt idx="135">
                  <c:v>6-Dec
Dec</c:v>
                </c:pt>
                <c:pt idx="136">
                  <c:v>6-Jan
Jan
2017</c:v>
                </c:pt>
                <c:pt idx="137">
                  <c:v>7-Jan</c:v>
                </c:pt>
                <c:pt idx="138">
                  <c:v>19-Jan</c:v>
                </c:pt>
                <c:pt idx="139">
                  <c:v>27-Jan</c:v>
                </c:pt>
                <c:pt idx="140">
                  <c:v>12-Feb
Feb</c:v>
                </c:pt>
                <c:pt idx="141">
                  <c:v>18-Feb</c:v>
                </c:pt>
                <c:pt idx="142">
                  <c:v>20-Feb</c:v>
                </c:pt>
                <c:pt idx="143">
                  <c:v>2-Mar
Mar</c:v>
                </c:pt>
                <c:pt idx="144">
                  <c:v>24-Apr
Apr</c:v>
                </c:pt>
                <c:pt idx="145">
                  <c:v>25-May
May</c:v>
                </c:pt>
                <c:pt idx="146">
                  <c:v>11-Jun
Jun</c:v>
                </c:pt>
                <c:pt idx="147">
                  <c:v>12-Jun</c:v>
                </c:pt>
                <c:pt idx="148">
                  <c:v>19-Jun</c:v>
                </c:pt>
                <c:pt idx="149">
                  <c:v>30-Jun</c:v>
                </c:pt>
                <c:pt idx="150">
                  <c:v>2-Jul
Jul</c:v>
                </c:pt>
                <c:pt idx="151">
                  <c:v>6-Jul</c:v>
                </c:pt>
                <c:pt idx="152">
                  <c:v>19-Jul</c:v>
                </c:pt>
                <c:pt idx="153">
                  <c:v>29-Jul</c:v>
                </c:pt>
                <c:pt idx="154">
                  <c:v>4-Sep
Sep</c:v>
                </c:pt>
                <c:pt idx="155">
                  <c:v>7-Sep</c:v>
                </c:pt>
                <c:pt idx="156">
                  <c:v>20-Sep</c:v>
                </c:pt>
                <c:pt idx="157">
                  <c:v>27-Sep</c:v>
                </c:pt>
                <c:pt idx="158">
                  <c:v>19-Oct
Oct</c:v>
                </c:pt>
                <c:pt idx="159">
                  <c:v>2-Nov
Nov</c:v>
                </c:pt>
                <c:pt idx="160">
                  <c:v>22-Nov</c:v>
                </c:pt>
                <c:pt idx="161">
                  <c:v>1-Dec
Dec</c:v>
                </c:pt>
                <c:pt idx="162">
                  <c:v>25-Jan
Jan
2018</c:v>
                </c:pt>
                <c:pt idx="163">
                  <c:v>1-Feb
Feb</c:v>
                </c:pt>
                <c:pt idx="164">
                  <c:v>9-Feb</c:v>
                </c:pt>
                <c:pt idx="165">
                  <c:v>17-Feb</c:v>
                </c:pt>
                <c:pt idx="166">
                  <c:v>20-Feb</c:v>
                </c:pt>
                <c:pt idx="167">
                  <c:v>27-Feb</c:v>
                </c:pt>
                <c:pt idx="168">
                  <c:v>22-Mar
Mar</c:v>
                </c:pt>
                <c:pt idx="169">
                  <c:v>23-Mar</c:v>
                </c:pt>
                <c:pt idx="170">
                  <c:v>26-Mar</c:v>
                </c:pt>
                <c:pt idx="171">
                  <c:v>27-Mar</c:v>
                </c:pt>
                <c:pt idx="172">
                  <c:v>28-Mar</c:v>
                </c:pt>
                <c:pt idx="173">
                  <c:v>10-Apr
Apr</c:v>
                </c:pt>
                <c:pt idx="174">
                  <c:v>26-Apr</c:v>
                </c:pt>
                <c:pt idx="175">
                  <c:v>6-May
May</c:v>
                </c:pt>
                <c:pt idx="176">
                  <c:v>21-Jun
Jun</c:v>
                </c:pt>
                <c:pt idx="177">
                  <c:v>1-Jul
Jul</c:v>
                </c:pt>
                <c:pt idx="178">
                  <c:v>8-Jul</c:v>
                </c:pt>
                <c:pt idx="179">
                  <c:v>12-Aug
Aug</c:v>
                </c:pt>
                <c:pt idx="180">
                  <c:v>16-Oct
Oct</c:v>
                </c:pt>
                <c:pt idx="181">
                  <c:v>29-Nov
Nov</c:v>
                </c:pt>
                <c:pt idx="182">
                  <c:v>3-Dec
Dec</c:v>
                </c:pt>
                <c:pt idx="183">
                  <c:v>1-Jan
Jan
2019</c:v>
                </c:pt>
                <c:pt idx="184">
                  <c:v>2-Jan</c:v>
                </c:pt>
                <c:pt idx="185">
                  <c:v>3-Jan</c:v>
                </c:pt>
                <c:pt idx="186">
                  <c:v>12-Jan</c:v>
                </c:pt>
                <c:pt idx="187">
                  <c:v>13-Jan</c:v>
                </c:pt>
                <c:pt idx="188">
                  <c:v>19-Jan</c:v>
                </c:pt>
                <c:pt idx="189">
                  <c:v>20-Jan</c:v>
                </c:pt>
                <c:pt idx="190">
                  <c:v>22-Jan</c:v>
                </c:pt>
                <c:pt idx="191">
                  <c:v>1-Feb
Feb</c:v>
                </c:pt>
                <c:pt idx="192">
                  <c:v>11-Mar
Mar</c:v>
                </c:pt>
                <c:pt idx="193">
                  <c:v>12-Mar</c:v>
                </c:pt>
                <c:pt idx="194">
                  <c:v>14-Mar</c:v>
                </c:pt>
                <c:pt idx="195">
                  <c:v>9-Apr
Apr</c:v>
                </c:pt>
                <c:pt idx="196">
                  <c:v>13-Apr</c:v>
                </c:pt>
                <c:pt idx="197">
                  <c:v>21-Apr</c:v>
                </c:pt>
                <c:pt idx="198">
                  <c:v>8-May
May</c:v>
                </c:pt>
                <c:pt idx="199">
                  <c:v>15-May</c:v>
                </c:pt>
                <c:pt idx="200">
                  <c:v>24-May</c:v>
                </c:pt>
                <c:pt idx="201">
                  <c:v>17-Jul
Jul</c:v>
                </c:pt>
                <c:pt idx="202">
                  <c:v>30-Jul</c:v>
                </c:pt>
                <c:pt idx="203">
                  <c:v>1-Aug
Aug</c:v>
                </c:pt>
                <c:pt idx="204">
                  <c:v>16-Aug</c:v>
                </c:pt>
                <c:pt idx="205">
                  <c:v>22-Aug</c:v>
                </c:pt>
                <c:pt idx="206">
                  <c:v>12-Oct
Oct</c:v>
                </c:pt>
                <c:pt idx="207">
                  <c:v>21-Oct</c:v>
                </c:pt>
                <c:pt idx="208">
                  <c:v>26-Oct</c:v>
                </c:pt>
                <c:pt idx="209">
                  <c:v>27-Oct</c:v>
                </c:pt>
                <c:pt idx="210">
                  <c:v>30-Nov
Nov</c:v>
                </c:pt>
                <c:pt idx="211">
                  <c:v>17-Jan
Jan
2020</c:v>
                </c:pt>
                <c:pt idx="212">
                  <c:v>28-Feb
Feb</c:v>
                </c:pt>
                <c:pt idx="213">
                  <c:v>3-Mar
Mar</c:v>
                </c:pt>
                <c:pt idx="214">
                  <c:v>7-Mar</c:v>
                </c:pt>
                <c:pt idx="215">
                  <c:v>12-Mar</c:v>
                </c:pt>
                <c:pt idx="216">
                  <c:v>13-Mar</c:v>
                </c:pt>
                <c:pt idx="217">
                  <c:v>2-Apr
Apr</c:v>
                </c:pt>
                <c:pt idx="218">
                  <c:v>3-Apr</c:v>
                </c:pt>
                <c:pt idx="219">
                  <c:v>14-Apr</c:v>
                </c:pt>
                <c:pt idx="220">
                  <c:v>24-Apr</c:v>
                </c:pt>
                <c:pt idx="221">
                  <c:v>16-May
May</c:v>
                </c:pt>
                <c:pt idx="222">
                  <c:v>20-May</c:v>
                </c:pt>
                <c:pt idx="223">
                  <c:v>30-May</c:v>
                </c:pt>
                <c:pt idx="224">
                  <c:v>3-Jun
Jun</c:v>
                </c:pt>
                <c:pt idx="225">
                  <c:v>1-Jul
Jul</c:v>
                </c:pt>
                <c:pt idx="226">
                  <c:v>13-Jul</c:v>
                </c:pt>
                <c:pt idx="227">
                  <c:v>14-Jul</c:v>
                </c:pt>
                <c:pt idx="228">
                  <c:v>28-Jul</c:v>
                </c:pt>
                <c:pt idx="229">
                  <c:v>4-Oct
Oct</c:v>
                </c:pt>
                <c:pt idx="230">
                  <c:v>3-Nov
Nov</c:v>
                </c:pt>
                <c:pt idx="231">
                  <c:v>17-Nov</c:v>
                </c:pt>
                <c:pt idx="232">
                  <c:v>18-Nov</c:v>
                </c:pt>
                <c:pt idx="233">
                  <c:v>20-Nov</c:v>
                </c:pt>
                <c:pt idx="234">
                  <c:v>3-Dec
Dec</c:v>
                </c:pt>
                <c:pt idx="235">
                  <c:v>21-Dec</c:v>
                </c:pt>
                <c:pt idx="236">
                  <c:v>4-Jan
Jan
2021</c:v>
                </c:pt>
                <c:pt idx="237">
                  <c:v>11-Jan</c:v>
                </c:pt>
                <c:pt idx="238">
                  <c:v>14-Jan</c:v>
                </c:pt>
                <c:pt idx="239">
                  <c:v>26-Jan</c:v>
                </c:pt>
                <c:pt idx="240">
                  <c:v>7-Feb
Feb</c:v>
                </c:pt>
                <c:pt idx="241">
                  <c:v>9-Feb</c:v>
                </c:pt>
                <c:pt idx="242">
                  <c:v>24-Feb</c:v>
                </c:pt>
                <c:pt idx="243">
                  <c:v>4-Mar
Mar</c:v>
                </c:pt>
                <c:pt idx="244">
                  <c:v>7-Mar</c:v>
                </c:pt>
                <c:pt idx="245">
                  <c:v>13-Apr
Apr</c:v>
                </c:pt>
                <c:pt idx="246">
                  <c:v>25-Apr</c:v>
                </c:pt>
                <c:pt idx="247">
                  <c:v>4-May
May</c:v>
                </c:pt>
                <c:pt idx="248">
                  <c:v>6-May</c:v>
                </c:pt>
                <c:pt idx="249">
                  <c:v>7-May</c:v>
                </c:pt>
                <c:pt idx="250">
                  <c:v>12-May</c:v>
                </c:pt>
                <c:pt idx="251">
                  <c:v>27-May</c:v>
                </c:pt>
                <c:pt idx="252">
                  <c:v>31-May</c:v>
                </c:pt>
                <c:pt idx="253">
                  <c:v>22-Jul
Jul</c:v>
                </c:pt>
                <c:pt idx="254">
                  <c:v>6-Aug
Aug</c:v>
                </c:pt>
                <c:pt idx="255">
                  <c:v>27-Sep
Sep</c:v>
                </c:pt>
                <c:pt idx="256">
                  <c:v>3-Oct
Oct</c:v>
                </c:pt>
                <c:pt idx="257">
                  <c:v>5-Oct</c:v>
                </c:pt>
                <c:pt idx="258">
                  <c:v>6-Oct</c:v>
                </c:pt>
                <c:pt idx="259">
                  <c:v>7-Nov
Nov</c:v>
                </c:pt>
                <c:pt idx="260">
                  <c:v>8-Nov</c:v>
                </c:pt>
                <c:pt idx="261">
                  <c:v>18-Nov</c:v>
                </c:pt>
                <c:pt idx="262">
                  <c:v>21-Nov</c:v>
                </c:pt>
                <c:pt idx="263">
                  <c:v>22-Nov</c:v>
                </c:pt>
                <c:pt idx="264">
                  <c:v>6-Dec
Dec</c:v>
                </c:pt>
                <c:pt idx="265">
                  <c:v>7-Jan
Jan
2022</c:v>
                </c:pt>
                <c:pt idx="266">
                  <c:v>13-Jan</c:v>
                </c:pt>
                <c:pt idx="267">
                  <c:v>14-Jan</c:v>
                </c:pt>
                <c:pt idx="268">
                  <c:v>22-Mar
Mar</c:v>
                </c:pt>
                <c:pt idx="269">
                  <c:v>26-Mar</c:v>
                </c:pt>
                <c:pt idx="270">
                  <c:v>29-Mar</c:v>
                </c:pt>
                <c:pt idx="271">
                  <c:v>2-Apr
Apr</c:v>
                </c:pt>
                <c:pt idx="272">
                  <c:v>10-Apr</c:v>
                </c:pt>
                <c:pt idx="273">
                  <c:v>11-Apr</c:v>
                </c:pt>
                <c:pt idx="274">
                  <c:v>12-Apr</c:v>
                </c:pt>
                <c:pt idx="275">
                  <c:v>19-Apr</c:v>
                </c:pt>
                <c:pt idx="276">
                  <c:v>20-Apr</c:v>
                </c:pt>
                <c:pt idx="277">
                  <c:v>21-Apr</c:v>
                </c:pt>
                <c:pt idx="278">
                  <c:v>13-May
May</c:v>
                </c:pt>
                <c:pt idx="279">
                  <c:v>14-May</c:v>
                </c:pt>
                <c:pt idx="280">
                  <c:v>16-May</c:v>
                </c:pt>
                <c:pt idx="281">
                  <c:v>19-May</c:v>
                </c:pt>
                <c:pt idx="282">
                  <c:v>31-May</c:v>
                </c:pt>
              </c:strCache>
            </c:strRef>
          </c:cat>
          <c:val>
            <c:numRef>
              <c:f>'Time Series'!$B$26:$B$431</c:f>
              <c:numCache>
                <c:formatCode>General</c:formatCode>
                <c:ptCount val="283"/>
                <c:pt idx="0">
                  <c:v>1</c:v>
                </c:pt>
                <c:pt idx="1">
                  <c:v>1</c:v>
                </c:pt>
                <c:pt idx="2">
                  <c:v>1</c:v>
                </c:pt>
                <c:pt idx="3">
                  <c:v>1</c:v>
                </c:pt>
                <c:pt idx="4">
                  <c:v>1</c:v>
                </c:pt>
                <c:pt idx="5">
                  <c:v>1</c:v>
                </c:pt>
                <c:pt idx="6">
                  <c:v>1</c:v>
                </c:pt>
                <c:pt idx="7">
                  <c:v>2</c:v>
                </c:pt>
                <c:pt idx="8">
                  <c:v>3</c:v>
                </c:pt>
                <c:pt idx="9">
                  <c:v>1</c:v>
                </c:pt>
                <c:pt idx="10">
                  <c:v>1</c:v>
                </c:pt>
                <c:pt idx="11">
                  <c:v>1</c:v>
                </c:pt>
                <c:pt idx="12">
                  <c:v>2</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6</c:v>
                </c:pt>
                <c:pt idx="40">
                  <c:v>2</c:v>
                </c:pt>
                <c:pt idx="41">
                  <c:v>1</c:v>
                </c:pt>
                <c:pt idx="42">
                  <c:v>3</c:v>
                </c:pt>
                <c:pt idx="43">
                  <c:v>1</c:v>
                </c:pt>
                <c:pt idx="44">
                  <c:v>2</c:v>
                </c:pt>
                <c:pt idx="45">
                  <c:v>1</c:v>
                </c:pt>
                <c:pt idx="46">
                  <c:v>2</c:v>
                </c:pt>
                <c:pt idx="47">
                  <c:v>1</c:v>
                </c:pt>
                <c:pt idx="48">
                  <c:v>2</c:v>
                </c:pt>
                <c:pt idx="49">
                  <c:v>1</c:v>
                </c:pt>
                <c:pt idx="50">
                  <c:v>1</c:v>
                </c:pt>
                <c:pt idx="51">
                  <c:v>1</c:v>
                </c:pt>
                <c:pt idx="52">
                  <c:v>1</c:v>
                </c:pt>
                <c:pt idx="53">
                  <c:v>1</c:v>
                </c:pt>
                <c:pt idx="54">
                  <c:v>1</c:v>
                </c:pt>
                <c:pt idx="55">
                  <c:v>1</c:v>
                </c:pt>
                <c:pt idx="56">
                  <c:v>1</c:v>
                </c:pt>
                <c:pt idx="57">
                  <c:v>2</c:v>
                </c:pt>
                <c:pt idx="58">
                  <c:v>2</c:v>
                </c:pt>
                <c:pt idx="59">
                  <c:v>1</c:v>
                </c:pt>
                <c:pt idx="60">
                  <c:v>1</c:v>
                </c:pt>
                <c:pt idx="61">
                  <c:v>1</c:v>
                </c:pt>
                <c:pt idx="62">
                  <c:v>1</c:v>
                </c:pt>
                <c:pt idx="63">
                  <c:v>1</c:v>
                </c:pt>
                <c:pt idx="64">
                  <c:v>1</c:v>
                </c:pt>
                <c:pt idx="65">
                  <c:v>1</c:v>
                </c:pt>
                <c:pt idx="66">
                  <c:v>1</c:v>
                </c:pt>
                <c:pt idx="67">
                  <c:v>4</c:v>
                </c:pt>
                <c:pt idx="68">
                  <c:v>1</c:v>
                </c:pt>
                <c:pt idx="69">
                  <c:v>1</c:v>
                </c:pt>
                <c:pt idx="70">
                  <c:v>3</c:v>
                </c:pt>
                <c:pt idx="71">
                  <c:v>1</c:v>
                </c:pt>
                <c:pt idx="72">
                  <c:v>1</c:v>
                </c:pt>
                <c:pt idx="73">
                  <c:v>1</c:v>
                </c:pt>
                <c:pt idx="74">
                  <c:v>1</c:v>
                </c:pt>
                <c:pt idx="75">
                  <c:v>1</c:v>
                </c:pt>
                <c:pt idx="76">
                  <c:v>1</c:v>
                </c:pt>
                <c:pt idx="77">
                  <c:v>4</c:v>
                </c:pt>
                <c:pt idx="78">
                  <c:v>2</c:v>
                </c:pt>
                <c:pt idx="79">
                  <c:v>1</c:v>
                </c:pt>
                <c:pt idx="80">
                  <c:v>5</c:v>
                </c:pt>
                <c:pt idx="81">
                  <c:v>3</c:v>
                </c:pt>
                <c:pt idx="82">
                  <c:v>1</c:v>
                </c:pt>
                <c:pt idx="83">
                  <c:v>1</c:v>
                </c:pt>
                <c:pt idx="84">
                  <c:v>1</c:v>
                </c:pt>
                <c:pt idx="85">
                  <c:v>1</c:v>
                </c:pt>
                <c:pt idx="86">
                  <c:v>1</c:v>
                </c:pt>
                <c:pt idx="87">
                  <c:v>2</c:v>
                </c:pt>
                <c:pt idx="88">
                  <c:v>1</c:v>
                </c:pt>
                <c:pt idx="89">
                  <c:v>1</c:v>
                </c:pt>
                <c:pt idx="90">
                  <c:v>1</c:v>
                </c:pt>
                <c:pt idx="91">
                  <c:v>2</c:v>
                </c:pt>
                <c:pt idx="92">
                  <c:v>1</c:v>
                </c:pt>
                <c:pt idx="93">
                  <c:v>1</c:v>
                </c:pt>
                <c:pt idx="94">
                  <c:v>1</c:v>
                </c:pt>
                <c:pt idx="95">
                  <c:v>6</c:v>
                </c:pt>
                <c:pt idx="96">
                  <c:v>1</c:v>
                </c:pt>
                <c:pt idx="97">
                  <c:v>1</c:v>
                </c:pt>
                <c:pt idx="98">
                  <c:v>1</c:v>
                </c:pt>
                <c:pt idx="99">
                  <c:v>1</c:v>
                </c:pt>
                <c:pt idx="100">
                  <c:v>1</c:v>
                </c:pt>
                <c:pt idx="101">
                  <c:v>1</c:v>
                </c:pt>
                <c:pt idx="102">
                  <c:v>2</c:v>
                </c:pt>
                <c:pt idx="103">
                  <c:v>1</c:v>
                </c:pt>
                <c:pt idx="104">
                  <c:v>1</c:v>
                </c:pt>
                <c:pt idx="105">
                  <c:v>1</c:v>
                </c:pt>
                <c:pt idx="106">
                  <c:v>1</c:v>
                </c:pt>
                <c:pt idx="107">
                  <c:v>1</c:v>
                </c:pt>
                <c:pt idx="108">
                  <c:v>3</c:v>
                </c:pt>
                <c:pt idx="109">
                  <c:v>2</c:v>
                </c:pt>
                <c:pt idx="110">
                  <c:v>1</c:v>
                </c:pt>
                <c:pt idx="111">
                  <c:v>2</c:v>
                </c:pt>
                <c:pt idx="112">
                  <c:v>1</c:v>
                </c:pt>
                <c:pt idx="113">
                  <c:v>1</c:v>
                </c:pt>
                <c:pt idx="114">
                  <c:v>1</c:v>
                </c:pt>
                <c:pt idx="115">
                  <c:v>1</c:v>
                </c:pt>
                <c:pt idx="116">
                  <c:v>1</c:v>
                </c:pt>
                <c:pt idx="117">
                  <c:v>1</c:v>
                </c:pt>
                <c:pt idx="118">
                  <c:v>1</c:v>
                </c:pt>
                <c:pt idx="119">
                  <c:v>1</c:v>
                </c:pt>
                <c:pt idx="120">
                  <c:v>1</c:v>
                </c:pt>
                <c:pt idx="121">
                  <c:v>1</c:v>
                </c:pt>
                <c:pt idx="122">
                  <c:v>2</c:v>
                </c:pt>
                <c:pt idx="123">
                  <c:v>2</c:v>
                </c:pt>
                <c:pt idx="124">
                  <c:v>1</c:v>
                </c:pt>
                <c:pt idx="125">
                  <c:v>1</c:v>
                </c:pt>
                <c:pt idx="126">
                  <c:v>1</c:v>
                </c:pt>
                <c:pt idx="127">
                  <c:v>1</c:v>
                </c:pt>
                <c:pt idx="128">
                  <c:v>2</c:v>
                </c:pt>
                <c:pt idx="129">
                  <c:v>1</c:v>
                </c:pt>
                <c:pt idx="130">
                  <c:v>1</c:v>
                </c:pt>
                <c:pt idx="131">
                  <c:v>1</c:v>
                </c:pt>
                <c:pt idx="132">
                  <c:v>2</c:v>
                </c:pt>
                <c:pt idx="133">
                  <c:v>1</c:v>
                </c:pt>
                <c:pt idx="134">
                  <c:v>1</c:v>
                </c:pt>
                <c:pt idx="135">
                  <c:v>1</c:v>
                </c:pt>
                <c:pt idx="136">
                  <c:v>2</c:v>
                </c:pt>
                <c:pt idx="137">
                  <c:v>1</c:v>
                </c:pt>
                <c:pt idx="138">
                  <c:v>1</c:v>
                </c:pt>
                <c:pt idx="139">
                  <c:v>1</c:v>
                </c:pt>
                <c:pt idx="140">
                  <c:v>1</c:v>
                </c:pt>
                <c:pt idx="141">
                  <c:v>6</c:v>
                </c:pt>
                <c:pt idx="142">
                  <c:v>2</c:v>
                </c:pt>
                <c:pt idx="143">
                  <c:v>1</c:v>
                </c:pt>
                <c:pt idx="144">
                  <c:v>4</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2</c:v>
                </c:pt>
                <c:pt idx="165">
                  <c:v>1</c:v>
                </c:pt>
                <c:pt idx="166">
                  <c:v>1</c:v>
                </c:pt>
                <c:pt idx="167">
                  <c:v>1</c:v>
                </c:pt>
                <c:pt idx="168">
                  <c:v>1</c:v>
                </c:pt>
                <c:pt idx="169">
                  <c:v>2</c:v>
                </c:pt>
                <c:pt idx="170">
                  <c:v>1</c:v>
                </c:pt>
                <c:pt idx="171">
                  <c:v>1</c:v>
                </c:pt>
                <c:pt idx="172">
                  <c:v>1</c:v>
                </c:pt>
                <c:pt idx="173">
                  <c:v>1</c:v>
                </c:pt>
                <c:pt idx="174">
                  <c:v>1</c:v>
                </c:pt>
                <c:pt idx="175">
                  <c:v>1</c:v>
                </c:pt>
                <c:pt idx="176">
                  <c:v>2</c:v>
                </c:pt>
                <c:pt idx="177">
                  <c:v>1</c:v>
                </c:pt>
                <c:pt idx="178">
                  <c:v>1</c:v>
                </c:pt>
                <c:pt idx="179">
                  <c:v>1</c:v>
                </c:pt>
                <c:pt idx="180">
                  <c:v>1</c:v>
                </c:pt>
                <c:pt idx="181">
                  <c:v>1</c:v>
                </c:pt>
                <c:pt idx="182">
                  <c:v>3</c:v>
                </c:pt>
                <c:pt idx="183">
                  <c:v>1</c:v>
                </c:pt>
                <c:pt idx="184">
                  <c:v>1</c:v>
                </c:pt>
                <c:pt idx="185">
                  <c:v>1</c:v>
                </c:pt>
                <c:pt idx="186">
                  <c:v>1</c:v>
                </c:pt>
                <c:pt idx="187">
                  <c:v>1</c:v>
                </c:pt>
                <c:pt idx="188">
                  <c:v>1</c:v>
                </c:pt>
                <c:pt idx="189">
                  <c:v>1</c:v>
                </c:pt>
                <c:pt idx="190">
                  <c:v>2</c:v>
                </c:pt>
                <c:pt idx="191">
                  <c:v>1</c:v>
                </c:pt>
                <c:pt idx="192">
                  <c:v>2</c:v>
                </c:pt>
                <c:pt idx="193">
                  <c:v>3</c:v>
                </c:pt>
                <c:pt idx="194">
                  <c:v>1</c:v>
                </c:pt>
                <c:pt idx="195">
                  <c:v>1</c:v>
                </c:pt>
                <c:pt idx="196">
                  <c:v>1</c:v>
                </c:pt>
                <c:pt idx="197">
                  <c:v>2</c:v>
                </c:pt>
                <c:pt idx="198">
                  <c:v>1</c:v>
                </c:pt>
                <c:pt idx="199">
                  <c:v>1</c:v>
                </c:pt>
                <c:pt idx="200">
                  <c:v>1</c:v>
                </c:pt>
                <c:pt idx="201">
                  <c:v>3</c:v>
                </c:pt>
                <c:pt idx="202">
                  <c:v>1</c:v>
                </c:pt>
                <c:pt idx="203">
                  <c:v>1</c:v>
                </c:pt>
                <c:pt idx="204">
                  <c:v>1</c:v>
                </c:pt>
                <c:pt idx="205">
                  <c:v>1</c:v>
                </c:pt>
                <c:pt idx="206">
                  <c:v>1</c:v>
                </c:pt>
                <c:pt idx="207">
                  <c:v>1</c:v>
                </c:pt>
                <c:pt idx="208">
                  <c:v>1</c:v>
                </c:pt>
                <c:pt idx="209">
                  <c:v>1</c:v>
                </c:pt>
                <c:pt idx="210">
                  <c:v>1</c:v>
                </c:pt>
                <c:pt idx="211">
                  <c:v>1</c:v>
                </c:pt>
                <c:pt idx="212">
                  <c:v>1</c:v>
                </c:pt>
                <c:pt idx="213">
                  <c:v>1</c:v>
                </c:pt>
                <c:pt idx="214">
                  <c:v>1</c:v>
                </c:pt>
                <c:pt idx="215">
                  <c:v>1</c:v>
                </c:pt>
                <c:pt idx="216">
                  <c:v>2</c:v>
                </c:pt>
                <c:pt idx="217">
                  <c:v>8</c:v>
                </c:pt>
                <c:pt idx="218">
                  <c:v>3</c:v>
                </c:pt>
                <c:pt idx="219">
                  <c:v>1</c:v>
                </c:pt>
                <c:pt idx="220">
                  <c:v>1</c:v>
                </c:pt>
                <c:pt idx="221">
                  <c:v>3</c:v>
                </c:pt>
                <c:pt idx="222">
                  <c:v>2</c:v>
                </c:pt>
                <c:pt idx="223">
                  <c:v>1</c:v>
                </c:pt>
                <c:pt idx="224">
                  <c:v>1</c:v>
                </c:pt>
                <c:pt idx="225">
                  <c:v>1</c:v>
                </c:pt>
                <c:pt idx="226">
                  <c:v>1</c:v>
                </c:pt>
                <c:pt idx="227">
                  <c:v>1</c:v>
                </c:pt>
                <c:pt idx="228">
                  <c:v>1</c:v>
                </c:pt>
                <c:pt idx="229">
                  <c:v>1</c:v>
                </c:pt>
                <c:pt idx="230">
                  <c:v>2</c:v>
                </c:pt>
                <c:pt idx="231">
                  <c:v>1</c:v>
                </c:pt>
                <c:pt idx="232">
                  <c:v>2</c:v>
                </c:pt>
                <c:pt idx="233">
                  <c:v>3</c:v>
                </c:pt>
                <c:pt idx="234">
                  <c:v>1</c:v>
                </c:pt>
                <c:pt idx="235">
                  <c:v>1</c:v>
                </c:pt>
                <c:pt idx="236">
                  <c:v>2</c:v>
                </c:pt>
                <c:pt idx="237">
                  <c:v>1</c:v>
                </c:pt>
                <c:pt idx="238">
                  <c:v>1</c:v>
                </c:pt>
                <c:pt idx="239">
                  <c:v>1</c:v>
                </c:pt>
                <c:pt idx="240">
                  <c:v>2</c:v>
                </c:pt>
                <c:pt idx="241">
                  <c:v>1</c:v>
                </c:pt>
                <c:pt idx="242">
                  <c:v>1</c:v>
                </c:pt>
                <c:pt idx="243">
                  <c:v>1</c:v>
                </c:pt>
                <c:pt idx="244">
                  <c:v>1</c:v>
                </c:pt>
                <c:pt idx="245">
                  <c:v>1</c:v>
                </c:pt>
                <c:pt idx="246">
                  <c:v>1</c:v>
                </c:pt>
                <c:pt idx="247">
                  <c:v>1</c:v>
                </c:pt>
                <c:pt idx="248">
                  <c:v>2</c:v>
                </c:pt>
                <c:pt idx="249">
                  <c:v>2</c:v>
                </c:pt>
                <c:pt idx="250">
                  <c:v>1</c:v>
                </c:pt>
                <c:pt idx="251">
                  <c:v>2</c:v>
                </c:pt>
                <c:pt idx="252">
                  <c:v>1</c:v>
                </c:pt>
                <c:pt idx="253">
                  <c:v>3</c:v>
                </c:pt>
                <c:pt idx="254">
                  <c:v>1</c:v>
                </c:pt>
                <c:pt idx="255">
                  <c:v>1</c:v>
                </c:pt>
                <c:pt idx="256">
                  <c:v>2</c:v>
                </c:pt>
                <c:pt idx="257">
                  <c:v>2</c:v>
                </c:pt>
                <c:pt idx="258">
                  <c:v>2</c:v>
                </c:pt>
                <c:pt idx="259">
                  <c:v>1</c:v>
                </c:pt>
                <c:pt idx="260">
                  <c:v>1</c:v>
                </c:pt>
                <c:pt idx="261">
                  <c:v>1</c:v>
                </c:pt>
                <c:pt idx="262">
                  <c:v>1</c:v>
                </c:pt>
                <c:pt idx="263">
                  <c:v>1</c:v>
                </c:pt>
                <c:pt idx="264">
                  <c:v>1</c:v>
                </c:pt>
                <c:pt idx="265">
                  <c:v>2</c:v>
                </c:pt>
                <c:pt idx="266">
                  <c:v>1</c:v>
                </c:pt>
                <c:pt idx="267">
                  <c:v>3</c:v>
                </c:pt>
                <c:pt idx="268">
                  <c:v>2</c:v>
                </c:pt>
                <c:pt idx="269">
                  <c:v>1</c:v>
                </c:pt>
                <c:pt idx="270">
                  <c:v>1</c:v>
                </c:pt>
                <c:pt idx="271">
                  <c:v>1</c:v>
                </c:pt>
                <c:pt idx="272">
                  <c:v>1</c:v>
                </c:pt>
                <c:pt idx="273">
                  <c:v>1</c:v>
                </c:pt>
                <c:pt idx="274">
                  <c:v>1</c:v>
                </c:pt>
                <c:pt idx="275">
                  <c:v>1</c:v>
                </c:pt>
                <c:pt idx="276">
                  <c:v>5</c:v>
                </c:pt>
                <c:pt idx="277">
                  <c:v>1</c:v>
                </c:pt>
                <c:pt idx="278">
                  <c:v>1</c:v>
                </c:pt>
                <c:pt idx="279">
                  <c:v>1</c:v>
                </c:pt>
                <c:pt idx="280">
                  <c:v>1</c:v>
                </c:pt>
                <c:pt idx="281">
                  <c:v>1</c:v>
                </c:pt>
                <c:pt idx="282">
                  <c:v>1</c:v>
                </c:pt>
              </c:numCache>
            </c:numRef>
          </c:val>
        </c:ser>
        <c:axId val="7135300"/>
        <c:axId val="64217701"/>
      </c:barChart>
      <c:catAx>
        <c:axId val="7135300"/>
        <c:scaling>
          <c:orientation val="minMax"/>
        </c:scaling>
        <c:axPos val="b"/>
        <c:delete val="0"/>
        <c:numFmt formatCode="General" sourceLinked="1"/>
        <c:majorTickMark val="out"/>
        <c:minorTickMark val="none"/>
        <c:tickLblPos val="nextTo"/>
        <c:crossAx val="64217701"/>
        <c:crosses val="autoZero"/>
        <c:auto val="1"/>
        <c:lblOffset val="100"/>
        <c:noMultiLvlLbl val="0"/>
      </c:catAx>
      <c:valAx>
        <c:axId val="64217701"/>
        <c:scaling>
          <c:orientation val="minMax"/>
        </c:scaling>
        <c:axPos val="l"/>
        <c:majorGridlines/>
        <c:delete val="0"/>
        <c:numFmt formatCode="General" sourceLinked="1"/>
        <c:majorTickMark val="out"/>
        <c:minorTickMark val="none"/>
        <c:tickLblPos val="nextTo"/>
        <c:crossAx val="713530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7117172"/>
        <c:axId val="42727957"/>
      </c:barChart>
      <c:catAx>
        <c:axId val="2711717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727957"/>
        <c:crosses val="autoZero"/>
        <c:auto val="1"/>
        <c:lblOffset val="100"/>
        <c:noMultiLvlLbl val="0"/>
      </c:catAx>
      <c:valAx>
        <c:axId val="427279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1171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9007294"/>
        <c:axId val="38412463"/>
      </c:barChart>
      <c:catAx>
        <c:axId val="4900729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412463"/>
        <c:crosses val="autoZero"/>
        <c:auto val="1"/>
        <c:lblOffset val="100"/>
        <c:noMultiLvlLbl val="0"/>
      </c:catAx>
      <c:valAx>
        <c:axId val="384124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0072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0167848"/>
        <c:axId val="24401769"/>
      </c:barChart>
      <c:catAx>
        <c:axId val="1016784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401769"/>
        <c:crosses val="autoZero"/>
        <c:auto val="1"/>
        <c:lblOffset val="100"/>
        <c:noMultiLvlLbl val="0"/>
      </c:catAx>
      <c:valAx>
        <c:axId val="244017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1678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8289330"/>
        <c:axId val="30386243"/>
      </c:barChart>
      <c:catAx>
        <c:axId val="1828933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386243"/>
        <c:crosses val="autoZero"/>
        <c:auto val="1"/>
        <c:lblOffset val="100"/>
        <c:noMultiLvlLbl val="0"/>
      </c:catAx>
      <c:valAx>
        <c:axId val="303862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2893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040732"/>
        <c:axId val="45366589"/>
      </c:barChart>
      <c:catAx>
        <c:axId val="504073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366589"/>
        <c:crosses val="autoZero"/>
        <c:auto val="1"/>
        <c:lblOffset val="100"/>
        <c:noMultiLvlLbl val="0"/>
      </c:catAx>
      <c:valAx>
        <c:axId val="453665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07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646118"/>
        <c:axId val="50815063"/>
      </c:barChart>
      <c:catAx>
        <c:axId val="564611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815063"/>
        <c:crosses val="autoZero"/>
        <c:auto val="1"/>
        <c:lblOffset val="100"/>
        <c:noMultiLvlLbl val="0"/>
      </c:catAx>
      <c:valAx>
        <c:axId val="508150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61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4682384"/>
        <c:axId val="22379409"/>
      </c:barChart>
      <c:catAx>
        <c:axId val="5468238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379409"/>
        <c:crosses val="autoZero"/>
        <c:auto val="1"/>
        <c:lblOffset val="100"/>
        <c:noMultiLvlLbl val="0"/>
      </c:catAx>
      <c:valAx>
        <c:axId val="223794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823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88090"/>
        <c:axId val="792811"/>
      </c:barChart>
      <c:catAx>
        <c:axId val="88090"/>
        <c:scaling>
          <c:orientation val="minMax"/>
        </c:scaling>
        <c:axPos val="b"/>
        <c:delete val="1"/>
        <c:majorTickMark val="out"/>
        <c:minorTickMark val="none"/>
        <c:tickLblPos val="none"/>
        <c:crossAx val="792811"/>
        <c:crosses val="autoZero"/>
        <c:auto val="1"/>
        <c:lblOffset val="100"/>
        <c:noMultiLvlLbl val="0"/>
      </c:catAx>
      <c:valAx>
        <c:axId val="792811"/>
        <c:scaling>
          <c:orientation val="minMax"/>
        </c:scaling>
        <c:axPos val="l"/>
        <c:delete val="1"/>
        <c:majorTickMark val="out"/>
        <c:minorTickMark val="none"/>
        <c:tickLblPos val="none"/>
        <c:crossAx val="8809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15</xdr:col>
      <xdr:colOff>114300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371475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Comment Type"/>
            <xdr:cNvGraphicFramePr/>
          </xdr:nvGraphicFramePr>
          <xdr:xfrm>
            <a:off x="4448175" y="4191000"/>
            <a:ext cx="1266825" cy="1266825"/>
          </xdr:xfrm>
          <a:graphic>
            <a:graphicData uri="http://schemas.microsoft.com/office/drawing/2010/slicer">
              <sle:slicer xmlns:sle="http://schemas.microsoft.com/office/drawing/2010/slicer" name="Comment Type"/>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88" refreshedBy="Digital Space Lab" refreshedVersion="8">
  <cacheSource type="worksheet">
    <worksheetSource ref="A2:AP390" sheet="Edges"/>
  </cacheSource>
  <cacheFields count="4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Comment Type">
      <sharedItems containsBlank="1" containsMixedTypes="0" count="3">
        <s v="Comment"/>
        <s v="Reply"/>
        <m/>
      </sharedItems>
    </cacheField>
    <cacheField name="Comment">
      <sharedItems containsBlank="1" containsMixedTypes="0" longText="1" count="0"/>
    </cacheField>
    <cacheField name="Author Channel ID">
      <sharedItems containsBlank="1" containsMixedTypes="0" count="0"/>
    </cacheField>
    <cacheField name="Author Display Name">
      <sharedItems containsBlank="1" containsMixedTypes="0" count="0"/>
    </cacheField>
    <cacheField name="Author Channel URL">
      <sharedItems containsBlank="1" containsMixedTypes="0" count="0"/>
    </cacheField>
    <cacheField name="Parent ID">
      <sharedItems containsBlank="1" containsMixedTypes="0" count="0"/>
    </cacheField>
    <cacheField name="Video ID">
      <sharedItems containsMixedTypes="0" count="0"/>
    </cacheField>
    <cacheField name="Video URL">
      <sharedItems containsMixedTypes="0" count="0"/>
    </cacheField>
    <cacheField name="Viewer Rating">
      <sharedItems containsBlank="1" containsMixedTypes="0" count="0"/>
    </cacheField>
    <cacheField name="Like Count">
      <sharedItems containsString="0" containsBlank="1" containsMixedTypes="0" containsNumber="1" containsInteger="1" count="0"/>
    </cacheField>
    <cacheField name="Published At" numFmtId="22">
      <sharedItems containsSemiMixedTypes="0" containsNonDate="0" containsDate="1" containsString="0" containsMixedTypes="0" count="387">
        <d v="2016-05-28T01:18:57.000"/>
        <d v="2013-11-22T14:55:21.000"/>
        <d v="2014-05-10T01:52:38.000"/>
        <d v="2015-03-05T00:33:48.000"/>
        <d v="2015-05-08T11:37:05.000"/>
        <d v="2016-03-19T16:28:58.000"/>
        <d v="2015-12-30T19:43:04.000"/>
        <d v="2015-09-03T10:39:35.000"/>
        <d v="2015-12-12T19:05:27.000"/>
        <d v="2018-03-28T17:54:57.000"/>
        <d v="2020-01-17T14:12:24.000"/>
        <d v="2015-05-13T11:38:15.000"/>
        <d v="2012-03-01T18:19:01.000"/>
        <d v="2020-06-03T14:17:16.000"/>
        <d v="2020-05-20T14:06:10.000"/>
        <d v="2020-04-02T20:21:39.000"/>
        <d v="2020-04-02T19:54:40.000"/>
        <d v="2020-04-03T16:09:25.000"/>
        <d v="2020-04-03T15:48:08.000"/>
        <d v="2012-06-11T03:51:53.000"/>
        <d v="2013-12-05T07:43:21.000"/>
        <d v="2015-02-19T17:04:19.000"/>
        <d v="2015-02-07T09:49:43.000"/>
        <d v="2015-10-09T11:19:26.000"/>
        <d v="2016-05-23T23:30:34.000"/>
        <d v="2016-08-08T10:41:40.000"/>
        <d v="2018-08-12T22:51:51.000"/>
        <d v="2017-07-19T06:29:10.000"/>
        <d v="2013-02-14T10:56:02.000"/>
        <d v="2017-10-19T17:22:23.000"/>
        <d v="2013-04-25T12:43:53.000"/>
        <d v="2013-05-24T23:40:51.000"/>
        <d v="2013-12-12T14:11:22.000"/>
        <d v="2013-12-12T14:47:02.000"/>
        <d v="2013-12-12T16:00:51.000"/>
        <d v="2013-12-12T06:46:55.000"/>
        <d v="2016-08-31T12:19:18.000"/>
        <d v="2016-08-31T12:20:57.000"/>
        <d v="2018-03-23T13:11:16.000"/>
        <d v="2018-03-23T18:55:25.000"/>
        <d v="2018-03-26T00:26:07.000"/>
        <d v="2018-03-27T20:45:52.000"/>
        <d v="2018-03-22T20:46:11.000"/>
        <d v="2019-05-08T08:17:27.000"/>
        <d v="2019-10-21T04:51:13.000"/>
        <d v="2021-09-27T13:02:20.000"/>
        <d v="2021-04-25T15:55:27.000"/>
        <d v="2021-05-06T22:02:17.000"/>
        <d v="2021-05-07T16:57:13.000"/>
        <d v="2021-05-06T22:03:15.000"/>
        <d v="2021-05-31T22:01:27.000"/>
        <d v="2021-11-22T13:48:56.000"/>
        <d v="2021-11-21T01:20:54.000"/>
        <d v="2017-03-02T15:53:11.000"/>
        <d v="2017-02-18T21:04:30.000"/>
        <d v="2013-10-27T15:46:36.000"/>
        <d v="2017-02-18T21:04:24.000"/>
        <d v="2014-08-21T05:03:53.000"/>
        <d v="2017-02-18T21:04:08.000"/>
        <d v="2015-01-04T07:45:35.000"/>
        <d v="2015-10-17T19:48:42.000"/>
        <d v="2017-02-18T21:03:49.000"/>
        <d v="2015-04-08T17:57:26.000"/>
        <d v="2017-02-18T21:03:26.000"/>
        <d v="2017-01-19T19:32:00.000"/>
        <d v="2013-10-15T20:53:03.000"/>
        <d v="2017-02-18T21:02:41.000"/>
        <d v="2017-02-20T01:11:39.000"/>
        <d v="2017-02-20T01:13:42.000"/>
        <d v="2017-02-12T22:34:05.000"/>
        <d v="2018-11-29T16:06:50.000"/>
        <d v="2022-05-13T09:50:44.000"/>
        <d v="2011-08-19T09:00:09.000"/>
        <d v="2020-10-04T06:20:53.000"/>
        <d v="2017-01-27T22:37:14.000"/>
        <d v="2016-03-05T14:19:23.000"/>
        <d v="2021-05-27T13:48:15.000"/>
        <d v="2021-05-27T06:51:32.000"/>
        <d v="2015-09-14T02:04:20.000"/>
        <d v="2015-03-19T22:42:24.000"/>
        <d v="2015-11-14T13:25:17.000"/>
        <d v="2015-11-14T14:36:11.000"/>
        <d v="2015-11-14T16:27:19.000"/>
        <d v="2015-10-11T03:29:51.000"/>
        <d v="2015-11-14T13:52:39.000"/>
        <d v="2015-11-14T14:56:52.000"/>
        <d v="2015-11-14T15:15:08.000"/>
        <d v="2015-10-11T01:47:36.000"/>
        <d v="2016-12-06T01:12:01.000"/>
        <d v="2016-05-10T20:17:16.000"/>
        <d v="2017-05-25T21:10:50.000"/>
        <d v="2018-02-01T14:23:38.000"/>
        <d v="2015-04-02T13:09:45.000"/>
        <d v="2016-06-21T14:16:05.000"/>
        <d v="2017-06-19T14:41:05.000"/>
        <d v="2017-11-22T04:48:31.000"/>
        <d v="2018-07-08T22:21:53.000"/>
        <d v="2019-07-30T00:01:07.000"/>
        <d v="2015-10-20T05:35:04.000"/>
        <d v="2019-03-14T15:29:23.000"/>
        <d v="2022-01-14T16:16:28.000"/>
        <d v="2019-11-30T15:44:04.000"/>
        <d v="2017-11-02T20:50:30.000"/>
        <d v="2018-01-25T19:10:09.000"/>
        <d v="2019-01-03T20:43:22.000"/>
        <d v="2020-04-24T13:33:06.000"/>
        <d v="2018-02-09T15:04:27.000"/>
        <d v="2018-02-09T12:02:28.000"/>
        <d v="2020-11-18T14:28:47.000"/>
        <d v="2020-11-17T22:26:08.000"/>
        <d v="2015-08-01T00:51:09.000"/>
        <d v="2015-05-31T22:36:18.000"/>
        <d v="2015-12-03T20:05:57.000"/>
        <d v="2016-02-25T19:18:07.000"/>
        <d v="2016-11-22T19:14:24.000"/>
        <d v="2017-09-20T04:05:49.000"/>
        <d v="2021-10-03T02:52:56.000"/>
        <d v="2022-03-26T06:56:53.000"/>
        <d v="2016-03-12T03:01:42.000"/>
        <d v="2016-10-15T13:26:00.000"/>
        <d v="2016-07-05T22:49:42.000"/>
        <d v="2016-07-04T16:45:08.000"/>
        <d v="2017-01-06T20:17:01.000"/>
        <d v="2017-01-07T07:17:55.000"/>
        <d v="2017-01-06T18:41:41.000"/>
        <d v="2014-05-14T21:38:27.000"/>
        <d v="2015-08-11T16:29:28.000"/>
        <d v="2019-05-24T17:23:53.000"/>
        <d v="2019-08-16T16:16:43.000"/>
        <d v="2021-12-06T14:34:58.000"/>
        <d v="2019-04-13T22:40:15.000"/>
        <d v="2020-11-18T12:15:39.000"/>
        <d v="2020-03-07T17:25:41.000"/>
        <d v="2021-01-04T23:23:43.000"/>
        <d v="2020-12-21T19:48:17.000"/>
        <d v="2021-02-24T22:45:31.000"/>
        <d v="2022-01-14T22:10:36.000"/>
        <d v="2022-01-14T20:30:12.000"/>
        <d v="2019-03-11T23:00:50.000"/>
        <d v="2013-03-17T04:17:57.000"/>
        <d v="2013-04-12T07:37:14.000"/>
        <d v="2014-05-10T23:56:03.000"/>
        <d v="2021-01-11T02:30:18.000"/>
        <d v="2021-10-05T03:36:40.000"/>
        <d v="2021-10-05T03:32:38.000"/>
        <d v="2020-11-03T22:19:14.000"/>
        <d v="2020-12-03T14:38:14.000"/>
        <d v="2022-03-22T00:29:04.000"/>
        <d v="2020-07-01T20:04:29.000"/>
        <d v="2020-07-28T17:36:46.000"/>
        <d v="2022-05-16T00:20:02.000"/>
        <d v="2014-12-04T18:28:28.000"/>
        <d v="2014-12-08T11:00:48.000"/>
        <d v="2014-12-08T11:01:00.000"/>
        <d v="2014-12-04T15:30:29.000"/>
        <d v="2015-02-14T23:16:49.000"/>
        <d v="2015-04-20T12:34:53.000"/>
        <d v="2015-04-20T14:00:22.000"/>
        <d v="2015-04-20T09:19:50.000"/>
        <d v="2015-08-27T18:51:15.000"/>
        <d v="2015-10-03T19:03:08.000"/>
        <d v="2016-05-31T01:40:59.000"/>
        <d v="2021-03-04T20:33:08.000"/>
        <d v="2022-04-10T05:15:50.000"/>
        <d v="2021-10-06T21:26:35.000"/>
        <d v="2021-07-22T07:48:04.000"/>
        <d v="2021-07-22T06:57:40.000"/>
        <d v="2021-08-06T17:31:07.000"/>
        <d v="2021-10-06T21:31:44.000"/>
        <d v="2021-07-22T06:55:01.000"/>
        <d v="2022-01-07T06:42:18.000"/>
        <d v="2022-01-13T12:03:27.000"/>
        <d v="2022-04-12T16:50:12.000"/>
        <d v="2018-02-27T15:29:57.000"/>
        <d v="2018-04-10T00:20:37.000"/>
        <d v="2019-04-21T17:17:28.000"/>
        <d v="2018-12-03T15:04:14.000"/>
        <d v="2019-04-21T20:58:42.000"/>
        <d v="2018-12-03T02:42:09.000"/>
        <d v="2019-05-15T00:18:15.000"/>
        <d v="2020-05-16T17:14:55.000"/>
        <d v="2020-05-16T18:35:09.000"/>
        <d v="2020-05-16T05:34:33.000"/>
        <d v="2019-08-22T22:02:17.000"/>
        <d v="2020-03-13T18:57:40.000"/>
        <d v="2020-03-13T18:26:48.000"/>
        <d v="2021-05-07T02:11:00.000"/>
        <d v="2022-05-19T12:01:31.000"/>
        <d v="2013-11-09T19:25:28.000"/>
        <d v="2014-04-06T20:36:03.000"/>
        <d v="2014-04-04T15:58:24.000"/>
        <d v="2014-04-04T15:42:36.000"/>
        <d v="2014-04-07T02:18:14.000"/>
        <d v="2014-04-04T15:40:41.000"/>
        <d v="2014-06-11T19:35:15.000"/>
        <d v="2014-05-09T19:45:43.000"/>
        <d v="2014-06-11T19:01:39.000"/>
        <d v="2014-12-03T19:50:03.000"/>
        <d v="2015-02-02T19:39:39.000"/>
        <d v="2015-09-17T23:43:27.000"/>
        <d v="2015-07-27T14:43:04.000"/>
        <d v="2015-07-27T12:36:45.000"/>
        <d v="2015-07-27T13:54:50.000"/>
        <d v="2016-05-03T21:38:37.000"/>
        <d v="2016-05-03T18:17:09.000"/>
        <d v="2016-05-04T07:09:11.000"/>
        <d v="2015-06-17T14:20:02.000"/>
        <d v="2015-06-17T21:14:30.000"/>
        <d v="2015-06-17T21:23:06.000"/>
        <d v="2015-06-18T06:15:43.000"/>
        <d v="2015-06-18T15:07:58.000"/>
        <d v="2015-06-19T09:43:22.000"/>
        <d v="2015-06-17T11:22:47.000"/>
        <d v="2015-07-27T14:53:11.000"/>
        <d v="2015-07-27T13:59:39.000"/>
        <d v="2015-07-28T09:32:03.000"/>
        <d v="2016-03-23T11:31:45.000"/>
        <d v="2016-03-23T21:02:45.000"/>
        <d v="2016-03-23T03:48:35.000"/>
        <d v="2016-05-09T23:10:43.000"/>
        <d v="2016-05-11T18:47:05.000"/>
        <d v="2016-05-12T02:23:40.000"/>
        <d v="2016-05-09T22:21:31.000"/>
        <d v="2018-06-21T15:37:19.000"/>
        <d v="2016-07-06T16:37:52.000"/>
        <d v="2016-07-26T21:13:30.000"/>
        <d v="2016-08-30T21:01:34.000"/>
        <d v="2016-07-26T21:09:51.000"/>
        <d v="2016-10-14T01:18:53.000"/>
        <d v="2016-10-14T01:41:17.000"/>
        <d v="2016-10-13T23:55:13.000"/>
        <d v="2017-07-29T21:12:10.000"/>
        <d v="2017-09-27T17:08:06.000"/>
        <d v="2017-09-07T12:39:14.000"/>
        <d v="2017-12-01T16:03:02.000"/>
        <d v="2018-06-21T15:36:05.000"/>
        <d v="2018-10-16T06:45:00.000"/>
        <d v="2019-10-12T05:29:59.000"/>
        <d v="2020-03-12T07:07:37.000"/>
        <d v="2020-05-30T19:03:07.000"/>
        <d v="2020-11-20T00:12:34.000"/>
        <d v="2020-11-20T01:16:46.000"/>
        <d v="2020-11-20T00:05:26.000"/>
        <d v="2021-01-26T15:46:13.000"/>
        <d v="2021-02-07T21:23:09.000"/>
        <d v="2021-02-07T20:28:15.000"/>
        <d v="2022-01-07T03:20:36.000"/>
        <d v="2022-05-14T04:42:06.000"/>
        <d v="2012-04-18T18:46:16.000"/>
        <d v="2014-01-19T10:05:04.000"/>
        <d v="2014-01-19T10:18:57.000"/>
        <d v="2015-03-17T07:39:48.000"/>
        <d v="2016-02-23T20:36:09.000"/>
        <d v="2017-04-24T19:32:45.000"/>
        <d v="2017-04-24T19:31:11.000"/>
        <d v="2017-04-24T19:33:57.000"/>
        <d v="2017-09-04T22:05:01.000"/>
        <d v="2018-07-01T16:18:46.000"/>
        <d v="2019-01-20T14:04:27.000"/>
        <d v="2019-01-19T11:02:55.000"/>
        <d v="2019-01-01T12:24:14.000"/>
        <d v="2019-01-02T22:46:25.000"/>
        <d v="2019-03-12T23:01:56.000"/>
        <d v="2019-03-12T16:48:24.000"/>
        <d v="2019-03-12T16:46:59.000"/>
        <d v="2022-04-20T11:00:15.000"/>
        <d v="2022-04-20T07:06:19.000"/>
        <d v="2019-07-17T08:17:20.000"/>
        <d v="2022-04-19T21:47:57.000"/>
        <d v="2022-04-21T03:35:12.000"/>
        <d v="2022-04-20T07:12:42.000"/>
        <d v="2022-04-20T07:00:41.000"/>
        <d v="2022-03-22T22:15:40.000"/>
        <d v="2022-04-20T18:32:38.000"/>
        <d v="2019-07-17T08:17:45.000"/>
        <d v="2019-08-01T23:44:52.000"/>
        <d v="2020-02-28T15:28:49.000"/>
        <d v="2010-08-11T21:28:43.000"/>
        <d v="2016-02-18T04:06:42.000"/>
        <d v="2021-11-08T08:49:09.000"/>
        <d v="2018-02-20T11:36:56.000"/>
        <d v="2022-03-29T17:40:44.000"/>
        <d v="2013-05-23T22:43:27.000"/>
        <d v="2015-02-04T20:45:03.000"/>
        <d v="2013-10-14T14:24:36.000"/>
        <d v="2016-08-17T23:45:22.000"/>
        <d v="2016-09-07T19:24:27.000"/>
        <d v="2015-05-11T19:21:31.000"/>
        <d v="2021-10-03T21:53:49.000"/>
        <d v="2009-05-14T16:40:27.000"/>
        <d v="2016-03-01T18:55:49.000"/>
        <d v="2013-01-19T16:20:49.000"/>
        <d v="2020-04-02T17:02:03.000"/>
        <d v="2020-04-02T17:02:32.000"/>
        <d v="2020-04-02T17:04:21.000"/>
        <d v="2020-04-02T17:19:57.000"/>
        <d v="2020-04-02T20:19:30.000"/>
        <d v="2020-04-03T11:11:28.000"/>
        <d v="2020-04-02T16:54:09.000"/>
        <d v="2012-04-05T20:27:42.000"/>
        <d v="2012-04-05T15:59:01.000"/>
        <d v="2013-11-07T12:55:03.000"/>
        <d v="2017-06-30T01:35:10.000"/>
        <d v="2018-05-06T21:32:24.000"/>
        <d v="2015-07-28T02:20:21.000"/>
        <d v="2015-07-28T02:17:11.000"/>
        <d v="2019-10-26T16:52:11.000"/>
        <d v="2020-05-20T07:31:30.000"/>
        <d v="2019-10-27T11:09:11.000"/>
        <d v="2014-09-01T18:32:41.000"/>
        <d v="2014-08-10T00:30:22.000"/>
        <d v="2014-08-23T23:50:00.000"/>
        <d v="2014-08-02T21:38:36.000"/>
        <d v="2014-10-19T00:15:25.000"/>
        <d v="2014-09-07T05:01:41.000"/>
        <d v="2016-08-03T18:44:07.000"/>
        <d v="2016-08-03T17:10:09.000"/>
        <d v="2016-08-11T21:53:45.000"/>
        <d v="2015-05-02T03:50:17.000"/>
        <d v="2013-03-28T19:39:28.000"/>
        <d v="2021-11-18T12:08:32.000"/>
        <d v="2016-01-13T15:19:17.000"/>
        <d v="2012-10-16T07:38:38.000"/>
        <d v="2021-11-07T08:37:10.000"/>
        <d v="2019-01-22T22:03:02.000"/>
        <d v="2019-01-22T21:58:58.000"/>
        <d v="2021-03-07T03:47:21.000"/>
        <d v="2020-07-13T06:44:15.000"/>
        <d v="2011-08-09T17:04:02.000"/>
        <d v="2020-04-14T07:08:58.000"/>
        <d v="2015-05-07T06:27:21.000"/>
        <d v="2017-04-24T23:26:13.000"/>
        <d v="2013-12-12T18:58:38.000"/>
        <d v="2013-12-12T18:43:25.000"/>
        <d v="2016-09-14T23:43:51.000"/>
        <d v="2021-05-04T14:00:14.000"/>
        <d v="2018-02-17T22:24:11.000"/>
        <d v="2016-02-23T14:03:10.000"/>
        <d v="2015-03-19T21:47:47.000"/>
        <d v="2015-03-19T21:47:13.000"/>
        <d v="2015-03-19T21:46:32.000"/>
        <d v="2013-02-20T02:45:15.000"/>
        <d v="2011-02-07T14:45:00.000"/>
        <d v="2019-04-09T18:37:18.000"/>
        <d v="2021-01-04T23:21:27.000"/>
        <d v="2019-03-11T13:09:49.000"/>
        <d v="2022-04-11T14:09:20.000"/>
        <d v="2019-02-01T19:05:48.000"/>
        <d v="2012-09-09T16:21:47.000"/>
        <d v="2015-09-01T21:23:37.000"/>
        <d v="2018-04-26T17:52:47.000"/>
        <d v="2017-07-02T19:46:19.000"/>
        <d v="2017-06-12T21:26:23.000"/>
        <d v="2017-06-11T16:51:46.000"/>
        <d v="2019-01-12T23:19:06.000"/>
        <d v="2010-09-16T00:38:19.000"/>
        <d v="2019-01-13T06:52:19.000"/>
        <d v="2013-08-15T11:41:55.000"/>
        <d v="2022-04-02T21:14:00.000"/>
        <d v="2021-05-12T19:53:48.000"/>
        <d v="2020-03-03T13:10:56.000"/>
        <d v="2021-01-14T04:52:41.000"/>
        <d v="2022-05-31T16:49:42.000"/>
        <d v="2020-07-14T15:58:43.000"/>
        <d v="2017-07-06T15:50:05.000"/>
        <d v="2020-11-03T18:45:01.000"/>
        <d v="2021-02-09T17:24:20.000"/>
        <d v="2012-09-09T20:24:54.000"/>
        <d v="2013-10-04T13:03:09.000"/>
        <d v="2018-12-03T15:03:26.000"/>
        <d v="2014-04-07T22:16:24.000"/>
        <d v="2012-09-30T13:27:42.000"/>
        <d v="2012-09-23T23:30:22.000"/>
        <d v="2021-04-13T04:22:39.000"/>
        <d v="2013-10-31T19:52:13.000"/>
        <d v="2013-09-15T13:09:32.000"/>
        <d v="2015-11-17T05:22:34.000"/>
        <d v="2014-02-04T03:37:32.000"/>
        <d v="2015-11-10T05:55:32.000"/>
        <d v="2012-09-08T23:08:31.000"/>
        <d v="2013-03-24T21:45:10.000"/>
        <d v="2015-09-14T04:14:21.000"/>
        <d v="2013-09-23T23:40:52.000"/>
        <d v="2013-04-08T12:07:29.000"/>
        <d v="2012-04-06T23:40:11.000"/>
        <d v="2012-04-06T23:04:57.000"/>
        <d v="2012-04-06T22:36:35.000"/>
      </sharedItems>
      <fieldGroup par="43" base="25">
        <rangePr groupBy="days" autoEnd="1" autoStart="1" startDate="2009-05-14T16:40:27.000" endDate="2022-05-31T16:49:42.000"/>
        <groupItems count="368">
          <s v="&lt;5/14/200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31/2022"/>
        </groupItems>
      </fieldGroup>
    </cacheField>
    <cacheField name="Updated At">
      <sharedItems containsDate="1" containsString="0" containsBlank="1" containsMixedTypes="0" count="0"/>
    </cacheField>
    <cacheField name="URLs In Comment">
      <sharedItems containsBlank="1" containsMixedTypes="0" longText="1" count="0"/>
    </cacheField>
    <cacheField name="Domains In Comment">
      <sharedItems containsBlank="1" containsMixedTypes="0" count="0"/>
    </cacheField>
    <cacheField name="Hashtags In Comment">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25">
        <rangePr groupBy="months" autoEnd="1" autoStart="1" startDate="2009-05-14T16:40:27.000" endDate="2022-05-31T16:49:42.000"/>
        <groupItems count="14">
          <s v="&lt;5/14/2009"/>
          <s v="Jan"/>
          <s v="Feb"/>
          <s v="Mar"/>
          <s v="Apr"/>
          <s v="May"/>
          <s v="Jun"/>
          <s v="Jul"/>
          <s v="Aug"/>
          <s v="Sep"/>
          <s v="Oct"/>
          <s v="Nov"/>
          <s v="Dec"/>
          <s v="&gt;5/31/2022"/>
        </groupItems>
      </fieldGroup>
    </cacheField>
    <cacheField name="Years" databaseField="0">
      <sharedItems containsMixedTypes="0" count="0"/>
      <fieldGroup base="25">
        <rangePr groupBy="years" autoEnd="1" autoStart="1" startDate="2009-05-14T16:40:27.000" endDate="2022-05-31T16:49:42.000"/>
        <groupItems count="16">
          <s v="&lt;5/14/2009"/>
          <s v="2009"/>
          <s v="2010"/>
          <s v="2011"/>
          <s v="2012"/>
          <s v="2013"/>
          <s v="2014"/>
          <s v="2015"/>
          <s v="2016"/>
          <s v="2017"/>
          <s v="2018"/>
          <s v="2019"/>
          <s v="2020"/>
          <s v="2021"/>
          <s v="2022"/>
          <s v="&gt;5/31/2022"/>
        </groupItems>
      </fieldGroup>
    </cacheField>
  </cacheFields>
  <extLst>
    <ext xmlns:x14="http://schemas.microsoft.com/office/spreadsheetml/2009/9/main" uri="{725AE2AE-9491-48be-B2B4-4EB974FC3084}">
      <x14:pivotCacheDefinition pivotCacheId="1139235642"/>
    </ext>
  </extLst>
</pivotCacheDefinition>
</file>

<file path=xl/pivotCache/pivotCacheRecords1.xml><?xml version="1.0" encoding="utf-8"?>
<pivotCacheRecords xmlns="http://schemas.openxmlformats.org/spreadsheetml/2006/main" xmlns:r="http://schemas.openxmlformats.org/officeDocument/2006/relationships" count="388">
  <r>
    <s v="UCdmhCH2BrYLQeiYzykYSBlA"/>
    <s v="UCl3_JxeNm227rFEceAPDi7A"/>
    <m/>
    <m/>
    <m/>
    <m/>
    <m/>
    <m/>
    <m/>
    <m/>
    <s v="No"/>
    <n v="3"/>
    <m/>
    <m/>
    <s v="Commented Video"/>
    <x v="0"/>
    <s v="se escucha de lo peor"/>
    <s v="UCdmhCH2BrYLQeiYzykYSBlA"/>
    <s v="Gustavo Moreno"/>
    <s v="http://www.youtube.com/channel/UCdmhCH2BrYLQeiYzykYSBlA"/>
    <m/>
    <s v="vi01cIzeiqw"/>
    <s v="https://www.youtube.com/watch?v=vi01cIzeiqw"/>
    <s v="none"/>
    <n v="0"/>
    <x v="0"/>
    <d v="2016-05-28T01:18:57.000"/>
    <m/>
    <m/>
    <s v=""/>
    <n v="1"/>
    <s v="25"/>
    <s v="25"/>
    <n v="0"/>
    <n v="0"/>
    <n v="0"/>
    <n v="0"/>
    <n v="0"/>
    <n v="0"/>
    <n v="5"/>
    <n v="100"/>
    <n v="5"/>
  </r>
  <r>
    <s v="UCEm5HlGvJXSCTKsFxWih04g"/>
    <s v="UCoB94ow_SQUv369e2uhOXSw"/>
    <m/>
    <m/>
    <m/>
    <m/>
    <m/>
    <m/>
    <m/>
    <m/>
    <s v="No"/>
    <n v="4"/>
    <m/>
    <m/>
    <s v="Commented Video"/>
    <x v="0"/>
    <s v="Thanks for the video, but actually I don&amp;#39;t understand why you download Post-Post Network &amp;quot;likes &amp;amp; comments&amp;quot; that seems to not show the name, and then upload in gephi another nodexl file. Could you explain better please? Thank you very much in advance"/>
    <s v="UCEm5HlGvJXSCTKsFxWih04g"/>
    <s v="Alessandro Castaldo"/>
    <s v="http://www.youtube.com/channel/UCEm5HlGvJXSCTKsFxWih04g"/>
    <m/>
    <s v="hN3-wTOxrsY"/>
    <s v="https://www.youtube.com/watch?v=hN3-wTOxrsY"/>
    <s v="none"/>
    <n v="0"/>
    <x v="1"/>
    <d v="2013-11-22T14:55:21.000"/>
    <m/>
    <m/>
    <s v=""/>
    <n v="1"/>
    <s v="11"/>
    <s v="11"/>
    <n v="3"/>
    <n v="6.25"/>
    <n v="0"/>
    <n v="0"/>
    <n v="0"/>
    <n v="0"/>
    <n v="45"/>
    <n v="93.75"/>
    <n v="48"/>
  </r>
  <r>
    <s v="UC6q8R5SJYsuHhleU2GgJKGA"/>
    <s v="UCoB94ow_SQUv369e2uhOXSw"/>
    <m/>
    <m/>
    <m/>
    <m/>
    <m/>
    <m/>
    <m/>
    <m/>
    <s v="No"/>
    <n v="5"/>
    <m/>
    <m/>
    <s v="Commented Video"/>
    <x v="0"/>
    <s v="Hi Brittany. Thank you very much for the tutorial.  I downloaded Facebook data but the vertices were all in numbers instead of names. I wonder what I can do to convert the vertices into names?  I noticed that in your tutorial,  the vertices changed from numbers to names."/>
    <s v="UC6q8R5SJYsuHhleU2GgJKGA"/>
    <s v="Chong Jin Lee"/>
    <s v="http://www.youtube.com/channel/UC6q8R5SJYsuHhleU2GgJKGA"/>
    <m/>
    <s v="hN3-wTOxrsY"/>
    <s v="https://www.youtube.com/watch?v=hN3-wTOxrsY"/>
    <s v="none"/>
    <n v="0"/>
    <x v="2"/>
    <d v="2014-05-10T01:52:38.000"/>
    <m/>
    <m/>
    <s v=""/>
    <n v="1"/>
    <s v="11"/>
    <s v="11"/>
    <n v="2"/>
    <n v="4.166666666666667"/>
    <n v="0"/>
    <n v="0"/>
    <n v="0"/>
    <n v="0"/>
    <n v="46"/>
    <n v="95.83333333333333"/>
    <n v="48"/>
  </r>
  <r>
    <s v="UC2jHQ9iN3gjeCs6mCCyI_1g"/>
    <s v="UCoB94ow_SQUv369e2uhOXSw"/>
    <m/>
    <m/>
    <m/>
    <m/>
    <m/>
    <m/>
    <m/>
    <m/>
    <s v="No"/>
    <n v="6"/>
    <m/>
    <m/>
    <s v="Commented Video"/>
    <x v="0"/>
    <s v="can i use my profile?"/>
    <s v="UC2jHQ9iN3gjeCs6mCCyI_1g"/>
    <s v="Kurt Venzon"/>
    <s v="http://www.youtube.com/channel/UC2jHQ9iN3gjeCs6mCCyI_1g"/>
    <m/>
    <s v="hN3-wTOxrsY"/>
    <s v="https://www.youtube.com/watch?v=hN3-wTOxrsY"/>
    <s v="none"/>
    <n v="0"/>
    <x v="3"/>
    <d v="2015-03-05T00:33:48.000"/>
    <m/>
    <m/>
    <s v=""/>
    <n v="1"/>
    <s v="11"/>
    <s v="11"/>
    <n v="0"/>
    <n v="0"/>
    <n v="0"/>
    <n v="0"/>
    <n v="0"/>
    <n v="0"/>
    <n v="5"/>
    <n v="100"/>
    <n v="5"/>
  </r>
  <r>
    <s v="UC625RO8AWt6tzDrFxA22tPQ"/>
    <s v="UCoB94ow_SQUv369e2uhOXSw"/>
    <m/>
    <m/>
    <m/>
    <m/>
    <m/>
    <m/>
    <m/>
    <m/>
    <s v="No"/>
    <n v="7"/>
    <m/>
    <m/>
    <s v="Commented Video"/>
    <x v="0"/>
    <s v="Thank you for this video. Basically covers the basics of Gephi in one short video"/>
    <s v="UC625RO8AWt6tzDrFxA22tPQ"/>
    <s v="Madhavan Sriram"/>
    <s v="http://www.youtube.com/channel/UC625RO8AWt6tzDrFxA22tPQ"/>
    <m/>
    <s v="hN3-wTOxrsY"/>
    <s v="https://www.youtube.com/watch?v=hN3-wTOxrsY"/>
    <s v="none"/>
    <n v="1"/>
    <x v="4"/>
    <d v="2015-05-08T11:37:05.000"/>
    <m/>
    <m/>
    <s v=""/>
    <n v="1"/>
    <s v="11"/>
    <s v="11"/>
    <n v="1"/>
    <n v="6.666666666666667"/>
    <n v="0"/>
    <n v="0"/>
    <n v="0"/>
    <n v="0"/>
    <n v="14"/>
    <n v="93.33333333333333"/>
    <n v="15"/>
  </r>
  <r>
    <s v="UCwmXhkHeZ7EbApGCHtpuAlg"/>
    <s v="UCl9gn5ZSJFQ33S_h1D8lGlg"/>
    <m/>
    <m/>
    <m/>
    <m/>
    <m/>
    <m/>
    <m/>
    <m/>
    <s v="No"/>
    <n v="8"/>
    <m/>
    <m/>
    <s v="Replied Comment"/>
    <x v="1"/>
    <s v="+Gilles Havik Yeah, seems so !"/>
    <s v="UCwmXhkHeZ7EbApGCHtpuAlg"/>
    <s v="Amol Gupta"/>
    <s v="http://www.youtube.com/channel/UCwmXhkHeZ7EbApGCHtpuAlg"/>
    <s v="Ugg6wDyPqW_12ngCoAEC"/>
    <s v="hN3-wTOxrsY"/>
    <s v="https://www.youtube.com/watch?v=hN3-wTOxrsY"/>
    <s v="none"/>
    <n v="0"/>
    <x v="5"/>
    <d v="2016-03-19T16:28:58.000"/>
    <m/>
    <m/>
    <s v=""/>
    <n v="1"/>
    <s v="11"/>
    <s v="11"/>
    <n v="0"/>
    <n v="0"/>
    <n v="0"/>
    <n v="0"/>
    <n v="0"/>
    <n v="0"/>
    <n v="5"/>
    <n v="100"/>
    <n v="5"/>
  </r>
  <r>
    <s v="UCl9gn5ZSJFQ33S_h1D8lGlg"/>
    <s v="UCoB94ow_SQUv369e2uhOXSw"/>
    <m/>
    <m/>
    <m/>
    <m/>
    <m/>
    <m/>
    <m/>
    <m/>
    <s v="No"/>
    <n v="9"/>
    <m/>
    <m/>
    <s v="Commented Video"/>
    <x v="0"/>
    <s v="Seems that this function is no longer open source"/>
    <s v="UCl9gn5ZSJFQ33S_h1D8lGlg"/>
    <s v="Gilles Havik"/>
    <s v="http://www.youtube.com/channel/UCl9gn5ZSJFQ33S_h1D8lGlg"/>
    <m/>
    <s v="hN3-wTOxrsY"/>
    <s v="https://www.youtube.com/watch?v=hN3-wTOxrsY"/>
    <s v="none"/>
    <n v="1"/>
    <x v="6"/>
    <d v="2015-12-30T19:43:04.000"/>
    <m/>
    <m/>
    <s v=""/>
    <n v="1"/>
    <s v="11"/>
    <s v="11"/>
    <n v="0"/>
    <n v="0"/>
    <n v="0"/>
    <n v="0"/>
    <n v="0"/>
    <n v="0"/>
    <n v="9"/>
    <n v="100"/>
    <n v="9"/>
  </r>
  <r>
    <s v="UCXBDxpU7E1QT0J1nS-BGnQg"/>
    <s v="UCOQy7XDYjkjhb0QwVMwf-7A"/>
    <m/>
    <m/>
    <m/>
    <m/>
    <m/>
    <m/>
    <m/>
    <m/>
    <s v="No"/>
    <n v="10"/>
    <m/>
    <m/>
    <s v="Commented Video"/>
    <x v="0"/>
    <s v="Hi Marc, any tutorial on the same would be more than helpful. Regards."/>
    <s v="UCXBDxpU7E1QT0J1nS-BGnQg"/>
    <s v="Rupsayar Das"/>
    <s v="http://www.youtube.com/channel/UCXBDxpU7E1QT0J1nS-BGnQg"/>
    <m/>
    <s v="PmDKuAnKiGA"/>
    <s v="https://www.youtube.com/watch?v=PmDKuAnKiGA"/>
    <s v="none"/>
    <n v="0"/>
    <x v="7"/>
    <d v="2015-09-03T10:39:35.000"/>
    <m/>
    <m/>
    <s v=""/>
    <n v="1"/>
    <s v="6"/>
    <s v="6"/>
    <n v="1"/>
    <n v="7.6923076923076925"/>
    <n v="0"/>
    <n v="0"/>
    <n v="0"/>
    <n v="0"/>
    <n v="12"/>
    <n v="92.3076923076923"/>
    <n v="13"/>
  </r>
  <r>
    <s v="UCSnr1NggLE8M63F61SbWGDw"/>
    <s v="UC7roQpV6qEGtQqPL_d0KlHw"/>
    <m/>
    <m/>
    <m/>
    <m/>
    <m/>
    <m/>
    <m/>
    <m/>
    <s v="No"/>
    <n v="11"/>
    <m/>
    <m/>
    <s v="Commented Video"/>
    <x v="0"/>
    <s v="thanks for the tutorial."/>
    <s v="UCSnr1NggLE8M63F61SbWGDw"/>
    <s v="Wegdan Abdulqader"/>
    <s v="http://www.youtube.com/channel/UCSnr1NggLE8M63F61SbWGDw"/>
    <m/>
    <s v="hTnnEnpQkkk"/>
    <s v="https://www.youtube.com/watch?v=hTnnEnpQkkk"/>
    <s v="none"/>
    <n v="0"/>
    <x v="8"/>
    <d v="2015-12-12T19:05:27.000"/>
    <m/>
    <m/>
    <s v=""/>
    <n v="1"/>
    <s v="14"/>
    <s v="14"/>
    <n v="0"/>
    <n v="0"/>
    <n v="0"/>
    <n v="0"/>
    <n v="0"/>
    <n v="0"/>
    <n v="4"/>
    <n v="100"/>
    <n v="4"/>
  </r>
  <r>
    <s v="UCXxni4CYgsAp7QsUM71k2gQ"/>
    <s v="UC7roQpV6qEGtQqPL_d0KlHw"/>
    <m/>
    <m/>
    <m/>
    <m/>
    <m/>
    <m/>
    <m/>
    <m/>
    <s v="No"/>
    <n v="12"/>
    <m/>
    <m/>
    <s v="Commented Video"/>
    <x v="0"/>
    <s v="I wish it had sound but still, thanks. I learnt a thing or two"/>
    <s v="UCXxni4CYgsAp7QsUM71k2gQ"/>
    <s v="C M"/>
    <s v="http://www.youtube.com/channel/UCXxni4CYgsAp7QsUM71k2gQ"/>
    <m/>
    <s v="hTnnEnpQkkk"/>
    <s v="https://www.youtube.com/watch?v=hTnnEnpQkkk"/>
    <s v="none"/>
    <n v="1"/>
    <x v="9"/>
    <d v="2018-03-28T17:54:57.000"/>
    <m/>
    <m/>
    <s v=""/>
    <n v="1"/>
    <s v="14"/>
    <s v="14"/>
    <n v="0"/>
    <n v="0"/>
    <n v="0"/>
    <n v="0"/>
    <n v="0"/>
    <n v="0"/>
    <n v="14"/>
    <n v="100"/>
    <n v="14"/>
  </r>
  <r>
    <s v="UCMjfNOw_F_QdVO_NcQ49hwA"/>
    <s v="UC7roQpV6qEGtQqPL_d0KlHw"/>
    <m/>
    <m/>
    <m/>
    <m/>
    <m/>
    <m/>
    <m/>
    <m/>
    <s v="No"/>
    <n v="13"/>
    <m/>
    <m/>
    <s v="Commented Video"/>
    <x v="0"/>
    <s v="i wonder, where did you find those twitter account dataset? or how you acquire it?"/>
    <s v="UCMjfNOw_F_QdVO_NcQ49hwA"/>
    <s v="Fredi Anriko"/>
    <s v="http://www.youtube.com/channel/UCMjfNOw_F_QdVO_NcQ49hwA"/>
    <m/>
    <s v="hTnnEnpQkkk"/>
    <s v="https://www.youtube.com/watch?v=hTnnEnpQkkk"/>
    <s v="none"/>
    <n v="0"/>
    <x v="10"/>
    <d v="2020-01-17T14:12:24.000"/>
    <m/>
    <m/>
    <s v=""/>
    <n v="1"/>
    <s v="14"/>
    <s v="14"/>
    <n v="1"/>
    <n v="6.666666666666667"/>
    <n v="0"/>
    <n v="0"/>
    <n v="0"/>
    <n v="0"/>
    <n v="14"/>
    <n v="93.33333333333333"/>
    <n v="15"/>
  </r>
  <r>
    <s v="UCcqj5COuFHh1eHF0xdBQoig"/>
    <s v="UCv0vw-y0YIwqEbU305hhcFg"/>
    <m/>
    <m/>
    <m/>
    <m/>
    <m/>
    <m/>
    <m/>
    <m/>
    <s v="No"/>
    <n v="14"/>
    <m/>
    <m/>
    <s v="Commented Video"/>
    <x v="0"/>
    <s v="So cool to see you all ..."/>
    <s v="UCcqj5COuFHh1eHF0xdBQoig"/>
    <s v="Kevin Hodgson"/>
    <s v="http://www.youtube.com/channel/UCcqj5COuFHh1eHF0xdBQoig"/>
    <m/>
    <s v="5_mfdaFBRy4"/>
    <s v="https://www.youtube.com/watch?v=5_mfdaFBRy4"/>
    <s v="none"/>
    <n v="2"/>
    <x v="11"/>
    <d v="2015-05-13T11:38:15.000"/>
    <m/>
    <m/>
    <s v=""/>
    <n v="1"/>
    <s v="24"/>
    <s v="24"/>
    <n v="1"/>
    <n v="16.666666666666668"/>
    <n v="0"/>
    <n v="0"/>
    <n v="0"/>
    <n v="0"/>
    <n v="5"/>
    <n v="83.33333333333333"/>
    <n v="6"/>
  </r>
  <r>
    <s v="UCXpbkjiFlXTpSy3DnioAJjw"/>
    <s v="UCB_X37NbtJ8tXBrYj_4mEHg"/>
    <m/>
    <m/>
    <m/>
    <m/>
    <m/>
    <m/>
    <m/>
    <m/>
    <s v="No"/>
    <n v="15"/>
    <m/>
    <m/>
    <s v="Commented Video"/>
    <x v="0"/>
    <s v="Cool! What a wonderful tool. Hats off to the folks who made this :-)"/>
    <s v="UCXpbkjiFlXTpSy3DnioAJjw"/>
    <s v="Em Cooper"/>
    <s v="http://www.youtube.com/channel/UCXpbkjiFlXTpSy3DnioAJjw"/>
    <m/>
    <s v="0M3T65Iw3Ac"/>
    <s v="https://www.youtube.com/watch?v=0M3T65Iw3Ac"/>
    <s v="none"/>
    <n v="0"/>
    <x v="12"/>
    <d v="2012-03-01T18:19:01.000"/>
    <m/>
    <m/>
    <s v=""/>
    <n v="1"/>
    <s v="23"/>
    <s v="23"/>
    <n v="2"/>
    <n v="15.384615384615385"/>
    <n v="0"/>
    <n v="0"/>
    <n v="0"/>
    <n v="0"/>
    <n v="11"/>
    <n v="84.61538461538461"/>
    <n v="13"/>
  </r>
  <r>
    <s v="UCT2t7sQp0Qyi9dxuckjOWAw"/>
    <s v="UCUGm4MAV0xRkCWAIe34oHEA"/>
    <m/>
    <m/>
    <m/>
    <m/>
    <m/>
    <m/>
    <m/>
    <m/>
    <s v="Yes"/>
    <n v="16"/>
    <m/>
    <m/>
    <s v="Replied Comment"/>
    <x v="1"/>
    <s v="A ti querida Eva por invitarme :  Los que deseen conocer su mapa de audiencia y como llegar a ellas con estrategias pueden contactarme aqui :  &lt;a href=&quot;https://vivianfrancos.com/conoce-tus-mapas-de-audiencia-nodexl/&quot;&gt;https://vivianfrancos.com/conoce-tus-mapas-de-audiencia-nodexl/&lt;/a&gt;"/>
    <s v="UCT2t7sQp0Qyi9dxuckjOWAw"/>
    <s v="Vivian Francos #SeoHashtag Posiciona tu Hashtag"/>
    <s v="http://www.youtube.com/channel/UCT2t7sQp0Qyi9dxuckjOWAw"/>
    <s v="UgxR9Ql4a93_SIC-BNx4AaABAg"/>
    <s v="3s6qbWY07FI"/>
    <s v="https://www.youtube.com/watch?v=3s6qbWY07FI"/>
    <s v="none"/>
    <n v="0"/>
    <x v="13"/>
    <d v="2020-06-03T14:17:16.000"/>
    <s v=" https://vivianfrancos.com/conoce-tus-mapas-de-audiencia-nodexl/ https://vivianfrancos.com/conoce-tus-mapas-de-audiencia-nodexl/"/>
    <s v="vivianfrancos.com vivianfrancos.com"/>
    <s v=""/>
    <n v="1"/>
    <s v="4"/>
    <s v="4"/>
    <n v="0"/>
    <n v="0"/>
    <n v="0"/>
    <n v="0"/>
    <n v="0"/>
    <n v="0"/>
    <n v="45"/>
    <n v="100"/>
    <n v="45"/>
  </r>
  <r>
    <s v="UCUGm4MAV0xRkCWAIe34oHEA"/>
    <s v="UCT2t7sQp0Qyi9dxuckjOWAw"/>
    <m/>
    <m/>
    <m/>
    <m/>
    <m/>
    <m/>
    <m/>
    <m/>
    <s v="Yes"/>
    <n v="17"/>
    <m/>
    <m/>
    <s v="Commented Video"/>
    <x v="0"/>
    <s v="Gracias por acompañarnos y contarnos tantas cosas interesantes de analítica."/>
    <s v="UCUGm4MAV0xRkCWAIe34oHEA"/>
    <s v="Eva Añón"/>
    <s v="http://www.youtube.com/channel/UCUGm4MAV0xRkCWAIe34oHEA"/>
    <m/>
    <s v="3s6qbWY07FI"/>
    <s v="https://www.youtube.com/watch?v=3s6qbWY07FI"/>
    <s v="none"/>
    <n v="2"/>
    <x v="14"/>
    <d v="2020-05-20T14:06:10.000"/>
    <m/>
    <m/>
    <s v=""/>
    <n v="1"/>
    <s v="4"/>
    <s v="4"/>
    <n v="0"/>
    <n v="0"/>
    <n v="0"/>
    <n v="0"/>
    <n v="0"/>
    <n v="0"/>
    <n v="10"/>
    <n v="100"/>
    <n v="10"/>
  </r>
  <r>
    <s v="UCfYrvWfah8SKHvX-fQ_oLWQ"/>
    <s v="UC2b3yDPx5ALGuEJSAs_E7kw"/>
    <m/>
    <m/>
    <m/>
    <m/>
    <m/>
    <m/>
    <m/>
    <m/>
    <s v="Yes"/>
    <n v="18"/>
    <m/>
    <m/>
    <s v="Replied Comment"/>
    <x v="1"/>
    <s v="Thank You. There are several tips&amp;amp;tricks more.&lt;br&gt;One fun is this&lt;br&gt;Gephi JS - an interactive map directly with gexf file&lt;br&gt;&lt;br&gt;&lt;a href=&quot;http://mihkal.indeedsir.com/isfi/&quot;&gt;http://mihkal.indeedsir.com/isfi/&lt;/a&gt;"/>
    <s v="UCfYrvWfah8SKHvX-fQ_oLWQ"/>
    <s v="Mika Laiti"/>
    <s v="http://www.youtube.com/channel/UCfYrvWfah8SKHvX-fQ_oLWQ"/>
    <s v="UgwoWkJPUeRcf8htcKR4AaABAg"/>
    <s v="o-D-Duv8Mcs"/>
    <s v="https://www.youtube.com/watch?v=o-D-Duv8Mcs"/>
    <s v="none"/>
    <n v="1"/>
    <x v="15"/>
    <d v="2020-04-02T20:21:39.000"/>
    <s v=" http://mihkal.indeedsir.com/isfi/ http://mihkal.indeedsir.com/isfi/"/>
    <s v="indeedsir.com indeedsir.com"/>
    <s v=""/>
    <n v="1"/>
    <s v="17"/>
    <s v="17"/>
    <n v="2"/>
    <n v="5.128205128205129"/>
    <n v="0"/>
    <n v="0"/>
    <n v="0"/>
    <n v="0"/>
    <n v="37"/>
    <n v="94.87179487179488"/>
    <n v="39"/>
  </r>
  <r>
    <s v="UC2b3yDPx5ALGuEJSAs_E7kw"/>
    <s v="UCfYrvWfah8SKHvX-fQ_oLWQ"/>
    <m/>
    <m/>
    <m/>
    <m/>
    <m/>
    <m/>
    <m/>
    <m/>
    <s v="Yes"/>
    <n v="19"/>
    <m/>
    <m/>
    <s v="Commented Video"/>
    <x v="0"/>
    <s v="Fantastic video, thanks for sharing Mika!"/>
    <s v="UC2b3yDPx5ALGuEJSAs_E7kw"/>
    <s v="Alex Fenton"/>
    <s v="http://www.youtube.com/channel/UC2b3yDPx5ALGuEJSAs_E7kw"/>
    <m/>
    <s v="o-D-Duv8Mcs"/>
    <s v="https://www.youtube.com/watch?v=o-D-Duv8Mcs"/>
    <s v="none"/>
    <n v="1"/>
    <x v="16"/>
    <d v="2020-04-02T19:54:40.000"/>
    <m/>
    <m/>
    <s v=""/>
    <n v="1"/>
    <s v="17"/>
    <s v="17"/>
    <n v="1"/>
    <n v="16.666666666666668"/>
    <n v="0"/>
    <n v="0"/>
    <n v="0"/>
    <n v="0"/>
    <n v="5"/>
    <n v="83.33333333333333"/>
    <n v="6"/>
  </r>
  <r>
    <s v="UCfYrvWfah8SKHvX-fQ_oLWQ"/>
    <s v="UCeiKh2VbzXlQeESwZzg7xxQ"/>
    <m/>
    <m/>
    <m/>
    <m/>
    <m/>
    <m/>
    <m/>
    <m/>
    <s v="Yes"/>
    <n v="20"/>
    <m/>
    <m/>
    <s v="Replied Comment"/>
    <x v="1"/>
    <s v="Link to the dataset is below&lt;br&gt;&lt;br&gt;This is a Gephi visualization of the dataset. Layout used is Force Atlas 2 and the size of the nodes is calculated in NodeXL = Betweenness Centrality. So the Graph tells the most influentials in that network by that metric. You can download the gephi dataset and also nodexl data from the links on this page.&lt;br&gt;&lt;br&gt;About the dataset.&lt;br&gt;&lt;br&gt;The graph represents a network of 17,971 Twitter users whose recent tweets contained &amp;quot;premierleague OR &amp;#39;premier league&amp;#39;&amp;quot;, or who were replied to or mentioned in those tweets, taken from a data set limited to a maximum of 18,000 tweets. The network was obtained from Twitter on Wednesday, 01 April 2020 at &lt;a href=&quot;https://www.youtube.com/watch?v=o-D-Duv8Mcs&amp;amp;t=10m24s&quot;&gt;10:24&lt;/a&gt; UTC._x000d_&lt;br&gt;_x000d_&lt;br&gt;The tweets in the network were tweeted over the 15-hour, 25-minute period from Tuesday, 31 March 2020 at &lt;a href=&quot;https://www.youtube.com/watch?v=o-D-Duv8Mcs&amp;amp;t=18m26s&quot;&gt;18:26&lt;/a&gt; UTC to Wednesday, 01 April 2020 at &lt;a href=&quot;https://www.youtube.com/watch?v=o-D-Duv8Mcs&amp;amp;t=09m51s&quot;&gt;09:51&lt;/a&gt; UTC._x000d_&lt;br&gt;_x000d_&lt;br&gt;Additional tweets that were mentioned in this data set were also collected from prior time periods. These tweets may expand the complete time period of the data._x000d_&lt;br&gt;_x000d_&lt;br&gt;There is an edge for each &amp;quot;replies-to&amp;quot; relationship in a tweet, an edge for each &amp;quot;mentions&amp;quot; relationship in a tweet, and a self-loop edge for each tweet that is not a &amp;quot;replies-to&amp;quot; or &amp;quot;mentions&amp;quot;."/>
    <s v="UCfYrvWfah8SKHvX-fQ_oLWQ"/>
    <s v="Mika Laiti"/>
    <s v="http://www.youtube.com/channel/UCfYrvWfah8SKHvX-fQ_oLWQ"/>
    <s v="Ugz6IH6qHiKDI-D4KvN4AaABAg"/>
    <s v="o-D-Duv8Mcs"/>
    <s v="https://www.youtube.com/watch?v=o-D-Duv8Mcs"/>
    <s v="none"/>
    <n v="2"/>
    <x v="17"/>
    <d v="2020-04-03T16:09:25.000"/>
    <s v=" https://www.youtube.com/watch?v=o-D-Duv8Mcs&amp;amp;t=10m24s https://www.youtube.com/watch?v=o-D-Duv8Mcs&amp;amp;t=18m26s https://www.youtube.com/watch?v=o-D-Duv8Mcs&amp;amp;t=09m51s"/>
    <s v="youtube.com youtube.com youtube.com"/>
    <s v=""/>
    <n v="1"/>
    <s v="17"/>
    <s v="17"/>
    <n v="1"/>
    <n v="0.3508771929824561"/>
    <n v="1"/>
    <n v="0.3508771929824561"/>
    <n v="0"/>
    <n v="0"/>
    <n v="283"/>
    <n v="99.29824561403508"/>
    <n v="285"/>
  </r>
  <r>
    <s v="UCeiKh2VbzXlQeESwZzg7xxQ"/>
    <s v="UCfYrvWfah8SKHvX-fQ_oLWQ"/>
    <m/>
    <m/>
    <m/>
    <m/>
    <m/>
    <m/>
    <m/>
    <m/>
    <s v="Yes"/>
    <n v="21"/>
    <m/>
    <m/>
    <s v="Commented Video"/>
    <x v="0"/>
    <s v="What, exactly, is this visualization trying to communicate? What is the data about?"/>
    <s v="UCeiKh2VbzXlQeESwZzg7xxQ"/>
    <s v="Dogface Reilly"/>
    <s v="http://www.youtube.com/channel/UCeiKh2VbzXlQeESwZzg7xxQ"/>
    <m/>
    <s v="o-D-Duv8Mcs"/>
    <s v="https://www.youtube.com/watch?v=o-D-Duv8Mcs"/>
    <s v="none"/>
    <n v="0"/>
    <x v="18"/>
    <d v="2020-04-03T15:48:08.000"/>
    <m/>
    <m/>
    <s v=""/>
    <n v="1"/>
    <s v="17"/>
    <s v="17"/>
    <n v="0"/>
    <n v="0"/>
    <n v="0"/>
    <n v="0"/>
    <n v="0"/>
    <n v="0"/>
    <n v="13"/>
    <n v="100"/>
    <n v="13"/>
  </r>
  <r>
    <s v="UCOySjL4JhGjAvIU2BeWaZMA"/>
    <s v="UCo4986VKClJt42gAAOHqWtQ"/>
    <m/>
    <m/>
    <m/>
    <m/>
    <m/>
    <m/>
    <m/>
    <m/>
    <s v="No"/>
    <n v="22"/>
    <m/>
    <m/>
    <s v="Commented Video"/>
    <x v="0"/>
    <s v="nice!"/>
    <s v="UCOySjL4JhGjAvIU2BeWaZMA"/>
    <s v="Eutiquio Chapa"/>
    <s v="http://www.youtube.com/channel/UCOySjL4JhGjAvIU2BeWaZMA"/>
    <m/>
    <s v="39yXz72qdow"/>
    <s v="https://www.youtube.com/watch?v=39yXz72qdow"/>
    <s v="none"/>
    <n v="0"/>
    <x v="19"/>
    <d v="2012-06-11T03:51:53.000"/>
    <m/>
    <m/>
    <s v=""/>
    <n v="1"/>
    <s v="9"/>
    <s v="9"/>
    <n v="1"/>
    <n v="100"/>
    <n v="0"/>
    <n v="0"/>
    <n v="0"/>
    <n v="0"/>
    <n v="0"/>
    <n v="0"/>
    <n v="1"/>
  </r>
  <r>
    <s v="UCkkgApUQlDrsLaod5io227g"/>
    <s v="UCo4986VKClJt42gAAOHqWtQ"/>
    <m/>
    <m/>
    <m/>
    <m/>
    <m/>
    <m/>
    <m/>
    <m/>
    <s v="No"/>
    <n v="23"/>
    <m/>
    <m/>
    <s v="Commented Video"/>
    <x v="0"/>
    <s v="hi... can&amp;#39;t get data the same nodexl by java.... &lt;br&gt;Who have do it? help me please."/>
    <s v="UCkkgApUQlDrsLaod5io227g"/>
    <s v="Ngoc Phuong Chau"/>
    <s v="http://www.youtube.com/channel/UCkkgApUQlDrsLaod5io227g"/>
    <m/>
    <s v="39yXz72qdow"/>
    <s v="https://www.youtube.com/watch?v=39yXz72qdow"/>
    <s v="none"/>
    <n v="0"/>
    <x v="20"/>
    <d v="2013-12-05T07:43:21.000"/>
    <m/>
    <m/>
    <s v=""/>
    <n v="1"/>
    <s v="9"/>
    <s v="9"/>
    <n v="0"/>
    <n v="0"/>
    <n v="0"/>
    <n v="0"/>
    <n v="0"/>
    <n v="0"/>
    <n v="19"/>
    <n v="100"/>
    <n v="19"/>
  </r>
  <r>
    <s v="UCo4986VKClJt42gAAOHqWtQ"/>
    <s v="UC-jjpnxCagdT_bv8huLBmrA"/>
    <m/>
    <m/>
    <m/>
    <m/>
    <m/>
    <m/>
    <m/>
    <m/>
    <s v="Yes"/>
    <n v="24"/>
    <m/>
    <m/>
    <s v="Replied Comment"/>
    <x v="1"/>
    <s v="Hi Rachit ..by location you mean.. location of friends ..or a particular location..i guess one way would be to import your network and then use filters normally present in excel and then generate a graph .."/>
    <s v="UCo4986VKClJt42gAAOHqWtQ"/>
    <s v="prodfranciscan"/>
    <s v="http://www.youtube.com/channel/UCo4986VKClJt42gAAOHqWtQ"/>
    <s v="UgjWD8cNubbsdHgCoAEC"/>
    <s v="39yXz72qdow"/>
    <s v="https://www.youtube.com/watch?v=39yXz72qdow"/>
    <s v="none"/>
    <n v="0"/>
    <x v="21"/>
    <d v="2015-02-19T17:04:19.000"/>
    <m/>
    <m/>
    <s v=""/>
    <n v="1"/>
    <s v="9"/>
    <s v="9"/>
    <n v="1"/>
    <n v="2.7777777777777777"/>
    <n v="0"/>
    <n v="0"/>
    <n v="0"/>
    <n v="0"/>
    <n v="35"/>
    <n v="97.22222222222223"/>
    <n v="36"/>
  </r>
  <r>
    <s v="UC-jjpnxCagdT_bv8huLBmrA"/>
    <s v="UCo4986VKClJt42gAAOHqWtQ"/>
    <m/>
    <m/>
    <m/>
    <m/>
    <m/>
    <m/>
    <m/>
    <m/>
    <s v="Yes"/>
    <n v="25"/>
    <m/>
    <m/>
    <s v="Commented Video"/>
    <x v="0"/>
    <s v="very nice explanation, thank you for that. But I just wanted to know that if we want to extract location specific data for the analysis work then which software or method would be best."/>
    <s v="UC-jjpnxCagdT_bv8huLBmrA"/>
    <s v="Rachit Gupta"/>
    <s v="http://www.youtube.com/channel/UC-jjpnxCagdT_bv8huLBmrA"/>
    <m/>
    <s v="39yXz72qdow"/>
    <s v="https://www.youtube.com/watch?v=39yXz72qdow"/>
    <s v="none"/>
    <n v="0"/>
    <x v="22"/>
    <d v="2015-02-07T09:49:43.000"/>
    <m/>
    <m/>
    <s v=""/>
    <n v="1"/>
    <s v="9"/>
    <s v="9"/>
    <n v="4"/>
    <n v="11.764705882352942"/>
    <n v="0"/>
    <n v="0"/>
    <n v="0"/>
    <n v="0"/>
    <n v="30"/>
    <n v="88.23529411764706"/>
    <n v="34"/>
  </r>
  <r>
    <s v="UCYS7wFuePefGbkq9zjRt8sQ"/>
    <s v="UCo4986VKClJt42gAAOHqWtQ"/>
    <m/>
    <m/>
    <m/>
    <m/>
    <m/>
    <m/>
    <m/>
    <m/>
    <s v="No"/>
    <n v="26"/>
    <m/>
    <m/>
    <s v="Commented Video"/>
    <x v="0"/>
    <s v="Hi... what is the name of the website you mentioned in minute &lt;a href=&quot;http://www.youtube.com/watch?v=39yXz72qdow&amp;amp;t=4m08s&quot;&gt;4:08&lt;/a&gt;?"/>
    <s v="UCYS7wFuePefGbkq9zjRt8sQ"/>
    <s v="Tamer Taha"/>
    <s v="http://www.youtube.com/channel/UCYS7wFuePefGbkq9zjRt8sQ"/>
    <m/>
    <s v="39yXz72qdow"/>
    <s v="https://www.youtube.com/watch?v=39yXz72qdow"/>
    <s v="none"/>
    <n v="0"/>
    <x v="23"/>
    <d v="2015-10-09T11:19:26.000"/>
    <s v=" http://www.youtube.com/watch?v=39yXz72qdow&amp;amp;t=4m08s"/>
    <s v="youtube.com"/>
    <s v=""/>
    <n v="1"/>
    <s v="9"/>
    <s v="9"/>
    <n v="0"/>
    <n v="0"/>
    <n v="0"/>
    <n v="0"/>
    <n v="0"/>
    <n v="0"/>
    <n v="27"/>
    <n v="100"/>
    <n v="27"/>
  </r>
  <r>
    <s v="UCDCjHgdB_5n2ppVPI3Vt8Ew"/>
    <s v="UCo4986VKClJt42gAAOHqWtQ"/>
    <m/>
    <m/>
    <m/>
    <m/>
    <m/>
    <m/>
    <m/>
    <m/>
    <s v="No"/>
    <n v="27"/>
    <m/>
    <m/>
    <s v="Commented Video"/>
    <x v="0"/>
    <s v="It´s possible to select posts by date from FB? I´m new in NodeXL And I need to know it..."/>
    <s v="UCDCjHgdB_5n2ppVPI3Vt8Ew"/>
    <s v="Daniel Ayala Quispe"/>
    <s v="http://www.youtube.com/channel/UCDCjHgdB_5n2ppVPI3Vt8Ew"/>
    <m/>
    <s v="39yXz72qdow"/>
    <s v="https://www.youtube.com/watch?v=39yXz72qdow"/>
    <s v="none"/>
    <n v="0"/>
    <x v="24"/>
    <d v="2016-05-23T23:30:34.000"/>
    <m/>
    <m/>
    <s v=""/>
    <n v="1"/>
    <s v="9"/>
    <s v="9"/>
    <n v="0"/>
    <n v="0"/>
    <n v="0"/>
    <n v="0"/>
    <n v="0"/>
    <n v="0"/>
    <n v="21"/>
    <n v="100"/>
    <n v="21"/>
  </r>
  <r>
    <s v="UCYL-NgWVd0Ebir7pXVsMB2w"/>
    <s v="UCo4986VKClJt42gAAOHqWtQ"/>
    <m/>
    <m/>
    <m/>
    <m/>
    <m/>
    <m/>
    <m/>
    <m/>
    <s v="No"/>
    <n v="28"/>
    <m/>
    <m/>
    <s v="Commented Video"/>
    <x v="0"/>
    <s v="this is not up-to-date...."/>
    <s v="UCYL-NgWVd0Ebir7pXVsMB2w"/>
    <s v="rapidminerprojects iran"/>
    <s v="http://www.youtube.com/channel/UCYL-NgWVd0Ebir7pXVsMB2w"/>
    <m/>
    <s v="39yXz72qdow"/>
    <s v="https://www.youtube.com/watch?v=39yXz72qdow"/>
    <s v="none"/>
    <n v="0"/>
    <x v="25"/>
    <d v="2016-08-08T10:41:40.000"/>
    <m/>
    <m/>
    <s v=""/>
    <n v="1"/>
    <s v="9"/>
    <s v="9"/>
    <n v="0"/>
    <n v="0"/>
    <n v="0"/>
    <n v="0"/>
    <n v="0"/>
    <n v="0"/>
    <n v="6"/>
    <n v="100"/>
    <n v="6"/>
  </r>
  <r>
    <s v="UCg66xuzMQIOjiGIT5PMHOcw"/>
    <s v="UCo6gG1_nUsjZvN4gMpjdGZA"/>
    <m/>
    <m/>
    <m/>
    <m/>
    <m/>
    <m/>
    <m/>
    <m/>
    <s v="No"/>
    <n v="29"/>
    <m/>
    <m/>
    <s v="Replied Comment"/>
    <x v="1"/>
    <s v="Having the same issue ... what&amp;#39;s the way out please"/>
    <s v="UCg66xuzMQIOjiGIT5PMHOcw"/>
    <s v="Yahaya Musa Kayode"/>
    <s v="http://www.youtube.com/channel/UCg66xuzMQIOjiGIT5PMHOcw"/>
    <s v="Ugj7qltlvCkU5XgCoAEC"/>
    <s v="39yXz72qdow"/>
    <s v="https://www.youtube.com/watch?v=39yXz72qdow"/>
    <s v="none"/>
    <n v="0"/>
    <x v="26"/>
    <d v="2018-08-12T22:51:51.000"/>
    <m/>
    <m/>
    <s v=""/>
    <n v="1"/>
    <s v="9"/>
    <s v="9"/>
    <n v="0"/>
    <n v="0"/>
    <n v="1"/>
    <n v="9.090909090909092"/>
    <n v="0"/>
    <n v="0"/>
    <n v="10"/>
    <n v="90.9090909090909"/>
    <n v="11"/>
  </r>
  <r>
    <s v="UCo6gG1_nUsjZvN4gMpjdGZA"/>
    <s v="UCo4986VKClJt42gAAOHqWtQ"/>
    <m/>
    <m/>
    <m/>
    <m/>
    <m/>
    <m/>
    <m/>
    <m/>
    <s v="No"/>
    <n v="30"/>
    <m/>
    <m/>
    <s v="Commented Video"/>
    <x v="0"/>
    <s v="Hiiii,  Please help  me . Its Urgent. When i am trying above one. it is showing me error &amp;quot;There is no Twitter user with that screen name&amp;quot;.  i am trying it on Microsoft office 2007. is their some version specific requirement.Please help  me ."/>
    <s v="UCo6gG1_nUsjZvN4gMpjdGZA"/>
    <s v="Arvind Goyal"/>
    <s v="http://www.youtube.com/channel/UCo6gG1_nUsjZvN4gMpjdGZA"/>
    <m/>
    <s v="39yXz72qdow"/>
    <s v="https://www.youtube.com/watch?v=39yXz72qdow"/>
    <s v="none"/>
    <n v="0"/>
    <x v="27"/>
    <d v="2017-07-19T06:30:36.000"/>
    <m/>
    <m/>
    <s v=""/>
    <n v="1"/>
    <s v="9"/>
    <s v="9"/>
    <n v="0"/>
    <n v="0"/>
    <n v="2"/>
    <n v="4.444444444444445"/>
    <n v="0"/>
    <n v="0"/>
    <n v="43"/>
    <n v="95.55555555555556"/>
    <n v="45"/>
  </r>
  <r>
    <s v="UCJNdQJZz7IuBgHWIIoJBvJg"/>
    <s v="UCerAw4EfTOnYYxLLPZAzMxQ"/>
    <m/>
    <m/>
    <m/>
    <m/>
    <m/>
    <m/>
    <m/>
    <m/>
    <s v="No"/>
    <n v="31"/>
    <m/>
    <m/>
    <s v="Commented Video"/>
    <x v="0"/>
    <s v=" thank you for your well paced and thorough introduction Professor Cook.  Can you please advise me on any communities that focus on SNA for brand communities? I work in digital brand strategy and am keen to use experimental techniques. my email is mlwrose@gmail.com or twitter @mattrose_rsa. thank you."/>
    <s v="UCJNdQJZz7IuBgHWIIoJBvJg"/>
    <s v="M"/>
    <s v="http://www.youtube.com/channel/UCJNdQJZz7IuBgHWIIoJBvJg"/>
    <m/>
    <s v="vp7VXgvVAPg"/>
    <s v="https://www.youtube.com/watch?v=vp7VXgvVAPg"/>
    <s v="none"/>
    <n v="0"/>
    <x v="28"/>
    <d v="2013-02-14T10:56:02.000"/>
    <m/>
    <m/>
    <s v=""/>
    <n v="1"/>
    <s v="1"/>
    <s v="1"/>
    <n v="5"/>
    <n v="10"/>
    <n v="0"/>
    <n v="0"/>
    <n v="0"/>
    <n v="0"/>
    <n v="45"/>
    <n v="90"/>
    <n v="50"/>
  </r>
  <r>
    <s v="UCDmMHvluQEXqJgF4docP0yA"/>
    <s v="UC5J008IAlx4366lCisVipIg"/>
    <m/>
    <m/>
    <m/>
    <m/>
    <m/>
    <m/>
    <m/>
    <m/>
    <s v="No"/>
    <n v="32"/>
    <m/>
    <m/>
    <s v="Replied Comment"/>
    <x v="1"/>
    <s v="Is there any way to look at the Twitter user network with the updated version? I&amp;#39;d like to do the analysis you did in the first portion of the video but can&amp;#39;t find a way to generate the same type of data you got using the new import feature. I found this article that talks about updates since June 2013. &lt;a href=&quot;https://www.connectedaction.net/new-nodexl-updates-twitter-user-and-list-importer/&quot;&gt;https://www.connectedaction.net/new-nodexl-updates-twitter-user-and-list-importer/&lt;/a&gt;"/>
    <s v="UCDmMHvluQEXqJgF4docP0yA"/>
    <s v="Rosalie Aguilar"/>
    <s v="http://www.youtube.com/channel/UCDmMHvluQEXqJgF4docP0yA"/>
    <s v="UgwumINODDc_l1ragCl4AaABAg"/>
    <s v="vp7VXgvVAPg"/>
    <s v="https://www.youtube.com/watch?v=vp7VXgvVAPg"/>
    <s v="none"/>
    <n v="0"/>
    <x v="29"/>
    <d v="2017-10-19T17:22:23.000"/>
    <s v=" https://www.connectedaction.net/new-nodexl-updates-twitter-user-and-list-importer/ https://www.connectedaction.net/new-nodexl-updates-twitter-user-and-list-importer/"/>
    <s v="connectedaction.net connectedaction.net"/>
    <s v=""/>
    <n v="1"/>
    <s v="22"/>
    <s v="22"/>
    <n v="1"/>
    <n v="1.098901098901099"/>
    <n v="0"/>
    <n v="0"/>
    <n v="0"/>
    <n v="0"/>
    <n v="90"/>
    <n v="98.9010989010989"/>
    <n v="91"/>
  </r>
  <r>
    <s v="UC5J008IAlx4366lCisVipIg"/>
    <s v="UCerAw4EfTOnYYxLLPZAzMxQ"/>
    <m/>
    <m/>
    <m/>
    <m/>
    <m/>
    <m/>
    <m/>
    <m/>
    <s v="No"/>
    <n v="33"/>
    <m/>
    <m/>
    <s v="Commented Video"/>
    <x v="0"/>
    <s v="great demo :)_x000a_"/>
    <s v="UC5J008IAlx4366lCisVipIg"/>
    <s v="seemel akhtar"/>
    <s v="http://www.youtube.com/channel/UC5J008IAlx4366lCisVipIg"/>
    <m/>
    <s v="vp7VXgvVAPg"/>
    <s v="https://www.youtube.com/watch?v=vp7VXgvVAPg"/>
    <s v="none"/>
    <n v="0"/>
    <x v="30"/>
    <d v="2013-04-25T12:43:53.000"/>
    <m/>
    <m/>
    <s v=""/>
    <n v="1"/>
    <s v="22"/>
    <s v="1"/>
    <n v="1"/>
    <n v="50"/>
    <n v="0"/>
    <n v="0"/>
    <n v="0"/>
    <n v="0"/>
    <n v="1"/>
    <n v="50"/>
    <n v="2"/>
  </r>
  <r>
    <s v="UCPvgd5mNI79yGYL0hJAKReA"/>
    <s v="UCerAw4EfTOnYYxLLPZAzMxQ"/>
    <m/>
    <m/>
    <m/>
    <m/>
    <m/>
    <m/>
    <m/>
    <m/>
    <s v="No"/>
    <n v="34"/>
    <m/>
    <m/>
    <s v="Commented Video"/>
    <x v="0"/>
    <s v="Thank you for the step-by-step guide throughout your lecture on NodeXL. It was very helpful to get my feet wet in the field!"/>
    <s v="UCPvgd5mNI79yGYL0hJAKReA"/>
    <s v="Christina Cha"/>
    <s v="http://www.youtube.com/channel/UCPvgd5mNI79yGYL0hJAKReA"/>
    <m/>
    <s v="vp7VXgvVAPg"/>
    <s v="https://www.youtube.com/watch?v=vp7VXgvVAPg"/>
    <s v="none"/>
    <n v="0"/>
    <x v="31"/>
    <d v="2013-05-24T23:40:51.000"/>
    <m/>
    <m/>
    <s v=""/>
    <n v="1"/>
    <s v="1"/>
    <s v="1"/>
    <n v="2"/>
    <n v="8"/>
    <n v="0"/>
    <n v="0"/>
    <n v="0"/>
    <n v="0"/>
    <n v="23"/>
    <n v="92"/>
    <n v="25"/>
  </r>
  <r>
    <s v="UCerAw4EfTOnYYxLLPZAzMxQ"/>
    <s v="UC8CPBnQ5vh85_8cwZ6gRFBQ"/>
    <m/>
    <m/>
    <m/>
    <m/>
    <m/>
    <m/>
    <m/>
    <m/>
    <s v="Yes"/>
    <n v="35"/>
    <m/>
    <m/>
    <s v="Replied Comment"/>
    <x v="1"/>
    <s v="Mr. Dumitru, if you have Twitter data already stored in an Excel file, you can import it into an analytical program for analysis (R, Stata, Systat, UCINET).  What is the structure of your data?"/>
    <s v="UCerAw4EfTOnYYxLLPZAzMxQ"/>
    <s v="James Cook"/>
    <s v="http://www.youtube.com/channel/UCerAw4EfTOnYYxLLPZAzMxQ"/>
    <s v="UghgU3_GX8nRnngCoAEC"/>
    <s v="vp7VXgvVAPg"/>
    <s v="https://www.youtube.com/watch?v=vp7VXgvVAPg"/>
    <s v="none"/>
    <n v="0"/>
    <x v="32"/>
    <d v="2013-12-12T14:11:22.000"/>
    <m/>
    <m/>
    <s v=""/>
    <n v="2"/>
    <s v="1"/>
    <s v="1"/>
    <n v="1"/>
    <n v="2.9411764705882355"/>
    <n v="0"/>
    <n v="0"/>
    <n v="0"/>
    <n v="0"/>
    <n v="33"/>
    <n v="97.05882352941177"/>
    <n v="34"/>
  </r>
  <r>
    <s v="UC8CPBnQ5vh85_8cwZ6gRFBQ"/>
    <s v="UC8CPBnQ5vh85_8cwZ6gRFBQ"/>
    <m/>
    <m/>
    <m/>
    <m/>
    <m/>
    <m/>
    <m/>
    <m/>
    <s v="No"/>
    <n v="36"/>
    <m/>
    <m/>
    <s v="Replied Comment"/>
    <x v="1"/>
    <s v="@James Cook Dear Mr Cook,&lt;br&gt;&lt;br&gt;Thank you for replying. The data were collected manually since there is no tool suitable to collect and store it in the format I wanted. The data, covering the full year of 2012, are stored in a excel file with the following column headers: &lt;br&gt;Date&lt;br&gt;Time&lt;br&gt;Lg&lt;br&gt;Tweet content&lt;br&gt;#&lt;br&gt;Mentions tweet body&lt;br&gt;Link&lt;br&gt;Cc&lt;br&gt;RT&lt;br&gt;RT author&lt;br&gt;Fav&lt;br&gt;Fv author&lt;br&gt;Mentions&lt;br&gt;Replies&lt;br&gt;Who replied&lt;br&gt;Reply content&lt;br&gt;&lt;br&gt;Best regards,"/>
    <s v="UC8CPBnQ5vh85_8cwZ6gRFBQ"/>
    <s v="Petru Dumitru"/>
    <s v="http://www.youtube.com/channel/UC8CPBnQ5vh85_8cwZ6gRFBQ"/>
    <s v="UghgU3_GX8nRnngCoAEC"/>
    <s v="vp7VXgvVAPg"/>
    <s v="https://www.youtube.com/watch?v=vp7VXgvVAPg"/>
    <s v="none"/>
    <n v="0"/>
    <x v="33"/>
    <d v="2013-12-12T14:47:02.000"/>
    <m/>
    <m/>
    <s v=""/>
    <n v="1"/>
    <s v="1"/>
    <s v="1"/>
    <n v="5"/>
    <n v="5.376344086021505"/>
    <n v="0"/>
    <n v="0"/>
    <n v="0"/>
    <n v="0"/>
    <n v="88"/>
    <n v="94.6236559139785"/>
    <n v="93"/>
  </r>
  <r>
    <s v="UCerAw4EfTOnYYxLLPZAzMxQ"/>
    <s v="UC8CPBnQ5vh85_8cwZ6gRFBQ"/>
    <m/>
    <m/>
    <m/>
    <m/>
    <m/>
    <m/>
    <m/>
    <m/>
    <s v="Yes"/>
    <n v="37"/>
    <m/>
    <m/>
    <s v="Replied Comment"/>
    <x v="1"/>
    <s v="@Petru Dumitru It looks like you have a number of implicit ties (or &amp;quot;edges&amp;quot;) in each row of data: from the original author to a retweet author; from the original author to a favorite author.  If you want to import this into NodeXL, you might want to find a way (manually, if you have a small data set) to separate out each of those edges into an edge list, perhaps one for the retweeting relation and one for the favoriting relation.  (Of course, what you choose to do depends on what your research question is.)"/>
    <s v="UCerAw4EfTOnYYxLLPZAzMxQ"/>
    <s v="James Cook"/>
    <s v="http://www.youtube.com/channel/UCerAw4EfTOnYYxLLPZAzMxQ"/>
    <s v="UghgU3_GX8nRnngCoAEC"/>
    <s v="vp7VXgvVAPg"/>
    <s v="https://www.youtube.com/watch?v=vp7VXgvVAPg"/>
    <s v="none"/>
    <n v="0"/>
    <x v="34"/>
    <d v="2013-12-12T16:00:51.000"/>
    <m/>
    <m/>
    <s v=""/>
    <n v="2"/>
    <s v="1"/>
    <s v="1"/>
    <n v="2"/>
    <n v="2.0618556701030926"/>
    <n v="0"/>
    <n v="0"/>
    <n v="0"/>
    <n v="0"/>
    <n v="95"/>
    <n v="97.9381443298969"/>
    <n v="97"/>
  </r>
  <r>
    <s v="UC8CPBnQ5vh85_8cwZ6gRFBQ"/>
    <s v="UCerAw4EfTOnYYxLLPZAzMxQ"/>
    <m/>
    <m/>
    <m/>
    <m/>
    <m/>
    <m/>
    <m/>
    <m/>
    <s v="Yes"/>
    <n v="38"/>
    <m/>
    <m/>
    <s v="Commented Video"/>
    <x v="0"/>
    <s v="Thank you, Mr Cook. What about handling Twitter data already stored into an excel file? "/>
    <s v="UC8CPBnQ5vh85_8cwZ6gRFBQ"/>
    <s v="Petru Dumitru"/>
    <s v="http://www.youtube.com/channel/UC8CPBnQ5vh85_8cwZ6gRFBQ"/>
    <m/>
    <s v="vp7VXgvVAPg"/>
    <s v="https://www.youtube.com/watch?v=vp7VXgvVAPg"/>
    <s v="none"/>
    <n v="0"/>
    <x v="35"/>
    <d v="2013-12-12T06:46:55.000"/>
    <m/>
    <m/>
    <s v=""/>
    <n v="1"/>
    <s v="1"/>
    <s v="1"/>
    <n v="2"/>
    <n v="13.333333333333334"/>
    <n v="0"/>
    <n v="0"/>
    <n v="0"/>
    <n v="0"/>
    <n v="13"/>
    <n v="86.66666666666667"/>
    <n v="15"/>
  </r>
  <r>
    <s v="UCqV3NeKeh8lNw8bLTheL24g"/>
    <s v="UCo4986VKClJt42gAAOHqWtQ"/>
    <m/>
    <m/>
    <m/>
    <m/>
    <m/>
    <m/>
    <m/>
    <m/>
    <s v="No"/>
    <n v="39"/>
    <m/>
    <m/>
    <s v="Commented Video"/>
    <x v="0"/>
    <s v="Hi!!  I want to download attributes for the users of a specific facebook fun page, like hometown, gender, birthday etc. But all this collumns in the worksheet are empty (the only attribute collumns that aren&amp;#39;t empty are the First and Last Name). Finally can i download all the attributes or not?"/>
    <s v="UCqV3NeKeh8lNw8bLTheL24g"/>
    <s v="Μιχαήλ Πουλιάσης"/>
    <s v="http://www.youtube.com/channel/UCqV3NeKeh8lNw8bLTheL24g"/>
    <m/>
    <s v="39yXz72qdow"/>
    <s v="https://www.youtube.com/watch?v=39yXz72qdow"/>
    <s v="none"/>
    <n v="0"/>
    <x v="36"/>
    <d v="2016-08-31T12:19:18.000"/>
    <m/>
    <m/>
    <s v=""/>
    <n v="1"/>
    <s v="9"/>
    <s v="9"/>
    <n v="2"/>
    <n v="3.7735849056603774"/>
    <n v="0"/>
    <n v="0"/>
    <n v="0"/>
    <n v="0"/>
    <n v="51"/>
    <n v="96.22641509433963"/>
    <n v="53"/>
  </r>
  <r>
    <s v="UCqV3NeKeh8lNw8bLTheL24g"/>
    <s v="UCerAw4EfTOnYYxLLPZAzMxQ"/>
    <m/>
    <m/>
    <m/>
    <m/>
    <m/>
    <m/>
    <m/>
    <m/>
    <s v="No"/>
    <n v="40"/>
    <m/>
    <m/>
    <s v="Commented Video"/>
    <x v="0"/>
    <s v="Hi Dr James! I want to download attributes for the users of a specific facebook fun page, like hometown, gender, birthday etc. But all this collumns in the worksheet are empty (the only attribute collumns that aren&amp;#39;t empty are the First and Last Name). Finally can i download all the attributes or not?"/>
    <s v="UCqV3NeKeh8lNw8bLTheL24g"/>
    <s v="Μιχαήλ Πουλιάσης"/>
    <s v="http://www.youtube.com/channel/UCqV3NeKeh8lNw8bLTheL24g"/>
    <m/>
    <s v="vp7VXgvVAPg"/>
    <s v="https://www.youtube.com/watch?v=vp7VXgvVAPg"/>
    <s v="none"/>
    <n v="1"/>
    <x v="37"/>
    <d v="2016-08-31T12:20:57.000"/>
    <m/>
    <m/>
    <s v=""/>
    <n v="1"/>
    <s v="9"/>
    <s v="1"/>
    <n v="2"/>
    <n v="3.6363636363636362"/>
    <n v="0"/>
    <n v="0"/>
    <n v="0"/>
    <n v="0"/>
    <n v="53"/>
    <n v="96.36363636363636"/>
    <n v="55"/>
  </r>
  <r>
    <s v="UCerAw4EfTOnYYxLLPZAzMxQ"/>
    <s v="UCadohWhKjy8YKkiOeKLb_jA"/>
    <m/>
    <m/>
    <m/>
    <m/>
    <m/>
    <m/>
    <m/>
    <m/>
    <s v="Yes"/>
    <n v="41"/>
    <m/>
    <m/>
    <s v="Replied Comment"/>
    <x v="1"/>
    <s v="Hello, Alicia.  I might be missing something in what you intend to do, but if you&amp;#39;re only looking at one tweet by one account and its replies, the simplest thing to do would be to go to Twitter and just look up that tweet.  All the replies will be listed underneath that tweet."/>
    <s v="UCerAw4EfTOnYYxLLPZAzMxQ"/>
    <s v="James Cook"/>
    <s v="http://www.youtube.com/channel/UCerAw4EfTOnYYxLLPZAzMxQ"/>
    <s v="UgzTxYmvboeRWeWUopF4AaABAg"/>
    <s v="vp7VXgvVAPg"/>
    <s v="https://www.youtube.com/watch?v=vp7VXgvVAPg"/>
    <s v="none"/>
    <n v="0"/>
    <x v="38"/>
    <d v="2018-03-23T13:11:16.000"/>
    <m/>
    <m/>
    <s v=""/>
    <n v="2"/>
    <s v="1"/>
    <s v="1"/>
    <n v="1"/>
    <n v="1.8181818181818181"/>
    <n v="0"/>
    <n v="0"/>
    <n v="0"/>
    <n v="0"/>
    <n v="54"/>
    <n v="98.18181818181819"/>
    <n v="55"/>
  </r>
  <r>
    <s v="UCadohWhKjy8YKkiOeKLb_jA"/>
    <s v="UCadohWhKjy8YKkiOeKLb_jA"/>
    <m/>
    <m/>
    <m/>
    <m/>
    <m/>
    <m/>
    <m/>
    <m/>
    <s v="No"/>
    <n v="42"/>
    <m/>
    <m/>
    <s v="Replied Comment"/>
    <x v="1"/>
    <s v="Hi James, I am a PhD student and I would like to analyze controversial tweets which caused lots of different reactions, so what I would need to collect are specifid tweets which were published by other accounts maybe years ago and all the different replies to that specific tweet (I am talking about more tan 500 replies), I tried a software to download the comments and I was able to download only the tweets from an account not the replies to the comments. I hope now I explained myself, thanks in advance."/>
    <s v="UCadohWhKjy8YKkiOeKLb_jA"/>
    <s v="Alicia Bernal"/>
    <s v="http://www.youtube.com/channel/UCadohWhKjy8YKkiOeKLb_jA"/>
    <s v="UgzTxYmvboeRWeWUopF4AaABAg"/>
    <s v="vp7VXgvVAPg"/>
    <s v="https://www.youtube.com/watch?v=vp7VXgvVAPg"/>
    <s v="none"/>
    <n v="0"/>
    <x v="39"/>
    <d v="2018-03-23T18:55:25.000"/>
    <m/>
    <m/>
    <s v=""/>
    <n v="2"/>
    <s v="1"/>
    <s v="1"/>
    <n v="1"/>
    <n v="1.0869565217391304"/>
    <n v="1"/>
    <n v="1.0869565217391304"/>
    <n v="0"/>
    <n v="0"/>
    <n v="90"/>
    <n v="97.82608695652173"/>
    <n v="92"/>
  </r>
  <r>
    <s v="UCerAw4EfTOnYYxLLPZAzMxQ"/>
    <s v="UCadohWhKjy8YKkiOeKLb_jA"/>
    <m/>
    <m/>
    <m/>
    <m/>
    <m/>
    <m/>
    <m/>
    <m/>
    <s v="Yes"/>
    <n v="43"/>
    <m/>
    <m/>
    <s v="Replied Comment"/>
    <x v="1"/>
    <s v="Ah, I see.  NodeXL isn&amp;#39;t really a good option for this, unfortunately.  Have you looked into the TwitteR package for the statistical program R?"/>
    <s v="UCerAw4EfTOnYYxLLPZAzMxQ"/>
    <s v="James Cook"/>
    <s v="http://www.youtube.com/channel/UCerAw4EfTOnYYxLLPZAzMxQ"/>
    <s v="UgzTxYmvboeRWeWUopF4AaABAg"/>
    <s v="vp7VXgvVAPg"/>
    <s v="https://www.youtube.com/watch?v=vp7VXgvVAPg"/>
    <s v="none"/>
    <n v="0"/>
    <x v="40"/>
    <d v="2018-03-26T00:26:07.000"/>
    <m/>
    <m/>
    <s v=""/>
    <n v="2"/>
    <s v="1"/>
    <s v="1"/>
    <n v="1"/>
    <n v="3.8461538461538463"/>
    <n v="1"/>
    <n v="3.8461538461538463"/>
    <n v="0"/>
    <n v="0"/>
    <n v="24"/>
    <n v="92.3076923076923"/>
    <n v="26"/>
  </r>
  <r>
    <s v="UCadohWhKjy8YKkiOeKLb_jA"/>
    <s v="UCadohWhKjy8YKkiOeKLb_jA"/>
    <m/>
    <m/>
    <m/>
    <m/>
    <m/>
    <m/>
    <m/>
    <m/>
    <s v="No"/>
    <n v="44"/>
    <m/>
    <m/>
    <s v="Replied Comment"/>
    <x v="1"/>
    <s v="I wil check. Thanks for your help"/>
    <s v="UCadohWhKjy8YKkiOeKLb_jA"/>
    <s v="Alicia Bernal"/>
    <s v="http://www.youtube.com/channel/UCadohWhKjy8YKkiOeKLb_jA"/>
    <s v="UgzTxYmvboeRWeWUopF4AaABAg"/>
    <s v="vp7VXgvVAPg"/>
    <s v="https://www.youtube.com/watch?v=vp7VXgvVAPg"/>
    <s v="none"/>
    <n v="0"/>
    <x v="41"/>
    <d v="2018-03-27T20:45:52.000"/>
    <m/>
    <m/>
    <s v=""/>
    <n v="2"/>
    <s v="1"/>
    <s v="1"/>
    <n v="0"/>
    <n v="0"/>
    <n v="0"/>
    <n v="0"/>
    <n v="0"/>
    <n v="0"/>
    <n v="7"/>
    <n v="100"/>
    <n v="7"/>
  </r>
  <r>
    <s v="UCadohWhKjy8YKkiOeKLb_jA"/>
    <s v="UCerAw4EfTOnYYxLLPZAzMxQ"/>
    <m/>
    <m/>
    <m/>
    <m/>
    <m/>
    <m/>
    <m/>
    <m/>
    <s v="Yes"/>
    <n v="45"/>
    <m/>
    <m/>
    <s v="Commented Video"/>
    <x v="0"/>
    <s v="Thanks for your video Mr. Cook, I would like to know if there is an option to import the replies from a specific tweet of and specific Twitter account, I need to analyze the replies to only one coment. Could you please help me with this? Thanks in advance!"/>
    <s v="UCadohWhKjy8YKkiOeKLb_jA"/>
    <s v="Alicia Bernal"/>
    <s v="http://www.youtube.com/channel/UCadohWhKjy8YKkiOeKLb_jA"/>
    <m/>
    <s v="vp7VXgvVAPg"/>
    <s v="https://www.youtube.com/watch?v=vp7VXgvVAPg"/>
    <s v="none"/>
    <n v="0"/>
    <x v="42"/>
    <d v="2018-03-22T20:46:11.000"/>
    <m/>
    <m/>
    <s v=""/>
    <n v="1"/>
    <s v="1"/>
    <s v="1"/>
    <n v="1"/>
    <n v="2.0408163265306123"/>
    <n v="0"/>
    <n v="0"/>
    <n v="0"/>
    <n v="0"/>
    <n v="48"/>
    <n v="97.95918367346938"/>
    <n v="49"/>
  </r>
  <r>
    <s v="UCRplO5uLNC-QOf4ZxjI6OaA"/>
    <s v="UCudmJpNyT3lLYSTkmkhDm8w"/>
    <m/>
    <m/>
    <m/>
    <m/>
    <m/>
    <m/>
    <m/>
    <m/>
    <s v="No"/>
    <n v="46"/>
    <m/>
    <m/>
    <s v="Commented Video"/>
    <x v="0"/>
    <s v="mantab kak...mana yg vide 2 kak?"/>
    <s v="UCRplO5uLNC-QOf4ZxjI6OaA"/>
    <s v="ali [علي] 阿里 Maksum"/>
    <s v="http://www.youtube.com/channel/UCRplO5uLNC-QOf4ZxjI6OaA"/>
    <m/>
    <s v="hVfI1U7uHR4"/>
    <s v="https://www.youtube.com/watch?v=hVfI1U7uHR4"/>
    <s v="none"/>
    <n v="0"/>
    <x v="43"/>
    <d v="2019-05-08T08:17:27.000"/>
    <m/>
    <m/>
    <s v=""/>
    <n v="1"/>
    <s v="13"/>
    <s v="13"/>
    <n v="0"/>
    <n v="0"/>
    <n v="0"/>
    <n v="0"/>
    <n v="0"/>
    <n v="0"/>
    <n v="7"/>
    <n v="100"/>
    <n v="7"/>
  </r>
  <r>
    <s v="UCRwYXX2La_JD4KoA6hZqIYw"/>
    <s v="UCudmJpNyT3lLYSTkmkhDm8w"/>
    <m/>
    <m/>
    <m/>
    <m/>
    <m/>
    <m/>
    <m/>
    <m/>
    <s v="No"/>
    <n v="47"/>
    <m/>
    <m/>
    <s v="Commented Video"/>
    <x v="0"/>
    <s v="Terima kasih"/>
    <s v="UCRwYXX2La_JD4KoA6hZqIYw"/>
    <s v="Agung Purnomo"/>
    <s v="http://www.youtube.com/channel/UCRwYXX2La_JD4KoA6hZqIYw"/>
    <m/>
    <s v="hVfI1U7uHR4"/>
    <s v="https://www.youtube.com/watch?v=hVfI1U7uHR4"/>
    <s v="none"/>
    <n v="0"/>
    <x v="44"/>
    <d v="2019-10-21T04:51:13.000"/>
    <m/>
    <m/>
    <s v=""/>
    <n v="1"/>
    <s v="13"/>
    <s v="13"/>
    <n v="0"/>
    <n v="0"/>
    <n v="0"/>
    <n v="0"/>
    <n v="0"/>
    <n v="0"/>
    <n v="2"/>
    <n v="100"/>
    <n v="2"/>
  </r>
  <r>
    <s v="UCOosNpm4X6UrnhAUxCEKY8A"/>
    <s v="UCudmJpNyT3lLYSTkmkhDm8w"/>
    <m/>
    <m/>
    <m/>
    <m/>
    <m/>
    <m/>
    <m/>
    <m/>
    <s v="No"/>
    <n v="48"/>
    <m/>
    <m/>
    <s v="Commented Video"/>
    <x v="0"/>
    <s v="kak, ada link atau tutor buat instal nodeXLnya ngga?"/>
    <s v="UCOosNpm4X6UrnhAUxCEKY8A"/>
    <s v="dinda futhikhumaira"/>
    <s v="http://www.youtube.com/channel/UCOosNpm4X6UrnhAUxCEKY8A"/>
    <m/>
    <s v="hVfI1U7uHR4"/>
    <s v="https://www.youtube.com/watch?v=hVfI1U7uHR4"/>
    <s v="none"/>
    <n v="1"/>
    <x v="45"/>
    <d v="2021-09-27T13:02:20.000"/>
    <m/>
    <m/>
    <s v=""/>
    <n v="1"/>
    <s v="13"/>
    <s v="13"/>
    <n v="0"/>
    <n v="0"/>
    <n v="0"/>
    <n v="0"/>
    <n v="0"/>
    <n v="0"/>
    <n v="9"/>
    <n v="100"/>
    <n v="9"/>
  </r>
  <r>
    <s v="UCLIhyce5kxvdas1PvQVkSkg"/>
    <s v="UCerAw4EfTOnYYxLLPZAzMxQ"/>
    <m/>
    <m/>
    <m/>
    <m/>
    <m/>
    <m/>
    <m/>
    <m/>
    <s v="No"/>
    <n v="49"/>
    <m/>
    <m/>
    <s v="Commented Video"/>
    <x v="0"/>
    <s v="I really appreciate this, much thanks for putting this out there! :) May I please request that you shoot videos in the future perhaps with the Cobalt package in R, the white and black don&amp;#39;t fare well with my dyslexia. Different colour schemes and closer-up windows also make for less visual stress. Of course, this is for Augusta so I understand either way and am grateful just to have access to this."/>
    <s v="UCLIhyce5kxvdas1PvQVkSkg"/>
    <s v="Fond Thinker"/>
    <s v="http://www.youtube.com/channel/UCLIhyce5kxvdas1PvQVkSkg"/>
    <m/>
    <s v="bCENPBWjEaE"/>
    <s v="https://www.youtube.com/watch?v=bCENPBWjEaE"/>
    <s v="none"/>
    <n v="0"/>
    <x v="46"/>
    <d v="2021-04-25T15:55:27.000"/>
    <m/>
    <m/>
    <s v=""/>
    <n v="1"/>
    <s v="1"/>
    <s v="1"/>
    <n v="3"/>
    <n v="4.054054054054054"/>
    <n v="1"/>
    <n v="1.3513513513513513"/>
    <n v="0"/>
    <n v="0"/>
    <n v="70"/>
    <n v="94.5945945945946"/>
    <n v="74"/>
  </r>
  <r>
    <s v="UCOAzGG0Pm_MiO-SQ2Dc-Wdg"/>
    <s v="UCerAw4EfTOnYYxLLPZAzMxQ"/>
    <m/>
    <m/>
    <m/>
    <m/>
    <m/>
    <m/>
    <m/>
    <m/>
    <s v="Yes"/>
    <n v="50"/>
    <m/>
    <m/>
    <s v="Commented Video"/>
    <x v="0"/>
    <s v="Thank you for this video. But I can download historical tweets from a previous timeline? Can you please share codes of collecting historical tweets from an specific timeline?"/>
    <s v="UCOAzGG0Pm_MiO-SQ2Dc-Wdg"/>
    <s v="Zahed Arman"/>
    <s v="http://www.youtube.com/channel/UCOAzGG0Pm_MiO-SQ2Dc-Wdg"/>
    <m/>
    <s v="bCENPBWjEaE"/>
    <s v="https://www.youtube.com/watch?v=bCENPBWjEaE"/>
    <s v="none"/>
    <n v="0"/>
    <x v="47"/>
    <d v="2021-05-06T22:02:17.000"/>
    <m/>
    <m/>
    <s v=""/>
    <n v="2"/>
    <s v="1"/>
    <s v="1"/>
    <n v="1"/>
    <n v="3.5714285714285716"/>
    <n v="0"/>
    <n v="0"/>
    <n v="0"/>
    <n v="0"/>
    <n v="27"/>
    <n v="96.42857142857143"/>
    <n v="28"/>
  </r>
  <r>
    <s v="UCerAw4EfTOnYYxLLPZAzMxQ"/>
    <s v="UCOAzGG0Pm_MiO-SQ2Dc-Wdg"/>
    <m/>
    <m/>
    <m/>
    <m/>
    <m/>
    <m/>
    <m/>
    <m/>
    <s v="Yes"/>
    <n v="51"/>
    <m/>
    <m/>
    <s v="Replied Comment"/>
    <x v="1"/>
    <s v="to do this, you&amp;#39;d need to apply for special privileges at &lt;a href=&quot;http://developer.twitter.com/&quot;&gt;developer.twitter.com&lt;/a&gt;."/>
    <s v="UCerAw4EfTOnYYxLLPZAzMxQ"/>
    <s v="James Cook"/>
    <s v="http://www.youtube.com/channel/UCerAw4EfTOnYYxLLPZAzMxQ"/>
    <s v="Ugw82uvq2WwXsJNkNe54AaABAg"/>
    <s v="bCENPBWjEaE"/>
    <s v="https://www.youtube.com/watch?v=bCENPBWjEaE"/>
    <s v="none"/>
    <n v="0"/>
    <x v="48"/>
    <d v="2021-05-07T16:57:13.000"/>
    <s v=" http://developer.twitter.com/"/>
    <s v="twitter.com"/>
    <s v=""/>
    <n v="1"/>
    <s v="1"/>
    <s v="1"/>
    <n v="0"/>
    <n v="0"/>
    <n v="0"/>
    <n v="0"/>
    <n v="0"/>
    <n v="0"/>
    <n v="23"/>
    <n v="100"/>
    <n v="23"/>
  </r>
  <r>
    <s v="UCOAzGG0Pm_MiO-SQ2Dc-Wdg"/>
    <s v="UCerAw4EfTOnYYxLLPZAzMxQ"/>
    <m/>
    <m/>
    <m/>
    <m/>
    <m/>
    <m/>
    <m/>
    <m/>
    <s v="Yes"/>
    <n v="52"/>
    <m/>
    <m/>
    <s v="Commented Video"/>
    <x v="0"/>
    <s v="Thank you for this video. But I can download historical tweets from a previous timeline? Can you please share codes of collecting historical tweets from an specific timeline?"/>
    <s v="UCOAzGG0Pm_MiO-SQ2Dc-Wdg"/>
    <s v="Zahed Arman"/>
    <s v="http://www.youtube.com/channel/UCOAzGG0Pm_MiO-SQ2Dc-Wdg"/>
    <m/>
    <s v="bCENPBWjEaE"/>
    <s v="https://www.youtube.com/watch?v=bCENPBWjEaE"/>
    <s v="none"/>
    <n v="0"/>
    <x v="49"/>
    <d v="2021-05-06T22:03:15.000"/>
    <m/>
    <m/>
    <s v=""/>
    <n v="2"/>
    <s v="1"/>
    <s v="1"/>
    <n v="1"/>
    <n v="3.5714285714285716"/>
    <n v="0"/>
    <n v="0"/>
    <n v="0"/>
    <n v="0"/>
    <n v="27"/>
    <n v="96.42857142857143"/>
    <n v="28"/>
  </r>
  <r>
    <s v="UCuh2m_8m5pUxe9NMlGxQ1dQ"/>
    <s v="UCerAw4EfTOnYYxLLPZAzMxQ"/>
    <m/>
    <m/>
    <m/>
    <m/>
    <m/>
    <m/>
    <m/>
    <m/>
    <s v="No"/>
    <n v="53"/>
    <m/>
    <m/>
    <s v="Commented Video"/>
    <x v="0"/>
    <s v="This is fantastic, thank you for taking the time to share this!"/>
    <s v="UCuh2m_8m5pUxe9NMlGxQ1dQ"/>
    <s v="Jeffrey Anthony"/>
    <s v="http://www.youtube.com/channel/UCuh2m_8m5pUxe9NMlGxQ1dQ"/>
    <m/>
    <s v="bCENPBWjEaE"/>
    <s v="https://www.youtube.com/watch?v=bCENPBWjEaE"/>
    <s v="none"/>
    <n v="0"/>
    <x v="50"/>
    <d v="2021-05-31T22:01:27.000"/>
    <m/>
    <m/>
    <s v=""/>
    <n v="1"/>
    <s v="1"/>
    <s v="1"/>
    <n v="2"/>
    <n v="16.666666666666668"/>
    <n v="0"/>
    <n v="0"/>
    <n v="0"/>
    <n v="0"/>
    <n v="10"/>
    <n v="83.33333333333333"/>
    <n v="12"/>
  </r>
  <r>
    <s v="UCerAw4EfTOnYYxLLPZAzMxQ"/>
    <s v="UC9LLQRE_1OPkWUCda2b_kmg"/>
    <m/>
    <m/>
    <m/>
    <m/>
    <m/>
    <m/>
    <m/>
    <m/>
    <s v="Yes"/>
    <n v="54"/>
    <m/>
    <m/>
    <s v="Replied Comment"/>
    <x v="1"/>
    <s v="Hello!  Thanks for writing in.  The package twitteR has not been as reliable in use lately as rtweet.  I just ran some rtweet scripts to check and verify that they still work (Twitter can always change an API in ways that temporarily break R packages) -- and for me they do, which suggests that this program may be local for you (or it may be based on the uniqueness of your script).  If you&amp;#39;d like, feel free to send a script to me at james.m.cook@&lt;a href=&quot;http://maine.edu/&quot;&gt;maine.edu&lt;/a&gt; over email. One simple question: with authorization, rtweet generates a pop-up window.  Have you checked to make sure that you haven&amp;#39;t blocked pop-up windows in the browser you&amp;#39;re using?"/>
    <s v="UCerAw4EfTOnYYxLLPZAzMxQ"/>
    <s v="James Cook"/>
    <s v="http://www.youtube.com/channel/UCerAw4EfTOnYYxLLPZAzMxQ"/>
    <s v="UgxYUzqtN3NCCtXTapZ4AaABAg"/>
    <s v="bCENPBWjEaE"/>
    <s v="https://www.youtube.com/watch?v=bCENPBWjEaE"/>
    <s v="none"/>
    <n v="1"/>
    <x v="51"/>
    <d v="2021-11-22T13:48:56.000"/>
    <s v=" http://maine.edu/"/>
    <s v="maine.edu"/>
    <s v=""/>
    <n v="1"/>
    <s v="1"/>
    <s v="1"/>
    <n v="4"/>
    <n v="3.053435114503817"/>
    <n v="1"/>
    <n v="0.7633587786259542"/>
    <n v="0"/>
    <n v="0"/>
    <n v="126"/>
    <n v="96.18320610687023"/>
    <n v="131"/>
  </r>
  <r>
    <s v="UC9LLQRE_1OPkWUCda2b_kmg"/>
    <s v="UCerAw4EfTOnYYxLLPZAzMxQ"/>
    <m/>
    <m/>
    <m/>
    <m/>
    <m/>
    <m/>
    <m/>
    <m/>
    <s v="Yes"/>
    <n v="55"/>
    <m/>
    <m/>
    <s v="Commented Video"/>
    <x v="0"/>
    <s v="Hi James,&lt;br&gt;&lt;br&gt;That’s a great explanation, I have an  issue in getting code using twitteR, rtweet against v2 API. With twitteR I get an error,  OAuth error, incorrectly called  setup_twitter_oauth. With rtweet, i get a 0 value. Almost stuck and frustrated for 3 days now. It’s not hard but I don’t get what’s wrong. Though online platforms solutions didn’t help me. Would you be able to help ?"/>
    <s v="UC9LLQRE_1OPkWUCda2b_kmg"/>
    <s v="sarvanimaheedhara"/>
    <s v="http://www.youtube.com/channel/UC9LLQRE_1OPkWUCda2b_kmg"/>
    <m/>
    <s v="bCENPBWjEaE"/>
    <s v="https://www.youtube.com/watch?v=bCENPBWjEaE"/>
    <s v="none"/>
    <n v="0"/>
    <x v="52"/>
    <d v="2021-11-21T01:20:54.000"/>
    <m/>
    <m/>
    <s v=""/>
    <n v="1"/>
    <s v="1"/>
    <s v="1"/>
    <n v="1"/>
    <n v="1.3513513513513513"/>
    <n v="8"/>
    <n v="10.81081081081081"/>
    <n v="0"/>
    <n v="0"/>
    <n v="65"/>
    <n v="87.83783783783784"/>
    <n v="74"/>
  </r>
  <r>
    <s v="UC2AjGU-bTVnwnKI40ucluew"/>
    <s v="UCRZps3dH47Yd7pj8LmS7vmg"/>
    <m/>
    <m/>
    <m/>
    <m/>
    <m/>
    <m/>
    <m/>
    <m/>
    <s v="No"/>
    <n v="56"/>
    <m/>
    <m/>
    <s v="Commented Video"/>
    <x v="0"/>
    <s v="Fantástico, Tulio! Você tem mais videos ensinando a trabalhar com o NodeXL? Tenho interesse em identificar quais páginas os fãs da minha página seguem, é possível essa análise com o NodeXL?"/>
    <s v="UC2AjGU-bTVnwnKI40ucluew"/>
    <s v="Klinger Lima"/>
    <s v="http://www.youtube.com/channel/UC2AjGU-bTVnwnKI40ucluew"/>
    <m/>
    <s v="x9IzmOWAlnA"/>
    <s v="https://www.youtube.com/watch?v=x9IzmOWAlnA"/>
    <s v="none"/>
    <n v="0"/>
    <x v="53"/>
    <d v="2017-03-02T15:53:11.000"/>
    <m/>
    <m/>
    <s v=""/>
    <n v="1"/>
    <s v="21"/>
    <s v="21"/>
    <n v="0"/>
    <n v="0"/>
    <n v="0"/>
    <n v="0"/>
    <n v="0"/>
    <n v="0"/>
    <n v="31"/>
    <n v="100"/>
    <n v="31"/>
  </r>
  <r>
    <s v="UCh5Vq5sKzfQftZkz3sqj8zQ"/>
    <s v="UCbtGUyX5iHwuOUqh6mKuEvw"/>
    <m/>
    <m/>
    <m/>
    <m/>
    <m/>
    <m/>
    <m/>
    <m/>
    <s v="No"/>
    <n v="57"/>
    <m/>
    <m/>
    <s v="Replied Comment"/>
    <x v="1"/>
    <s v="Infelizmente não fiz a continuação dos videos... =["/>
    <s v="UCh5Vq5sKzfQftZkz3sqj8zQ"/>
    <s v="Max Stabile"/>
    <s v="http://www.youtube.com/channel/UCh5Vq5sKzfQftZkz3sqj8zQ"/>
    <s v="Ugyrqnf8LZWHUYRwKiJ4AaABAg"/>
    <s v="WHociTCrX48"/>
    <s v="https://www.youtube.com/watch?v=WHociTCrX48"/>
    <s v="none"/>
    <n v="0"/>
    <x v="54"/>
    <d v="2017-02-18T21:04:30.000"/>
    <m/>
    <m/>
    <s v=""/>
    <n v="1"/>
    <s v="8"/>
    <s v="8"/>
    <n v="0"/>
    <n v="0"/>
    <n v="0"/>
    <n v="0"/>
    <n v="0"/>
    <n v="0"/>
    <n v="7"/>
    <n v="100"/>
    <n v="7"/>
  </r>
  <r>
    <s v="UCbtGUyX5iHwuOUqh6mKuEvw"/>
    <s v="UCoVrqzF4FU2Lv5vnB_JXchA"/>
    <m/>
    <m/>
    <m/>
    <m/>
    <m/>
    <m/>
    <m/>
    <m/>
    <s v="No"/>
    <n v="58"/>
    <m/>
    <m/>
    <s v="Commented Video"/>
    <x v="0"/>
    <s v="onde ta a continuação desses videos ?"/>
    <s v="UCbtGUyX5iHwuOUqh6mKuEvw"/>
    <s v="Michel Oliveira"/>
    <s v="http://www.youtube.com/channel/UCbtGUyX5iHwuOUqh6mKuEvw"/>
    <m/>
    <s v="WHociTCrX48"/>
    <s v="https://www.youtube.com/watch?v=WHociTCrX48"/>
    <s v="none"/>
    <n v="1"/>
    <x v="55"/>
    <d v="2013-10-27T15:46:36.000"/>
    <m/>
    <m/>
    <s v=""/>
    <n v="1"/>
    <s v="8"/>
    <s v="8"/>
    <n v="0"/>
    <n v="0"/>
    <n v="0"/>
    <n v="0"/>
    <n v="0"/>
    <n v="0"/>
    <n v="6"/>
    <n v="100"/>
    <n v="6"/>
  </r>
  <r>
    <s v="UCh5Vq5sKzfQftZkz3sqj8zQ"/>
    <s v="UCz799FrP_bspgWNMBVRz5JQ"/>
    <m/>
    <m/>
    <m/>
    <m/>
    <m/>
    <m/>
    <m/>
    <m/>
    <s v="No"/>
    <n v="59"/>
    <m/>
    <m/>
    <s v="Replied Comment"/>
    <x v="1"/>
    <s v="Infelizmente não fiz a continuação dos videos... =["/>
    <s v="UCh5Vq5sKzfQftZkz3sqj8zQ"/>
    <s v="Max Stabile"/>
    <s v="http://www.youtube.com/channel/UCh5Vq5sKzfQftZkz3sqj8zQ"/>
    <s v="UgifF8TqLqyg_3gCoAEC"/>
    <s v="WHociTCrX48"/>
    <s v="https://www.youtube.com/watch?v=WHociTCrX48"/>
    <s v="none"/>
    <n v="0"/>
    <x v="56"/>
    <d v="2017-02-18T21:04:24.000"/>
    <m/>
    <m/>
    <s v=""/>
    <n v="1"/>
    <s v="8"/>
    <s v="8"/>
    <n v="0"/>
    <n v="0"/>
    <n v="0"/>
    <n v="0"/>
    <n v="0"/>
    <n v="0"/>
    <n v="7"/>
    <n v="100"/>
    <n v="7"/>
  </r>
  <r>
    <s v="UCz799FrP_bspgWNMBVRz5JQ"/>
    <s v="UCoVrqzF4FU2Lv5vnB_JXchA"/>
    <m/>
    <m/>
    <m/>
    <m/>
    <m/>
    <m/>
    <m/>
    <m/>
    <s v="No"/>
    <n v="60"/>
    <m/>
    <m/>
    <s v="Commented Video"/>
    <x v="0"/>
    <s v="Ola.. tambem gostaria de saber aonde está a continuação do video.. obrigado"/>
    <s v="UCz799FrP_bspgWNMBVRz5JQ"/>
    <s v="SuperMarioVT"/>
    <s v="http://www.youtube.com/channel/UCz799FrP_bspgWNMBVRz5JQ"/>
    <m/>
    <s v="WHociTCrX48"/>
    <s v="https://www.youtube.com/watch?v=WHociTCrX48"/>
    <s v="none"/>
    <n v="1"/>
    <x v="57"/>
    <d v="2014-08-21T05:03:53.000"/>
    <m/>
    <m/>
    <s v=""/>
    <n v="1"/>
    <s v="8"/>
    <s v="8"/>
    <n v="0"/>
    <n v="0"/>
    <n v="0"/>
    <n v="0"/>
    <n v="0"/>
    <n v="0"/>
    <n v="12"/>
    <n v="100"/>
    <n v="12"/>
  </r>
  <r>
    <s v="UCh5Vq5sKzfQftZkz3sqj8zQ"/>
    <s v="UC8VGjN2NAbDcGbnw8kcioqw"/>
    <m/>
    <m/>
    <m/>
    <m/>
    <m/>
    <m/>
    <m/>
    <m/>
    <s v="No"/>
    <n v="61"/>
    <m/>
    <m/>
    <s v="Replied Comment"/>
    <x v="1"/>
    <s v="Oi, André, obrigado. COmo foram os estudos até hoje? Abs"/>
    <s v="UCh5Vq5sKzfQftZkz3sqj8zQ"/>
    <s v="Max Stabile"/>
    <s v="http://www.youtube.com/channel/UCh5Vq5sKzfQftZkz3sqj8zQ"/>
    <s v="UgjUQsL8290inngCoAEC"/>
    <s v="WHociTCrX48"/>
    <s v="https://www.youtube.com/watch?v=WHociTCrX48"/>
    <s v="none"/>
    <n v="0"/>
    <x v="58"/>
    <d v="2017-02-18T21:04:08.000"/>
    <m/>
    <m/>
    <s v=""/>
    <n v="1"/>
    <s v="8"/>
    <s v="8"/>
    <n v="0"/>
    <n v="0"/>
    <n v="0"/>
    <n v="0"/>
    <n v="0"/>
    <n v="0"/>
    <n v="10"/>
    <n v="100"/>
    <n v="10"/>
  </r>
  <r>
    <s v="UC8VGjN2NAbDcGbnw8kcioqw"/>
    <s v="UCoVrqzF4FU2Lv5vnB_JXchA"/>
    <m/>
    <m/>
    <m/>
    <m/>
    <m/>
    <m/>
    <m/>
    <m/>
    <s v="No"/>
    <n v="62"/>
    <m/>
    <m/>
    <s v="Commented Video"/>
    <x v="0"/>
    <s v="Passei aqui para parabenizá-lo pelo vídeo. Estava apanhando muito tentando aprender sozinho alguns procedimentos aqui tratados de forma extremamente simples. Muito obrigado, ajudou muito no prosseguimento de minha pesquisa."/>
    <s v="UC8VGjN2NAbDcGbnw8kcioqw"/>
    <s v="André Jakob"/>
    <s v="http://www.youtube.com/channel/UC8VGjN2NAbDcGbnw8kcioqw"/>
    <m/>
    <s v="WHociTCrX48"/>
    <s v="https://www.youtube.com/watch?v=WHociTCrX48"/>
    <s v="none"/>
    <n v="1"/>
    <x v="59"/>
    <d v="2015-01-04T07:45:35.000"/>
    <m/>
    <m/>
    <s v=""/>
    <n v="1"/>
    <s v="8"/>
    <s v="8"/>
    <n v="0"/>
    <n v="0"/>
    <n v="0"/>
    <n v="0"/>
    <n v="0"/>
    <n v="0"/>
    <n v="30"/>
    <n v="100"/>
    <n v="30"/>
  </r>
  <r>
    <s v="UC3SVNW8fO0QB0VQgw-Cboeg"/>
    <s v="UCB14GBHsqGQ0iUL121nwOKQ"/>
    <m/>
    <m/>
    <m/>
    <m/>
    <m/>
    <m/>
    <m/>
    <m/>
    <s v="No"/>
    <n v="63"/>
    <m/>
    <m/>
    <s v="Replied Comment"/>
    <x v="1"/>
    <s v="+gustavo camargos Olá Gustavo tudo bem? Também estou fazendo um artigo sobre o tema. Te mandei mensagem no fb, dá uma conferida lá. Abraços"/>
    <s v="UC3SVNW8fO0QB0VQgw-Cboeg"/>
    <s v="Bruno VP"/>
    <s v="http://www.youtube.com/channel/UC3SVNW8fO0QB0VQgw-Cboeg"/>
    <s v="UggQXnyZNDpSGXgCoAEC"/>
    <s v="WHociTCrX48"/>
    <s v="https://www.youtube.com/watch?v=WHociTCrX48"/>
    <s v="none"/>
    <n v="1"/>
    <x v="60"/>
    <d v="2015-10-17T19:48:42.000"/>
    <m/>
    <m/>
    <s v=""/>
    <n v="1"/>
    <s v="8"/>
    <s v="8"/>
    <n v="0"/>
    <n v="0"/>
    <n v="0"/>
    <n v="0"/>
    <n v="0"/>
    <n v="0"/>
    <n v="24"/>
    <n v="100"/>
    <n v="24"/>
  </r>
  <r>
    <s v="UCh5Vq5sKzfQftZkz3sqj8zQ"/>
    <s v="UCB14GBHsqGQ0iUL121nwOKQ"/>
    <m/>
    <m/>
    <m/>
    <m/>
    <m/>
    <m/>
    <m/>
    <m/>
    <s v="No"/>
    <n v="64"/>
    <m/>
    <m/>
    <s v="Replied Comment"/>
    <x v="1"/>
    <s v="Oi gente, abandonei o canal há muito tempo. peço desculpas! Estamos trabalhadno agora diretamente no blog do IBPAD &lt;a href=&quot;http://blog.ibpad.com.br&quot;&gt;blog.ibpad.com.br&lt;/a&gt; abs!"/>
    <s v="UCh5Vq5sKzfQftZkz3sqj8zQ"/>
    <s v="Max Stabile"/>
    <s v="http://www.youtube.com/channel/UCh5Vq5sKzfQftZkz3sqj8zQ"/>
    <s v="UggQXnyZNDpSGXgCoAEC"/>
    <s v="WHociTCrX48"/>
    <s v="https://www.youtube.com/watch?v=WHociTCrX48"/>
    <s v="none"/>
    <n v="0"/>
    <x v="61"/>
    <d v="2017-02-18T21:03:49.000"/>
    <s v=" http://blog.ibpad.com.br"/>
    <s v="com.br"/>
    <s v=""/>
    <n v="1"/>
    <s v="8"/>
    <s v="8"/>
    <n v="0"/>
    <n v="0"/>
    <n v="0"/>
    <n v="0"/>
    <n v="0"/>
    <n v="0"/>
    <n v="31"/>
    <n v="100"/>
    <n v="31"/>
  </r>
  <r>
    <s v="UCB14GBHsqGQ0iUL121nwOKQ"/>
    <s v="UCoVrqzF4FU2Lv5vnB_JXchA"/>
    <m/>
    <m/>
    <m/>
    <m/>
    <m/>
    <m/>
    <m/>
    <m/>
    <s v="No"/>
    <n v="65"/>
    <m/>
    <m/>
    <s v="Commented Video"/>
    <x v="0"/>
    <s v="Olá, ótimo vídeo. Tem alguma previsão para o próximo?&lt;br&gt;Estou fazendo TCC sobre politica nas redes sociais  e estou trabalhando com o nodexl mas ele  importa apenas 200 ultimos tweets, saberia me dizer se tem alguma forma de pegar informação anterior? No nodexl ou utilizando outra forma.&lt;br&gt;Agradeço desde já."/>
    <s v="UCB14GBHsqGQ0iUL121nwOKQ"/>
    <s v="gustavo camargos"/>
    <s v="http://www.youtube.com/channel/UCB14GBHsqGQ0iUL121nwOKQ"/>
    <m/>
    <s v="WHociTCrX48"/>
    <s v="https://www.youtube.com/watch?v=WHociTCrX48"/>
    <s v="none"/>
    <n v="2"/>
    <x v="62"/>
    <d v="2015-04-08T17:57:26.000"/>
    <m/>
    <m/>
    <s v=""/>
    <n v="1"/>
    <s v="8"/>
    <s v="8"/>
    <n v="0"/>
    <n v="0"/>
    <n v="0"/>
    <n v="0"/>
    <n v="0"/>
    <n v="0"/>
    <n v="52"/>
    <n v="100"/>
    <n v="52"/>
  </r>
  <r>
    <s v="UCh5Vq5sKzfQftZkz3sqj8zQ"/>
    <s v="UCXWqZlXgy_0lF0b_br8sk0A"/>
    <m/>
    <m/>
    <m/>
    <m/>
    <m/>
    <m/>
    <m/>
    <m/>
    <s v="No"/>
    <n v="66"/>
    <m/>
    <m/>
    <s v="Replied Comment"/>
    <x v="1"/>
    <s v="OI, Moisés, é super possível. SUgiro abandonar o NodeXL e utilizar o Gephi. Na época que eu fiz o video naõ era conhecido ainda. O que acha?"/>
    <s v="UCh5Vq5sKzfQftZkz3sqj8zQ"/>
    <s v="Max Stabile"/>
    <s v="http://www.youtube.com/channel/UCh5Vq5sKzfQftZkz3sqj8zQ"/>
    <s v="UgirV-DDfVYSB3gCoAEC"/>
    <s v="WHociTCrX48"/>
    <s v="https://www.youtube.com/watch?v=WHociTCrX48"/>
    <s v="none"/>
    <n v="0"/>
    <x v="63"/>
    <d v="2017-02-18T21:03:26.000"/>
    <m/>
    <m/>
    <s v=""/>
    <n v="1"/>
    <s v="8"/>
    <s v="8"/>
    <n v="1"/>
    <n v="3.7037037037037037"/>
    <n v="0"/>
    <n v="0"/>
    <n v="0"/>
    <n v="0"/>
    <n v="26"/>
    <n v="96.29629629629629"/>
    <n v="27"/>
  </r>
  <r>
    <s v="UCXWqZlXgy_0lF0b_br8sk0A"/>
    <s v="UCoVrqzF4FU2Lv5vnB_JXchA"/>
    <m/>
    <m/>
    <m/>
    <m/>
    <m/>
    <m/>
    <m/>
    <m/>
    <s v="No"/>
    <n v="67"/>
    <m/>
    <m/>
    <s v="Commented Video"/>
    <x v="0"/>
    <s v="Olá Max, tudo certo? Parabéns pelo vídeo, muito útil.&lt;br&gt;Sou biólogo e preciso fazer um gráfico bipartido para ilustrar a interação de animais com espécies vegetais. Não estou tendo sucesso no NODEXL, você acha possível fazer?"/>
    <s v="UCXWqZlXgy_0lF0b_br8sk0A"/>
    <s v="Moisés Guimarães"/>
    <s v="http://www.youtube.com/channel/UCXWqZlXgy_0lF0b_br8sk0A"/>
    <m/>
    <s v="WHociTCrX48"/>
    <s v="https://www.youtube.com/watch?v=WHociTCrX48"/>
    <s v="none"/>
    <n v="1"/>
    <x v="64"/>
    <d v="2017-01-19T19:32:00.000"/>
    <m/>
    <m/>
    <s v=""/>
    <n v="1"/>
    <s v="8"/>
    <s v="8"/>
    <n v="0"/>
    <n v="0"/>
    <n v="0"/>
    <n v="0"/>
    <n v="0"/>
    <n v="0"/>
    <n v="37"/>
    <n v="100"/>
    <n v="37"/>
  </r>
  <r>
    <s v="UCh5Vq5sKzfQftZkz3sqj8zQ"/>
    <s v="UCoVrqzF4FU2Lv5vnB_JXchA"/>
    <m/>
    <m/>
    <m/>
    <m/>
    <m/>
    <m/>
    <m/>
    <m/>
    <s v="No"/>
    <n v="68"/>
    <m/>
    <m/>
    <s v="Commented Video"/>
    <x v="0"/>
    <s v="Oi, Rick, é possível sim. Você vai precisar utilizar o NameGen Web para isso. "/>
    <s v="UCh5Vq5sKzfQftZkz3sqj8zQ"/>
    <s v="Max Stabile"/>
    <s v="http://www.youtube.com/channel/UCh5Vq5sKzfQftZkz3sqj8zQ"/>
    <m/>
    <s v="WHociTCrX48"/>
    <s v="https://www.youtube.com/watch?v=WHociTCrX48"/>
    <s v="none"/>
    <n v="1"/>
    <x v="65"/>
    <d v="2013-10-15T20:53:03.000"/>
    <m/>
    <m/>
    <s v=""/>
    <n v="1"/>
    <s v="8"/>
    <s v="8"/>
    <n v="0"/>
    <n v="0"/>
    <n v="0"/>
    <n v="0"/>
    <n v="0"/>
    <n v="0"/>
    <n v="14"/>
    <n v="100"/>
    <n v="14"/>
  </r>
  <r>
    <s v="UCh5Vq5sKzfQftZkz3sqj8zQ"/>
    <s v="UCG6UKWK21O1SGwcuG4SaH0A"/>
    <m/>
    <m/>
    <m/>
    <m/>
    <m/>
    <m/>
    <m/>
    <m/>
    <s v="No"/>
    <n v="69"/>
    <m/>
    <m/>
    <s v="Replied Comment"/>
    <x v="1"/>
    <s v="Oi, Cássio, tudo bem? Há muito tempo não passo por aqui. Sim, é possível. Mas o mais complicado é construir a base de dados. VOcê já possui esses dados? abs"/>
    <s v="UCh5Vq5sKzfQftZkz3sqj8zQ"/>
    <s v="Max Stabile"/>
    <s v="http://www.youtube.com/channel/UCh5Vq5sKzfQftZkz3sqj8zQ"/>
    <s v="UgjqFt8feDH0mHgCoAEC"/>
    <s v="WHociTCrX48"/>
    <s v="https://www.youtube.com/watch?v=WHociTCrX48"/>
    <s v="none"/>
    <n v="0"/>
    <x v="66"/>
    <d v="2017-02-18T21:02:41.000"/>
    <m/>
    <m/>
    <s v=""/>
    <n v="1"/>
    <s v="8"/>
    <s v="8"/>
    <n v="0"/>
    <n v="0"/>
    <n v="0"/>
    <n v="0"/>
    <n v="0"/>
    <n v="0"/>
    <n v="30"/>
    <n v="100"/>
    <n v="30"/>
  </r>
  <r>
    <s v="UCG6UKWK21O1SGwcuG4SaH0A"/>
    <s v="UCG6UKWK21O1SGwcuG4SaH0A"/>
    <m/>
    <m/>
    <m/>
    <m/>
    <m/>
    <m/>
    <m/>
    <m/>
    <s v="No"/>
    <n v="70"/>
    <m/>
    <m/>
    <s v="Replied Comment"/>
    <x v="1"/>
    <s v="Então Max, tenho a base de dados organizada em excel. Estou analisando artigos com o tema open innovation. Eu poderia analisar a ligação entre autores e filiação ou entre autores e revistas onde os trabalhos foram publicados. O que acha?"/>
    <s v="UCG6UKWK21O1SGwcuG4SaH0A"/>
    <s v="Cassio Menezes"/>
    <s v="http://www.youtube.com/channel/UCG6UKWK21O1SGwcuG4SaH0A"/>
    <s v="UgjqFt8feDH0mHgCoAEC"/>
    <s v="WHociTCrX48"/>
    <s v="https://www.youtube.com/watch?v=WHociTCrX48"/>
    <s v="none"/>
    <n v="0"/>
    <x v="67"/>
    <d v="2017-02-20T01:11:39.000"/>
    <m/>
    <m/>
    <s v=""/>
    <n v="2"/>
    <s v="8"/>
    <s v="8"/>
    <n v="2"/>
    <n v="5"/>
    <n v="0"/>
    <n v="0"/>
    <n v="0"/>
    <n v="0"/>
    <n v="38"/>
    <n v="95"/>
    <n v="40"/>
  </r>
  <r>
    <s v="UCG6UKWK21O1SGwcuG4SaH0A"/>
    <s v="UCG6UKWK21O1SGwcuG4SaH0A"/>
    <m/>
    <m/>
    <m/>
    <m/>
    <m/>
    <m/>
    <m/>
    <m/>
    <s v="No"/>
    <n v="71"/>
    <m/>
    <m/>
    <s v="Replied Comment"/>
    <x v="1"/>
    <s v="baixei o NODEXL mas quando abro o excel não aparece a aba do NODEXL"/>
    <s v="UCG6UKWK21O1SGwcuG4SaH0A"/>
    <s v="Cassio Menezes"/>
    <s v="http://www.youtube.com/channel/UCG6UKWK21O1SGwcuG4SaH0A"/>
    <s v="UgjqFt8feDH0mHgCoAEC"/>
    <s v="WHociTCrX48"/>
    <s v="https://www.youtube.com/watch?v=WHociTCrX48"/>
    <s v="none"/>
    <n v="0"/>
    <x v="68"/>
    <d v="2017-02-20T01:13:42.000"/>
    <m/>
    <m/>
    <s v=""/>
    <n v="2"/>
    <s v="8"/>
    <s v="8"/>
    <n v="1"/>
    <n v="7.142857142857143"/>
    <n v="0"/>
    <n v="0"/>
    <n v="0"/>
    <n v="0"/>
    <n v="13"/>
    <n v="92.85714285714286"/>
    <n v="14"/>
  </r>
  <r>
    <s v="UCG6UKWK21O1SGwcuG4SaH0A"/>
    <s v="UCoVrqzF4FU2Lv5vnB_JXchA"/>
    <m/>
    <m/>
    <m/>
    <m/>
    <m/>
    <m/>
    <m/>
    <m/>
    <s v="No"/>
    <n v="72"/>
    <m/>
    <m/>
    <s v="Commented Video"/>
    <x v="0"/>
    <s v="Max, estou desenvolvendo um artigo de bibliometria e estou buscando um software que possa me ajudar nessa análise. Eu queria verificar os lanços entre os pesquisadores. Isso é possível utilizando o NODEXL?"/>
    <s v="UCG6UKWK21O1SGwcuG4SaH0A"/>
    <s v="Cassio Menezes"/>
    <s v="http://www.youtube.com/channel/UCG6UKWK21O1SGwcuG4SaH0A"/>
    <m/>
    <s v="WHociTCrX48"/>
    <s v="https://www.youtube.com/watch?v=WHociTCrX48"/>
    <s v="none"/>
    <n v="1"/>
    <x v="69"/>
    <d v="2017-02-12T22:34:05.000"/>
    <m/>
    <m/>
    <s v=""/>
    <n v="1"/>
    <s v="8"/>
    <s v="8"/>
    <n v="0"/>
    <n v="0"/>
    <n v="0"/>
    <n v="0"/>
    <n v="0"/>
    <n v="0"/>
    <n v="32"/>
    <n v="100"/>
    <n v="32"/>
  </r>
  <r>
    <s v="UCfgG-ovLKqB8k2KnSbx32Lw"/>
    <s v="UCoVrqzF4FU2Lv5vnB_JXchA"/>
    <m/>
    <m/>
    <m/>
    <m/>
    <m/>
    <m/>
    <m/>
    <m/>
    <s v="No"/>
    <n v="73"/>
    <m/>
    <m/>
    <s v="Commented Video"/>
    <x v="0"/>
    <s v="Muuuito Obrigada"/>
    <s v="UCfgG-ovLKqB8k2KnSbx32Lw"/>
    <s v="Elize Jacinto"/>
    <s v="http://www.youtube.com/channel/UCfgG-ovLKqB8k2KnSbx32Lw"/>
    <m/>
    <s v="WHociTCrX48"/>
    <s v="https://www.youtube.com/watch?v=WHociTCrX48"/>
    <s v="none"/>
    <n v="1"/>
    <x v="70"/>
    <d v="2018-11-29T16:06:50.000"/>
    <m/>
    <m/>
    <s v=""/>
    <n v="1"/>
    <s v="8"/>
    <s v="8"/>
    <n v="0"/>
    <n v="0"/>
    <n v="0"/>
    <n v="0"/>
    <n v="0"/>
    <n v="0"/>
    <n v="2"/>
    <n v="100"/>
    <n v="2"/>
  </r>
  <r>
    <s v="UCqocO9ovci3JuSvsYKR36HA"/>
    <s v="UCAsUVwqROYclu1B2tk74kwg"/>
    <m/>
    <m/>
    <m/>
    <m/>
    <m/>
    <m/>
    <m/>
    <m/>
    <s v="No"/>
    <n v="74"/>
    <m/>
    <m/>
    <s v="Commented Video"/>
    <x v="0"/>
    <s v="em import cái YouTube User Network 01 – standard thì nó chạy ra cái lỗi an unexpected problem occurred, lỗi này fix sao ạ"/>
    <s v="UCqocO9ovci3JuSvsYKR36HA"/>
    <s v="Nhi Trần"/>
    <s v="http://www.youtube.com/channel/UCqocO9ovci3JuSvsYKR36HA"/>
    <m/>
    <s v="aJuHtKjYySE"/>
    <s v="https://www.youtube.com/watch?v=aJuHtKjYySE"/>
    <s v="none"/>
    <n v="0"/>
    <x v="71"/>
    <d v="2022-05-13T09:50:44.000"/>
    <m/>
    <m/>
    <s v=""/>
    <n v="1"/>
    <s v="20"/>
    <s v="20"/>
    <n v="0"/>
    <n v="0"/>
    <n v="2"/>
    <n v="8.695652173913043"/>
    <n v="0"/>
    <n v="0"/>
    <n v="21"/>
    <n v="91.30434782608695"/>
    <n v="23"/>
  </r>
  <r>
    <s v="UCF7K5uOzm-xqTb96lpNt_Ow"/>
    <s v="UCbmNph6atAoGfqLoCL_duAg"/>
    <m/>
    <m/>
    <m/>
    <m/>
    <m/>
    <m/>
    <m/>
    <m/>
    <s v="No"/>
    <n v="75"/>
    <m/>
    <m/>
    <s v="Commented Video"/>
    <x v="0"/>
    <s v="i can&amp;#39;t understand how they could not focus on the slides instead on the person."/>
    <s v="UCF7K5uOzm-xqTb96lpNt_Ow"/>
    <s v="Gregor Leban"/>
    <s v="http://www.youtube.com/channel/UCF7K5uOzm-xqTb96lpNt_Ow"/>
    <m/>
    <s v="ZYLWHRa8Et4"/>
    <s v="https://www.youtube.com/watch?v=ZYLWHRa8Et4"/>
    <s v="none"/>
    <n v="0"/>
    <x v="72"/>
    <d v="2011-08-19T09:00:09.000"/>
    <m/>
    <m/>
    <s v=""/>
    <n v="1"/>
    <s v="16"/>
    <s v="16"/>
    <n v="0"/>
    <n v="0"/>
    <n v="0"/>
    <n v="0"/>
    <n v="0"/>
    <n v="0"/>
    <n v="17"/>
    <n v="100"/>
    <n v="17"/>
  </r>
  <r>
    <s v="UCXQR00oQ3fj5cTotWvRg0_Q"/>
    <s v="UCbmNph6atAoGfqLoCL_duAg"/>
    <m/>
    <m/>
    <m/>
    <m/>
    <m/>
    <m/>
    <m/>
    <m/>
    <s v="No"/>
    <n v="76"/>
    <m/>
    <m/>
    <s v="Commented Video"/>
    <x v="0"/>
    <s v="Bummer that this is missing the slides!"/>
    <s v="UCXQR00oQ3fj5cTotWvRg0_Q"/>
    <s v="Danny Sheridan"/>
    <s v="http://www.youtube.com/channel/UCXQR00oQ3fj5cTotWvRg0_Q"/>
    <m/>
    <s v="ZYLWHRa8Et4"/>
    <s v="https://www.youtube.com/watch?v=ZYLWHRa8Et4"/>
    <s v="none"/>
    <n v="0"/>
    <x v="73"/>
    <d v="2020-10-04T06:20:53.000"/>
    <m/>
    <m/>
    <s v=""/>
    <n v="1"/>
    <s v="16"/>
    <s v="16"/>
    <n v="0"/>
    <n v="0"/>
    <n v="0"/>
    <n v="0"/>
    <n v="0"/>
    <n v="0"/>
    <n v="7"/>
    <n v="100"/>
    <n v="7"/>
  </r>
  <r>
    <s v="UCLwDXsPUfsO2ZTptCsSyXGg"/>
    <s v="UCVRsFyifrTrADDHncqwLghg"/>
    <m/>
    <m/>
    <m/>
    <m/>
    <m/>
    <m/>
    <m/>
    <m/>
    <s v="No"/>
    <n v="77"/>
    <m/>
    <m/>
    <s v="Commented Video"/>
    <x v="0"/>
    <s v="I like the loop!"/>
    <s v="UCLwDXsPUfsO2ZTptCsSyXGg"/>
    <s v="Kirk Richardson"/>
    <s v="http://www.youtube.com/channel/UCLwDXsPUfsO2ZTptCsSyXGg"/>
    <m/>
    <s v="1VVN0ZlxXmI"/>
    <s v="https://www.youtube.com/watch?v=1VVN0ZlxXmI"/>
    <s v="none"/>
    <n v="0"/>
    <x v="74"/>
    <d v="2017-01-27T22:37:14.000"/>
    <m/>
    <m/>
    <s v=""/>
    <n v="1"/>
    <s v="19"/>
    <s v="19"/>
    <n v="1"/>
    <n v="25"/>
    <n v="0"/>
    <n v="0"/>
    <n v="0"/>
    <n v="0"/>
    <n v="3"/>
    <n v="75"/>
    <n v="4"/>
  </r>
  <r>
    <s v="UCpQ5U05w9q913jvPV-T8rlw"/>
    <s v="UCerAw4EfTOnYYxLLPZAzMxQ"/>
    <m/>
    <m/>
    <m/>
    <m/>
    <m/>
    <m/>
    <m/>
    <m/>
    <s v="No"/>
    <n v="78"/>
    <m/>
    <m/>
    <s v="Commented Video"/>
    <x v="0"/>
    <s v="Thanks Mr Cook for you effort!!"/>
    <s v="UCpQ5U05w9q913jvPV-T8rlw"/>
    <s v="S.S V"/>
    <s v="http://www.youtube.com/channel/UCpQ5U05w9q913jvPV-T8rlw"/>
    <m/>
    <s v="lbb2lMCSg64"/>
    <s v="https://www.youtube.com/watch?v=lbb2lMCSg64"/>
    <s v="none"/>
    <n v="1"/>
    <x v="75"/>
    <d v="2016-03-05T14:19:23.000"/>
    <m/>
    <m/>
    <s v=""/>
    <n v="1"/>
    <s v="1"/>
    <s v="1"/>
    <n v="0"/>
    <n v="0"/>
    <n v="0"/>
    <n v="0"/>
    <n v="0"/>
    <n v="0"/>
    <n v="6"/>
    <n v="100"/>
    <n v="6"/>
  </r>
  <r>
    <s v="UCerAw4EfTOnYYxLLPZAzMxQ"/>
    <s v="UC8qUxVyfs-OHn8fApXBqjaQ"/>
    <m/>
    <m/>
    <m/>
    <m/>
    <m/>
    <m/>
    <m/>
    <m/>
    <s v="Yes"/>
    <n v="79"/>
    <m/>
    <m/>
    <s v="Replied Comment"/>
    <x v="1"/>
    <s v="Peter Aldhouse has some tips on labeling -- see here: &lt;a href=&quot;https://www.peteraldhous.com/CAR/NodeXL_CAR2012.pdf&quot;&gt;https://www.peteraldhous.com/CAR/NodeXL_CAR2012.pdf&lt;/a&gt;"/>
    <s v="UCerAw4EfTOnYYxLLPZAzMxQ"/>
    <s v="James Cook"/>
    <s v="http://www.youtube.com/channel/UCerAw4EfTOnYYxLLPZAzMxQ"/>
    <s v="UgxYLs8W-8yNkOdYPrV4AaABAg"/>
    <s v="lbb2lMCSg64"/>
    <s v="https://www.youtube.com/watch?v=lbb2lMCSg64"/>
    <s v="none"/>
    <n v="0"/>
    <x v="76"/>
    <d v="2021-05-27T13:48:15.000"/>
    <s v=" https://www.peteraldhous.com/CAR/NodeXL_CAR2012.pdf https://www.peteraldhous.com/CAR/NodeXL_CAR2012.pdf"/>
    <s v="peteraldhous.com peteraldhous.com"/>
    <s v=""/>
    <n v="1"/>
    <s v="1"/>
    <s v="1"/>
    <n v="0"/>
    <n v="0"/>
    <n v="0"/>
    <n v="0"/>
    <n v="0"/>
    <n v="0"/>
    <n v="26"/>
    <n v="100"/>
    <n v="26"/>
  </r>
  <r>
    <s v="UC8qUxVyfs-OHn8fApXBqjaQ"/>
    <s v="UCerAw4EfTOnYYxLLPZAzMxQ"/>
    <m/>
    <m/>
    <m/>
    <m/>
    <m/>
    <m/>
    <m/>
    <m/>
    <s v="Yes"/>
    <n v="80"/>
    <m/>
    <m/>
    <s v="Commented Video"/>
    <x v="0"/>
    <s v="sir how to use twitter image as vertices,my data always circle i cannot change it to label or image like in nodexl documentation"/>
    <s v="UC8qUxVyfs-OHn8fApXBqjaQ"/>
    <s v="DWI SETYO AJI"/>
    <s v="http://www.youtube.com/channel/UC8qUxVyfs-OHn8fApXBqjaQ"/>
    <m/>
    <s v="lbb2lMCSg64"/>
    <s v="https://www.youtube.com/watch?v=lbb2lMCSg64"/>
    <s v="none"/>
    <n v="0"/>
    <x v="77"/>
    <d v="2021-05-27T06:51:32.000"/>
    <m/>
    <m/>
    <s v=""/>
    <n v="1"/>
    <s v="1"/>
    <s v="1"/>
    <n v="1"/>
    <n v="4.166666666666667"/>
    <n v="0"/>
    <n v="0"/>
    <n v="0"/>
    <n v="0"/>
    <n v="23"/>
    <n v="95.83333333333333"/>
    <n v="24"/>
  </r>
  <r>
    <s v="UCerAw4EfTOnYYxLLPZAzMxQ"/>
    <s v="UCC6RgeCUyUrLDxO1W6Rat-Q"/>
    <m/>
    <m/>
    <m/>
    <m/>
    <m/>
    <m/>
    <m/>
    <m/>
    <s v="Yes"/>
    <n v="81"/>
    <m/>
    <m/>
    <s v="Replied Comment"/>
    <x v="1"/>
    <s v="+Maryam Zolnoori Unfortunately, not at this time, not unless you install a program on a Mac to run Microsoft Windows.  Microsoft Excel for Apple is based on a different programming language, which is why NodeXL won&amp;#39;t work on Apple machines."/>
    <s v="UCerAw4EfTOnYYxLLPZAzMxQ"/>
    <s v="James Cook"/>
    <s v="http://www.youtube.com/channel/UCerAw4EfTOnYYxLLPZAzMxQ"/>
    <s v="Ugh1guaSjMdvpXgCoAEC"/>
    <s v="1yCjhTuLA1o"/>
    <s v="https://www.youtube.com/watch?v=1yCjhTuLA1o"/>
    <s v="none"/>
    <n v="0"/>
    <x v="78"/>
    <d v="2015-09-14T02:04:20.000"/>
    <m/>
    <m/>
    <s v=""/>
    <n v="1"/>
    <s v="1"/>
    <s v="1"/>
    <n v="3"/>
    <n v="7.142857142857143"/>
    <n v="1"/>
    <n v="2.380952380952381"/>
    <n v="0"/>
    <n v="0"/>
    <n v="38"/>
    <n v="90.47619047619048"/>
    <n v="42"/>
  </r>
  <r>
    <s v="UCC6RgeCUyUrLDxO1W6Rat-Q"/>
    <s v="UCerAw4EfTOnYYxLLPZAzMxQ"/>
    <m/>
    <m/>
    <m/>
    <m/>
    <m/>
    <m/>
    <m/>
    <m/>
    <s v="Yes"/>
    <n v="82"/>
    <m/>
    <m/>
    <s v="Commented Video"/>
    <x v="0"/>
    <s v="Hello James:&lt;br&gt;Is it possible to install it on MAC?"/>
    <s v="UCC6RgeCUyUrLDxO1W6Rat-Q"/>
    <s v="Maryam Zolnoori"/>
    <s v="http://www.youtube.com/channel/UCC6RgeCUyUrLDxO1W6Rat-Q"/>
    <m/>
    <s v="1yCjhTuLA1o"/>
    <s v="https://www.youtube.com/watch?v=1yCjhTuLA1o"/>
    <s v="none"/>
    <n v="0"/>
    <x v="79"/>
    <d v="2015-03-19T22:42:24.000"/>
    <m/>
    <m/>
    <s v=""/>
    <n v="1"/>
    <s v="1"/>
    <s v="1"/>
    <n v="0"/>
    <n v="0"/>
    <n v="0"/>
    <n v="0"/>
    <n v="0"/>
    <n v="0"/>
    <n v="11"/>
    <n v="100"/>
    <n v="11"/>
  </r>
  <r>
    <s v="UCI8WWtGB9PmGhesq1QVChQg"/>
    <s v="UCUm577M0SQnlguRkdcfUa1Q"/>
    <m/>
    <m/>
    <m/>
    <m/>
    <m/>
    <m/>
    <m/>
    <m/>
    <s v="No"/>
    <n v="83"/>
    <m/>
    <m/>
    <s v="Replied Comment"/>
    <x v="1"/>
    <s v="+James Cook I also can&amp;#39;t open it on windows 10, maybe it works for you because you had it before?"/>
    <s v="UCI8WWtGB9PmGhesq1QVChQg"/>
    <s v="Juliana T."/>
    <s v="http://www.youtube.com/channel/UCI8WWtGB9PmGhesq1QVChQg"/>
    <s v="UgibY0BOAVLR33gCoAEC"/>
    <s v="1yCjhTuLA1o"/>
    <s v="https://www.youtube.com/watch?v="/>
    <s v="none"/>
    <n v="0"/>
    <x v="80"/>
    <d v="2015-11-14T13:25:17.000"/>
    <m/>
    <m/>
    <s v=""/>
    <n v="3"/>
    <s v="18"/>
    <s v="18"/>
    <n v="1"/>
    <n v="4.545454545454546"/>
    <n v="0"/>
    <n v="0"/>
    <n v="0"/>
    <n v="0"/>
    <n v="21"/>
    <n v="95.45454545454545"/>
    <n v="22"/>
  </r>
  <r>
    <s v="UCI8WWtGB9PmGhesq1QVChQg"/>
    <s v="UCUm577M0SQnlguRkdcfUa1Q"/>
    <m/>
    <m/>
    <m/>
    <m/>
    <m/>
    <m/>
    <m/>
    <m/>
    <s v="No"/>
    <n v="84"/>
    <m/>
    <m/>
    <s v="Replied Comment"/>
    <x v="1"/>
    <s v="@James Cook I can&amp;#39;t find it when I search for it in my computer, and when I try to download it again, it says that the latest version  of this customization is already installed."/>
    <s v="UCI8WWtGB9PmGhesq1QVChQg"/>
    <s v="Juliana T."/>
    <s v="http://www.youtube.com/channel/UCI8WWtGB9PmGhesq1QVChQg"/>
    <s v="UgibY0BOAVLR33gCoAEC"/>
    <s v="1yCjhTuLA1o"/>
    <s v="https://www.youtube.com/watch?v="/>
    <s v="none"/>
    <n v="0"/>
    <x v="81"/>
    <d v="2015-11-14T14:36:11.000"/>
    <m/>
    <m/>
    <s v=""/>
    <n v="3"/>
    <s v="18"/>
    <s v="18"/>
    <n v="0"/>
    <n v="0"/>
    <n v="0"/>
    <n v="0"/>
    <n v="0"/>
    <n v="0"/>
    <n v="36"/>
    <n v="100"/>
    <n v="36"/>
  </r>
  <r>
    <s v="UCI8WWtGB9PmGhesq1QVChQg"/>
    <s v="UCUm577M0SQnlguRkdcfUa1Q"/>
    <m/>
    <m/>
    <m/>
    <m/>
    <m/>
    <m/>
    <m/>
    <m/>
    <s v="No"/>
    <n v="85"/>
    <m/>
    <m/>
    <s v="Replied Comment"/>
    <x v="1"/>
    <s v="@James Cook Thank you so much!!! I found it in the start but tom :) "/>
    <s v="UCI8WWtGB9PmGhesq1QVChQg"/>
    <s v="Juliana T."/>
    <s v="http://www.youtube.com/channel/UCI8WWtGB9PmGhesq1QVChQg"/>
    <s v="UgibY0BOAVLR33gCoAEC"/>
    <s v="1yCjhTuLA1o"/>
    <s v="https://www.youtube.com/watch?v="/>
    <s v="none"/>
    <n v="0"/>
    <x v="82"/>
    <d v="2015-11-14T16:27:19.000"/>
    <m/>
    <m/>
    <s v=""/>
    <n v="3"/>
    <s v="18"/>
    <s v="18"/>
    <n v="1"/>
    <n v="7.142857142857143"/>
    <n v="0"/>
    <n v="0"/>
    <n v="0"/>
    <n v="0"/>
    <n v="13"/>
    <n v="92.85714285714286"/>
    <n v="14"/>
  </r>
  <r>
    <s v="UCerAw4EfTOnYYxLLPZAzMxQ"/>
    <s v="UCUm577M0SQnlguRkdcfUa1Q"/>
    <m/>
    <m/>
    <m/>
    <m/>
    <m/>
    <m/>
    <m/>
    <m/>
    <s v="Yes"/>
    <n v="86"/>
    <m/>
    <m/>
    <s v="Replied Comment"/>
    <x v="1"/>
    <s v="+Ciro Trejo Moya Hi! Thanks for writing.  I updated to Windows 10, and NodeXL has worked for me there, so the signs are good."/>
    <s v="UCerAw4EfTOnYYxLLPZAzMxQ"/>
    <s v="James Cook"/>
    <s v="http://www.youtube.com/channel/UCerAw4EfTOnYYxLLPZAzMxQ"/>
    <s v="UgibY0BOAVLR33gCoAEC"/>
    <s v="1yCjhTuLA1o"/>
    <s v="https://www.youtube.com/watch?v="/>
    <s v="none"/>
    <n v="0"/>
    <x v="83"/>
    <d v="2015-10-11T03:29:51.000"/>
    <m/>
    <m/>
    <s v=""/>
    <n v="4"/>
    <s v="1"/>
    <s v="18"/>
    <n v="2"/>
    <n v="8.333333333333334"/>
    <n v="0"/>
    <n v="0"/>
    <n v="0"/>
    <n v="0"/>
    <n v="22"/>
    <n v="91.66666666666667"/>
    <n v="24"/>
  </r>
  <r>
    <s v="UCerAw4EfTOnYYxLLPZAzMxQ"/>
    <s v="UCUm577M0SQnlguRkdcfUa1Q"/>
    <m/>
    <m/>
    <m/>
    <m/>
    <m/>
    <m/>
    <m/>
    <m/>
    <s v="Yes"/>
    <n v="87"/>
    <m/>
    <m/>
    <s v="Replied Comment"/>
    <x v="1"/>
    <s v="+Juliana De Souza Treder Let&amp;#39;s troubleshoot!  When you say you can&amp;#39;t open it, does that mean you A) can&amp;#39;t find it, B) can&amp;#39;t start NodeXL once you find it, or C) can&amp;#39;t use NodeXL properly once you start it up?"/>
    <s v="UCerAw4EfTOnYYxLLPZAzMxQ"/>
    <s v="James Cook"/>
    <s v="http://www.youtube.com/channel/UCerAw4EfTOnYYxLLPZAzMxQ"/>
    <s v="UgibY0BOAVLR33gCoAEC"/>
    <s v="1yCjhTuLA1o"/>
    <s v="https://www.youtube.com/watch?v="/>
    <s v="none"/>
    <n v="0"/>
    <x v="84"/>
    <d v="2015-11-14T13:52:39.000"/>
    <m/>
    <m/>
    <s v=""/>
    <n v="4"/>
    <s v="1"/>
    <s v="18"/>
    <n v="1"/>
    <n v="2"/>
    <n v="0"/>
    <n v="0"/>
    <n v="0"/>
    <n v="0"/>
    <n v="49"/>
    <n v="98"/>
    <n v="50"/>
  </r>
  <r>
    <s v="UCerAw4EfTOnYYxLLPZAzMxQ"/>
    <s v="UCUm577M0SQnlguRkdcfUa1Q"/>
    <m/>
    <m/>
    <m/>
    <m/>
    <m/>
    <m/>
    <m/>
    <m/>
    <s v="Yes"/>
    <n v="88"/>
    <m/>
    <m/>
    <s v="Replied Comment"/>
    <x v="1"/>
    <s v="+Juliana De Souza Treder Good to know.  I had a bit of trouble with this too, on Windows 10 in particular, and the NodeXL folks should fix that bug.  Here&amp;#39;s a trick to try to get around it.  Go to the NodeXL Gallery and pick any example graph -- like &lt;a href=&quot;http://www.nodexlgraphgallery.org/Pages/Graph.aspx?graphID=57173&quot;&gt;http://www.nodexlgraphgallery.org/Pages/Graph.aspx?graphID=57173&lt;/a&gt; for example.  Go all the way to the bottom of the page and find the Download the Graph Data as a NodeXL Workbook option.  Download a workbook and save it on your desktop.  Then open the workbook and you will start NodeXL.  Take out all the network data that&amp;#39;s there and save it as a blank network, and you have a good starting place now for all your NodeXL work.  Note: you may get a pop-up message that declares that you can&amp;#39;t open the workbook fully because downloaded from somewhere else and is not in a &amp;quot;trusted location.&amp;quot;  Save it to one of your trusted folders (the Desktop is a handy place usually) and re-open the workbook and you should be OK.  Does this help?"/>
    <s v="UCerAw4EfTOnYYxLLPZAzMxQ"/>
    <s v="James Cook"/>
    <s v="http://www.youtube.com/channel/UCerAw4EfTOnYYxLLPZAzMxQ"/>
    <s v="UgibY0BOAVLR33gCoAEC"/>
    <s v="1yCjhTuLA1o"/>
    <s v="https://www.youtube.com/watch?v="/>
    <s v="none"/>
    <n v="0"/>
    <x v="85"/>
    <d v="2015-11-14T14:56:52.000"/>
    <s v=" http://www.nodexlgraphgallery.org/Pages/Graph.aspx?graphID=57173 http://www.nodexlgraphgallery.org/Pages/Graph.aspx?graphID=57173"/>
    <s v="nodexlgraphgallery.org nodexlgraphgallery.org"/>
    <s v=""/>
    <n v="4"/>
    <s v="1"/>
    <s v="18"/>
    <n v="7"/>
    <n v="3.4146341463414633"/>
    <n v="3"/>
    <n v="1.4634146341463414"/>
    <n v="0"/>
    <n v="0"/>
    <n v="195"/>
    <n v="95.1219512195122"/>
    <n v="205"/>
  </r>
  <r>
    <s v="UCerAw4EfTOnYYxLLPZAzMxQ"/>
    <s v="UCUm577M0SQnlguRkdcfUa1Q"/>
    <m/>
    <m/>
    <m/>
    <m/>
    <m/>
    <m/>
    <m/>
    <m/>
    <s v="Yes"/>
    <n v="89"/>
    <m/>
    <m/>
    <s v="Replied Comment"/>
    <x v="1"/>
    <s v="+Juliana De Souza Treder Easier solution I just found.  Click the Start button in Windows 10, then click &amp;quot;All Apps.&amp;quot;  NodeXL should appear there in your list."/>
    <s v="UCerAw4EfTOnYYxLLPZAzMxQ"/>
    <s v="James Cook"/>
    <s v="http://www.youtube.com/channel/UCerAw4EfTOnYYxLLPZAzMxQ"/>
    <s v="UgibY0BOAVLR33gCoAEC"/>
    <s v="1yCjhTuLA1o"/>
    <s v="https://www.youtube.com/watch?v="/>
    <s v="none"/>
    <n v="0"/>
    <x v="86"/>
    <d v="2015-11-14T15:15:08.000"/>
    <m/>
    <m/>
    <s v=""/>
    <n v="4"/>
    <s v="1"/>
    <s v="18"/>
    <n v="1"/>
    <n v="3.4482758620689653"/>
    <n v="0"/>
    <n v="0"/>
    <n v="0"/>
    <n v="0"/>
    <n v="28"/>
    <n v="96.55172413793103"/>
    <n v="29"/>
  </r>
  <r>
    <s v="UCUm577M0SQnlguRkdcfUa1Q"/>
    <s v="UCerAw4EfTOnYYxLLPZAzMxQ"/>
    <m/>
    <m/>
    <m/>
    <m/>
    <m/>
    <m/>
    <m/>
    <m/>
    <s v="Yes"/>
    <n v="90"/>
    <m/>
    <m/>
    <s v="Commented Video"/>
    <x v="0"/>
    <s v="Hello James, I am running Windows 10 by the time, do you have any idea if NodeXL is working on this operating system already?"/>
    <s v="UCUm577M0SQnlguRkdcfUa1Q"/>
    <s v="Ciro Trejo Moya"/>
    <s v="http://www.youtube.com/channel/UCUm577M0SQnlguRkdcfUa1Q"/>
    <m/>
    <s v="1yCjhTuLA1o"/>
    <s v="https://www.youtube.com/watch?v=1yCjhTuLA1o"/>
    <s v="none"/>
    <n v="0"/>
    <x v="87"/>
    <d v="2015-10-11T01:47:36.000"/>
    <m/>
    <m/>
    <s v=""/>
    <n v="1"/>
    <s v="18"/>
    <s v="1"/>
    <n v="0"/>
    <n v="0"/>
    <n v="0"/>
    <n v="0"/>
    <n v="0"/>
    <n v="0"/>
    <n v="24"/>
    <n v="100"/>
    <n v="24"/>
  </r>
  <r>
    <s v="UCHBzTw6zFU-YYZ9ohpX9lKQ"/>
    <s v="UCerAw4EfTOnYYxLLPZAzMxQ"/>
    <m/>
    <m/>
    <m/>
    <m/>
    <m/>
    <m/>
    <m/>
    <m/>
    <s v="No"/>
    <n v="91"/>
    <m/>
    <m/>
    <s v="Commented Video"/>
    <x v="0"/>
    <s v="Hello James, I have problem installing NodeXL in my window 8.1 Enterprise. Could you please advice? Thanks"/>
    <s v="UCHBzTw6zFU-YYZ9ohpX9lKQ"/>
    <s v="Digital Bradford"/>
    <s v="http://www.youtube.com/channel/UCHBzTw6zFU-YYZ9ohpX9lKQ"/>
    <m/>
    <s v="1yCjhTuLA1o"/>
    <s v="https://www.youtube.com/watch?v=1yCjhTuLA1o"/>
    <s v="none"/>
    <n v="0"/>
    <x v="88"/>
    <d v="2016-12-06T01:12:01.000"/>
    <m/>
    <m/>
    <s v=""/>
    <n v="1"/>
    <s v="1"/>
    <s v="1"/>
    <n v="0"/>
    <n v="0"/>
    <n v="1"/>
    <n v="5.555555555555555"/>
    <n v="0"/>
    <n v="0"/>
    <n v="17"/>
    <n v="94.44444444444444"/>
    <n v="18"/>
  </r>
  <r>
    <s v="UCoLCzvtVkU29FpAVVsAK-wg"/>
    <s v="UCerAw4EfTOnYYxLLPZAzMxQ"/>
    <m/>
    <m/>
    <m/>
    <m/>
    <m/>
    <m/>
    <m/>
    <m/>
    <s v="No"/>
    <n v="92"/>
    <m/>
    <m/>
    <s v="Commented Video"/>
    <x v="0"/>
    <s v="in practice, i have so many problems with this software. it doesnt work."/>
    <s v="UCoLCzvtVkU29FpAVVsAK-wg"/>
    <s v="shahilagh"/>
    <s v="http://www.youtube.com/channel/UCoLCzvtVkU29FpAVVsAK-wg"/>
    <m/>
    <s v="AyMwPYpmYng"/>
    <s v="https://www.youtube.com/watch?v=AyMwPYpmYng"/>
    <s v="none"/>
    <n v="0"/>
    <x v="89"/>
    <d v="2016-05-10T20:17:16.000"/>
    <m/>
    <m/>
    <s v=""/>
    <n v="1"/>
    <s v="1"/>
    <s v="1"/>
    <n v="1"/>
    <n v="7.6923076923076925"/>
    <n v="1"/>
    <n v="7.6923076923076925"/>
    <n v="0"/>
    <n v="0"/>
    <n v="11"/>
    <n v="84.61538461538461"/>
    <n v="13"/>
  </r>
  <r>
    <s v="UC52SPb7BsvpH0HWbkSk8Jdg"/>
    <s v="UCerAw4EfTOnYYxLLPZAzMxQ"/>
    <m/>
    <m/>
    <m/>
    <m/>
    <m/>
    <m/>
    <m/>
    <m/>
    <s v="No"/>
    <n v="93"/>
    <m/>
    <m/>
    <s v="Commented Video"/>
    <x v="0"/>
    <s v="works for spanish?"/>
    <s v="UC52SPb7BsvpH0HWbkSk8Jdg"/>
    <s v="Jose Tijerino"/>
    <s v="http://www.youtube.com/channel/UC52SPb7BsvpH0HWbkSk8Jdg"/>
    <m/>
    <s v="AyMwPYpmYng"/>
    <s v="https://www.youtube.com/watch?v=AyMwPYpmYng"/>
    <s v="none"/>
    <n v="0"/>
    <x v="90"/>
    <d v="2017-05-25T21:10:50.000"/>
    <m/>
    <m/>
    <s v=""/>
    <n v="1"/>
    <s v="1"/>
    <s v="1"/>
    <n v="1"/>
    <n v="33.333333333333336"/>
    <n v="0"/>
    <n v="0"/>
    <n v="0"/>
    <n v="0"/>
    <n v="2"/>
    <n v="66.66666666666667"/>
    <n v="3"/>
  </r>
  <r>
    <s v="UCbldxxrB86AYD-2LJsgqpOA"/>
    <s v="UCerAw4EfTOnYYxLLPZAzMxQ"/>
    <m/>
    <m/>
    <m/>
    <m/>
    <m/>
    <m/>
    <m/>
    <m/>
    <s v="No"/>
    <n v="94"/>
    <m/>
    <m/>
    <s v="Commented Video"/>
    <x v="0"/>
    <s v="Thank you so much for the explanation. I learned a lot! Hope to advance in this program and text mining in general. I wish I can study this topic as part of a PhD program!"/>
    <s v="UCbldxxrB86AYD-2LJsgqpOA"/>
    <s v="Mustafa POLAT"/>
    <s v="http://www.youtube.com/channel/UCbldxxrB86AYD-2LJsgqpOA"/>
    <m/>
    <s v="AyMwPYpmYng"/>
    <s v="https://www.youtube.com/watch?v=AyMwPYpmYng"/>
    <s v="none"/>
    <n v="0"/>
    <x v="91"/>
    <d v="2018-02-01T14:23:38.000"/>
    <m/>
    <m/>
    <s v=""/>
    <n v="1"/>
    <s v="1"/>
    <s v="1"/>
    <n v="1"/>
    <n v="2.857142857142857"/>
    <n v="0"/>
    <n v="0"/>
    <n v="0"/>
    <n v="0"/>
    <n v="34"/>
    <n v="97.14285714285714"/>
    <n v="35"/>
  </r>
  <r>
    <s v="UC0qJaSE8JW7BoCYedij1fPg"/>
    <s v="UCif9JdoLvBtApiSu94tWjPg"/>
    <m/>
    <m/>
    <m/>
    <m/>
    <m/>
    <m/>
    <m/>
    <m/>
    <s v="No"/>
    <n v="95"/>
    <m/>
    <m/>
    <s v="Commented Video"/>
    <x v="0"/>
    <s v="Hey, I tried Node Excel for Office 13 with Window 8 and I worked for me."/>
    <s v="UC0qJaSE8JW7BoCYedij1fPg"/>
    <s v="Growing World"/>
    <s v="http://www.youtube.com/channel/UC0qJaSE8JW7BoCYedij1fPg"/>
    <m/>
    <s v="tzkLBf9t7MY"/>
    <s v="https://www.youtube.com/watch?v=tzkLBf9t7MY"/>
    <s v="none"/>
    <n v="0"/>
    <x v="92"/>
    <d v="2015-04-02T13:09:45.000"/>
    <m/>
    <m/>
    <s v=""/>
    <n v="1"/>
    <s v="10"/>
    <s v="10"/>
    <n v="2"/>
    <n v="12.5"/>
    <n v="0"/>
    <n v="0"/>
    <n v="0"/>
    <n v="0"/>
    <n v="14"/>
    <n v="87.5"/>
    <n v="16"/>
  </r>
  <r>
    <s v="UCXFOCi3E8fm4KWk7KA1v-FA"/>
    <s v="UCif9JdoLvBtApiSu94tWjPg"/>
    <m/>
    <m/>
    <m/>
    <m/>
    <m/>
    <m/>
    <m/>
    <m/>
    <s v="No"/>
    <n v="96"/>
    <m/>
    <m/>
    <s v="Commented Video"/>
    <x v="0"/>
    <s v="Please kindly share the process. it didn&amp;#39;t work for me"/>
    <s v="UCXFOCi3E8fm4KWk7KA1v-FA"/>
    <s v="JOSEPH FAYESE"/>
    <s v="http://www.youtube.com/channel/UCXFOCi3E8fm4KWk7KA1v-FA"/>
    <m/>
    <s v="tzkLBf9t7MY"/>
    <s v="https://www.youtube.com/watch?v=tzkLBf9t7MY"/>
    <s v="none"/>
    <n v="0"/>
    <x v="93"/>
    <d v="2016-06-21T14:16:05.000"/>
    <m/>
    <m/>
    <s v=""/>
    <n v="1"/>
    <s v="10"/>
    <s v="10"/>
    <n v="2"/>
    <n v="16.666666666666668"/>
    <n v="0"/>
    <n v="0"/>
    <n v="0"/>
    <n v="0"/>
    <n v="10"/>
    <n v="83.33333333333333"/>
    <n v="12"/>
  </r>
  <r>
    <s v="UCywWdXzN6JZzrDM3WWtIcdA"/>
    <s v="UCif9JdoLvBtApiSu94tWjPg"/>
    <m/>
    <m/>
    <m/>
    <m/>
    <m/>
    <m/>
    <m/>
    <m/>
    <s v="No"/>
    <n v="97"/>
    <m/>
    <m/>
    <s v="Commented Video"/>
    <x v="0"/>
    <s v="audio on the video is so quiet I can hardly hear it with my laptop speakers on maximum."/>
    <s v="UCywWdXzN6JZzrDM3WWtIcdA"/>
    <s v="kester ratcliff"/>
    <s v="http://www.youtube.com/channel/UCywWdXzN6JZzrDM3WWtIcdA"/>
    <m/>
    <s v="tzkLBf9t7MY"/>
    <s v="https://www.youtube.com/watch?v=tzkLBf9t7MY"/>
    <s v="none"/>
    <n v="0"/>
    <x v="94"/>
    <d v="2017-06-19T14:41:05.000"/>
    <m/>
    <m/>
    <s v=""/>
    <n v="1"/>
    <s v="10"/>
    <s v="10"/>
    <n v="1"/>
    <n v="5.555555555555555"/>
    <n v="0"/>
    <n v="0"/>
    <n v="0"/>
    <n v="0"/>
    <n v="17"/>
    <n v="94.44444444444444"/>
    <n v="18"/>
  </r>
  <r>
    <s v="UCIz82_qILaDCMBLYsqErOOw"/>
    <s v="UCif9JdoLvBtApiSu94tWjPg"/>
    <m/>
    <m/>
    <m/>
    <m/>
    <m/>
    <m/>
    <m/>
    <m/>
    <s v="No"/>
    <n v="98"/>
    <m/>
    <m/>
    <s v="Commented Video"/>
    <x v="0"/>
    <s v="I cant install it, only .exe file is available on the link. can u pls upload it into ur google drive &amp;amp; share to me?"/>
    <s v="UCIz82_qILaDCMBLYsqErOOw"/>
    <s v="Digonto Sky"/>
    <s v="http://www.youtube.com/channel/UCIz82_qILaDCMBLYsqErOOw"/>
    <m/>
    <s v="tzkLBf9t7MY"/>
    <s v="https://www.youtube.com/watch?v=tzkLBf9t7MY"/>
    <s v="none"/>
    <n v="0"/>
    <x v="95"/>
    <d v="2017-11-22T04:48:31.000"/>
    <m/>
    <m/>
    <s v=""/>
    <n v="1"/>
    <s v="10"/>
    <s v="10"/>
    <n v="1"/>
    <n v="4"/>
    <n v="0"/>
    <n v="0"/>
    <n v="0"/>
    <n v="0"/>
    <n v="24"/>
    <n v="96"/>
    <n v="25"/>
  </r>
  <r>
    <s v="UC1G7AZFqSOf2CIZBzfBNmVQ"/>
    <s v="UCif9JdoLvBtApiSu94tWjPg"/>
    <m/>
    <m/>
    <m/>
    <m/>
    <m/>
    <m/>
    <m/>
    <m/>
    <s v="No"/>
    <n v="99"/>
    <m/>
    <m/>
    <s v="Commented Video"/>
    <x v="0"/>
    <s v="Dear Piyush, when I tried to visit the page &lt;a href=&quot;https://nodexl.codeplex.com/&quot;&gt;https://nodexl.codeplex.com&lt;/a&gt; to download it open with &lt;a href=&quot;https://archive.codeplex.com/?p=nodexl&quot;&gt;https://archive.codeplex.com/?p=nodexl&lt;/a&gt; and only allow me to download Nodexl archive.  what to do now. I could have shared the screenshot but here it&amp;#39;s not possible. Kindly help me"/>
    <s v="UC1G7AZFqSOf2CIZBzfBNmVQ"/>
    <s v="Neeraj Pandey"/>
    <s v="http://www.youtube.com/channel/UC1G7AZFqSOf2CIZBzfBNmVQ"/>
    <m/>
    <s v="tzkLBf9t7MY"/>
    <s v="https://www.youtube.com/watch?v=tzkLBf9t7MY"/>
    <s v="none"/>
    <n v="0"/>
    <x v="96"/>
    <d v="2018-07-08T22:21:53.000"/>
    <s v=" https://nodexl.codeplex.com/ https://nodexl.codeplex.com https://archive.codeplex.com/?p=nodexl https://archive.codeplex.com/?p=nodexl"/>
    <s v="codeplex.com codeplex.com codeplex.com codeplex.com"/>
    <s v=""/>
    <n v="1"/>
    <s v="10"/>
    <s v="10"/>
    <n v="1"/>
    <n v="1.4705882352941178"/>
    <n v="0"/>
    <n v="0"/>
    <n v="0"/>
    <n v="0"/>
    <n v="67"/>
    <n v="98.52941176470588"/>
    <n v="68"/>
  </r>
  <r>
    <s v="UChA9cIhy_R5-REFhn28MQOw"/>
    <s v="UCif9JdoLvBtApiSu94tWjPg"/>
    <m/>
    <m/>
    <m/>
    <m/>
    <m/>
    <m/>
    <m/>
    <m/>
    <s v="No"/>
    <n v="100"/>
    <m/>
    <m/>
    <s v="Commented Video"/>
    <x v="0"/>
    <s v="How did you get the NodeXL tab to show up? You did something there but did not say. I don&amp;#39;t see that tab after installing and running the software."/>
    <s v="UChA9cIhy_R5-REFhn28MQOw"/>
    <s v="Melanie Espino"/>
    <s v="http://www.youtube.com/channel/UChA9cIhy_R5-REFhn28MQOw"/>
    <m/>
    <s v="tzkLBf9t7MY"/>
    <s v="https://www.youtube.com/watch?v=tzkLBf9t7MY"/>
    <s v="none"/>
    <n v="0"/>
    <x v="97"/>
    <d v="2019-07-30T00:01:07.000"/>
    <m/>
    <m/>
    <s v=""/>
    <n v="1"/>
    <s v="10"/>
    <s v="10"/>
    <n v="0"/>
    <n v="0"/>
    <n v="0"/>
    <n v="0"/>
    <n v="0"/>
    <n v="0"/>
    <n v="31"/>
    <n v="100"/>
    <n v="31"/>
  </r>
  <r>
    <s v="UCWmEXXyyg4CeL3TS4ba8iUg"/>
    <s v="UCfpw3xq_g1xpdwlyq11atZQ"/>
    <m/>
    <m/>
    <m/>
    <m/>
    <m/>
    <m/>
    <m/>
    <m/>
    <s v="No"/>
    <n v="101"/>
    <m/>
    <m/>
    <s v="Commented Video"/>
    <x v="0"/>
    <s v="Very Cool. Thank you for this tutorial!!"/>
    <s v="UCWmEXXyyg4CeL3TS4ba8iUg"/>
    <s v="habitMi"/>
    <s v="http://www.youtube.com/channel/UCWmEXXyyg4CeL3TS4ba8iUg"/>
    <m/>
    <s v="zMlwGOki4Yg"/>
    <s v="https://www.youtube.com/watch?v=zMlwGOki4Yg"/>
    <s v="none"/>
    <n v="0"/>
    <x v="98"/>
    <d v="2015-10-20T05:35:04.000"/>
    <m/>
    <m/>
    <s v=""/>
    <n v="1"/>
    <s v="3"/>
    <s v="3"/>
    <n v="2"/>
    <n v="28.571428571428573"/>
    <n v="0"/>
    <n v="0"/>
    <n v="0"/>
    <n v="0"/>
    <n v="5"/>
    <n v="71.42857142857143"/>
    <n v="7"/>
  </r>
  <r>
    <s v="UChlTB5NW6iUzi67TzRxRcTg"/>
    <s v="UCfpw3xq_g1xpdwlyq11atZQ"/>
    <m/>
    <m/>
    <m/>
    <m/>
    <m/>
    <m/>
    <m/>
    <m/>
    <s v="No"/>
    <n v="102"/>
    <m/>
    <m/>
    <s v="Commented Video"/>
    <x v="0"/>
    <s v="Great tutorial. Thanks Brian!"/>
    <s v="UChlTB5NW6iUzi67TzRxRcTg"/>
    <s v="Kaliisa Rogers"/>
    <s v="http://www.youtube.com/channel/UChlTB5NW6iUzi67TzRxRcTg"/>
    <m/>
    <s v="zMlwGOki4Yg"/>
    <s v="https://www.youtube.com/watch?v=zMlwGOki4Yg"/>
    <s v="none"/>
    <n v="0"/>
    <x v="99"/>
    <d v="2019-03-14T15:29:23.000"/>
    <m/>
    <m/>
    <s v=""/>
    <n v="1"/>
    <s v="3"/>
    <s v="3"/>
    <n v="1"/>
    <n v="25"/>
    <n v="0"/>
    <n v="0"/>
    <n v="0"/>
    <n v="0"/>
    <n v="3"/>
    <n v="75"/>
    <n v="4"/>
  </r>
  <r>
    <s v="UCEkBJ8bqPbMoZwqFrKmPqSA"/>
    <s v="UCfpw3xq_g1xpdwlyq11atZQ"/>
    <m/>
    <m/>
    <m/>
    <m/>
    <m/>
    <m/>
    <m/>
    <m/>
    <s v="No"/>
    <n v="103"/>
    <m/>
    <m/>
    <s v="Commented Video"/>
    <x v="0"/>
    <s v="Thank you!! It helped a lot for my PhD!!"/>
    <s v="UCEkBJ8bqPbMoZwqFrKmPqSA"/>
    <s v="Ana Paula Teixeira"/>
    <s v="http://www.youtube.com/channel/UCEkBJ8bqPbMoZwqFrKmPqSA"/>
    <m/>
    <s v="zMlwGOki4Yg"/>
    <s v="https://www.youtube.com/watch?v=zMlwGOki4Yg"/>
    <s v="none"/>
    <n v="0"/>
    <x v="100"/>
    <d v="2022-01-14T16:16:28.000"/>
    <m/>
    <m/>
    <s v=""/>
    <n v="1"/>
    <s v="3"/>
    <s v="3"/>
    <n v="2"/>
    <n v="22.22222222222222"/>
    <n v="0"/>
    <n v="0"/>
    <n v="0"/>
    <n v="0"/>
    <n v="7"/>
    <n v="77.77777777777777"/>
    <n v="9"/>
  </r>
  <r>
    <s v="UCVoF08vw5_TGZoAo2JKf0MA"/>
    <s v="UCVJfW61X3yS0PH-25gIjpNA"/>
    <m/>
    <m/>
    <m/>
    <m/>
    <m/>
    <m/>
    <m/>
    <m/>
    <s v="No"/>
    <n v="104"/>
    <m/>
    <m/>
    <s v="Replied Comment"/>
    <x v="1"/>
    <s v="Merhaba, şu an ben de aynı konu üzerinde bitirme çalışması yapıyorum. Acaba siz nasıl yaptınız, videodaki programı mı kullandınız, biraz bilgi verebilir misiniz rica etsem ?"/>
    <s v="UCVoF08vw5_TGZoAo2JKf0MA"/>
    <s v="Sümeyra Yılmaz"/>
    <s v="http://www.youtube.com/channel/UCVoF08vw5_TGZoAo2JKf0MA"/>
    <s v="UgxyM85EsIWIsu2e85J4AaABAg"/>
    <s v="GYSgH1g_YQI"/>
    <s v="https://www.youtube.com/watch?v=GYSgH1g_YQI"/>
    <s v="none"/>
    <n v="0"/>
    <x v="101"/>
    <d v="2019-11-30T15:44:04.000"/>
    <m/>
    <m/>
    <s v=""/>
    <n v="1"/>
    <s v="5"/>
    <s v="5"/>
    <n v="0"/>
    <n v="0"/>
    <n v="0"/>
    <n v="0"/>
    <n v="0"/>
    <n v="0"/>
    <n v="25"/>
    <n v="100"/>
    <n v="25"/>
  </r>
  <r>
    <s v="UCVJfW61X3yS0PH-25gIjpNA"/>
    <s v="UCcyRyUvk-VLYGh8srnf9E2Q"/>
    <m/>
    <m/>
    <m/>
    <m/>
    <m/>
    <m/>
    <m/>
    <m/>
    <s v="No"/>
    <n v="105"/>
    <m/>
    <m/>
    <s v="Commented Video"/>
    <x v="0"/>
    <s v="Gerçekten çok teşekkürler yararlı video olmuş .Bitirme projem twitter verileri ile duygu analizi  faydalı oldu.."/>
    <s v="UCVJfW61X3yS0PH-25gIjpNA"/>
    <s v="sumeyye aktepe"/>
    <s v="http://www.youtube.com/channel/UCVJfW61X3yS0PH-25gIjpNA"/>
    <m/>
    <s v="GYSgH1g_YQI"/>
    <s v="https://www.youtube.com/watch?v=GYSgH1g_YQI"/>
    <s v="none"/>
    <n v="1"/>
    <x v="102"/>
    <d v="2017-11-02T20:50:30.000"/>
    <m/>
    <m/>
    <s v=""/>
    <n v="1"/>
    <s v="5"/>
    <s v="5"/>
    <n v="0"/>
    <n v="0"/>
    <n v="0"/>
    <n v="0"/>
    <n v="0"/>
    <n v="0"/>
    <n v="15"/>
    <n v="100"/>
    <n v="15"/>
  </r>
  <r>
    <s v="UC3ZPFGJ9YYuozcr4cSnBJ2A"/>
    <s v="UCcyRyUvk-VLYGh8srnf9E2Q"/>
    <m/>
    <m/>
    <m/>
    <m/>
    <m/>
    <m/>
    <m/>
    <m/>
    <s v="No"/>
    <n v="106"/>
    <m/>
    <m/>
    <s v="Commented Video"/>
    <x v="0"/>
    <s v="Hocam çok güzel olmuş. Elinize sağlık."/>
    <s v="UC3ZPFGJ9YYuozcr4cSnBJ2A"/>
    <s v="Buracademy"/>
    <s v="http://www.youtube.com/channel/UC3ZPFGJ9YYuozcr4cSnBJ2A"/>
    <m/>
    <s v="GYSgH1g_YQI"/>
    <s v="https://www.youtube.com/watch?v=GYSgH1g_YQI"/>
    <s v="none"/>
    <n v="0"/>
    <x v="103"/>
    <d v="2018-01-25T19:10:09.000"/>
    <m/>
    <m/>
    <s v=""/>
    <n v="1"/>
    <s v="5"/>
    <s v="5"/>
    <n v="0"/>
    <n v="0"/>
    <n v="0"/>
    <n v="0"/>
    <n v="0"/>
    <n v="0"/>
    <n v="6"/>
    <n v="100"/>
    <n v="6"/>
  </r>
  <r>
    <s v="UCgHRnRM04bqxuFsbmaogYoQ"/>
    <s v="UCk1fFx94xROs0rc-0X9B5xQ"/>
    <m/>
    <m/>
    <m/>
    <m/>
    <m/>
    <m/>
    <m/>
    <m/>
    <s v="No"/>
    <n v="107"/>
    <m/>
    <m/>
    <s v="Replied Comment"/>
    <x v="1"/>
    <s v="@sümeyye çelik aynı hatayı bende yaşıyorum nasıl çözebilirim?"/>
    <s v="UCgHRnRM04bqxuFsbmaogYoQ"/>
    <s v="ünzile yeşil"/>
    <s v="http://www.youtube.com/channel/UCgHRnRM04bqxuFsbmaogYoQ"/>
    <s v="UgzW5mmanrSbF70cVX54AaABAg"/>
    <s v="GYSgH1g_YQI"/>
    <s v="https://www.youtube.com/watch?v=GYSgH1g_YQI"/>
    <s v="none"/>
    <n v="0"/>
    <x v="104"/>
    <d v="2019-01-03T20:43:22.000"/>
    <m/>
    <m/>
    <s v=""/>
    <n v="1"/>
    <s v="5"/>
    <s v="5"/>
    <n v="0"/>
    <n v="0"/>
    <n v="0"/>
    <n v="0"/>
    <n v="0"/>
    <n v="0"/>
    <n v="8"/>
    <n v="100"/>
    <n v="8"/>
  </r>
  <r>
    <s v="UCNqum2PJcIKJNqgdpJT_BAQ"/>
    <s v="UCk1fFx94xROs0rc-0X9B5xQ"/>
    <m/>
    <m/>
    <m/>
    <m/>
    <m/>
    <m/>
    <m/>
    <m/>
    <s v="No"/>
    <n v="108"/>
    <m/>
    <m/>
    <s v="Replied Comment"/>
    <x v="1"/>
    <s v="@ünzile yeşil &lt;a href=&quot;https://www.nodexlgraphgallery.org/Pages/Registration.aspx&quot;&gt;https://www.nodexlgraphgallery.org/Pages/Registration.aspx&lt;/a&gt; surdan indirebilirsiniz."/>
    <s v="UCNqum2PJcIKJNqgdpJT_BAQ"/>
    <s v="Erkan"/>
    <s v="http://www.youtube.com/channel/UCNqum2PJcIKJNqgdpJT_BAQ"/>
    <s v="UgzW5mmanrSbF70cVX54AaABAg"/>
    <s v="GYSgH1g_YQI"/>
    <s v="https://www.youtube.com/watch?v=GYSgH1g_YQI"/>
    <s v="none"/>
    <n v="0"/>
    <x v="105"/>
    <d v="2020-04-24T13:33:06.000"/>
    <s v=" https://www.nodexlgraphgallery.org/Pages/Registration.aspx https://www.nodexlgraphgallery.org/Pages/Registration.aspx"/>
    <s v="nodexlgraphgallery.org nodexlgraphgallery.org"/>
    <s v=""/>
    <n v="1"/>
    <s v="5"/>
    <s v="5"/>
    <n v="0"/>
    <n v="0"/>
    <n v="0"/>
    <n v="0"/>
    <n v="0"/>
    <n v="0"/>
    <n v="21"/>
    <n v="100"/>
    <n v="21"/>
  </r>
  <r>
    <s v="UCk1fFx94xROs0rc-0X9B5xQ"/>
    <s v="UCk1fFx94xROs0rc-0X9B5xQ"/>
    <m/>
    <m/>
    <m/>
    <m/>
    <m/>
    <m/>
    <m/>
    <m/>
    <s v="No"/>
    <n v="109"/>
    <m/>
    <m/>
    <s v="Replied Comment"/>
    <x v="1"/>
    <s v="kurulumunu bir bir şekilde gerçekleştirdim fakat şimdide twitter hesap erişimi kısmı pasif geliyor seçemiyrum. ayrıca aramada yapmıyor. ygulama yan yana yapılandırması doğru olmadığından başlatılamadı hatası vereyir neden olabilir cevap verirseniz sevinirim."/>
    <s v="UCk1fFx94xROs0rc-0X9B5xQ"/>
    <s v="sümeyye çelik"/>
    <s v="http://www.youtube.com/channel/UCk1fFx94xROs0rc-0X9B5xQ"/>
    <s v="UgzW5mmanrSbF70cVX54AaABAg"/>
    <s v="GYSgH1g_YQI"/>
    <s v="https://www.youtube.com/watch?v=GYSgH1g_YQI"/>
    <s v="none"/>
    <n v="0"/>
    <x v="106"/>
    <d v="2018-02-09T15:04:27.000"/>
    <m/>
    <m/>
    <s v=""/>
    <n v="1"/>
    <s v="5"/>
    <s v="5"/>
    <n v="0"/>
    <n v="0"/>
    <n v="0"/>
    <n v="0"/>
    <n v="0"/>
    <n v="0"/>
    <n v="31"/>
    <n v="100"/>
    <n v="31"/>
  </r>
  <r>
    <s v="UCk1fFx94xROs0rc-0X9B5xQ"/>
    <s v="UCcyRyUvk-VLYGh8srnf9E2Q"/>
    <m/>
    <m/>
    <m/>
    <m/>
    <m/>
    <m/>
    <m/>
    <m/>
    <s v="No"/>
    <n v="110"/>
    <m/>
    <m/>
    <s v="Commented Video"/>
    <x v="0"/>
    <s v="hocam ücretsiz sürümünü indirip kuramadım farklı bir sitedenmi indirmeye çaliştim acaba linkini paylaşabilirmisiniz ? kurulum yaparken excel 2007 gerekli diye bir uyarı veriyor ve devam  etmiyor ama okudugum yerlerde 2007 ve üstü sürümlerde çalışırr yazıyor&lt;br&gt;&lt;a href=&quot;http://download.cnet.com/NodeXL/3001-2077_4-10967171.html&quot;&gt;http://download.cnet.com/NodeXL/3001-2077_4-10967171.html&lt;/a&gt;    den denedim birde&lt;br&gt;&lt;a href=&quot;http://nodexl.codeplex.com/&quot;&gt;nodexl.codeplex.com&lt;/a&gt; sitesinde setup yok sanırım."/>
    <s v="UCk1fFx94xROs0rc-0X9B5xQ"/>
    <s v="sümeyye çelik"/>
    <s v="http://www.youtube.com/channel/UCk1fFx94xROs0rc-0X9B5xQ"/>
    <m/>
    <s v="GYSgH1g_YQI"/>
    <s v="https://www.youtube.com/watch?v=GYSgH1g_YQI"/>
    <s v="none"/>
    <n v="0"/>
    <x v="107"/>
    <d v="2018-02-09T12:02:28.000"/>
    <s v=" http://download.cnet.com/NodeXL/3001-2077_4-10967171.html http://download.cnet.com/NodeXL/3001-2077_4-10967171.html http://nodexl.codeplex.com/"/>
    <s v="cnet.com cnet.com codeplex.com"/>
    <s v=""/>
    <n v="1"/>
    <s v="5"/>
    <s v="5"/>
    <n v="1"/>
    <n v="1.3513513513513513"/>
    <n v="0"/>
    <n v="0"/>
    <n v="0"/>
    <n v="0"/>
    <n v="73"/>
    <n v="98.64864864864865"/>
    <n v="74"/>
  </r>
  <r>
    <s v="UCaHhU-OK1Vac5L2ghUiDtfw"/>
    <s v="UC9WOPcj0UJiSLURpeHpTLGg"/>
    <m/>
    <m/>
    <m/>
    <m/>
    <m/>
    <m/>
    <m/>
    <m/>
    <s v="No"/>
    <n v="111"/>
    <m/>
    <m/>
    <s v="Replied Comment"/>
    <x v="1"/>
    <s v="ben de aynısını arıyorum iki video da sizin yorumu görünce yazayım dedim. bulabildiniz mi ?"/>
    <s v="UCaHhU-OK1Vac5L2ghUiDtfw"/>
    <s v="Özgür Ağrali"/>
    <s v="http://www.youtube.com/channel/UCaHhU-OK1Vac5L2ghUiDtfw"/>
    <s v="UgyY-471aqOucVMavT54AaABAg"/>
    <s v="GYSgH1g_YQI"/>
    <s v="https://www.youtube.com/watch?v="/>
    <s v="none"/>
    <n v="0"/>
    <x v="108"/>
    <d v="2020-11-18T14:28:47.000"/>
    <m/>
    <m/>
    <s v=""/>
    <n v="1"/>
    <s v="5"/>
    <s v="5"/>
    <n v="0"/>
    <n v="0"/>
    <n v="0"/>
    <n v="0"/>
    <n v="0"/>
    <n v="0"/>
    <n v="14"/>
    <n v="100"/>
    <n v="14"/>
  </r>
  <r>
    <s v="UC9WOPcj0UJiSLURpeHpTLGg"/>
    <s v="UCcyRyUvk-VLYGh8srnf9E2Q"/>
    <m/>
    <m/>
    <m/>
    <m/>
    <m/>
    <m/>
    <m/>
    <m/>
    <s v="No"/>
    <n v="112"/>
    <m/>
    <m/>
    <s v="Commented Video"/>
    <x v="0"/>
    <s v="Twitter&amp;#39;dan bir hashtag&amp;#39;te belli tarihler arasında veri çekmek istiyorum . hangi programı kullanmalıyım? örneğin  27/02.2020 - 04/03/2020 tarihleri arasında &lt;a href=&quot;http://www.youtube.com/results?search_query=%23m%C3%BClteci&quot;&gt;#mülteci&lt;/a&gt; hashtag&amp;#39;iyle atılan verileri görebilir miyim?"/>
    <s v="UC9WOPcj0UJiSLURpeHpTLGg"/>
    <s v="Ayşen Özenir"/>
    <s v="http://www.youtube.com/channel/UC9WOPcj0UJiSLURpeHpTLGg"/>
    <m/>
    <s v="GYSgH1g_YQI"/>
    <s v="https://www.youtube.com/watch?v=GYSgH1g_YQI"/>
    <s v="none"/>
    <n v="0"/>
    <x v="109"/>
    <d v="2020-11-17T22:26:08.000"/>
    <s v=" http://www.youtube.com/results?search_query=%23m%C3%BClteci"/>
    <s v="youtube.com"/>
    <s v=""/>
    <n v="1"/>
    <s v="5"/>
    <s v="5"/>
    <n v="0"/>
    <n v="0"/>
    <n v="0"/>
    <n v="0"/>
    <n v="0"/>
    <n v="0"/>
    <n v="45"/>
    <n v="100"/>
    <n v="45"/>
  </r>
  <r>
    <s v="UCJIZkb4wSJWKnDl2y3zC5Fg"/>
    <s v="UCerAw4EfTOnYYxLLPZAzMxQ"/>
    <m/>
    <m/>
    <m/>
    <m/>
    <m/>
    <m/>
    <m/>
    <m/>
    <s v="No"/>
    <n v="113"/>
    <m/>
    <m/>
    <s v="Commented Video"/>
    <x v="0"/>
    <s v="Hello sir,&lt;br&gt;I have one question. &lt;br&gt;I recently start my msc thesis, social media  network analysis but i don&amp;#39;t know how to start what kind of analysis we can do and what kind of problem we can solve with social network analysis. What will be my research area ."/>
    <s v="UCJIZkb4wSJWKnDl2y3zC5Fg"/>
    <s v="Srazi Abbas"/>
    <s v="http://www.youtube.com/channel/UCJIZkb4wSJWKnDl2y3zC5Fg"/>
    <m/>
    <s v="_ci5QaUkAfw"/>
    <s v="https://www.youtube.com/watch?v=_ci5QaUkAfw"/>
    <s v="none"/>
    <n v="0"/>
    <x v="110"/>
    <d v="2015-08-01T00:51:09.000"/>
    <m/>
    <m/>
    <s v=""/>
    <n v="1"/>
    <s v="1"/>
    <s v="1"/>
    <n v="0"/>
    <n v="0"/>
    <n v="1"/>
    <n v="1.9230769230769231"/>
    <n v="0"/>
    <n v="0"/>
    <n v="51"/>
    <n v="98.07692307692308"/>
    <n v="52"/>
  </r>
  <r>
    <s v="UCdroRJc0_ZpOqXd_5Gp1UEA"/>
    <s v="UC4B0PCHbdzSSzlHORDsaYjQ"/>
    <m/>
    <m/>
    <m/>
    <m/>
    <m/>
    <m/>
    <m/>
    <m/>
    <s v="No"/>
    <n v="114"/>
    <m/>
    <m/>
    <s v="Commented Video"/>
    <x v="0"/>
    <s v="This is a new version?"/>
    <s v="UCdroRJc0_ZpOqXd_5Gp1UEA"/>
    <s v="Ezio Alves"/>
    <s v="http://www.youtube.com/channel/UCdroRJc0_ZpOqXd_5Gp1UEA"/>
    <m/>
    <s v="yknqOhpUtzQ"/>
    <s v="https://www.youtube.com/watch?v=yknqOhpUtzQ"/>
    <s v="none"/>
    <n v="0"/>
    <x v="111"/>
    <d v="2015-05-31T22:36:18.000"/>
    <m/>
    <m/>
    <s v=""/>
    <n v="1"/>
    <s v="7"/>
    <s v="7"/>
    <n v="0"/>
    <n v="0"/>
    <n v="0"/>
    <n v="0"/>
    <n v="0"/>
    <n v="0"/>
    <n v="5"/>
    <n v="100"/>
    <n v="5"/>
  </r>
  <r>
    <s v="UCh3yYzeRVs-FINrguoLPzjA"/>
    <s v="UC4B0PCHbdzSSzlHORDsaYjQ"/>
    <m/>
    <m/>
    <m/>
    <m/>
    <m/>
    <m/>
    <m/>
    <m/>
    <s v="No"/>
    <n v="115"/>
    <m/>
    <m/>
    <s v="Commented Video"/>
    <x v="0"/>
    <s v="how do i use the fade out when i filter the graph?"/>
    <s v="UCh3yYzeRVs-FINrguoLPzjA"/>
    <s v="Fissle Wine"/>
    <s v="http://www.youtube.com/channel/UCh3yYzeRVs-FINrguoLPzjA"/>
    <m/>
    <s v="yknqOhpUtzQ"/>
    <s v="https://www.youtube.com/watch?v=yknqOhpUtzQ"/>
    <s v="none"/>
    <n v="0"/>
    <x v="112"/>
    <d v="2015-12-03T20:05:57.000"/>
    <m/>
    <m/>
    <s v=""/>
    <n v="1"/>
    <s v="7"/>
    <s v="7"/>
    <n v="0"/>
    <n v="0"/>
    <n v="0"/>
    <n v="0"/>
    <n v="0"/>
    <n v="0"/>
    <n v="12"/>
    <n v="100"/>
    <n v="12"/>
  </r>
  <r>
    <s v="UCixxAbFxgX_ukjZQmAnkSPw"/>
    <s v="UC4B0PCHbdzSSzlHORDsaYjQ"/>
    <m/>
    <m/>
    <m/>
    <m/>
    <m/>
    <m/>
    <m/>
    <m/>
    <s v="No"/>
    <n v="116"/>
    <m/>
    <m/>
    <s v="Commented Video"/>
    <x v="0"/>
    <s v="Why do you use harel over frucherman? Is just a personal preference?"/>
    <s v="UCixxAbFxgX_ukjZQmAnkSPw"/>
    <s v="Michelle Molina"/>
    <s v="http://www.youtube.com/channel/UCixxAbFxgX_ukjZQmAnkSPw"/>
    <m/>
    <s v="yknqOhpUtzQ"/>
    <s v="https://www.youtube.com/watch?v=yknqOhpUtzQ"/>
    <s v="none"/>
    <n v="0"/>
    <x v="113"/>
    <d v="2016-02-25T19:18:07.000"/>
    <m/>
    <m/>
    <s v=""/>
    <n v="1"/>
    <s v="7"/>
    <s v="7"/>
    <n v="0"/>
    <n v="0"/>
    <n v="0"/>
    <n v="0"/>
    <n v="0"/>
    <n v="0"/>
    <n v="12"/>
    <n v="100"/>
    <n v="12"/>
  </r>
  <r>
    <s v="UCI9yBt6c5JsNA4ojCmidRiQ"/>
    <s v="UC4B0PCHbdzSSzlHORDsaYjQ"/>
    <m/>
    <m/>
    <m/>
    <m/>
    <m/>
    <m/>
    <m/>
    <m/>
    <s v="No"/>
    <n v="117"/>
    <m/>
    <m/>
    <s v="Commented Video"/>
    <x v="0"/>
    <s v="This has been extremely helpful, thank you."/>
    <s v="UCI9yBt6c5JsNA4ojCmidRiQ"/>
    <s v="Christian Caldwell"/>
    <s v="http://www.youtube.com/channel/UCI9yBt6c5JsNA4ojCmidRiQ"/>
    <m/>
    <s v="yknqOhpUtzQ"/>
    <s v="https://www.youtube.com/watch?v=yknqOhpUtzQ"/>
    <s v="none"/>
    <n v="0"/>
    <x v="114"/>
    <d v="2016-11-22T19:17:26.000"/>
    <m/>
    <m/>
    <s v=""/>
    <n v="1"/>
    <s v="7"/>
    <s v="7"/>
    <n v="2"/>
    <n v="28.571428571428573"/>
    <n v="0"/>
    <n v="0"/>
    <n v="0"/>
    <n v="0"/>
    <n v="5"/>
    <n v="71.42857142857143"/>
    <n v="7"/>
  </r>
  <r>
    <s v="UCKuZZ1l9Em5c5WYrPKvLJWg"/>
    <s v="UC4B0PCHbdzSSzlHORDsaYjQ"/>
    <m/>
    <m/>
    <m/>
    <m/>
    <m/>
    <m/>
    <m/>
    <m/>
    <s v="No"/>
    <n v="118"/>
    <m/>
    <m/>
    <s v="Commented Video"/>
    <x v="0"/>
    <s v="really helpful, thank you"/>
    <s v="UCKuZZ1l9Em5c5WYrPKvLJWg"/>
    <s v="nattakan iusakul"/>
    <s v="http://www.youtube.com/channel/UCKuZZ1l9Em5c5WYrPKvLJWg"/>
    <m/>
    <s v="yknqOhpUtzQ"/>
    <s v="https://www.youtube.com/watch?v=yknqOhpUtzQ"/>
    <s v="none"/>
    <n v="0"/>
    <x v="115"/>
    <d v="2017-09-20T04:05:49.000"/>
    <m/>
    <m/>
    <s v=""/>
    <n v="1"/>
    <s v="7"/>
    <s v="7"/>
    <n v="2"/>
    <n v="50"/>
    <n v="0"/>
    <n v="0"/>
    <n v="0"/>
    <n v="0"/>
    <n v="2"/>
    <n v="50"/>
    <n v="4"/>
  </r>
  <r>
    <s v="UC5lFWTaAy8fFiZpMxEhN98A"/>
    <s v="UCGajcAd0-l59-ly_FeDMYXw"/>
    <m/>
    <m/>
    <m/>
    <m/>
    <m/>
    <m/>
    <m/>
    <m/>
    <s v="No"/>
    <n v="119"/>
    <m/>
    <m/>
    <s v="Commented Video"/>
    <x v="0"/>
    <s v="Link download software nya kok error ya min?"/>
    <s v="UC5lFWTaAy8fFiZpMxEhN98A"/>
    <s v="Yusufil Akbar"/>
    <s v="http://www.youtube.com/channel/UC5lFWTaAy8fFiZpMxEhN98A"/>
    <m/>
    <s v="TrCcbMEkJM0"/>
    <s v="https://www.youtube.com/watch?v=TrCcbMEkJM0"/>
    <s v="none"/>
    <n v="0"/>
    <x v="116"/>
    <d v="2021-10-03T02:52:56.000"/>
    <m/>
    <m/>
    <s v=""/>
    <n v="1"/>
    <s v="15"/>
    <s v="15"/>
    <n v="0"/>
    <n v="0"/>
    <n v="1"/>
    <n v="12.5"/>
    <n v="0"/>
    <n v="0"/>
    <n v="7"/>
    <n v="87.5"/>
    <n v="8"/>
  </r>
  <r>
    <s v="UCJL0AOQJZ0BewrdqUoIoqRw"/>
    <s v="UCGajcAd0-l59-ly_FeDMYXw"/>
    <m/>
    <m/>
    <m/>
    <m/>
    <m/>
    <m/>
    <m/>
    <m/>
    <s v="No"/>
    <n v="120"/>
    <m/>
    <m/>
    <s v="Commented Video"/>
    <x v="0"/>
    <s v="the link doesnt work :("/>
    <s v="UCJL0AOQJZ0BewrdqUoIoqRw"/>
    <s v="SABARIHA BINTI CHE HUSSIN"/>
    <s v="http://www.youtube.com/channel/UCJL0AOQJZ0BewrdqUoIoqRw"/>
    <m/>
    <s v="TrCcbMEkJM0"/>
    <s v="https://www.youtube.com/watch?v=TrCcbMEkJM0"/>
    <s v="none"/>
    <n v="0"/>
    <x v="117"/>
    <d v="2022-03-26T06:56:53.000"/>
    <m/>
    <m/>
    <s v=""/>
    <n v="1"/>
    <s v="15"/>
    <s v="15"/>
    <n v="1"/>
    <n v="25"/>
    <n v="0"/>
    <n v="0"/>
    <n v="0"/>
    <n v="0"/>
    <n v="3"/>
    <n v="75"/>
    <n v="4"/>
  </r>
  <r>
    <s v="UCOTJh6zzR3-NAPJBNKaqOgw"/>
    <s v="UC4B0PCHbdzSSzlHORDsaYjQ"/>
    <m/>
    <m/>
    <m/>
    <m/>
    <m/>
    <m/>
    <m/>
    <m/>
    <s v="No"/>
    <n v="121"/>
    <m/>
    <m/>
    <s v="Commented Video"/>
    <x v="0"/>
    <s v="Thank you! Life saver!"/>
    <s v="UCOTJh6zzR3-NAPJBNKaqOgw"/>
    <s v="Juliana Maria Trammel"/>
    <s v="http://www.youtube.com/channel/UCOTJh6zzR3-NAPJBNKaqOgw"/>
    <m/>
    <s v="0snyC8fNhXo"/>
    <s v="https://www.youtube.com/watch?v=0snyC8fNhXo"/>
    <s v="none"/>
    <n v="1"/>
    <x v="118"/>
    <d v="2016-03-12T03:01:42.000"/>
    <m/>
    <m/>
    <s v=""/>
    <n v="1"/>
    <s v="7"/>
    <s v="7"/>
    <n v="2"/>
    <n v="50"/>
    <n v="0"/>
    <n v="0"/>
    <n v="0"/>
    <n v="0"/>
    <n v="2"/>
    <n v="50"/>
    <n v="4"/>
  </r>
  <r>
    <s v="UC0UMID05DoGXImC7u-VQ8cA"/>
    <s v="UCwya1YV0VVcNVA1ALPpaZ5g"/>
    <m/>
    <m/>
    <m/>
    <m/>
    <m/>
    <m/>
    <m/>
    <m/>
    <s v="No"/>
    <n v="122"/>
    <m/>
    <m/>
    <s v="Replied Comment"/>
    <x v="1"/>
    <s v="Hi Kellogg, could you send me the sample data to me for practise, since the NodeXL has banned the twitter importer for basic version. Really appreciate your help"/>
    <s v="UC0UMID05DoGXImC7u-VQ8cA"/>
    <s v="Niko Feng"/>
    <s v="http://www.youtube.com/channel/UC0UMID05DoGXImC7u-VQ8cA"/>
    <s v="Ugjd4n-S0eHX23gCoAEC"/>
    <s v="0snyC8fNhXo"/>
    <s v="https://www.youtube.com/watch?v=0snyC8fNhXo"/>
    <s v="none"/>
    <n v="0"/>
    <x v="119"/>
    <d v="2016-10-15T13:26:00.000"/>
    <m/>
    <m/>
    <s v=""/>
    <n v="1"/>
    <s v="7"/>
    <s v="7"/>
    <n v="1"/>
    <n v="3.5714285714285716"/>
    <n v="0"/>
    <n v="0"/>
    <n v="0"/>
    <n v="0"/>
    <n v="27"/>
    <n v="96.42857142857143"/>
    <n v="28"/>
  </r>
  <r>
    <s v="UC4B0PCHbdzSSzlHORDsaYjQ"/>
    <s v="UCwya1YV0VVcNVA1ALPpaZ5g"/>
    <m/>
    <m/>
    <m/>
    <m/>
    <m/>
    <m/>
    <m/>
    <m/>
    <s v="Yes"/>
    <n v="123"/>
    <m/>
    <m/>
    <s v="Replied Comment"/>
    <x v="1"/>
    <s v="NodeXL generates the graphs, and they can be exported as a standard jpeg file."/>
    <s v="UC4B0PCHbdzSSzlHORDsaYjQ"/>
    <s v="Shaun Kellogg"/>
    <s v="http://www.youtube.com/channel/UC4B0PCHbdzSSzlHORDsaYjQ"/>
    <s v="Ugjd4n-S0eHX23gCoAEC"/>
    <s v="0snyC8fNhXo"/>
    <s v="https://www.youtube.com/watch?v=0snyC8fNhXo"/>
    <s v="none"/>
    <n v="0"/>
    <x v="120"/>
    <d v="2016-07-05T22:49:42.000"/>
    <m/>
    <m/>
    <s v=""/>
    <n v="1"/>
    <s v="7"/>
    <s v="7"/>
    <n v="0"/>
    <n v="0"/>
    <n v="0"/>
    <n v="0"/>
    <n v="0"/>
    <n v="0"/>
    <n v="14"/>
    <n v="100"/>
    <n v="14"/>
  </r>
  <r>
    <s v="UCwya1YV0VVcNVA1ALPpaZ5g"/>
    <s v="UC4B0PCHbdzSSzlHORDsaYjQ"/>
    <m/>
    <m/>
    <m/>
    <m/>
    <m/>
    <m/>
    <m/>
    <m/>
    <s v="Yes"/>
    <n v="124"/>
    <m/>
    <m/>
    <s v="Commented Video"/>
    <x v="0"/>
    <s v="Which application software is used for graph output?? please help"/>
    <s v="UCwya1YV0VVcNVA1ALPpaZ5g"/>
    <s v="Ravikant K"/>
    <s v="http://www.youtube.com/channel/UCwya1YV0VVcNVA1ALPpaZ5g"/>
    <m/>
    <s v="0snyC8fNhXo"/>
    <s v="https://www.youtube.com/watch?v=0snyC8fNhXo"/>
    <s v="none"/>
    <n v="0"/>
    <x v="121"/>
    <d v="2016-07-04T16:45:08.000"/>
    <m/>
    <m/>
    <s v=""/>
    <n v="1"/>
    <s v="7"/>
    <s v="7"/>
    <n v="0"/>
    <n v="0"/>
    <n v="0"/>
    <n v="0"/>
    <n v="0"/>
    <n v="0"/>
    <n v="10"/>
    <n v="100"/>
    <n v="10"/>
  </r>
  <r>
    <s v="UCerAw4EfTOnYYxLLPZAzMxQ"/>
    <s v="UCuPfgSrWOc2EmNcS-dnRC8A"/>
    <m/>
    <m/>
    <m/>
    <m/>
    <m/>
    <m/>
    <m/>
    <m/>
    <s v="Yes"/>
    <n v="125"/>
    <m/>
    <m/>
    <s v="Replied Comment"/>
    <x v="1"/>
    <s v="Hi, V.M.. One important change in NodeXL since 2013 is that there is now a Pro (paid) and a Basic (free) version. In the Basic version, many previously free capabilities are no longer available.  In NodeXL Pro now, collecting only mentions (and not replies) is not possible, but it is simple enough in the results to filter out one type or the other."/>
    <s v="UCerAw4EfTOnYYxLLPZAzMxQ"/>
    <s v="James Cook"/>
    <s v="http://www.youtube.com/channel/UCerAw4EfTOnYYxLLPZAzMxQ"/>
    <s v="UggtoHb3Y2R5-ngCoAEC"/>
    <s v="CwQ8IrHZDgA"/>
    <s v="https://www.youtube.com/watch?v=CwQ8IrHZDgA"/>
    <s v="none"/>
    <n v="0"/>
    <x v="122"/>
    <d v="2017-01-06T20:17:01.000"/>
    <m/>
    <m/>
    <s v=""/>
    <n v="1"/>
    <s v="1"/>
    <s v="1"/>
    <n v="5"/>
    <n v="7.8125"/>
    <n v="0"/>
    <n v="0"/>
    <n v="0"/>
    <n v="0"/>
    <n v="59"/>
    <n v="92.1875"/>
    <n v="64"/>
  </r>
  <r>
    <s v="UCuPfgSrWOc2EmNcS-dnRC8A"/>
    <s v="UCuPfgSrWOc2EmNcS-dnRC8A"/>
    <m/>
    <m/>
    <m/>
    <m/>
    <m/>
    <m/>
    <m/>
    <m/>
    <s v="No"/>
    <n v="126"/>
    <m/>
    <m/>
    <s v="Replied Comment"/>
    <x v="1"/>
    <s v="I see, thank you for helping."/>
    <s v="UCuPfgSrWOc2EmNcS-dnRC8A"/>
    <s v="visca moudy"/>
    <s v="http://www.youtube.com/channel/UCuPfgSrWOc2EmNcS-dnRC8A"/>
    <s v="UggtoHb3Y2R5-ngCoAEC"/>
    <s v="CwQ8IrHZDgA"/>
    <s v="https://www.youtube.com/watch?v=CwQ8IrHZDgA"/>
    <s v="none"/>
    <n v="0"/>
    <x v="123"/>
    <d v="2017-01-07T07:17:55.000"/>
    <m/>
    <m/>
    <s v=""/>
    <n v="1"/>
    <s v="1"/>
    <s v="1"/>
    <n v="2"/>
    <n v="33.333333333333336"/>
    <n v="0"/>
    <n v="0"/>
    <n v="0"/>
    <n v="0"/>
    <n v="4"/>
    <n v="66.66666666666667"/>
    <n v="6"/>
  </r>
  <r>
    <s v="UCuPfgSrWOc2EmNcS-dnRC8A"/>
    <s v="UCerAw4EfTOnYYxLLPZAzMxQ"/>
    <m/>
    <m/>
    <m/>
    <m/>
    <m/>
    <m/>
    <m/>
    <m/>
    <s v="Yes"/>
    <n v="127"/>
    <m/>
    <m/>
    <s v="Commented Video"/>
    <x v="0"/>
    <s v="Dear Dr Cook, Is it right that the preview of the edges&amp;#39; options(for importing data from twitter) of the latest nodeXL kind of different from the 2013 one (that i  saw on ur previous tutorial) ?. As we are no longer able to have an option whether to take mentions only, reply to only,etc.&lt;br&gt;Thank You"/>
    <s v="UCuPfgSrWOc2EmNcS-dnRC8A"/>
    <s v="visca moudy"/>
    <s v="http://www.youtube.com/channel/UCuPfgSrWOc2EmNcS-dnRC8A"/>
    <m/>
    <s v="CwQ8IrHZDgA"/>
    <s v="https://www.youtube.com/watch?v=CwQ8IrHZDgA"/>
    <s v="none"/>
    <n v="0"/>
    <x v="124"/>
    <d v="2017-01-06T18:41:41.000"/>
    <m/>
    <m/>
    <s v=""/>
    <n v="1"/>
    <s v="1"/>
    <s v="1"/>
    <n v="2"/>
    <n v="3.389830508474576"/>
    <n v="0"/>
    <n v="0"/>
    <n v="0"/>
    <n v="0"/>
    <n v="57"/>
    <n v="96.61016949152543"/>
    <n v="59"/>
  </r>
  <r>
    <s v="UCdtcABJ52mOHCXSIzO6SpGA"/>
    <s v="UCerAw4EfTOnYYxLLPZAzMxQ"/>
    <m/>
    <m/>
    <m/>
    <m/>
    <m/>
    <m/>
    <m/>
    <m/>
    <s v="No"/>
    <n v="128"/>
    <m/>
    <m/>
    <s v="Commented Video"/>
    <x v="0"/>
    <s v="Great video!"/>
    <s v="UCdtcABJ52mOHCXSIzO6SpGA"/>
    <s v="AGray Gray"/>
    <s v="http://www.youtube.com/channel/UCdtcABJ52mOHCXSIzO6SpGA"/>
    <m/>
    <s v="t8YHRVf60BU"/>
    <s v="https://www.youtube.com/watch?v=t8YHRVf60BU"/>
    <s v="none"/>
    <n v="0"/>
    <x v="125"/>
    <d v="2014-05-14T21:38:27.000"/>
    <m/>
    <m/>
    <s v=""/>
    <n v="1"/>
    <s v="1"/>
    <s v="1"/>
    <n v="1"/>
    <n v="50"/>
    <n v="0"/>
    <n v="0"/>
    <n v="0"/>
    <n v="0"/>
    <n v="1"/>
    <n v="50"/>
    <n v="2"/>
  </r>
  <r>
    <s v="UC9cKkmwkK5RE3Yon6NglcwA"/>
    <s v="UCerAw4EfTOnYYxLLPZAzMxQ"/>
    <m/>
    <m/>
    <m/>
    <m/>
    <m/>
    <m/>
    <m/>
    <m/>
    <s v="No"/>
    <n v="129"/>
    <m/>
    <m/>
    <s v="Commented Video"/>
    <x v="0"/>
    <s v="Nice work, thanks!"/>
    <s v="UC9cKkmwkK5RE3Yon6NglcwA"/>
    <s v="Jasminka Kovačević"/>
    <s v="http://www.youtube.com/channel/UC9cKkmwkK5RE3Yon6NglcwA"/>
    <m/>
    <s v="t8YHRVf60BU"/>
    <s v="https://www.youtube.com/watch?v=t8YHRVf60BU"/>
    <s v="none"/>
    <n v="0"/>
    <x v="126"/>
    <d v="2015-08-11T16:29:28.000"/>
    <m/>
    <m/>
    <s v=""/>
    <n v="1"/>
    <s v="1"/>
    <s v="1"/>
    <n v="2"/>
    <n v="66.66666666666667"/>
    <n v="0"/>
    <n v="0"/>
    <n v="0"/>
    <n v="0"/>
    <n v="1"/>
    <n v="33.333333333333336"/>
    <n v="3"/>
  </r>
  <r>
    <s v="UC6OBGTpqEY5Pn4-4xWg8QhQ"/>
    <s v="UCfpw3xq_g1xpdwlyq11atZQ"/>
    <m/>
    <m/>
    <m/>
    <m/>
    <m/>
    <m/>
    <m/>
    <m/>
    <s v="No"/>
    <n v="130"/>
    <m/>
    <m/>
    <s v="Commented Video"/>
    <x v="0"/>
    <s v="We can hardly see what is written in Node EXl I think it would be a lot better understandable to make it a little bit bigger.Thank you any way"/>
    <s v="UC6OBGTpqEY5Pn4-4xWg8QhQ"/>
    <s v="Fevzi Cankurtaran"/>
    <s v="http://www.youtube.com/channel/UC6OBGTpqEY5Pn4-4xWg8QhQ"/>
    <m/>
    <s v="owl9we4ldFI"/>
    <s v="https://www.youtube.com/watch?v=owl9we4ldFI"/>
    <s v="none"/>
    <n v="0"/>
    <x v="127"/>
    <d v="2019-05-24T17:23:53.000"/>
    <m/>
    <m/>
    <s v=""/>
    <n v="1"/>
    <s v="3"/>
    <s v="3"/>
    <n v="3"/>
    <n v="10"/>
    <n v="0"/>
    <n v="0"/>
    <n v="0"/>
    <n v="0"/>
    <n v="27"/>
    <n v="90"/>
    <n v="30"/>
  </r>
  <r>
    <s v="UCCwmutQCZD-xOlzyKKl5fag"/>
    <s v="UCfpw3xq_g1xpdwlyq11atZQ"/>
    <m/>
    <m/>
    <m/>
    <m/>
    <m/>
    <m/>
    <m/>
    <m/>
    <s v="No"/>
    <n v="131"/>
    <m/>
    <m/>
    <s v="Commented Video"/>
    <x v="0"/>
    <s v="Thank you for saving my ass 7 years after uploading this video. It&amp;#39;s just annoying that so many features are not available anymore in the basic version."/>
    <s v="UCCwmutQCZD-xOlzyKKl5fag"/>
    <s v="Kalt Gruen"/>
    <s v="http://www.youtube.com/channel/UCCwmutQCZD-xOlzyKKl5fag"/>
    <m/>
    <s v="owl9we4ldFI"/>
    <s v="https://www.youtube.com/watch?v=owl9we4ldFI"/>
    <s v="none"/>
    <n v="2"/>
    <x v="128"/>
    <d v="2019-08-16T16:16:43.000"/>
    <m/>
    <m/>
    <s v=""/>
    <n v="1"/>
    <s v="3"/>
    <s v="3"/>
    <n v="2"/>
    <n v="6.896551724137931"/>
    <n v="1"/>
    <n v="3.4482758620689653"/>
    <n v="0"/>
    <n v="0"/>
    <n v="26"/>
    <n v="89.65517241379311"/>
    <n v="29"/>
  </r>
  <r>
    <s v="UChPvILLGvBiP_SiUg9srazw"/>
    <s v="UCnrbbUoV6A2YP0tCJJfJSsg"/>
    <m/>
    <m/>
    <m/>
    <m/>
    <m/>
    <m/>
    <m/>
    <m/>
    <s v="No"/>
    <n v="132"/>
    <m/>
    <m/>
    <s v="Commented Video"/>
    <x v="0"/>
    <s v="Thanks g"/>
    <s v="UChPvILLGvBiP_SiUg9srazw"/>
    <s v="Oscar"/>
    <s v="http://www.youtube.com/channel/UChPvILLGvBiP_SiUg9srazw"/>
    <m/>
    <s v="mjAq8eA7uOM"/>
    <s v="https://www.youtube.com/watch?v=mjAq8eA7uOM"/>
    <s v="none"/>
    <n v="0"/>
    <x v="129"/>
    <d v="2021-12-06T14:34:58.000"/>
    <m/>
    <m/>
    <s v=""/>
    <n v="1"/>
    <s v="4"/>
    <s v="4"/>
    <n v="0"/>
    <n v="0"/>
    <n v="0"/>
    <n v="0"/>
    <n v="0"/>
    <n v="0"/>
    <n v="2"/>
    <n v="100"/>
    <n v="2"/>
  </r>
  <r>
    <s v="UCkNEkfKxEtYneNKzdgiefWg"/>
    <s v="UCqS6Idv3FEU9VQX7-yHwnSw"/>
    <m/>
    <m/>
    <m/>
    <m/>
    <m/>
    <m/>
    <m/>
    <m/>
    <s v="No"/>
    <n v="133"/>
    <m/>
    <m/>
    <s v="Commented Video"/>
    <x v="0"/>
    <s v="Fantastic video, cant wait for the deep dive into NodeXL"/>
    <s v="UCkNEkfKxEtYneNKzdgiefWg"/>
    <s v="ISP3026"/>
    <s v="http://www.youtube.com/channel/UCkNEkfKxEtYneNKzdgiefWg"/>
    <m/>
    <s v="leNjC1CQiow"/>
    <s v="https://www.youtube.com/watch?v=leNjC1CQiow"/>
    <s v="none"/>
    <n v="3"/>
    <x v="130"/>
    <d v="2019-04-13T22:40:15.000"/>
    <m/>
    <m/>
    <s v=""/>
    <n v="1"/>
    <s v="4"/>
    <s v="4"/>
    <n v="1"/>
    <n v="10"/>
    <n v="0"/>
    <n v="0"/>
    <n v="0"/>
    <n v="0"/>
    <n v="9"/>
    <n v="90"/>
    <n v="10"/>
  </r>
  <r>
    <s v="UC-abaNhleZ9l8u2eiQgIHXA"/>
    <s v="UCmB6rgL4vwKdmtRwoK6hNRA"/>
    <m/>
    <m/>
    <m/>
    <m/>
    <m/>
    <m/>
    <m/>
    <m/>
    <s v="No"/>
    <n v="134"/>
    <m/>
    <m/>
    <s v="Replied Comment"/>
    <x v="1"/>
    <s v="merhaba hocam bende yüksek lisans tezimde kullanmak istiyorum ama daha çok yeniyim ve daha cok yabancı kaynak buldum , sizle görüşmeyi rica etsem kabul eder misiniz? telefondan bir kaç soru sorsam ? kolaylıklar diliyorum"/>
    <s v="UC-abaNhleZ9l8u2eiQgIHXA"/>
    <s v="Burcu Bostan"/>
    <s v="http://www.youtube.com/channel/UC-abaNhleZ9l8u2eiQgIHXA"/>
    <s v="UgyCVYSA068GO9AIJOF4AaABAg"/>
    <s v="-dB0rwt6_U8"/>
    <s v="https://www.youtube.com/watch?v=-dB0rwt6_U8"/>
    <s v="none"/>
    <n v="0"/>
    <x v="131"/>
    <d v="2020-11-18T12:15:39.000"/>
    <m/>
    <m/>
    <s v=""/>
    <n v="1"/>
    <s v="5"/>
    <s v="5"/>
    <n v="0"/>
    <n v="0"/>
    <n v="0"/>
    <n v="0"/>
    <n v="0"/>
    <n v="0"/>
    <n v="32"/>
    <n v="100"/>
    <n v="32"/>
  </r>
  <r>
    <s v="UCmB6rgL4vwKdmtRwoK6hNRA"/>
    <s v="UCaz5lJl4O-DlZ0Ype11GGDQ"/>
    <m/>
    <m/>
    <m/>
    <m/>
    <m/>
    <m/>
    <m/>
    <m/>
    <s v="No"/>
    <n v="135"/>
    <m/>
    <m/>
    <s v="Commented Video"/>
    <x v="0"/>
    <s v="Hocam merhaba, programı sayenizde yükleyip çalıştırdım, doktora tezimde kullanıcam. Bir iki sorum olacak, size nasıl ulaşabilirim. Şimdiden çok teşekkürler. 0532 3084622. Saygılarımla."/>
    <s v="UCmB6rgL4vwKdmtRwoK6hNRA"/>
    <s v="B C"/>
    <s v="http://www.youtube.com/channel/UCmB6rgL4vwKdmtRwoK6hNRA"/>
    <m/>
    <s v="-dB0rwt6_U8"/>
    <s v="https://www.youtube.com/watch?v=-dB0rwt6_U8"/>
    <s v="none"/>
    <n v="0"/>
    <x v="132"/>
    <d v="2020-03-07T17:25:41.000"/>
    <m/>
    <m/>
    <s v=""/>
    <n v="1"/>
    <s v="5"/>
    <s v="5"/>
    <n v="0"/>
    <n v="0"/>
    <n v="0"/>
    <n v="0"/>
    <n v="0"/>
    <n v="0"/>
    <n v="22"/>
    <n v="100"/>
    <n v="22"/>
  </r>
  <r>
    <s v="UCaz5lJl4O-DlZ0Ype11GGDQ"/>
    <s v="UCiFbxhlcapLxvMvBOJfgiAQ"/>
    <m/>
    <m/>
    <m/>
    <m/>
    <m/>
    <m/>
    <m/>
    <m/>
    <s v="Yes"/>
    <n v="136"/>
    <m/>
    <m/>
    <s v="Replied Comment"/>
    <x v="1"/>
    <s v="Merhabalar. İlginiz için çok teşekkür ederim. Sizlerden gelen mesajlar ve yorumlar üzerine buraya bir not sabitledim. Umarım işinizi görür. İyi çalışmalar."/>
    <s v="UCaz5lJl4O-DlZ0Ype11GGDQ"/>
    <s v="Kaan"/>
    <s v="http://www.youtube.com/channel/UCaz5lJl4O-DlZ0Ype11GGDQ"/>
    <s v="Ugx8SZT2gQweZ_BjFbx4AaABAg"/>
    <s v="-dB0rwt6_U8"/>
    <s v="https://www.youtube.com/watch?v=-dB0rwt6_U8"/>
    <s v="none"/>
    <n v="0"/>
    <x v="133"/>
    <d v="2021-01-04T23:23:43.000"/>
    <m/>
    <m/>
    <s v=""/>
    <n v="1"/>
    <s v="5"/>
    <s v="5"/>
    <n v="0"/>
    <n v="0"/>
    <n v="0"/>
    <n v="0"/>
    <n v="0"/>
    <n v="0"/>
    <n v="21"/>
    <n v="100"/>
    <n v="21"/>
  </r>
  <r>
    <s v="UCiFbxhlcapLxvMvBOJfgiAQ"/>
    <s v="UCaz5lJl4O-DlZ0Ype11GGDQ"/>
    <m/>
    <m/>
    <m/>
    <m/>
    <m/>
    <m/>
    <m/>
    <m/>
    <s v="Yes"/>
    <n v="137"/>
    <m/>
    <m/>
    <s v="Commented Video"/>
    <x v="0"/>
    <s v="SELAM, BU KONUDA YARDIMA İHTİYACIM VAR ULAŞABİLİR MİSİNİZ?"/>
    <s v="UCiFbxhlcapLxvMvBOJfgiAQ"/>
    <s v="Sezgin Durmuş"/>
    <s v="http://www.youtube.com/channel/UCiFbxhlcapLxvMvBOJfgiAQ"/>
    <m/>
    <s v="-dB0rwt6_U8"/>
    <s v="https://www.youtube.com/watch?v=-dB0rwt6_U8"/>
    <s v="none"/>
    <n v="1"/>
    <x v="134"/>
    <d v="2020-12-21T19:48:17.000"/>
    <m/>
    <m/>
    <s v=""/>
    <n v="1"/>
    <s v="5"/>
    <s v="5"/>
    <n v="0"/>
    <n v="0"/>
    <n v="0"/>
    <n v="0"/>
    <n v="0"/>
    <n v="0"/>
    <n v="8"/>
    <n v="100"/>
    <n v="8"/>
  </r>
  <r>
    <s v="UC500ecg6iu4_fZI7ppnH5xg"/>
    <s v="UCaz5lJl4O-DlZ0Ype11GGDQ"/>
    <m/>
    <m/>
    <m/>
    <m/>
    <m/>
    <m/>
    <m/>
    <m/>
    <s v="No"/>
    <n v="138"/>
    <m/>
    <m/>
    <s v="Commented Video"/>
    <x v="0"/>
    <s v="Emeğine sağlık kardeşim ❤🙋‍♂️ yeni videolar istiyoruz👍"/>
    <s v="UC500ecg6iu4_fZI7ppnH5xg"/>
    <s v="caner canbir"/>
    <s v="http://www.youtube.com/channel/UC500ecg6iu4_fZI7ppnH5xg"/>
    <m/>
    <s v="-dB0rwt6_U8"/>
    <s v="https://www.youtube.com/watch?v=-dB0rwt6_U8"/>
    <s v="none"/>
    <n v="0"/>
    <x v="135"/>
    <d v="2021-02-24T22:45:31.000"/>
    <m/>
    <m/>
    <s v=""/>
    <n v="1"/>
    <s v="5"/>
    <s v="5"/>
    <n v="0"/>
    <n v="0"/>
    <n v="0"/>
    <n v="0"/>
    <n v="0"/>
    <n v="0"/>
    <n v="6"/>
    <n v="100"/>
    <n v="6"/>
  </r>
  <r>
    <s v="UCyKVToG2bdyFm9Zr7487GbQ"/>
    <s v="UCcyRyUvk-VLYGh8srnf9E2Q"/>
    <m/>
    <m/>
    <m/>
    <m/>
    <m/>
    <m/>
    <m/>
    <m/>
    <s v="No"/>
    <n v="139"/>
    <m/>
    <m/>
    <s v="Commented Video"/>
    <x v="0"/>
    <s v="indirdiğimiz veriyi gephi de açmak için hangi uzantı ile nasıl kaydedceğiz?"/>
    <s v="UCyKVToG2bdyFm9Zr7487GbQ"/>
    <s v="Mustafa Mustex"/>
    <s v="http://www.youtube.com/channel/UCyKVToG2bdyFm9Zr7487GbQ"/>
    <m/>
    <s v="GYSgH1g_YQI"/>
    <s v="https://www.youtube.com/watch?v=GYSgH1g_YQI"/>
    <s v="none"/>
    <n v="0"/>
    <x v="136"/>
    <d v="2022-01-14T22:10:36.000"/>
    <m/>
    <m/>
    <s v=""/>
    <n v="1"/>
    <s v="5"/>
    <s v="5"/>
    <n v="0"/>
    <n v="0"/>
    <n v="0"/>
    <n v="0"/>
    <n v="0"/>
    <n v="0"/>
    <n v="11"/>
    <n v="100"/>
    <n v="11"/>
  </r>
  <r>
    <s v="UCyKVToG2bdyFm9Zr7487GbQ"/>
    <s v="UCaz5lJl4O-DlZ0Ype11GGDQ"/>
    <m/>
    <m/>
    <m/>
    <m/>
    <m/>
    <m/>
    <m/>
    <m/>
    <s v="No"/>
    <n v="140"/>
    <m/>
    <m/>
    <s v="Commented Video"/>
    <x v="0"/>
    <s v="Merhaba; Mail gelmiyor ne yazık ki?"/>
    <s v="UCyKVToG2bdyFm9Zr7487GbQ"/>
    <s v="Mustafa Mustex"/>
    <s v="http://www.youtube.com/channel/UCyKVToG2bdyFm9Zr7487GbQ"/>
    <m/>
    <s v="-dB0rwt6_U8"/>
    <s v="https://www.youtube.com/watch?v=-dB0rwt6_U8"/>
    <s v="none"/>
    <n v="0"/>
    <x v="137"/>
    <d v="2022-01-14T20:30:12.000"/>
    <m/>
    <m/>
    <s v=""/>
    <n v="1"/>
    <s v="5"/>
    <s v="5"/>
    <n v="0"/>
    <n v="0"/>
    <n v="0"/>
    <n v="0"/>
    <n v="0"/>
    <n v="0"/>
    <n v="6"/>
    <n v="100"/>
    <n v="6"/>
  </r>
  <r>
    <s v="UCTpiluusEpdQER2ESjtp0dQ"/>
    <s v="UCntzGT7YKCWZXmfs7yCRbnw"/>
    <m/>
    <m/>
    <m/>
    <m/>
    <m/>
    <m/>
    <m/>
    <m/>
    <s v="No"/>
    <n v="141"/>
    <m/>
    <m/>
    <s v="Replied Comment"/>
    <x v="1"/>
    <s v="So awful, it ruins an otherwise good video!"/>
    <s v="UCTpiluusEpdQER2ESjtp0dQ"/>
    <s v="cellofeldy"/>
    <s v="http://www.youtube.com/channel/UCTpiluusEpdQER2ESjtp0dQ"/>
    <s v="UgxVHioXgWmg6uzyuEt4AaABAg"/>
    <s v="xKhYGRpbwOc"/>
    <s v="https://www.youtube.com/watch?v=xKhYGRpbwOc"/>
    <s v="none"/>
    <n v="0"/>
    <x v="138"/>
    <d v="2019-03-11T23:00:50.000"/>
    <m/>
    <m/>
    <s v=""/>
    <n v="1"/>
    <s v="6"/>
    <s v="6"/>
    <n v="1"/>
    <n v="12.5"/>
    <n v="2"/>
    <n v="25"/>
    <n v="0"/>
    <n v="0"/>
    <n v="5"/>
    <n v="62.5"/>
    <n v="8"/>
  </r>
  <r>
    <s v="UCntzGT7YKCWZXmfs7yCRbnw"/>
    <s v="UCOQy7XDYjkjhb0QwVMwf-7A"/>
    <m/>
    <m/>
    <m/>
    <m/>
    <m/>
    <m/>
    <m/>
    <m/>
    <s v="No"/>
    <n v="142"/>
    <m/>
    <m/>
    <s v="Commented Video"/>
    <x v="0"/>
    <s v="I hear your clock.  Tick,, tick,, tick,, tick,,"/>
    <s v="UCntzGT7YKCWZXmfs7yCRbnw"/>
    <s v="Nils Finholt"/>
    <s v="http://www.youtube.com/channel/UCntzGT7YKCWZXmfs7yCRbnw"/>
    <m/>
    <s v="xKhYGRpbwOc"/>
    <s v="https://www.youtube.com/watch?v=xKhYGRpbwOc"/>
    <s v="none"/>
    <n v="2"/>
    <x v="139"/>
    <d v="2013-03-17T04:17:57.000"/>
    <m/>
    <m/>
    <s v=""/>
    <n v="1"/>
    <s v="6"/>
    <s v="6"/>
    <n v="0"/>
    <n v="0"/>
    <n v="0"/>
    <n v="0"/>
    <n v="0"/>
    <n v="0"/>
    <n v="8"/>
    <n v="100"/>
    <n v="8"/>
  </r>
  <r>
    <s v="UCvGUF5crGKWgcjNfy69om-w"/>
    <s v="UCOQy7XDYjkjhb0QwVMwf-7A"/>
    <m/>
    <m/>
    <m/>
    <m/>
    <m/>
    <m/>
    <m/>
    <m/>
    <s v="No"/>
    <n v="143"/>
    <m/>
    <m/>
    <s v="Commented Video"/>
    <x v="0"/>
    <s v="I can&amp;#39;t hear u, honestly"/>
    <s v="UCvGUF5crGKWgcjNfy69om-w"/>
    <s v="Marlisa Kurniati"/>
    <s v="http://www.youtube.com/channel/UCvGUF5crGKWgcjNfy69om-w"/>
    <m/>
    <s v="xKhYGRpbwOc"/>
    <s v="https://www.youtube.com/watch?v=xKhYGRpbwOc"/>
    <s v="none"/>
    <n v="1"/>
    <x v="140"/>
    <d v="2013-04-12T07:37:14.000"/>
    <m/>
    <m/>
    <s v=""/>
    <n v="1"/>
    <s v="6"/>
    <s v="6"/>
    <n v="0"/>
    <n v="0"/>
    <n v="0"/>
    <n v="0"/>
    <n v="0"/>
    <n v="0"/>
    <n v="7"/>
    <n v="100"/>
    <n v="7"/>
  </r>
  <r>
    <s v="UCkC3h3DJjv33UNvnAUmP8QA"/>
    <s v="UCOQy7XDYjkjhb0QwVMwf-7A"/>
    <m/>
    <m/>
    <m/>
    <m/>
    <m/>
    <m/>
    <m/>
    <m/>
    <s v="No"/>
    <n v="144"/>
    <m/>
    <m/>
    <s v="Commented Video"/>
    <x v="0"/>
    <s v="NIce video. Greatly appreaciated. Which is the next video following that one?"/>
    <s v="UCkC3h3DJjv33UNvnAUmP8QA"/>
    <s v="Filippos Dizen"/>
    <s v="http://www.youtube.com/channel/UCkC3h3DJjv33UNvnAUmP8QA"/>
    <m/>
    <s v="xKhYGRpbwOc"/>
    <s v="https://www.youtube.com/watch?v=xKhYGRpbwOc"/>
    <s v="none"/>
    <n v="0"/>
    <x v="141"/>
    <d v="2014-05-10T23:56:03.000"/>
    <m/>
    <m/>
    <s v=""/>
    <n v="1"/>
    <s v="6"/>
    <s v="6"/>
    <n v="1"/>
    <n v="8.333333333333334"/>
    <n v="0"/>
    <n v="0"/>
    <n v="0"/>
    <n v="0"/>
    <n v="11"/>
    <n v="91.66666666666667"/>
    <n v="12"/>
  </r>
  <r>
    <s v="UCs_w8C3KKuchf7tTDjLH6EQ"/>
    <s v="UCOQy7XDYjkjhb0QwVMwf-7A"/>
    <m/>
    <m/>
    <m/>
    <m/>
    <m/>
    <m/>
    <m/>
    <m/>
    <s v="No"/>
    <n v="145"/>
    <m/>
    <m/>
    <s v="Commented Video"/>
    <x v="0"/>
    <s v="Cuál es la data?"/>
    <s v="UCs_w8C3KKuchf7tTDjLH6EQ"/>
    <s v="Lorena m s"/>
    <s v="http://www.youtube.com/channel/UCs_w8C3KKuchf7tTDjLH6EQ"/>
    <m/>
    <s v="xKhYGRpbwOc"/>
    <s v="https://www.youtube.com/watch?v=xKhYGRpbwOc"/>
    <s v="none"/>
    <n v="0"/>
    <x v="142"/>
    <d v="2021-01-11T02:30:18.000"/>
    <m/>
    <m/>
    <s v=""/>
    <n v="1"/>
    <s v="6"/>
    <s v="6"/>
    <n v="0"/>
    <n v="0"/>
    <n v="0"/>
    <n v="0"/>
    <n v="0"/>
    <n v="0"/>
    <n v="4"/>
    <n v="100"/>
    <n v="4"/>
  </r>
  <r>
    <s v="UCOQy7XDYjkjhb0QwVMwf-7A"/>
    <s v="UC33YvdKdCbETlDVRz_I42sw"/>
    <m/>
    <m/>
    <m/>
    <m/>
    <m/>
    <m/>
    <m/>
    <m/>
    <s v="Yes"/>
    <n v="146"/>
    <m/>
    <m/>
    <s v="Replied Comment"/>
    <x v="1"/>
    <s v="Links from others to you = in degree&lt;br&gt;&lt;br&gt;Links from you to others = out degree"/>
    <s v="UCOQy7XDYjkjhb0QwVMwf-7A"/>
    <s v="Marc Smith"/>
    <s v="http://www.youtube.com/channel/UCOQy7XDYjkjhb0QwVMwf-7A"/>
    <s v="UgxAhRAFDxIv6pA8KA14AaABAg"/>
    <s v="xKhYGRpbwOc"/>
    <s v="https://www.youtube.com/watch?v=xKhYGRpbwOc"/>
    <s v="none"/>
    <n v="0"/>
    <x v="143"/>
    <d v="2021-10-05T03:36:40.000"/>
    <m/>
    <m/>
    <s v=""/>
    <n v="1"/>
    <s v="6"/>
    <s v="6"/>
    <n v="0"/>
    <n v="0"/>
    <n v="0"/>
    <n v="0"/>
    <n v="0"/>
    <n v="0"/>
    <n v="16"/>
    <n v="100"/>
    <n v="16"/>
  </r>
  <r>
    <s v="UC33YvdKdCbETlDVRz_I42sw"/>
    <s v="UCOQy7XDYjkjhb0QwVMwf-7A"/>
    <m/>
    <m/>
    <m/>
    <m/>
    <m/>
    <m/>
    <m/>
    <m/>
    <s v="Yes"/>
    <n v="147"/>
    <m/>
    <m/>
    <s v="Commented Video"/>
    <x v="0"/>
    <s v="what is indigree and out digree Account please tell me"/>
    <s v="UC33YvdKdCbETlDVRz_I42sw"/>
    <s v="Ikram Khan"/>
    <s v="http://www.youtube.com/channel/UC33YvdKdCbETlDVRz_I42sw"/>
    <m/>
    <s v="xKhYGRpbwOc"/>
    <s v="https://www.youtube.com/watch?v=xKhYGRpbwOc"/>
    <s v="none"/>
    <n v="0"/>
    <x v="144"/>
    <d v="2021-10-05T03:32:38.000"/>
    <m/>
    <m/>
    <s v=""/>
    <n v="1"/>
    <s v="6"/>
    <s v="6"/>
    <n v="0"/>
    <n v="0"/>
    <n v="0"/>
    <n v="0"/>
    <n v="0"/>
    <n v="0"/>
    <n v="10"/>
    <n v="100"/>
    <n v="10"/>
  </r>
  <r>
    <s v="UCMS61u_TGqi-c_UEhywFcQg"/>
    <s v="UCnrbbUoV6A2YP0tCJJfJSsg"/>
    <m/>
    <m/>
    <m/>
    <m/>
    <m/>
    <m/>
    <m/>
    <m/>
    <s v="No"/>
    <n v="148"/>
    <m/>
    <m/>
    <s v="Commented Video"/>
    <x v="0"/>
    <s v="FIRST."/>
    <s v="UCMS61u_TGqi-c_UEhywFcQg"/>
    <s v="nogribin"/>
    <s v="http://www.youtube.com/channel/UCMS61u_TGqi-c_UEhywFcQg"/>
    <m/>
    <s v="l0n5rKT0ztI"/>
    <s v="https://www.youtube.com/watch?v=l0n5rKT0ztI"/>
    <s v="none"/>
    <n v="1"/>
    <x v="145"/>
    <d v="2020-11-03T22:19:14.000"/>
    <m/>
    <m/>
    <s v=""/>
    <n v="1"/>
    <s v="4"/>
    <s v="4"/>
    <n v="0"/>
    <n v="0"/>
    <n v="0"/>
    <n v="0"/>
    <n v="0"/>
    <n v="0"/>
    <n v="1"/>
    <n v="100"/>
    <n v="1"/>
  </r>
  <r>
    <s v="UCeIJT2rmwfiwi5iuVCrorfQ"/>
    <s v="UCnrbbUoV6A2YP0tCJJfJSsg"/>
    <m/>
    <m/>
    <m/>
    <m/>
    <m/>
    <m/>
    <m/>
    <m/>
    <s v="No"/>
    <n v="149"/>
    <m/>
    <m/>
    <s v="Commented Video"/>
    <x v="0"/>
    <s v="Nice"/>
    <s v="UCeIJT2rmwfiwi5iuVCrorfQ"/>
    <s v="Pembudayaan Digital Pulau Pinang"/>
    <s v="http://www.youtube.com/channel/UCeIJT2rmwfiwi5iuVCrorfQ"/>
    <m/>
    <s v="l0n5rKT0ztI"/>
    <s v="https://www.youtube.com/watch?v=l0n5rKT0ztI"/>
    <s v="none"/>
    <n v="0"/>
    <x v="146"/>
    <d v="2020-12-03T14:38:14.000"/>
    <m/>
    <m/>
    <s v=""/>
    <n v="1"/>
    <s v="4"/>
    <s v="4"/>
    <n v="1"/>
    <n v="100"/>
    <n v="0"/>
    <n v="0"/>
    <n v="0"/>
    <n v="0"/>
    <n v="0"/>
    <n v="0"/>
    <n v="1"/>
  </r>
  <r>
    <s v="UCA3wy2ieu53FkBf19GeaSzw"/>
    <s v="UCnrbbUoV6A2YP0tCJJfJSsg"/>
    <m/>
    <m/>
    <m/>
    <m/>
    <m/>
    <m/>
    <m/>
    <m/>
    <s v="No"/>
    <n v="150"/>
    <m/>
    <m/>
    <s v="Commented Video"/>
    <x v="0"/>
    <s v="Can it instaled in macbook m1? Recomended spesification for laptop/ notebook to run it?"/>
    <s v="UCA3wy2ieu53FkBf19GeaSzw"/>
    <s v="imam riauan"/>
    <s v="http://www.youtube.com/channel/UCA3wy2ieu53FkBf19GeaSzw"/>
    <m/>
    <s v="l0n5rKT0ztI"/>
    <s v="https://www.youtube.com/watch?v=l0n5rKT0ztI"/>
    <s v="none"/>
    <n v="0"/>
    <x v="147"/>
    <d v="2022-03-22T00:30:11.000"/>
    <m/>
    <m/>
    <s v=""/>
    <n v="1"/>
    <s v="4"/>
    <s v="4"/>
    <n v="0"/>
    <n v="0"/>
    <n v="0"/>
    <n v="0"/>
    <n v="0"/>
    <n v="0"/>
    <n v="14"/>
    <n v="100"/>
    <n v="14"/>
  </r>
  <r>
    <s v="UCqdyyZiSL4ZHyXE11pNa-PQ"/>
    <s v="UClF3Q-_xtSxneYXZZIs3rtQ"/>
    <m/>
    <m/>
    <m/>
    <m/>
    <m/>
    <m/>
    <m/>
    <m/>
    <s v="No"/>
    <n v="151"/>
    <m/>
    <m/>
    <s v="Commented Video"/>
    <x v="0"/>
    <s v="مشكورين...."/>
    <s v="UCqdyyZiSL4ZHyXE11pNa-PQ"/>
    <s v="Najm Abed Khalaf Aleessawi"/>
    <s v="http://www.youtube.com/channel/UCqdyyZiSL4ZHyXE11pNa-PQ"/>
    <m/>
    <s v="o53sJ939r7A"/>
    <s v="https://www.youtube.com/watch?v=o53sJ939r7A"/>
    <s v="none"/>
    <n v="0"/>
    <x v="148"/>
    <d v="2020-07-01T20:04:29.000"/>
    <m/>
    <m/>
    <s v=""/>
    <n v="1"/>
    <s v="12"/>
    <s v="12"/>
    <n v="0"/>
    <n v="0"/>
    <n v="0"/>
    <n v="0"/>
    <n v="0"/>
    <n v="0"/>
    <n v="1"/>
    <n v="100"/>
    <n v="1"/>
  </r>
  <r>
    <s v="UCZCEX7jMFA4Utg6Rl9LjtpQ"/>
    <s v="UClF3Q-_xtSxneYXZZIs3rtQ"/>
    <m/>
    <m/>
    <m/>
    <m/>
    <m/>
    <m/>
    <m/>
    <m/>
    <s v="No"/>
    <n v="152"/>
    <m/>
    <m/>
    <s v="Commented Video"/>
    <x v="0"/>
    <s v="اسباب كل كلامك النظري غير التطبيقي والذي اضعتي فيه كثير من وقتنا .....حضرتك اما تسوي دعاية للبرنامج اللي ذكرتيه.....او بهرجه وعرض وكأنك داخله حمله انتخابيه ومحتاجه اصوات  لا بد من تطبيق عملي  حتى نستفيد"/>
    <s v="UCZCEX7jMFA4Utg6Rl9LjtpQ"/>
    <s v="المجلة العلمية"/>
    <s v="http://www.youtube.com/channel/UCZCEX7jMFA4Utg6Rl9LjtpQ"/>
    <m/>
    <s v="o53sJ939r7A"/>
    <s v="https://www.youtube.com/watch?v=o53sJ939r7A"/>
    <s v="none"/>
    <n v="0"/>
    <x v="149"/>
    <d v="2020-07-28T17:36:46.000"/>
    <m/>
    <m/>
    <s v=""/>
    <n v="1"/>
    <s v="12"/>
    <s v="12"/>
    <n v="0"/>
    <n v="0"/>
    <n v="0"/>
    <n v="0"/>
    <n v="0"/>
    <n v="0"/>
    <n v="35"/>
    <n v="100"/>
    <n v="35"/>
  </r>
  <r>
    <s v="UCXFnJs6JEY91BWkgElUiIig"/>
    <s v="UClF3Q-_xtSxneYXZZIs3rtQ"/>
    <m/>
    <m/>
    <m/>
    <m/>
    <m/>
    <m/>
    <m/>
    <m/>
    <s v="No"/>
    <n v="153"/>
    <m/>
    <m/>
    <s v="Commented Video"/>
    <x v="0"/>
    <s v="ممكن خاص او حسابك على تويتر كرما"/>
    <s v="UCXFnJs6JEY91BWkgElUiIig"/>
    <s v="a,o"/>
    <s v="http://www.youtube.com/channel/UCXFnJs6JEY91BWkgElUiIig"/>
    <m/>
    <s v="o53sJ939r7A"/>
    <s v="https://www.youtube.com/watch?v=o53sJ939r7A"/>
    <s v="none"/>
    <n v="0"/>
    <x v="150"/>
    <d v="2022-05-16T00:20:02.000"/>
    <m/>
    <m/>
    <s v=""/>
    <n v="1"/>
    <s v="12"/>
    <s v="12"/>
    <n v="0"/>
    <n v="0"/>
    <n v="0"/>
    <n v="0"/>
    <n v="0"/>
    <n v="0"/>
    <n v="7"/>
    <n v="100"/>
    <n v="7"/>
  </r>
  <r>
    <s v="UCerAw4EfTOnYYxLLPZAzMxQ"/>
    <s v="UCx3Xvg2G9MUra2f7eWrweGg"/>
    <m/>
    <m/>
    <m/>
    <m/>
    <m/>
    <m/>
    <m/>
    <m/>
    <s v="Yes"/>
    <n v="154"/>
    <m/>
    <m/>
    <s v="Replied Comment"/>
    <x v="1"/>
    <s v="Hi, Thanos, and thanks for writing.  Indeed, you can indeed fix the nodes according to any X/Y variable, which Longitude/Latitude is a particular instance of.  And if you right-click on the graph of your network, you can select &amp;quot;Graph Options,&amp;quot; and one of those graph options is to set a background image. "/>
    <s v="UCerAw4EfTOnYYxLLPZAzMxQ"/>
    <s v="James Cook"/>
    <s v="http://www.youtube.com/channel/UCerAw4EfTOnYYxLLPZAzMxQ"/>
    <s v="UggQYUbwQ53QkHgCoAEC"/>
    <s v="08MqGSL9TNQ"/>
    <s v="https://www.youtube.com/watch?v=08MqGSL9TNQ"/>
    <s v="none"/>
    <n v="0"/>
    <x v="151"/>
    <d v="2014-12-04T18:28:28.000"/>
    <m/>
    <m/>
    <s v=""/>
    <n v="1"/>
    <s v="1"/>
    <s v="1"/>
    <n v="1"/>
    <n v="1.7543859649122806"/>
    <n v="0"/>
    <n v="0"/>
    <n v="0"/>
    <n v="0"/>
    <n v="56"/>
    <n v="98.24561403508773"/>
    <n v="57"/>
  </r>
  <r>
    <s v="UCx3Xvg2G9MUra2f7eWrweGg"/>
    <s v="UCx3Xvg2G9MUra2f7eWrweGg"/>
    <m/>
    <m/>
    <m/>
    <m/>
    <m/>
    <m/>
    <m/>
    <m/>
    <s v="No"/>
    <n v="155"/>
    <m/>
    <m/>
    <s v="Replied Comment"/>
    <x v="1"/>
    <s v="Super! I did both. This software makes a very powerful tool for data visualization!. It is very easy to use and flexible. I&amp;#39;m really impressed!"/>
    <s v="UCx3Xvg2G9MUra2f7eWrweGg"/>
    <s v="Thanos Panagouleas"/>
    <s v="http://www.youtube.com/channel/UCx3Xvg2G9MUra2f7eWrweGg"/>
    <s v="UggQYUbwQ53QkHgCoAEC"/>
    <s v="08MqGSL9TNQ"/>
    <s v="https://www.youtube.com/watch?v=08MqGSL9TNQ"/>
    <s v="none"/>
    <n v="0"/>
    <x v="152"/>
    <d v="2014-12-08T11:00:48.000"/>
    <m/>
    <m/>
    <s v=""/>
    <n v="2"/>
    <s v="1"/>
    <s v="1"/>
    <n v="5"/>
    <n v="18.51851851851852"/>
    <n v="0"/>
    <n v="0"/>
    <n v="0"/>
    <n v="0"/>
    <n v="22"/>
    <n v="81.48148148148148"/>
    <n v="27"/>
  </r>
  <r>
    <s v="UCx3Xvg2G9MUra2f7eWrweGg"/>
    <s v="UCx3Xvg2G9MUra2f7eWrweGg"/>
    <m/>
    <m/>
    <m/>
    <m/>
    <m/>
    <m/>
    <m/>
    <m/>
    <s v="No"/>
    <n v="156"/>
    <m/>
    <m/>
    <s v="Replied Comment"/>
    <x v="1"/>
    <s v="Thank you!"/>
    <s v="UCx3Xvg2G9MUra2f7eWrweGg"/>
    <s v="Thanos Panagouleas"/>
    <s v="http://www.youtube.com/channel/UCx3Xvg2G9MUra2f7eWrweGg"/>
    <s v="UggQYUbwQ53QkHgCoAEC"/>
    <s v="08MqGSL9TNQ"/>
    <s v="https://www.youtube.com/watch?v=08MqGSL9TNQ"/>
    <s v="none"/>
    <n v="0"/>
    <x v="153"/>
    <d v="2014-12-08T11:01:00.000"/>
    <m/>
    <m/>
    <s v=""/>
    <n v="2"/>
    <s v="1"/>
    <s v="1"/>
    <n v="1"/>
    <n v="50"/>
    <n v="0"/>
    <n v="0"/>
    <n v="0"/>
    <n v="0"/>
    <n v="1"/>
    <n v="50"/>
    <n v="2"/>
  </r>
  <r>
    <s v="UCx3Xvg2G9MUra2f7eWrweGg"/>
    <s v="UCerAw4EfTOnYYxLLPZAzMxQ"/>
    <m/>
    <m/>
    <m/>
    <m/>
    <m/>
    <m/>
    <m/>
    <m/>
    <s v="Yes"/>
    <n v="157"/>
    <m/>
    <m/>
    <s v="Commented Video"/>
    <x v="0"/>
    <s v="Hi James. Thank you for the video. It is really goodE I have a couple of questions for you. I am looking for a free softwrare to visualise the material flow (transportation) of our goods withing the European map. I think from your presentation I can do everything I have in mind but I&amp;#39;m not sure about a couple of things:&lt;br&gt;&lt;br&gt;1) Can I &amp;#39;fix&amp;#39; the position of my nodes on 2-dimensional space (i.e. by inserting Longitude-Latitude)? I see that I can move the position of the nodes but this is one-by-one manually.&lt;br&gt;&lt;br&gt;2) Can I paste a background photo behind my network? In the past I have done the same using Scatterplots to draw points or simple lines over maps.&lt;br&gt;&lt;br&gt;In any case NodeXL is a good software to add in my arsenal :-)"/>
    <s v="UCx3Xvg2G9MUra2f7eWrweGg"/>
    <s v="Thanos Panagouleas"/>
    <s v="http://www.youtube.com/channel/UCx3Xvg2G9MUra2f7eWrweGg"/>
    <m/>
    <s v="08MqGSL9TNQ"/>
    <s v="https://www.youtube.com/watch?v=08MqGSL9TNQ"/>
    <s v="none"/>
    <n v="1"/>
    <x v="154"/>
    <d v="2014-12-04T15:30:29.000"/>
    <m/>
    <m/>
    <s v=""/>
    <n v="1"/>
    <s v="1"/>
    <s v="1"/>
    <n v="3"/>
    <n v="2.0134228187919465"/>
    <n v="0"/>
    <n v="0"/>
    <n v="0"/>
    <n v="0"/>
    <n v="146"/>
    <n v="97.98657718120805"/>
    <n v="149"/>
  </r>
  <r>
    <s v="UClHeEpe_QWW1jxCMatKCkzQ"/>
    <s v="UCerAw4EfTOnYYxLLPZAzMxQ"/>
    <m/>
    <m/>
    <m/>
    <m/>
    <m/>
    <m/>
    <m/>
    <m/>
    <s v="No"/>
    <n v="158"/>
    <m/>
    <m/>
    <s v="Commented Video"/>
    <x v="0"/>
    <s v="Hi what is the url for the assignment.&lt;br&gt;Do you have a powerpoint presentation as well. "/>
    <s v="UClHeEpe_QWW1jxCMatKCkzQ"/>
    <s v="Alexander Sharma"/>
    <s v="http://www.youtube.com/channel/UClHeEpe_QWW1jxCMatKCkzQ"/>
    <m/>
    <s v="08MqGSL9TNQ"/>
    <s v="https://www.youtube.com/watch?v=08MqGSL9TNQ"/>
    <s v="none"/>
    <n v="0"/>
    <x v="155"/>
    <d v="2015-02-14T23:16:49.000"/>
    <m/>
    <m/>
    <s v=""/>
    <n v="1"/>
    <s v="1"/>
    <s v="1"/>
    <n v="1"/>
    <n v="5.882352941176471"/>
    <n v="0"/>
    <n v="0"/>
    <n v="0"/>
    <n v="0"/>
    <n v="16"/>
    <n v="94.11764705882354"/>
    <n v="17"/>
  </r>
  <r>
    <s v="UCerAw4EfTOnYYxLLPZAzMxQ"/>
    <s v="UC6xUcpewcYKMIvXWC39bu9A"/>
    <m/>
    <m/>
    <m/>
    <m/>
    <m/>
    <m/>
    <m/>
    <m/>
    <s v="Yes"/>
    <n v="159"/>
    <m/>
    <m/>
    <s v="Replied Comment"/>
    <x v="1"/>
    <s v="@TheRaph75 Good question, and yes, there is!  First, set different attributes for the vertices you want to group in the &amp;quot;Other Columns&amp;quot; area of the NodeXL spreadsheet.  Then, select Groups --&amp;gt; Group by Vertex Attribute in the &amp;quot;Analysis&amp;quot; portion of the toolbar on top.  For more info on this, I recommend Analyzing Social Media Networks with NodeXL, a book from the folks who wrote the software.  &lt;a href=&quot;http://www.amazon.com/Analyzing-Social-Media-Networks-NodeXL/dp/0123822297&quot;&gt;http://www.amazon.com/Analyzing-Social-Media-Networks-NodeXL/dp/0123822297&lt;/a&gt;"/>
    <s v="UCerAw4EfTOnYYxLLPZAzMxQ"/>
    <s v="James Cook"/>
    <s v="http://www.youtube.com/channel/UCerAw4EfTOnYYxLLPZAzMxQ"/>
    <s v="Ugg5GL5eGQVeDHgCoAEC"/>
    <s v="08MqGSL9TNQ"/>
    <s v="https://www.youtube.com/watch?v=08MqGSL9TNQ"/>
    <s v="none"/>
    <n v="0"/>
    <x v="156"/>
    <d v="2015-04-20T12:34:53.000"/>
    <s v=" http://www.amazon.com/Analyzing-Social-Media-Networks-NodeXL/dp/0123822297 http://www.amazon.com/Analyzing-Social-Media-Networks-NodeXL/dp/0123822297"/>
    <s v="amazon.com amazon.com"/>
    <s v=""/>
    <n v="1"/>
    <s v="1"/>
    <s v="1"/>
    <n v="3"/>
    <n v="3.1578947368421053"/>
    <n v="0"/>
    <n v="0"/>
    <n v="0"/>
    <n v="0"/>
    <n v="92"/>
    <n v="96.84210526315789"/>
    <n v="95"/>
  </r>
  <r>
    <s v="UC6xUcpewcYKMIvXWC39bu9A"/>
    <s v="UC6xUcpewcYKMIvXWC39bu9A"/>
    <m/>
    <m/>
    <m/>
    <m/>
    <m/>
    <m/>
    <m/>
    <m/>
    <s v="No"/>
    <n v="160"/>
    <m/>
    <m/>
    <s v="Replied Comment"/>
    <x v="1"/>
    <s v="@James Cook Thank you for your very quick answer, really appreciated. Just tested it, works very well. Now I have to finetune the layout, but you gave me the right directions :-) Many thanks for your help, i&amp;#39;ll check out the book too! Wish you a nice day professor :-) "/>
    <s v="UC6xUcpewcYKMIvXWC39bu9A"/>
    <s v="TheRaph75"/>
    <s v="http://www.youtube.com/channel/UC6xUcpewcYKMIvXWC39bu9A"/>
    <s v="Ugg5GL5eGQVeDHgCoAEC"/>
    <s v="08MqGSL9TNQ"/>
    <s v="https://www.youtube.com/watch?v=08MqGSL9TNQ"/>
    <s v="none"/>
    <n v="0"/>
    <x v="157"/>
    <d v="2015-04-20T14:00:22.000"/>
    <m/>
    <m/>
    <s v=""/>
    <n v="1"/>
    <s v="1"/>
    <s v="1"/>
    <n v="6"/>
    <n v="12"/>
    <n v="0"/>
    <n v="0"/>
    <n v="0"/>
    <n v="0"/>
    <n v="44"/>
    <n v="88"/>
    <n v="50"/>
  </r>
  <r>
    <s v="UC6xUcpewcYKMIvXWC39bu9A"/>
    <s v="UCerAw4EfTOnYYxLLPZAzMxQ"/>
    <m/>
    <m/>
    <m/>
    <m/>
    <m/>
    <m/>
    <m/>
    <m/>
    <s v="Yes"/>
    <n v="161"/>
    <m/>
    <m/>
    <s v="Commented Video"/>
    <x v="0"/>
    <s v="Good morning professor Cook. I&amp;#39;m a professional IT employée and found NodeXL a few days ago. Your tutorials are very helpful and easely understandable! I&amp;#39;m still struggeling with one point (maybe I missed it somewhere or just didn&amp;#39;t understood it well). Is there a possibility to group graphically vertices into &amp;quot;predefined&amp;quot; groups? For a stupid and simple axample, let&amp;#39;s say i have 6 vertices: A1, A2, A3, and B1, B2, B3. Let&amp;#39;s say there are links between &amp;#39;em, but the question and problem is: can I define manually and graphically two &amp;#39;bubbles&amp;#39;, one which englobes all A vertices and another defined group &amp;#39;bubble&amp;#39; which envelopes all B vertices?!  And if yes, of course, would you be so kind and redirect me to any writte explanation on how to do so? Hope my question was clear enough, as English isn&amp;#39;t my native language, so, pardon me the few mistakes. Thanks in advance, best regards."/>
    <s v="UC6xUcpewcYKMIvXWC39bu9A"/>
    <s v="TheRaph75"/>
    <s v="http://www.youtube.com/channel/UC6xUcpewcYKMIvXWC39bu9A"/>
    <m/>
    <s v="08MqGSL9TNQ"/>
    <s v="https://www.youtube.com/watch?v=08MqGSL9TNQ"/>
    <s v="none"/>
    <n v="0"/>
    <x v="158"/>
    <d v="2015-04-20T09:19:50.000"/>
    <m/>
    <m/>
    <s v=""/>
    <n v="1"/>
    <s v="1"/>
    <s v="1"/>
    <n v="8"/>
    <n v="4.651162790697675"/>
    <n v="4"/>
    <n v="2.3255813953488373"/>
    <n v="0"/>
    <n v="0"/>
    <n v="160"/>
    <n v="93.02325581395348"/>
    <n v="172"/>
  </r>
  <r>
    <s v="UC9jGt1X3J14c5GAeAO8EDvQ"/>
    <s v="UCerAw4EfTOnYYxLLPZAzMxQ"/>
    <m/>
    <m/>
    <m/>
    <m/>
    <m/>
    <m/>
    <m/>
    <m/>
    <s v="No"/>
    <n v="162"/>
    <m/>
    <m/>
    <s v="Commented Video"/>
    <x v="0"/>
    <s v="Excellent practicum. Combined with a couple of hours of theory this should take the novice from &amp;quot;no-nothing&amp;quot; to &amp;quot;enough-to-be-dangerous&amp;quot;. Thanks for posting this to a public forum."/>
    <s v="UC9jGt1X3J14c5GAeAO8EDvQ"/>
    <s v="James Strawn"/>
    <s v="http://www.youtube.com/channel/UC9jGt1X3J14c5GAeAO8EDvQ"/>
    <m/>
    <s v="08MqGSL9TNQ"/>
    <s v="https://www.youtube.com/watch?v=08MqGSL9TNQ"/>
    <s v="none"/>
    <n v="0"/>
    <x v="159"/>
    <d v="2015-08-27T18:51:15.000"/>
    <m/>
    <m/>
    <s v=""/>
    <n v="1"/>
    <s v="1"/>
    <s v="1"/>
    <n v="2"/>
    <n v="5.714285714285714"/>
    <n v="1"/>
    <n v="2.857142857142857"/>
    <n v="0"/>
    <n v="0"/>
    <n v="32"/>
    <n v="91.42857142857143"/>
    <n v="35"/>
  </r>
  <r>
    <s v="UCA4upGBl9EGqYOrMkBRxIUg"/>
    <s v="UCerAw4EfTOnYYxLLPZAzMxQ"/>
    <m/>
    <m/>
    <m/>
    <m/>
    <m/>
    <m/>
    <m/>
    <m/>
    <s v="No"/>
    <n v="163"/>
    <m/>
    <m/>
    <s v="Commented Video"/>
    <x v="0"/>
    <s v="Excellent tutorial. I am new to NodeXL and want to do a SNA on some historical figures from the Antiquity. Your video will assist me immensely. Thank you."/>
    <s v="UCA4upGBl9EGqYOrMkBRxIUg"/>
    <s v="OdiProfanumVulgus"/>
    <s v="http://www.youtube.com/channel/UCA4upGBl9EGqYOrMkBRxIUg"/>
    <m/>
    <s v="08MqGSL9TNQ"/>
    <s v="https://www.youtube.com/watch?v=08MqGSL9TNQ"/>
    <s v="none"/>
    <n v="0"/>
    <x v="160"/>
    <d v="2015-10-03T19:03:08.000"/>
    <m/>
    <m/>
    <s v=""/>
    <n v="1"/>
    <s v="1"/>
    <s v="1"/>
    <n v="2"/>
    <n v="7.142857142857143"/>
    <n v="0"/>
    <n v="0"/>
    <n v="0"/>
    <n v="0"/>
    <n v="26"/>
    <n v="92.85714285714286"/>
    <n v="28"/>
  </r>
  <r>
    <s v="UCRaAPyppJGU5Yds5lDDlb1Q"/>
    <s v="UCerAw4EfTOnYYxLLPZAzMxQ"/>
    <m/>
    <m/>
    <m/>
    <m/>
    <m/>
    <m/>
    <m/>
    <m/>
    <s v="No"/>
    <n v="164"/>
    <m/>
    <m/>
    <s v="Commented Video"/>
    <x v="0"/>
    <s v="Thank you so much! So clear - I managed to get a start finally!"/>
    <s v="UCRaAPyppJGU5Yds5lDDlb1Q"/>
    <s v="Elena Kochetkova"/>
    <s v="http://www.youtube.com/channel/UCRaAPyppJGU5Yds5lDDlb1Q"/>
    <m/>
    <s v="08MqGSL9TNQ"/>
    <s v="https://www.youtube.com/watch?v=08MqGSL9TNQ"/>
    <s v="none"/>
    <n v="0"/>
    <x v="161"/>
    <d v="2016-05-31T01:40:59.000"/>
    <m/>
    <m/>
    <s v=""/>
    <n v="1"/>
    <s v="1"/>
    <s v="1"/>
    <n v="2"/>
    <n v="15.384615384615385"/>
    <n v="0"/>
    <n v="0"/>
    <n v="0"/>
    <n v="0"/>
    <n v="11"/>
    <n v="84.61538461538461"/>
    <n v="13"/>
  </r>
  <r>
    <s v="UCV6YNtkIq41tS1aUynMnoTw"/>
    <s v="UCerAw4EfTOnYYxLLPZAzMxQ"/>
    <m/>
    <m/>
    <m/>
    <m/>
    <m/>
    <m/>
    <m/>
    <m/>
    <s v="No"/>
    <n v="165"/>
    <m/>
    <m/>
    <s v="Commented Video"/>
    <x v="0"/>
    <s v="Thanks a bunch!!!"/>
    <s v="UCV6YNtkIq41tS1aUynMnoTw"/>
    <s v="Sonic-Fan-Play"/>
    <s v="http://www.youtube.com/channel/UCV6YNtkIq41tS1aUynMnoTw"/>
    <m/>
    <s v="08MqGSL9TNQ"/>
    <s v="https://www.youtube.com/watch?v=08MqGSL9TNQ"/>
    <s v="none"/>
    <n v="0"/>
    <x v="162"/>
    <d v="2021-03-04T20:33:08.000"/>
    <m/>
    <m/>
    <s v=""/>
    <n v="1"/>
    <s v="1"/>
    <s v="1"/>
    <n v="0"/>
    <n v="0"/>
    <n v="0"/>
    <n v="0"/>
    <n v="0"/>
    <n v="0"/>
    <n v="3"/>
    <n v="100"/>
    <n v="3"/>
  </r>
  <r>
    <s v="UCV5NmnIggBXfHNRqsqYBPHg"/>
    <s v="UCerAw4EfTOnYYxLLPZAzMxQ"/>
    <m/>
    <m/>
    <m/>
    <m/>
    <m/>
    <m/>
    <m/>
    <m/>
    <s v="No"/>
    <n v="166"/>
    <m/>
    <m/>
    <s v="Commented Video"/>
    <x v="0"/>
    <s v="This is very helpful! I am new to exploring SNA and this is an excellent tutorial. Thank you."/>
    <s v="UCV5NmnIggBXfHNRqsqYBPHg"/>
    <s v="Leset"/>
    <s v="http://www.youtube.com/channel/UCV5NmnIggBXfHNRqsqYBPHg"/>
    <m/>
    <s v="08MqGSL9TNQ"/>
    <s v="https://www.youtube.com/watch?v=08MqGSL9TNQ"/>
    <s v="none"/>
    <n v="0"/>
    <x v="163"/>
    <d v="2022-04-10T05:15:50.000"/>
    <m/>
    <m/>
    <s v=""/>
    <n v="1"/>
    <s v="1"/>
    <s v="1"/>
    <n v="3"/>
    <n v="16.666666666666668"/>
    <n v="0"/>
    <n v="0"/>
    <n v="0"/>
    <n v="0"/>
    <n v="15"/>
    <n v="83.33333333333333"/>
    <n v="18"/>
  </r>
  <r>
    <s v="UChkL5Lh3Dn5xtgmO7QrjuDw"/>
    <s v="UCuTRD7EkeDxVFdkdziqGAWA"/>
    <m/>
    <m/>
    <m/>
    <m/>
    <m/>
    <m/>
    <m/>
    <m/>
    <s v="No"/>
    <n v="167"/>
    <m/>
    <m/>
    <s v="Replied Comment"/>
    <x v="1"/>
    <s v="@Derek Caelin Hello! Thank you for this really helpful video! Please, are you sure that NodeXL still can be used with Facebook ? Their website says otherwise, I don&amp;#39;t want to purchase their program if it doesn&amp;#39;t work with Facebook. Thank you again!"/>
    <s v="UChkL5Lh3Dn5xtgmO7QrjuDw"/>
    <s v="Sarah Tabit"/>
    <s v="http://www.youtube.com/channel/UChkL5Lh3Dn5xtgmO7QrjuDw"/>
    <s v="Ugx7BTPhMCHHGhNpJ-F4AaABAg"/>
    <s v="THdrju-UWjo"/>
    <s v="https://www.youtube.com/watch?v=THdrju-UWjo"/>
    <s v="none"/>
    <n v="0"/>
    <x v="164"/>
    <d v="2021-10-06T21:26:35.000"/>
    <m/>
    <m/>
    <s v=""/>
    <n v="1"/>
    <s v="4"/>
    <s v="4"/>
    <n v="4"/>
    <n v="8.695652173913043"/>
    <n v="0"/>
    <n v="0"/>
    <n v="0"/>
    <n v="0"/>
    <n v="42"/>
    <n v="91.30434782608695"/>
    <n v="46"/>
  </r>
  <r>
    <s v="UCT2t7sQp0Qyi9dxuckjOWAw"/>
    <s v="UCuTRD7EkeDxVFdkdziqGAWA"/>
    <m/>
    <m/>
    <m/>
    <m/>
    <m/>
    <m/>
    <m/>
    <m/>
    <s v="Yes"/>
    <n v="168"/>
    <m/>
    <m/>
    <s v="Replied Comment"/>
    <x v="1"/>
    <s v="Hola Socorro muy buenos dias . No conozco ninguna herramienta externa que mida audiencias de facebook , hay algunas que muestran las mismas analiticas con mascaras que te dejan ver mas facilmente la data, pero  como imaginas son muy costosas  como ejemplo te pongo la plataforma MadGicx y talkwaker"/>
    <s v="UCT2t7sQp0Qyi9dxuckjOWAw"/>
    <s v="Vivian Francos #SeoHashtag Posiciona tu Hashtag"/>
    <s v="http://www.youtube.com/channel/UCT2t7sQp0Qyi9dxuckjOWAw"/>
    <s v="UgzhlFPwcgyhRwrtmn94AaABAg"/>
    <s v="3s6qbWY07FI"/>
    <s v="https://www.youtube.com/watch?v=3s6qbWY07FI"/>
    <s v="none"/>
    <n v="2"/>
    <x v="165"/>
    <d v="2021-07-22T07:48:04.000"/>
    <m/>
    <m/>
    <s v=""/>
    <n v="1"/>
    <s v="4"/>
    <s v="4"/>
    <n v="0"/>
    <n v="0"/>
    <n v="0"/>
    <n v="0"/>
    <n v="0"/>
    <n v="0"/>
    <n v="47"/>
    <n v="100"/>
    <n v="47"/>
  </r>
  <r>
    <s v="UCuTRD7EkeDxVFdkdziqGAWA"/>
    <s v="UCT2t7sQp0Qyi9dxuckjOWAw"/>
    <m/>
    <m/>
    <m/>
    <m/>
    <m/>
    <m/>
    <m/>
    <m/>
    <s v="Yes"/>
    <n v="169"/>
    <m/>
    <m/>
    <s v="Commented Video"/>
    <x v="0"/>
    <s v="Gracias por compartir. Me gustaría saber si con esta herramienta puedo analizar redes en Facebook o ¿qué herramienta puedo usar para analizar esa red social?"/>
    <s v="UCuTRD7EkeDxVFdkdziqGAWA"/>
    <s v="Socorro López Vázquez"/>
    <s v="http://www.youtube.com/channel/UCuTRD7EkeDxVFdkdziqGAWA"/>
    <m/>
    <s v="3s6qbWY07FI"/>
    <s v="https://www.youtube.com/watch?v=3s6qbWY07FI"/>
    <s v="none"/>
    <n v="1"/>
    <x v="166"/>
    <d v="2021-07-22T06:57:40.000"/>
    <m/>
    <m/>
    <s v=""/>
    <n v="1"/>
    <s v="4"/>
    <s v="4"/>
    <n v="0"/>
    <n v="0"/>
    <n v="0"/>
    <n v="0"/>
    <n v="0"/>
    <n v="0"/>
    <n v="25"/>
    <n v="100"/>
    <n v="25"/>
  </r>
  <r>
    <s v="UCuyDUN7SDHJd3-UQhX69A9w"/>
    <s v="UCuTRD7EkeDxVFdkdziqGAWA"/>
    <m/>
    <m/>
    <m/>
    <m/>
    <m/>
    <m/>
    <m/>
    <m/>
    <s v="Yes"/>
    <n v="170"/>
    <m/>
    <m/>
    <s v="Replied Comment"/>
    <x v="1"/>
    <s v="Yes - it works with your personal network, public groups, and the groups you belong to."/>
    <s v="UCuyDUN7SDHJd3-UQhX69A9w"/>
    <s v="Derek Caelin"/>
    <s v="http://www.youtube.com/channel/UCuyDUN7SDHJd3-UQhX69A9w"/>
    <s v="Ugx7BTPhMCHHGhNpJ-F4AaABAg"/>
    <s v="THdrju-UWjo"/>
    <s v="https://www.youtube.com/watch?v=THdrju-UWjo"/>
    <s v="none"/>
    <n v="0"/>
    <x v="167"/>
    <d v="2021-08-06T17:31:07.000"/>
    <m/>
    <m/>
    <s v=""/>
    <n v="2"/>
    <s v="4"/>
    <s v="4"/>
    <n v="1"/>
    <n v="6.666666666666667"/>
    <n v="0"/>
    <n v="0"/>
    <n v="0"/>
    <n v="0"/>
    <n v="14"/>
    <n v="93.33333333333333"/>
    <n v="15"/>
  </r>
  <r>
    <s v="UCuyDUN7SDHJd3-UQhX69A9w"/>
    <s v="UCuTRD7EkeDxVFdkdziqGAWA"/>
    <m/>
    <m/>
    <m/>
    <m/>
    <m/>
    <m/>
    <m/>
    <m/>
    <s v="Yes"/>
    <n v="171"/>
    <m/>
    <m/>
    <s v="Replied Comment"/>
    <x v="1"/>
    <s v="@Sarah Tabit I hear that - just deleted my account. it looks like Facebook is no longer supported: &lt;a href=&quot;https://www.smrfoundation.org/2019/09/05/nodexl-pro-facebook-data-importers-no-longer-functional/&quot;&gt;https://www.smrfoundation.org/2019/09/05/nodexl-pro-facebook-data-importers-no-longer-functional/&lt;/a&gt;"/>
    <s v="UCuyDUN7SDHJd3-UQhX69A9w"/>
    <s v="Derek Caelin"/>
    <s v="http://www.youtube.com/channel/UCuyDUN7SDHJd3-UQhX69A9w"/>
    <s v="Ugx7BTPhMCHHGhNpJ-F4AaABAg"/>
    <s v="THdrju-UWjo"/>
    <s v="https://www.youtube.com/watch?v=THdrju-UWjo"/>
    <s v="none"/>
    <n v="0"/>
    <x v="168"/>
    <d v="2021-10-06T21:31:44.000"/>
    <s v=" https://www.smrfoundation.org/2019/09/05/nodexl-pro-facebook-data-importers-no-longer-functional/ https://www.smrfoundation.org/2019/09/05/nodexl-pro-facebook-data-importers-no-longer-functional/"/>
    <s v="smrfoundation.org smrfoundation.org"/>
    <s v=""/>
    <n v="2"/>
    <s v="4"/>
    <s v="4"/>
    <n v="2"/>
    <n v="4"/>
    <n v="0"/>
    <n v="0"/>
    <n v="0"/>
    <n v="0"/>
    <n v="48"/>
    <n v="96"/>
    <n v="50"/>
  </r>
  <r>
    <s v="UCuTRD7EkeDxVFdkdziqGAWA"/>
    <s v="UCuyDUN7SDHJd3-UQhX69A9w"/>
    <m/>
    <m/>
    <m/>
    <m/>
    <m/>
    <m/>
    <m/>
    <m/>
    <s v="Yes"/>
    <n v="172"/>
    <m/>
    <m/>
    <s v="Commented Video"/>
    <x v="0"/>
    <s v="Hello. Can I use NodeXL to analyze social media networks on Facebook?"/>
    <s v="UCuTRD7EkeDxVFdkdziqGAWA"/>
    <s v="Socorro López Vázquez"/>
    <s v="http://www.youtube.com/channel/UCuTRD7EkeDxVFdkdziqGAWA"/>
    <m/>
    <s v="THdrju-UWjo"/>
    <s v="https://www.youtube.com/watch?v=THdrju-UWjo"/>
    <s v="none"/>
    <n v="1"/>
    <x v="169"/>
    <d v="2021-07-22T06:55:01.000"/>
    <m/>
    <m/>
    <s v=""/>
    <n v="1"/>
    <s v="4"/>
    <s v="4"/>
    <n v="0"/>
    <n v="0"/>
    <n v="0"/>
    <n v="0"/>
    <n v="0"/>
    <n v="0"/>
    <n v="12"/>
    <n v="100"/>
    <n v="12"/>
  </r>
  <r>
    <s v="UCJ7JJfGzhW5TZX5Pbsp6XyQ"/>
    <s v="UCuyDUN7SDHJd3-UQhX69A9w"/>
    <m/>
    <m/>
    <m/>
    <m/>
    <m/>
    <m/>
    <m/>
    <m/>
    <s v="No"/>
    <n v="173"/>
    <m/>
    <m/>
    <s v="Commented Video"/>
    <x v="0"/>
    <s v="Hello Derek! Thank you for the video. It is really easy to follow and extremely useful."/>
    <s v="UCJ7JJfGzhW5TZX5Pbsp6XyQ"/>
    <s v="Ella S Prihatini"/>
    <s v="http://www.youtube.com/channel/UCJ7JJfGzhW5TZX5Pbsp6XyQ"/>
    <m/>
    <s v="THdrju-UWjo"/>
    <s v="https://www.youtube.com/watch?v=THdrju-UWjo"/>
    <s v="none"/>
    <n v="2"/>
    <x v="170"/>
    <d v="2022-01-07T06:42:18.000"/>
    <m/>
    <m/>
    <s v=""/>
    <n v="1"/>
    <s v="4"/>
    <s v="4"/>
    <n v="3"/>
    <n v="18.75"/>
    <n v="0"/>
    <n v="0"/>
    <n v="0"/>
    <n v="0"/>
    <n v="13"/>
    <n v="81.25"/>
    <n v="16"/>
  </r>
  <r>
    <s v="UCBG9ELVWsYR8H8WS_KGQufQ"/>
    <s v="UCuyDUN7SDHJd3-UQhX69A9w"/>
    <m/>
    <m/>
    <m/>
    <m/>
    <m/>
    <m/>
    <m/>
    <m/>
    <s v="No"/>
    <n v="174"/>
    <m/>
    <m/>
    <s v="Commented Video"/>
    <x v="0"/>
    <s v="wonderful insightful and absolutely amazing :O :O"/>
    <s v="UCBG9ELVWsYR8H8WS_KGQufQ"/>
    <s v="Ahmed Ashour"/>
    <s v="http://www.youtube.com/channel/UCBG9ELVWsYR8H8WS_KGQufQ"/>
    <m/>
    <s v="THdrju-UWjo"/>
    <s v="https://www.youtube.com/watch?v=THdrju-UWjo"/>
    <s v="none"/>
    <n v="0"/>
    <x v="171"/>
    <d v="2022-01-13T12:03:27.000"/>
    <m/>
    <m/>
    <s v=""/>
    <n v="1"/>
    <s v="4"/>
    <s v="4"/>
    <n v="3"/>
    <n v="42.857142857142854"/>
    <n v="0"/>
    <n v="0"/>
    <n v="0"/>
    <n v="0"/>
    <n v="4"/>
    <n v="57.142857142857146"/>
    <n v="7"/>
  </r>
  <r>
    <s v="UCEPBRv8fyf8zIR1gzyGn8qg"/>
    <s v="UCuyDUN7SDHJd3-UQhX69A9w"/>
    <m/>
    <m/>
    <m/>
    <m/>
    <m/>
    <m/>
    <m/>
    <m/>
    <s v="No"/>
    <n v="175"/>
    <m/>
    <m/>
    <s v="Commented Video"/>
    <x v="0"/>
    <s v="Thank you Derek! Very intresting and cool use of these 2 sofware!"/>
    <s v="UCEPBRv8fyf8zIR1gzyGn8qg"/>
    <s v="Antonio Alifano"/>
    <s v="http://www.youtube.com/channel/UCEPBRv8fyf8zIR1gzyGn8qg"/>
    <m/>
    <s v="THdrju-UWjo"/>
    <s v="https://www.youtube.com/watch?v=THdrju-UWjo"/>
    <s v="none"/>
    <n v="1"/>
    <x v="172"/>
    <d v="2022-04-12T16:50:12.000"/>
    <m/>
    <m/>
    <s v=""/>
    <n v="1"/>
    <s v="4"/>
    <s v="4"/>
    <n v="2"/>
    <n v="16.666666666666668"/>
    <n v="0"/>
    <n v="0"/>
    <n v="0"/>
    <n v="0"/>
    <n v="10"/>
    <n v="83.33333333333333"/>
    <n v="12"/>
  </r>
  <r>
    <s v="UC4rU9PYja99OHl9qHrP0llQ"/>
    <s v="UCerAw4EfTOnYYxLLPZAzMxQ"/>
    <m/>
    <m/>
    <m/>
    <m/>
    <m/>
    <m/>
    <m/>
    <m/>
    <s v="No"/>
    <n v="176"/>
    <m/>
    <m/>
    <s v="Commented Video"/>
    <x v="0"/>
    <s v="Thank you so much for sharing!"/>
    <s v="UC4rU9PYja99OHl9qHrP0llQ"/>
    <s v="Selma Bonifacio"/>
    <s v="http://www.youtube.com/channel/UC4rU9PYja99OHl9qHrP0llQ"/>
    <m/>
    <s v="Gs4NPuKIXdo"/>
    <s v="https://www.youtube.com/watch?v=Gs4NPuKIXdo"/>
    <s v="none"/>
    <n v="0"/>
    <x v="173"/>
    <d v="2018-02-27T15:29:57.000"/>
    <m/>
    <m/>
    <s v=""/>
    <n v="1"/>
    <s v="1"/>
    <s v="1"/>
    <n v="1"/>
    <n v="16.666666666666668"/>
    <n v="0"/>
    <n v="0"/>
    <n v="0"/>
    <n v="0"/>
    <n v="5"/>
    <n v="83.33333333333333"/>
    <n v="6"/>
  </r>
  <r>
    <s v="UCybalFNVaTrZPHp-_cPGb8Q"/>
    <s v="UCerAw4EfTOnYYxLLPZAzMxQ"/>
    <m/>
    <m/>
    <m/>
    <m/>
    <m/>
    <m/>
    <m/>
    <m/>
    <s v="No"/>
    <n v="177"/>
    <m/>
    <m/>
    <s v="Commented Video"/>
    <x v="0"/>
    <s v="this link does not work anymore what do I do?"/>
    <s v="UCybalFNVaTrZPHp-_cPGb8Q"/>
    <s v="sank raf"/>
    <s v="http://www.youtube.com/channel/UCybalFNVaTrZPHp-_cPGb8Q"/>
    <m/>
    <s v="Gs4NPuKIXdo"/>
    <s v="https://www.youtube.com/watch?v=Gs4NPuKIXdo"/>
    <s v="none"/>
    <n v="0"/>
    <x v="174"/>
    <d v="2018-04-10T00:20:37.000"/>
    <m/>
    <m/>
    <s v=""/>
    <n v="1"/>
    <s v="1"/>
    <s v="1"/>
    <n v="1"/>
    <n v="10"/>
    <n v="0"/>
    <n v="0"/>
    <n v="0"/>
    <n v="0"/>
    <n v="9"/>
    <n v="90"/>
    <n v="10"/>
  </r>
  <r>
    <s v="UC_8SF2yDQfYFS_B66zwsdDw"/>
    <s v="UCVTt3IPhlNu2cae9QyIFZHg"/>
    <m/>
    <m/>
    <m/>
    <m/>
    <m/>
    <m/>
    <m/>
    <m/>
    <s v="No"/>
    <n v="178"/>
    <m/>
    <m/>
    <s v="Replied Comment"/>
    <x v="1"/>
    <s v="@James Cook Hi, I&amp;#39;m onto the new link already. However, I couldn&amp;#39;t find either download or install button. Do you have any suggestion ?"/>
    <s v="UC_8SF2yDQfYFS_B66zwsdDw"/>
    <s v="Lilo Nguyen"/>
    <s v="http://www.youtube.com/channel/UC_8SF2yDQfYFS_B66zwsdDw"/>
    <s v="Ugxpp9q7RY6dIqFJpKd4AaABAg"/>
    <s v="Gs4NPuKIXdo"/>
    <s v="https://www.youtube.com/watch?v=Gs4NPuKIXdo"/>
    <s v="none"/>
    <n v="0"/>
    <x v="175"/>
    <d v="2019-04-21T17:17:55.000"/>
    <m/>
    <m/>
    <s v=""/>
    <n v="1"/>
    <s v="1"/>
    <s v="1"/>
    <n v="0"/>
    <n v="0"/>
    <n v="0"/>
    <n v="0"/>
    <n v="0"/>
    <n v="0"/>
    <n v="27"/>
    <n v="100"/>
    <n v="27"/>
  </r>
  <r>
    <s v="UCerAw4EfTOnYYxLLPZAzMxQ"/>
    <s v="UCVTt3IPhlNu2cae9QyIFZHg"/>
    <m/>
    <m/>
    <m/>
    <m/>
    <m/>
    <m/>
    <m/>
    <m/>
    <s v="Yes"/>
    <n v="179"/>
    <m/>
    <m/>
    <s v="Replied Comment"/>
    <x v="1"/>
    <s v="Hello.  Yes; it&amp;#39;s changed since the video has been shot.   Try &lt;a href=&quot;https://www.smrfoundation.org/nodexl/installation/&quot;&gt;https://www.smrfoundation.org/nodexl/installation/&lt;/a&gt; for downloads and installation instructions."/>
    <s v="UCerAw4EfTOnYYxLLPZAzMxQ"/>
    <s v="James Cook"/>
    <s v="http://www.youtube.com/channel/UCerAw4EfTOnYYxLLPZAzMxQ"/>
    <s v="Ugxpp9q7RY6dIqFJpKd4AaABAg"/>
    <s v="Gs4NPuKIXdo"/>
    <s v="https://www.youtube.com/watch?v=Gs4NPuKIXdo"/>
    <s v="none"/>
    <n v="0"/>
    <x v="176"/>
    <d v="2018-12-03T15:04:14.000"/>
    <s v=" https://www.smrfoundation.org/nodexl/installation/ https://www.smrfoundation.org/nodexl/installation/"/>
    <s v="smrfoundation.org smrfoundation.org"/>
    <s v=""/>
    <n v="2"/>
    <s v="1"/>
    <s v="1"/>
    <n v="0"/>
    <n v="0"/>
    <n v="0"/>
    <n v="0"/>
    <n v="0"/>
    <n v="0"/>
    <n v="33"/>
    <n v="100"/>
    <n v="33"/>
  </r>
  <r>
    <s v="UCerAw4EfTOnYYxLLPZAzMxQ"/>
    <s v="UCVTt3IPhlNu2cae9QyIFZHg"/>
    <m/>
    <m/>
    <m/>
    <m/>
    <m/>
    <m/>
    <m/>
    <m/>
    <s v="Yes"/>
    <n v="180"/>
    <m/>
    <m/>
    <s v="Replied Comment"/>
    <x v="1"/>
    <s v="@Lilo Nguyen Hi, Lily Red. The &lt;a href=&quot;http://smrfoundation.org/&quot;&gt;smrfoundation.org&lt;/a&gt; link below has a text link that leads to this page: &lt;a href=&quot;https://nodexlgraphgallery.org/Pages/registration.asp&quot;&gt;https://nodexlgraphgallery.org/Pages/registration.asp&lt;/a&gt; . Hope that&amp;#39;s helpful."/>
    <s v="UCerAw4EfTOnYYxLLPZAzMxQ"/>
    <s v="James Cook"/>
    <s v="http://www.youtube.com/channel/UCerAw4EfTOnYYxLLPZAzMxQ"/>
    <s v="Ugxpp9q7RY6dIqFJpKd4AaABAg"/>
    <s v="Gs4NPuKIXdo"/>
    <s v="https://www.youtube.com/watch?v=Gs4NPuKIXdo"/>
    <s v="none"/>
    <n v="0"/>
    <x v="177"/>
    <d v="2019-04-21T20:58:42.000"/>
    <s v=" http://smrfoundation.org/ https://nodexlgraphgallery.org/Pages/registration.asp https://nodexlgraphgallery.org/Pages/registration.asp"/>
    <s v="smrfoundation.org nodexlgraphgallery.org nodexlgraphgallery.org"/>
    <s v=""/>
    <n v="2"/>
    <s v="1"/>
    <s v="1"/>
    <n v="2"/>
    <n v="4.444444444444445"/>
    <n v="0"/>
    <n v="0"/>
    <n v="0"/>
    <n v="0"/>
    <n v="43"/>
    <n v="95.55555555555556"/>
    <n v="45"/>
  </r>
  <r>
    <s v="UCVTt3IPhlNu2cae9QyIFZHg"/>
    <s v="UCerAw4EfTOnYYxLLPZAzMxQ"/>
    <m/>
    <m/>
    <m/>
    <m/>
    <m/>
    <m/>
    <m/>
    <m/>
    <s v="Yes"/>
    <n v="181"/>
    <m/>
    <m/>
    <s v="Commented Video"/>
    <x v="0"/>
    <s v="the link doesnot work its gives me download archives. what should i do?"/>
    <s v="UCVTt3IPhlNu2cae9QyIFZHg"/>
    <s v="Shugufta Wani"/>
    <s v="http://www.youtube.com/channel/UCVTt3IPhlNu2cae9QyIFZHg"/>
    <m/>
    <s v="Gs4NPuKIXdo"/>
    <s v="https://www.youtube.com/watch?v=Gs4NPuKIXdo"/>
    <s v="none"/>
    <n v="0"/>
    <x v="178"/>
    <d v="2018-12-03T02:42:09.000"/>
    <m/>
    <m/>
    <s v=""/>
    <n v="1"/>
    <s v="1"/>
    <s v="1"/>
    <n v="1"/>
    <n v="7.6923076923076925"/>
    <n v="0"/>
    <n v="0"/>
    <n v="0"/>
    <n v="0"/>
    <n v="12"/>
    <n v="92.3076923076923"/>
    <n v="13"/>
  </r>
  <r>
    <s v="UC5atOZ2cXiS_TcTq8DV2gzQ"/>
    <s v="UCerAw4EfTOnYYxLLPZAzMxQ"/>
    <m/>
    <m/>
    <m/>
    <m/>
    <m/>
    <m/>
    <m/>
    <m/>
    <s v="No"/>
    <n v="182"/>
    <m/>
    <m/>
    <s v="Commented Video"/>
    <x v="0"/>
    <s v="Thank you for impressing video. I&amp;#39;m going to put my formula in a node-exel graph to see the change. I&amp;#39;d like to know how?"/>
    <s v="UC5atOZ2cXiS_TcTq8DV2gzQ"/>
    <s v="이가윤"/>
    <s v="http://www.youtube.com/channel/UC5atOZ2cXiS_TcTq8DV2gzQ"/>
    <m/>
    <s v="Gs4NPuKIXdo"/>
    <s v="https://www.youtube.com/watch?v=Gs4NPuKIXdo"/>
    <s v="none"/>
    <n v="1"/>
    <x v="179"/>
    <d v="2019-05-15T00:18:15.000"/>
    <m/>
    <m/>
    <s v=""/>
    <n v="1"/>
    <s v="1"/>
    <s v="1"/>
    <n v="2"/>
    <n v="6.896551724137931"/>
    <n v="0"/>
    <n v="0"/>
    <n v="0"/>
    <n v="0"/>
    <n v="27"/>
    <n v="93.10344827586206"/>
    <n v="29"/>
  </r>
  <r>
    <s v="UCerAw4EfTOnYYxLLPZAzMxQ"/>
    <s v="UCVi7No8pCGF2Ojhz1c_aUZQ"/>
    <m/>
    <m/>
    <m/>
    <m/>
    <m/>
    <m/>
    <m/>
    <m/>
    <s v="Yes"/>
    <n v="183"/>
    <m/>
    <m/>
    <s v="Replied Comment"/>
    <x v="1"/>
    <s v="DK, thanks for writing.  I wouldn&amp;#39;t think about the NodeXL vs. R issue as one that involves general superiority of one over the other.  NodeXL&amp;#39;s strengths are in ease of visualization and analysis within a system that is comfortable to most generalists -- the spreadsheet environment of Microsoft Excel.  R, on the other hand, doesn&amp;#39;t cost anything (sadly, this is no longer the case for a functional version of NodeXL), it is freely extensible with igraph and other packages, and can engage in a more complete set of network analyses, such as QAP regression and exponential random graph modeling.  With work and a LOT of tinkering, R can approach NodeXL in beauty of visualization, but it is a lot of work.  The balance of these features will tip in one direction or another based on what your interests in research might be, how much time you have, and what your skill level in coding might be."/>
    <s v="UCerAw4EfTOnYYxLLPZAzMxQ"/>
    <s v="James Cook"/>
    <s v="http://www.youtube.com/channel/UCerAw4EfTOnYYxLLPZAzMxQ"/>
    <s v="UgxfN_fy2eIJt1LKN814AaABAg"/>
    <s v="Gs4NPuKIXdo"/>
    <s v="https://www.youtube.com/watch?v=Gs4NPuKIXdo"/>
    <s v="none"/>
    <n v="0"/>
    <x v="180"/>
    <d v="2020-05-16T17:14:55.000"/>
    <m/>
    <m/>
    <s v=""/>
    <n v="1"/>
    <s v="1"/>
    <s v="1"/>
    <n v="9"/>
    <n v="5.590062111801243"/>
    <n v="3"/>
    <n v="1.8633540372670807"/>
    <n v="0"/>
    <n v="0"/>
    <n v="149"/>
    <n v="92.54658385093168"/>
    <n v="161"/>
  </r>
  <r>
    <s v="UCVi7No8pCGF2Ojhz1c_aUZQ"/>
    <s v="UCVi7No8pCGF2Ojhz1c_aUZQ"/>
    <m/>
    <m/>
    <m/>
    <m/>
    <m/>
    <m/>
    <m/>
    <m/>
    <s v="No"/>
    <n v="184"/>
    <m/>
    <m/>
    <s v="Replied Comment"/>
    <x v="1"/>
    <s v="Thanks for the detailed reply. That helps a lot. I hope you have a wonderful day!"/>
    <s v="UCVi7No8pCGF2Ojhz1c_aUZQ"/>
    <s v="Dae"/>
    <s v="http://www.youtube.com/channel/UCVi7No8pCGF2Ojhz1c_aUZQ"/>
    <s v="UgxfN_fy2eIJt1LKN814AaABAg"/>
    <s v="Gs4NPuKIXdo"/>
    <s v="https://www.youtube.com/watch?v=Gs4NPuKIXdo"/>
    <s v="none"/>
    <n v="0"/>
    <x v="181"/>
    <d v="2020-05-16T18:35:09.000"/>
    <m/>
    <m/>
    <s v=""/>
    <n v="1"/>
    <s v="1"/>
    <s v="1"/>
    <n v="1"/>
    <n v="6.25"/>
    <n v="0"/>
    <n v="0"/>
    <n v="0"/>
    <n v="0"/>
    <n v="15"/>
    <n v="93.75"/>
    <n v="16"/>
  </r>
  <r>
    <s v="UCVi7No8pCGF2Ojhz1c_aUZQ"/>
    <s v="UCerAw4EfTOnYYxLLPZAzMxQ"/>
    <m/>
    <m/>
    <m/>
    <m/>
    <m/>
    <m/>
    <m/>
    <m/>
    <s v="Yes"/>
    <n v="185"/>
    <m/>
    <m/>
    <s v="Commented Video"/>
    <x v="0"/>
    <s v="Hello! First of all, I want to thank you for sharing these wonderful videos about social network analysis/web data scraping. I have learned a lot in the past couple of days by watching your videos. As a doctoral student, I feel more confident that I now have one more tool in my toolbox as a researcher. Thank you so much.... I would be grateful if you could answer one question. So far, from your videos, I&amp;#39;ve learned that it is possible to import Twitter data, visualize, and analyze the data (network data) by using R. Do you think NodeXL can do much more than what R is capable of. Or you can pretty much do everything that NodeXL can do by using R? Thank you in advance. Sincerely, Dae"/>
    <s v="UCVi7No8pCGF2Ojhz1c_aUZQ"/>
    <s v="Dae"/>
    <s v="http://www.youtube.com/channel/UCVi7No8pCGF2Ojhz1c_aUZQ"/>
    <m/>
    <s v="Gs4NPuKIXdo"/>
    <s v="https://www.youtube.com/watch?v=Gs4NPuKIXdo"/>
    <s v="none"/>
    <n v="1"/>
    <x v="182"/>
    <d v="2020-05-16T05:34:33.000"/>
    <m/>
    <m/>
    <s v=""/>
    <n v="1"/>
    <s v="1"/>
    <s v="1"/>
    <n v="9"/>
    <n v="6.818181818181818"/>
    <n v="0"/>
    <n v="0"/>
    <n v="0"/>
    <n v="0"/>
    <n v="123"/>
    <n v="93.18181818181819"/>
    <n v="132"/>
  </r>
  <r>
    <s v="UCOXSSL56qhApdeIzp6y6b2A"/>
    <s v="UCerAw4EfTOnYYxLLPZAzMxQ"/>
    <m/>
    <m/>
    <m/>
    <m/>
    <m/>
    <m/>
    <m/>
    <m/>
    <s v="No"/>
    <n v="186"/>
    <m/>
    <m/>
    <s v="Commented Video"/>
    <x v="0"/>
    <s v="Amazing"/>
    <s v="UCOXSSL56qhApdeIzp6y6b2A"/>
    <s v="kanwal ahmad"/>
    <s v="http://www.youtube.com/channel/UCOXSSL56qhApdeIzp6y6b2A"/>
    <m/>
    <s v="zEgrruOITHw"/>
    <s v="https://www.youtube.com/watch?v=zEgrruOITHw"/>
    <s v="none"/>
    <n v="0"/>
    <x v="183"/>
    <d v="2019-08-22T22:02:17.000"/>
    <m/>
    <m/>
    <s v=""/>
    <n v="1"/>
    <s v="1"/>
    <s v="1"/>
    <n v="1"/>
    <n v="100"/>
    <n v="0"/>
    <n v="0"/>
    <n v="0"/>
    <n v="0"/>
    <n v="0"/>
    <n v="0"/>
    <n v="1"/>
  </r>
  <r>
    <s v="UCerAw4EfTOnYYxLLPZAzMxQ"/>
    <s v="UCylMH4anH1qZ3BI7zKmRE7Q"/>
    <m/>
    <m/>
    <m/>
    <m/>
    <m/>
    <m/>
    <m/>
    <m/>
    <s v="Yes"/>
    <n v="187"/>
    <m/>
    <m/>
    <s v="Replied Comment"/>
    <x v="1"/>
    <s v="Hello!  To make node shapes be images, first select the shape option &amp;quot;Image&amp;quot; in the Vertex tab, then look for a column titled &amp;quot;Image File&amp;quot; and enter the URL of the image you would like to appear."/>
    <s v="UCerAw4EfTOnYYxLLPZAzMxQ"/>
    <s v="James Cook"/>
    <s v="http://www.youtube.com/channel/UCerAw4EfTOnYYxLLPZAzMxQ"/>
    <s v="UgxrKkvOyPZPKrtL5Qx4AaABAg"/>
    <s v="zEgrruOITHw"/>
    <s v="https://www.youtube.com/watch?v=zEgrruOITHw"/>
    <s v="none"/>
    <n v="0"/>
    <x v="184"/>
    <d v="2020-03-13T18:57:40.000"/>
    <m/>
    <m/>
    <s v=""/>
    <n v="1"/>
    <s v="1"/>
    <s v="1"/>
    <n v="1"/>
    <n v="2.4390243902439024"/>
    <n v="0"/>
    <n v="0"/>
    <n v="0"/>
    <n v="0"/>
    <n v="40"/>
    <n v="97.5609756097561"/>
    <n v="41"/>
  </r>
  <r>
    <s v="UCylMH4anH1qZ3BI7zKmRE7Q"/>
    <s v="UCerAw4EfTOnYYxLLPZAzMxQ"/>
    <m/>
    <m/>
    <m/>
    <m/>
    <m/>
    <m/>
    <m/>
    <m/>
    <s v="Yes"/>
    <n v="188"/>
    <m/>
    <m/>
    <s v="Commented Video"/>
    <x v="0"/>
    <s v="I would like to ask you how can I put an image to the label of character. Thank you!"/>
    <s v="UCylMH4anH1qZ3BI7zKmRE7Q"/>
    <s v="Aneta Bartůňková"/>
    <s v="http://www.youtube.com/channel/UCylMH4anH1qZ3BI7zKmRE7Q"/>
    <m/>
    <s v="zEgrruOITHw"/>
    <s v="https://www.youtube.com/watch?v=zEgrruOITHw"/>
    <s v="none"/>
    <n v="0"/>
    <x v="185"/>
    <d v="2020-03-13T18:26:48.000"/>
    <m/>
    <m/>
    <s v=""/>
    <n v="1"/>
    <s v="1"/>
    <s v="1"/>
    <n v="2"/>
    <n v="10.526315789473685"/>
    <n v="0"/>
    <n v="0"/>
    <n v="0"/>
    <n v="0"/>
    <n v="17"/>
    <n v="89.47368421052632"/>
    <n v="19"/>
  </r>
  <r>
    <s v="UCngfwdBt4V8gv-d14tu20HQ"/>
    <s v="UCerAw4EfTOnYYxLLPZAzMxQ"/>
    <m/>
    <m/>
    <m/>
    <m/>
    <m/>
    <m/>
    <m/>
    <m/>
    <s v="No"/>
    <n v="189"/>
    <m/>
    <m/>
    <s v="Commented Video"/>
    <x v="0"/>
    <s v="Very important video"/>
    <s v="UCngfwdBt4V8gv-d14tu20HQ"/>
    <s v="bin gaeedi"/>
    <s v="http://www.youtube.com/channel/UCngfwdBt4V8gv-d14tu20HQ"/>
    <m/>
    <s v="zEgrruOITHw"/>
    <s v="https://www.youtube.com/watch?v=zEgrruOITHw"/>
    <s v="none"/>
    <n v="1"/>
    <x v="186"/>
    <d v="2021-05-07T02:11:00.000"/>
    <m/>
    <m/>
    <s v=""/>
    <n v="1"/>
    <s v="1"/>
    <s v="1"/>
    <n v="1"/>
    <n v="33.333333333333336"/>
    <n v="0"/>
    <n v="0"/>
    <n v="0"/>
    <n v="0"/>
    <n v="2"/>
    <n v="66.66666666666667"/>
    <n v="3"/>
  </r>
  <r>
    <s v="UCCwa-poBFGXBJL1OhOSf1wQ"/>
    <s v="UCerAw4EfTOnYYxLLPZAzMxQ"/>
    <m/>
    <m/>
    <m/>
    <m/>
    <m/>
    <m/>
    <m/>
    <m/>
    <s v="No"/>
    <n v="190"/>
    <m/>
    <m/>
    <s v="Commented Video"/>
    <x v="0"/>
    <s v="How can I add a bidirectional arrow in the NodeXL?"/>
    <s v="UCCwa-poBFGXBJL1OhOSf1wQ"/>
    <s v="Sarath Mohan"/>
    <s v="http://www.youtube.com/channel/UCCwa-poBFGXBJL1OhOSf1wQ"/>
    <m/>
    <s v="zEgrruOITHw"/>
    <s v="https://www.youtube.com/watch?v=zEgrruOITHw"/>
    <s v="none"/>
    <n v="0"/>
    <x v="187"/>
    <d v="2022-05-19T12:01:31.000"/>
    <m/>
    <m/>
    <s v=""/>
    <n v="1"/>
    <s v="1"/>
    <s v="1"/>
    <n v="0"/>
    <n v="0"/>
    <n v="0"/>
    <n v="0"/>
    <n v="0"/>
    <n v="0"/>
    <n v="10"/>
    <n v="100"/>
    <n v="10"/>
  </r>
  <r>
    <s v="UClPlgNc4dpa-ymND_dWE-9w"/>
    <s v="UCerAw4EfTOnYYxLLPZAzMxQ"/>
    <m/>
    <m/>
    <m/>
    <m/>
    <m/>
    <m/>
    <m/>
    <m/>
    <s v="No"/>
    <n v="191"/>
    <m/>
    <m/>
    <s v="Commented Video"/>
    <x v="0"/>
    <s v="Thank you so much for this video. I&amp;#39;m graduating in Social Comunication in Brazil and doing a work about the interactions around a famous TV Show here on Twitter.&lt;br&gt;I&amp;#39;m using NodeXL and some of your tips really helped me, like telling in an easy way what are Clusters and how they are made by the algorithm, or why do NodeXL chooses the more recent interactions on Twitter&amp;#39;s search. Thanks!!"/>
    <s v="UClPlgNc4dpa-ymND_dWE-9w"/>
    <s v="Darlan Kafeltz"/>
    <s v="http://www.youtube.com/channel/UClPlgNc4dpa-ymND_dWE-9w"/>
    <m/>
    <s v="PC-PgkhpsNc"/>
    <s v="https://www.youtube.com/watch?v=PC-PgkhpsNc"/>
    <s v="none"/>
    <n v="1"/>
    <x v="188"/>
    <d v="2013-11-09T19:25:28.000"/>
    <m/>
    <m/>
    <s v=""/>
    <n v="1"/>
    <s v="1"/>
    <s v="1"/>
    <n v="6"/>
    <n v="7.792207792207792"/>
    <n v="0"/>
    <n v="0"/>
    <n v="0"/>
    <n v="0"/>
    <n v="71"/>
    <n v="92.20779220779221"/>
    <n v="77"/>
  </r>
  <r>
    <s v="UCerAw4EfTOnYYxLLPZAzMxQ"/>
    <s v="UC7V-eKD4-9qacoIOSfjCkvQ"/>
    <m/>
    <m/>
    <m/>
    <m/>
    <m/>
    <m/>
    <m/>
    <m/>
    <s v="Yes"/>
    <n v="192"/>
    <m/>
    <m/>
    <s v="Replied Comment"/>
    <x v="1"/>
    <s v="Meredian, thanks for writing.  It seems that the last use of the hashtag was in February, and unfortunately Twitter search results go back at best of times only about two weeks.  It you want to capture Tweets as they come in and save them, a low-cost easy service is Tweet Archivist Desktop."/>
    <s v="UCerAw4EfTOnYYxLLPZAzMxQ"/>
    <s v="James Cook"/>
    <s v="http://www.youtube.com/channel/UCerAw4EfTOnYYxLLPZAzMxQ"/>
    <s v="UgjxSl3xBT3Bw3gCoAEC"/>
    <s v="vp7VXgvVAPg"/>
    <s v="https://www.youtube.com/watch?v=vp7VXgvVAPg"/>
    <s v="none"/>
    <n v="1"/>
    <x v="189"/>
    <d v="2014-04-06T20:36:03.000"/>
    <m/>
    <m/>
    <s v=""/>
    <n v="2"/>
    <s v="1"/>
    <s v="3"/>
    <n v="2"/>
    <n v="3.7735849056603774"/>
    <n v="1"/>
    <n v="1.8867924528301887"/>
    <n v="0"/>
    <n v="0"/>
    <n v="50"/>
    <n v="94.33962264150944"/>
    <n v="53"/>
  </r>
  <r>
    <s v="UC7V-eKD4-9qacoIOSfjCkvQ"/>
    <s v="UCerAw4EfTOnYYxLLPZAzMxQ"/>
    <m/>
    <m/>
    <m/>
    <m/>
    <m/>
    <m/>
    <m/>
    <m/>
    <s v="Yes"/>
    <n v="193"/>
    <m/>
    <m/>
    <s v="Commented Video"/>
    <x v="0"/>
    <s v="Hi Dr James. Many thanks for the information. Anyway, I endeavoured to do analysis on environmental network on Twitter using  &lt;a href=&quot;http://www.youtube.com/results?search_query=%23SaveBabakanSiliwangi&quot;&gt;#SaveBabakanSiliwangi&lt;/a&gt;  but the vertices and graphic can&amp;#39;t come up. When I inserted  &lt;a href=&quot;http://www.youtube.com/results?search_query=%23SaveBabakanSiliwangi&quot;&gt;#SaveBabakanSiliwangi&lt;/a&gt;  to Import menu &amp;quot;From Twitter Search Network&amp;quot; the vertices are supposed to be appearing because  &lt;a href=&quot;http://www.youtube.com/results?search_query=%23SaveBabakanSiliwangi&quot;&gt;#SaveBabakanSiliwangi&lt;/a&gt;  has been widely mentioned in these recent days. Can you give me a hand how to resolve this issue? Thank you in advance and looking forward to hearing from you. "/>
    <s v="UC7V-eKD4-9qacoIOSfjCkvQ"/>
    <s v="meredian alam"/>
    <s v="http://www.youtube.com/channel/UC7V-eKD4-9qacoIOSfjCkvQ"/>
    <m/>
    <s v="vp7VXgvVAPg"/>
    <s v="https://www.youtube.com/watch?v=vp7VXgvVAPg"/>
    <s v="none"/>
    <n v="0"/>
    <x v="190"/>
    <d v="2014-04-04T15:58:24.000"/>
    <s v=" http://www.youtube.com/results?search_query=%23SaveBabakanSiliwangi http://www.youtube.com/results?search_query=%23SaveBabakanSiliwangi http://www.youtube.com/results?search_query=%23SaveBabakanSiliwangi"/>
    <s v="youtube.com youtube.com youtube.com"/>
    <s v=""/>
    <n v="2"/>
    <s v="3"/>
    <s v="1"/>
    <n v="1"/>
    <n v="0.8849557522123894"/>
    <n v="1"/>
    <n v="0.8849557522123894"/>
    <n v="0"/>
    <n v="0"/>
    <n v="111"/>
    <n v="98.23008849557522"/>
    <n v="113"/>
  </r>
  <r>
    <s v="UC7V-eKD4-9qacoIOSfjCkvQ"/>
    <s v="UCewxu9BEC64CfQVzR6vd3cA"/>
    <m/>
    <m/>
    <m/>
    <m/>
    <m/>
    <m/>
    <m/>
    <m/>
    <s v="No"/>
    <n v="194"/>
    <m/>
    <m/>
    <s v="Commented Video"/>
    <x v="0"/>
    <s v="Hi Avkash! Thanks for the inspiring information. Anyway, I am currently researching the network of environmental movement in Indonesia with &lt;a href=&quot;http://www.youtube.com/results?search_query=%23SaveBabakanSiliwangi&quot;&gt;#SaveBabakanSiliwangi&lt;/a&gt;, but only 1 vertice appeared as the result. The vertices are supposed to be a lot because &lt;a href=&quot;http://www.youtube.com/results?search_query=%23SaveBabakan&quot;&gt;#SaveBabakan&lt;/a&gt; Siliwangi have been twitted by around thousand users. Can you give me a hand for this issue? Thank you very much. "/>
    <s v="UC7V-eKD4-9qacoIOSfjCkvQ"/>
    <s v="meredian alam"/>
    <s v="http://www.youtube.com/channel/UC7V-eKD4-9qacoIOSfjCkvQ"/>
    <m/>
    <s v="DfVp1zDYNLg"/>
    <s v="https://www.youtube.com/watch?v=DfVp1zDYNLg"/>
    <s v="none"/>
    <n v="0"/>
    <x v="191"/>
    <d v="2014-04-04T15:42:36.000"/>
    <s v=" http://www.youtube.com/results?search_query=%23SaveBabakanSiliwangi http://www.youtube.com/results?search_query=%23SaveBabakan"/>
    <s v="youtube.com youtube.com"/>
    <s v=""/>
    <n v="1"/>
    <s v="3"/>
    <s v="3"/>
    <n v="2"/>
    <n v="2.5"/>
    <n v="1"/>
    <n v="1.25"/>
    <n v="0"/>
    <n v="0"/>
    <n v="77"/>
    <n v="96.25"/>
    <n v="80"/>
  </r>
  <r>
    <s v="UCerAw4EfTOnYYxLLPZAzMxQ"/>
    <s v="UC7V-eKD4-9qacoIOSfjCkvQ"/>
    <m/>
    <m/>
    <m/>
    <m/>
    <m/>
    <m/>
    <m/>
    <m/>
    <s v="Yes"/>
    <n v="195"/>
    <m/>
    <m/>
    <s v="Replied Comment"/>
    <x v="1"/>
    <s v="Hello, Meredian.  What I notice, looking at Twitter, is that the hashtag you mention has been used just once since February, with a Tweet on April 1.  When you search through a hashtag using NodeXL, the Twitter API will only return material going a week or two back in time, which is why the earlier February tweets don&amp;#39;t appear in your search results.  That&amp;#39;s an unfortunate limitation of how Twitter chooses to share its data."/>
    <s v="UCerAw4EfTOnYYxLLPZAzMxQ"/>
    <s v="James Cook"/>
    <s v="http://www.youtube.com/channel/UCerAw4EfTOnYYxLLPZAzMxQ"/>
    <s v="UghPezZiqsUaIXgCoAEC"/>
    <s v="PC-PgkhpsNc"/>
    <s v="https://www.youtube.com/watch?v=PC-PgkhpsNc"/>
    <s v="none"/>
    <n v="0"/>
    <x v="192"/>
    <d v="2014-04-07T02:18:14.000"/>
    <m/>
    <m/>
    <s v=""/>
    <n v="2"/>
    <s v="1"/>
    <s v="3"/>
    <n v="0"/>
    <n v="0"/>
    <n v="2"/>
    <n v="2.5316455696202533"/>
    <n v="0"/>
    <n v="0"/>
    <n v="77"/>
    <n v="97.46835443037975"/>
    <n v="79"/>
  </r>
  <r>
    <s v="UC7V-eKD4-9qacoIOSfjCkvQ"/>
    <s v="UCerAw4EfTOnYYxLLPZAzMxQ"/>
    <m/>
    <m/>
    <m/>
    <m/>
    <m/>
    <m/>
    <m/>
    <m/>
    <s v="Yes"/>
    <n v="196"/>
    <m/>
    <m/>
    <s v="Commented Video"/>
    <x v="0"/>
    <s v="Hi James! Thanks for the inspiring information. Anyway, I am currently researching the network of environmental movement in Indonesia with &lt;a href=&quot;http://www.youtube.com/results?search_query=%23SaveBabakanSiliwangi&quot;&gt;#SaveBabakanSiliwangi&lt;/a&gt;, but only 1 vertice appeared as the result. The vertices are supposed to be a lot because  &lt;a href=&quot;http://www.youtube.com/results?search_query=%23SaveBabakan&quot;&gt;#SaveBabakan&lt;/a&gt;  Siliwangi have been twitted by around thousand users. Can you give me a hand for this issue? Thank you very much. "/>
    <s v="UC7V-eKD4-9qacoIOSfjCkvQ"/>
    <s v="meredian alam"/>
    <s v="http://www.youtube.com/channel/UC7V-eKD4-9qacoIOSfjCkvQ"/>
    <m/>
    <s v="PC-PgkhpsNc"/>
    <s v="https://www.youtube.com/watch?v=PC-PgkhpsNc"/>
    <s v="none"/>
    <n v="0"/>
    <x v="193"/>
    <d v="2014-04-04T15:40:41.000"/>
    <s v=" http://www.youtube.com/results?search_query=%23SaveBabakanSiliwangi http://www.youtube.com/results?search_query=%23SaveBabakan"/>
    <s v="youtube.com youtube.com"/>
    <s v=""/>
    <n v="2"/>
    <s v="3"/>
    <s v="1"/>
    <n v="2"/>
    <n v="2.5"/>
    <n v="1"/>
    <n v="1.25"/>
    <n v="0"/>
    <n v="0"/>
    <n v="77"/>
    <n v="96.25"/>
    <n v="80"/>
  </r>
  <r>
    <s v="UCerAw4EfTOnYYxLLPZAzMxQ"/>
    <s v="UCl_-t3QxGQvNu9-Wp1iGLdQ"/>
    <m/>
    <m/>
    <m/>
    <m/>
    <m/>
    <m/>
    <m/>
    <m/>
    <s v="Yes"/>
    <n v="197"/>
    <m/>
    <m/>
    <s v="Replied Comment"/>
    <x v="1"/>
    <s v="Sure do!  Just browse through my video list for examples."/>
    <s v="UCerAw4EfTOnYYxLLPZAzMxQ"/>
    <s v="James Cook"/>
    <s v="http://www.youtube.com/channel/UCerAw4EfTOnYYxLLPZAzMxQ"/>
    <s v="UghciJ0OgAnM7XgCoAEC"/>
    <s v="PC-PgkhpsNc"/>
    <s v="https://www.youtube.com/watch?v=PC-PgkhpsNc"/>
    <s v="none"/>
    <n v="1"/>
    <x v="194"/>
    <d v="2014-06-11T19:35:15.000"/>
    <m/>
    <m/>
    <s v=""/>
    <n v="1"/>
    <s v="1"/>
    <s v="1"/>
    <n v="0"/>
    <n v="0"/>
    <n v="0"/>
    <n v="0"/>
    <n v="0"/>
    <n v="0"/>
    <n v="10"/>
    <n v="100"/>
    <n v="10"/>
  </r>
  <r>
    <s v="UCl_-t3QxGQvNu9-Wp1iGLdQ"/>
    <s v="UCerAw4EfTOnYYxLLPZAzMxQ"/>
    <m/>
    <m/>
    <m/>
    <m/>
    <m/>
    <m/>
    <m/>
    <m/>
    <s v="Yes"/>
    <n v="198"/>
    <m/>
    <m/>
    <s v="Commented Video"/>
    <x v="0"/>
    <s v="Video has been very helpful to me, as a new NodeXL user. Although I just started using NodeXL, this video has taught me a lot! Thanks for this, James! Do you have anymore walk through videos for NodeXL?"/>
    <s v="UCl_-t3QxGQvNu9-Wp1iGLdQ"/>
    <s v="Rise Above Promotions"/>
    <s v="http://www.youtube.com/channel/UCl_-t3QxGQvNu9-Wp1iGLdQ"/>
    <m/>
    <s v="PC-PgkhpsNc"/>
    <s v="https://www.youtube.com/watch?v=PC-PgkhpsNc"/>
    <s v="none"/>
    <n v="0"/>
    <x v="195"/>
    <d v="2014-05-09T19:45:43.000"/>
    <m/>
    <m/>
    <s v=""/>
    <n v="1"/>
    <s v="1"/>
    <s v="1"/>
    <n v="1"/>
    <n v="2.6315789473684212"/>
    <n v="0"/>
    <n v="0"/>
    <n v="0"/>
    <n v="0"/>
    <n v="37"/>
    <n v="97.36842105263158"/>
    <n v="38"/>
  </r>
  <r>
    <s v="UC72mAuOZR5GBLYq7vDITHuw"/>
    <s v="UCerAw4EfTOnYYxLLPZAzMxQ"/>
    <m/>
    <m/>
    <m/>
    <m/>
    <m/>
    <m/>
    <m/>
    <m/>
    <s v="No"/>
    <n v="199"/>
    <m/>
    <m/>
    <s v="Commented Video"/>
    <x v="0"/>
    <s v="Hi James! Very clear and helpful tutorial video, thank you for sharing it! You mentioned the Social Network Analysis textbook at the end of your video, do you mind if sharing the name of it? and what textbooks do you think are good for learning social network analysis? Thanks!"/>
    <s v="UC72mAuOZR5GBLYq7vDITHuw"/>
    <s v="Belle Li"/>
    <s v="http://www.youtube.com/channel/UC72mAuOZR5GBLYq7vDITHuw"/>
    <m/>
    <s v="PC-PgkhpsNc"/>
    <s v="https://www.youtube.com/watch?v=PC-PgkhpsNc"/>
    <s v="none"/>
    <n v="0"/>
    <x v="196"/>
    <d v="2014-06-11T19:01:39.000"/>
    <m/>
    <m/>
    <s v=""/>
    <n v="1"/>
    <s v="1"/>
    <s v="1"/>
    <n v="4"/>
    <n v="8.16326530612245"/>
    <n v="0"/>
    <n v="0"/>
    <n v="0"/>
    <n v="0"/>
    <n v="45"/>
    <n v="91.83673469387755"/>
    <n v="49"/>
  </r>
  <r>
    <s v="UCe9SZXN8hQOR5jjWTKgMNiA"/>
    <s v="UCerAw4EfTOnYYxLLPZAzMxQ"/>
    <m/>
    <m/>
    <m/>
    <m/>
    <m/>
    <m/>
    <m/>
    <m/>
    <s v="No"/>
    <n v="200"/>
    <m/>
    <m/>
    <s v="Commented Video"/>
    <x v="0"/>
    <s v="Excellent walk through, pretty much did my assignment for me :)"/>
    <s v="UCe9SZXN8hQOR5jjWTKgMNiA"/>
    <s v="Sean Lynch"/>
    <s v="http://www.youtube.com/channel/UCe9SZXN8hQOR5jjWTKgMNiA"/>
    <m/>
    <s v="PC-PgkhpsNc"/>
    <s v="https://www.youtube.com/watch?v=PC-PgkhpsNc"/>
    <s v="none"/>
    <n v="2"/>
    <x v="197"/>
    <d v="2014-12-03T19:50:03.000"/>
    <m/>
    <m/>
    <s v=""/>
    <n v="1"/>
    <s v="1"/>
    <s v="1"/>
    <n v="2"/>
    <n v="20"/>
    <n v="0"/>
    <n v="0"/>
    <n v="0"/>
    <n v="0"/>
    <n v="8"/>
    <n v="80"/>
    <n v="10"/>
  </r>
  <r>
    <s v="UCZ8nrFIJyJwN6R0ZOALXetQ"/>
    <s v="UCerAw4EfTOnYYxLLPZAzMxQ"/>
    <m/>
    <m/>
    <m/>
    <m/>
    <m/>
    <m/>
    <m/>
    <m/>
    <s v="No"/>
    <n v="201"/>
    <m/>
    <m/>
    <s v="Commented Video"/>
    <x v="0"/>
    <s v="Thanks a lot for this tutorial, very helpful"/>
    <s v="UCZ8nrFIJyJwN6R0ZOALXetQ"/>
    <s v="Fabrice Frossard"/>
    <s v="http://www.youtube.com/channel/UCZ8nrFIJyJwN6R0ZOALXetQ"/>
    <m/>
    <s v="PC-PgkhpsNc"/>
    <s v="https://www.youtube.com/watch?v=PC-PgkhpsNc"/>
    <s v="none"/>
    <n v="1"/>
    <x v="198"/>
    <d v="2015-02-02T19:39:39.000"/>
    <m/>
    <m/>
    <s v=""/>
    <n v="1"/>
    <s v="1"/>
    <s v="1"/>
    <n v="1"/>
    <n v="12.5"/>
    <n v="0"/>
    <n v="0"/>
    <n v="0"/>
    <n v="0"/>
    <n v="7"/>
    <n v="87.5"/>
    <n v="8"/>
  </r>
  <r>
    <s v="UCc_IrnsTVtcDBTMBJ6prkag"/>
    <s v="UCd0sHnrF1NVw90DF39XEKDQ"/>
    <m/>
    <m/>
    <m/>
    <m/>
    <m/>
    <m/>
    <m/>
    <m/>
    <s v="No"/>
    <n v="202"/>
    <m/>
    <m/>
    <s v="Replied Comment"/>
    <x v="1"/>
    <s v="+Luxmi Verma I believe you are looking for topical analysis..? &lt;br&gt;Is it?"/>
    <s v="UCc_IrnsTVtcDBTMBJ6prkag"/>
    <s v="Mridul Gupta"/>
    <s v="http://www.youtube.com/channel/UCc_IrnsTVtcDBTMBJ6prkag"/>
    <s v="Ugj1z4qym4XX13gCoAEC"/>
    <s v="PC-PgkhpsNc"/>
    <s v="https://www.youtube.com/watch?v=PC-PgkhpsNc"/>
    <s v="none"/>
    <n v="0"/>
    <x v="199"/>
    <d v="2015-09-17T23:43:27.000"/>
    <m/>
    <m/>
    <s v=""/>
    <n v="1"/>
    <s v="1"/>
    <s v="1"/>
    <n v="0"/>
    <n v="0"/>
    <n v="0"/>
    <n v="0"/>
    <n v="0"/>
    <n v="0"/>
    <n v="13"/>
    <n v="100"/>
    <n v="13"/>
  </r>
  <r>
    <s v="UCerAw4EfTOnYYxLLPZAzMxQ"/>
    <s v="UCd0sHnrF1NVw90DF39XEKDQ"/>
    <m/>
    <m/>
    <m/>
    <m/>
    <m/>
    <m/>
    <m/>
    <m/>
    <s v="Yes"/>
    <n v="203"/>
    <m/>
    <m/>
    <s v="Replied Comment"/>
    <x v="1"/>
    <s v="@Luxmi Verma Hi Luxmi.  If you don&amp;#39;t want boxes around your clusters, visit Layout -&amp;gt; Layout Options in the Graph Ribbon and set the width of the box outline to zero."/>
    <s v="UCerAw4EfTOnYYxLLPZAzMxQ"/>
    <s v="James Cook"/>
    <s v="http://www.youtube.com/channel/UCerAw4EfTOnYYxLLPZAzMxQ"/>
    <s v="UgijL0mmKttMo3gCoAEC"/>
    <s v="lbb2lMCSg64"/>
    <s v="https://www.youtube.com/watch?v=lbb2lMCSg64"/>
    <s v="none"/>
    <n v="1"/>
    <x v="200"/>
    <d v="2015-07-27T14:43:04.000"/>
    <m/>
    <m/>
    <s v=""/>
    <n v="6"/>
    <s v="1"/>
    <s v="1"/>
    <n v="0"/>
    <n v="0"/>
    <n v="0"/>
    <n v="0"/>
    <n v="0"/>
    <n v="0"/>
    <n v="33"/>
    <n v="100"/>
    <n v="33"/>
  </r>
  <r>
    <s v="UCd0sHnrF1NVw90DF39XEKDQ"/>
    <s v="UCerAw4EfTOnYYxLLPZAzMxQ"/>
    <m/>
    <m/>
    <m/>
    <m/>
    <m/>
    <m/>
    <m/>
    <m/>
    <s v="Yes"/>
    <n v="204"/>
    <m/>
    <m/>
    <s v="Commented Video"/>
    <x v="0"/>
    <s v="Hi james , how to get rid of cluster boxes i dont need"/>
    <s v="UCd0sHnrF1NVw90DF39XEKDQ"/>
    <s v="Luxmi Verma"/>
    <s v="http://www.youtube.com/channel/UCd0sHnrF1NVw90DF39XEKDQ"/>
    <m/>
    <s v="lbb2lMCSg64"/>
    <s v="https://www.youtube.com/watch?v=lbb2lMCSg64"/>
    <s v="none"/>
    <n v="0"/>
    <x v="201"/>
    <d v="2015-07-27T12:36:45.000"/>
    <m/>
    <m/>
    <s v=""/>
    <n v="7"/>
    <s v="1"/>
    <s v="1"/>
    <n v="0"/>
    <n v="0"/>
    <n v="0"/>
    <n v="0"/>
    <n v="0"/>
    <n v="0"/>
    <n v="12"/>
    <n v="100"/>
    <n v="12"/>
  </r>
  <r>
    <s v="UCd0sHnrF1NVw90DF39XEKDQ"/>
    <s v="UCerAw4EfTOnYYxLLPZAzMxQ"/>
    <m/>
    <m/>
    <m/>
    <m/>
    <m/>
    <m/>
    <m/>
    <m/>
    <s v="Yes"/>
    <n v="205"/>
    <m/>
    <m/>
    <s v="Commented Video"/>
    <x v="0"/>
    <s v="i have the data in terms of author using the hashtag , how can i visualize that as not column is present on twitter user networks"/>
    <s v="UCd0sHnrF1NVw90DF39XEKDQ"/>
    <s v="Luxmi Verma"/>
    <s v="http://www.youtube.com/channel/UCd0sHnrF1NVw90DF39XEKDQ"/>
    <m/>
    <s v="lbb2lMCSg64"/>
    <s v="https://www.youtube.com/watch?v=lbb2lMCSg64"/>
    <s v="none"/>
    <n v="0"/>
    <x v="202"/>
    <d v="2015-07-27T13:54:50.000"/>
    <m/>
    <m/>
    <s v=""/>
    <n v="7"/>
    <s v="1"/>
    <s v="1"/>
    <n v="0"/>
    <n v="0"/>
    <n v="0"/>
    <n v="0"/>
    <n v="0"/>
    <n v="0"/>
    <n v="25"/>
    <n v="100"/>
    <n v="25"/>
  </r>
  <r>
    <s v="UCerAw4EfTOnYYxLLPZAzMxQ"/>
    <s v="UCd0sHnrF1NVw90DF39XEKDQ"/>
    <m/>
    <m/>
    <m/>
    <m/>
    <m/>
    <m/>
    <m/>
    <m/>
    <s v="Yes"/>
    <n v="206"/>
    <m/>
    <m/>
    <s v="Replied Comment"/>
    <x v="1"/>
    <s v="+Luxmi Verma Right here: &lt;a href=&quot;https://nodexlgraphgallery.org/Pages/registration.aspx&quot;&gt;https://nodexlgraphgallery.org/Pages/registration.aspx&lt;/a&gt;"/>
    <s v="UCerAw4EfTOnYYxLLPZAzMxQ"/>
    <s v="James Cook"/>
    <s v="http://www.youtube.com/channel/UCerAw4EfTOnYYxLLPZAzMxQ"/>
    <s v="UgglV6t1rOoKAngCoAEC"/>
    <s v="08MqGSL9TNQ"/>
    <s v="https://www.youtube.com/watch?v=08MqGSL9TNQ"/>
    <s v="none"/>
    <n v="0"/>
    <x v="203"/>
    <d v="2016-05-03T21:38:37.000"/>
    <s v=" https://nodexlgraphgallery.org/Pages/registration.aspx https://nodexlgraphgallery.org/Pages/registration.aspx"/>
    <s v="nodexlgraphgallery.org nodexlgraphgallery.org"/>
    <s v=""/>
    <n v="6"/>
    <s v="1"/>
    <s v="1"/>
    <n v="1"/>
    <n v="5.2631578947368425"/>
    <n v="0"/>
    <n v="0"/>
    <n v="0"/>
    <n v="0"/>
    <n v="18"/>
    <n v="94.73684210526316"/>
    <n v="19"/>
  </r>
  <r>
    <s v="UCd0sHnrF1NVw90DF39XEKDQ"/>
    <s v="UCerAw4EfTOnYYxLLPZAzMxQ"/>
    <m/>
    <m/>
    <m/>
    <m/>
    <m/>
    <m/>
    <m/>
    <m/>
    <s v="Yes"/>
    <n v="207"/>
    <m/>
    <m/>
    <s v="Commented Video"/>
    <x v="0"/>
    <s v="Hi , any idea how to download nodexlpro ?"/>
    <s v="UCd0sHnrF1NVw90DF39XEKDQ"/>
    <s v="Luxmi Verma"/>
    <s v="http://www.youtube.com/channel/UCd0sHnrF1NVw90DF39XEKDQ"/>
    <m/>
    <s v="08MqGSL9TNQ"/>
    <s v="https://www.youtube.com/watch?v=08MqGSL9TNQ"/>
    <s v="none"/>
    <n v="0"/>
    <x v="204"/>
    <d v="2016-05-03T18:17:09.000"/>
    <m/>
    <m/>
    <s v=""/>
    <n v="7"/>
    <s v="1"/>
    <s v="1"/>
    <n v="0"/>
    <n v="0"/>
    <n v="0"/>
    <n v="0"/>
    <n v="0"/>
    <n v="0"/>
    <n v="7"/>
    <n v="100"/>
    <n v="7"/>
  </r>
  <r>
    <s v="UCd0sHnrF1NVw90DF39XEKDQ"/>
    <s v="UCerAw4EfTOnYYxLLPZAzMxQ"/>
    <m/>
    <m/>
    <m/>
    <m/>
    <m/>
    <m/>
    <m/>
    <m/>
    <s v="Yes"/>
    <n v="208"/>
    <m/>
    <m/>
    <s v="Commented Video"/>
    <x v="0"/>
    <s v="thanks Prof!, also is there a certification of network analysis that i can take , I find this subject quite interesting"/>
    <s v="UCd0sHnrF1NVw90DF39XEKDQ"/>
    <s v="Luxmi Verma"/>
    <s v="http://www.youtube.com/channel/UCd0sHnrF1NVw90DF39XEKDQ"/>
    <m/>
    <s v="08MqGSL9TNQ"/>
    <s v="https://www.youtube.com/watch?v=08MqGSL9TNQ"/>
    <s v="none"/>
    <n v="0"/>
    <x v="205"/>
    <d v="2016-05-04T07:09:11.000"/>
    <m/>
    <m/>
    <s v=""/>
    <n v="7"/>
    <s v="1"/>
    <s v="1"/>
    <n v="1"/>
    <n v="5"/>
    <n v="0"/>
    <n v="0"/>
    <n v="0"/>
    <n v="0"/>
    <n v="19"/>
    <n v="95"/>
    <n v="20"/>
  </r>
  <r>
    <s v="UCerAw4EfTOnYYxLLPZAzMxQ"/>
    <s v="UCd0sHnrF1NVw90DF39XEKDQ"/>
    <m/>
    <m/>
    <m/>
    <m/>
    <m/>
    <m/>
    <m/>
    <m/>
    <s v="Yes"/>
    <n v="209"/>
    <m/>
    <m/>
    <s v="Replied Comment"/>
    <x v="1"/>
    <s v="@Luxmi Verma that depends on the form of data you have.  Can you post an example of a few lines of text to indicate what your lines of data look like?"/>
    <s v="UCerAw4EfTOnYYxLLPZAzMxQ"/>
    <s v="James Cook"/>
    <s v="http://www.youtube.com/channel/UCerAw4EfTOnYYxLLPZAzMxQ"/>
    <s v="UgjbVu5aRVHxUHgCoAEC"/>
    <s v="PC-PgkhpsNc"/>
    <s v="https://www.youtube.com/watch?v="/>
    <s v="none"/>
    <n v="0"/>
    <x v="206"/>
    <d v="2015-06-17T14:20:02.000"/>
    <m/>
    <m/>
    <s v=""/>
    <n v="6"/>
    <s v="1"/>
    <s v="1"/>
    <n v="1"/>
    <n v="3.225806451612903"/>
    <n v="0"/>
    <n v="0"/>
    <n v="0"/>
    <n v="0"/>
    <n v="30"/>
    <n v="96.7741935483871"/>
    <n v="31"/>
  </r>
  <r>
    <s v="UCd0sHnrF1NVw90DF39XEKDQ"/>
    <s v="UCd0sHnrF1NVw90DF39XEKDQ"/>
    <m/>
    <m/>
    <m/>
    <m/>
    <m/>
    <m/>
    <m/>
    <m/>
    <s v="No"/>
    <n v="210"/>
    <m/>
    <m/>
    <s v="Replied Comment"/>
    <x v="1"/>
    <s v="@James Cook the data format is on excel , is there any email id where can i send the data example, i get the edge list from there but to find vertices i have been told to put the data in R software to develop relations as corresponding tweets are mentioned  wondering what to do?"/>
    <s v="UCd0sHnrF1NVw90DF39XEKDQ"/>
    <s v="Luxmi Verma"/>
    <s v="http://www.youtube.com/channel/UCd0sHnrF1NVw90DF39XEKDQ"/>
    <s v="UgjbVu5aRVHxUHgCoAEC"/>
    <s v="PC-PgkhpsNc"/>
    <s v="https://www.youtube.com/watch?v="/>
    <s v="none"/>
    <n v="0"/>
    <x v="207"/>
    <d v="2015-06-17T21:14:30.000"/>
    <m/>
    <m/>
    <s v=""/>
    <n v="3"/>
    <s v="1"/>
    <s v="1"/>
    <n v="1"/>
    <n v="1.8518518518518519"/>
    <n v="0"/>
    <n v="0"/>
    <n v="0"/>
    <n v="0"/>
    <n v="53"/>
    <n v="98.14814814814815"/>
    <n v="54"/>
  </r>
  <r>
    <s v="UCerAw4EfTOnYYxLLPZAzMxQ"/>
    <s v="UCd0sHnrF1NVw90DF39XEKDQ"/>
    <m/>
    <m/>
    <m/>
    <m/>
    <m/>
    <m/>
    <m/>
    <m/>
    <s v="Yes"/>
    <n v="211"/>
    <m/>
    <m/>
    <s v="Replied Comment"/>
    <x v="1"/>
    <s v="Excel is the file format.  Edge list would be the data format, and if you have an edge list you should be able to cut and paste it in right from Excel, since the NodeXL data format is also an edge list."/>
    <s v="UCerAw4EfTOnYYxLLPZAzMxQ"/>
    <s v="James Cook"/>
    <s v="http://www.youtube.com/channel/UCerAw4EfTOnYYxLLPZAzMxQ"/>
    <s v="UgjbVu5aRVHxUHgCoAEC"/>
    <s v="PC-PgkhpsNc"/>
    <s v="https://www.youtube.com/watch?v="/>
    <s v="none"/>
    <n v="0"/>
    <x v="208"/>
    <d v="2015-06-17T21:23:06.000"/>
    <m/>
    <m/>
    <s v=""/>
    <n v="6"/>
    <s v="1"/>
    <s v="1"/>
    <n v="3"/>
    <n v="7.142857142857143"/>
    <n v="0"/>
    <n v="0"/>
    <n v="0"/>
    <n v="0"/>
    <n v="39"/>
    <n v="92.85714285714286"/>
    <n v="42"/>
  </r>
  <r>
    <s v="UCd0sHnrF1NVw90DF39XEKDQ"/>
    <s v="UCd0sHnrF1NVw90DF39XEKDQ"/>
    <m/>
    <m/>
    <m/>
    <m/>
    <m/>
    <m/>
    <m/>
    <m/>
    <s v="No"/>
    <n v="212"/>
    <m/>
    <m/>
    <s v="Replied Comment"/>
    <x v="1"/>
    <s v="@James Cook  let me explain so i have author names in one column - node but in another column i have their tweets where they are mentioning / reply to other people , if i am just copying the nodes and psting its is giving me a self loop graph how do i show relation ship here? do i need to manually from the tweet take out themention/reply twitter handle and put on vertices column to build or i have to pass it through R or any other software!! before pasting it to node xl"/>
    <s v="UCd0sHnrF1NVw90DF39XEKDQ"/>
    <s v="Luxmi Verma"/>
    <s v="http://www.youtube.com/channel/UCd0sHnrF1NVw90DF39XEKDQ"/>
    <s v="UgjbVu5aRVHxUHgCoAEC"/>
    <s v="PC-PgkhpsNc"/>
    <s v="https://www.youtube.com/watch?v="/>
    <s v="none"/>
    <n v="0"/>
    <x v="209"/>
    <d v="2015-06-18T06:15:43.000"/>
    <m/>
    <m/>
    <s v=""/>
    <n v="3"/>
    <s v="1"/>
    <s v="1"/>
    <n v="0"/>
    <n v="0"/>
    <n v="0"/>
    <n v="0"/>
    <n v="0"/>
    <n v="0"/>
    <n v="93"/>
    <n v="100"/>
    <n v="93"/>
  </r>
  <r>
    <s v="UCerAw4EfTOnYYxLLPZAzMxQ"/>
    <s v="UCd0sHnrF1NVw90DF39XEKDQ"/>
    <m/>
    <m/>
    <m/>
    <m/>
    <m/>
    <m/>
    <m/>
    <m/>
    <s v="Yes"/>
    <n v="213"/>
    <m/>
    <m/>
    <s v="Replied Comment"/>
    <x v="1"/>
    <s v="@Luxmi Verma Oh, OK, so you &lt;b&gt;don&amp;#39;t&lt;/b&gt; have an edge list yet.  You need to convert your data into an edge list, though.  You certainly don&amp;#39;t have to pass anything through R, although you could.  Try this: you could expand the &amp;quot;Tweets&amp;quot; column (using the Data-&amp;gt;Text to Columns command) so that the Tweet is separated out into different columns with a space as a delimiter.  Then take every result that contains a &amp;quot;@&amp;quot; and you&amp;#39;ll have the nodes to which they are posting -- the target.  You could create your edge list that way."/>
    <s v="UCerAw4EfTOnYYxLLPZAzMxQ"/>
    <s v="James Cook"/>
    <s v="http://www.youtube.com/channel/UCerAw4EfTOnYYxLLPZAzMxQ"/>
    <s v="UgjbVu5aRVHxUHgCoAEC"/>
    <s v="PC-PgkhpsNc"/>
    <s v="https://www.youtube.com/watch?v="/>
    <s v="none"/>
    <n v="1"/>
    <x v="210"/>
    <d v="2015-06-18T15:07:58.000"/>
    <m/>
    <m/>
    <s v=""/>
    <n v="6"/>
    <s v="1"/>
    <s v="1"/>
    <n v="0"/>
    <n v="0"/>
    <n v="0"/>
    <n v="0"/>
    <n v="0"/>
    <n v="0"/>
    <n v="106"/>
    <n v="100"/>
    <n v="106"/>
  </r>
  <r>
    <s v="UCd0sHnrF1NVw90DF39XEKDQ"/>
    <s v="UCd0sHnrF1NVw90DF39XEKDQ"/>
    <m/>
    <m/>
    <m/>
    <m/>
    <m/>
    <m/>
    <m/>
    <m/>
    <s v="No"/>
    <n v="214"/>
    <m/>
    <m/>
    <s v="Replied Comment"/>
    <x v="1"/>
    <s v="@James Cook Thank you !! you are a rock Star!!!!! i could do that , &lt;br&gt;wanted to take formal training from you , any possibilities online"/>
    <s v="UCd0sHnrF1NVw90DF39XEKDQ"/>
    <s v="Luxmi Verma"/>
    <s v="http://www.youtube.com/channel/UCd0sHnrF1NVw90DF39XEKDQ"/>
    <s v="UgjbVu5aRVHxUHgCoAEC"/>
    <s v="PC-PgkhpsNc"/>
    <s v="https://www.youtube.com/watch?v="/>
    <s v="none"/>
    <n v="0"/>
    <x v="211"/>
    <d v="2015-06-19T09:43:22.000"/>
    <m/>
    <m/>
    <s v=""/>
    <n v="3"/>
    <s v="1"/>
    <s v="1"/>
    <n v="1"/>
    <n v="4.166666666666667"/>
    <n v="0"/>
    <n v="0"/>
    <n v="0"/>
    <n v="0"/>
    <n v="23"/>
    <n v="95.83333333333333"/>
    <n v="24"/>
  </r>
  <r>
    <s v="UCd0sHnrF1NVw90DF39XEKDQ"/>
    <s v="UCerAw4EfTOnYYxLLPZAzMxQ"/>
    <m/>
    <m/>
    <m/>
    <m/>
    <m/>
    <m/>
    <m/>
    <m/>
    <s v="Yes"/>
    <n v="215"/>
    <m/>
    <m/>
    <s v="Commented Video"/>
    <x v="0"/>
    <s v="Hi James , i have data downloaded from Radian 6, how can i import that in node xl"/>
    <s v="UCd0sHnrF1NVw90DF39XEKDQ"/>
    <s v="Luxmi Verma"/>
    <s v="http://www.youtube.com/channel/UCd0sHnrF1NVw90DF39XEKDQ"/>
    <m/>
    <s v="PC-PgkhpsNc"/>
    <s v="https://www.youtube.com/watch?v=PC-PgkhpsNc"/>
    <s v="none"/>
    <n v="0"/>
    <x v="212"/>
    <d v="2015-06-17T11:22:47.000"/>
    <m/>
    <m/>
    <s v=""/>
    <n v="7"/>
    <s v="1"/>
    <s v="1"/>
    <n v="0"/>
    <n v="0"/>
    <n v="0"/>
    <n v="0"/>
    <n v="0"/>
    <n v="0"/>
    <n v="17"/>
    <n v="100"/>
    <n v="17"/>
  </r>
  <r>
    <s v="UCerAw4EfTOnYYxLLPZAzMxQ"/>
    <s v="UCd0sHnrF1NVw90DF39XEKDQ"/>
    <m/>
    <m/>
    <m/>
    <m/>
    <m/>
    <m/>
    <m/>
    <m/>
    <s v="Yes"/>
    <n v="216"/>
    <m/>
    <m/>
    <s v="Replied Comment"/>
    <x v="1"/>
    <s v="@Luxmi Verma Hello again, Luxmi.  I&amp;#39;m not exactly sure what you&amp;#39;re asking, but I &lt;b&gt;think&lt;/b&gt; you&amp;#39;re asking whether it is possible to create a network in which hashtags are nodes (and ties indicate the frequency of co-occurrence) from data in which you have a set of users&amp;#39; tweets.  If that is the question, the answer is a definite YES!  What you would do is enter those tweets into a column in the Edges tab of NodeXL (you can put any value in for Vertex 1 and Vertex 2 for these data).  Then use the command NodeXL-&amp;gt;Graph Metrics-&amp;gt;Words and Word Pairs to create a semantic network as seen here: &lt;a href=&quot;https://www.youtube.com/watch?v=lbb2lMCSg64&quot;&gt;https://www.youtube.com/watch?v=lbb2lMCSg64&lt;/a&gt; .  I hope this helps!"/>
    <s v="UCerAw4EfTOnYYxLLPZAzMxQ"/>
    <s v="James Cook"/>
    <s v="http://www.youtube.com/channel/UCerAw4EfTOnYYxLLPZAzMxQ"/>
    <s v="UgjhDlrOuztNEngCoAEC"/>
    <s v="PC-PgkhpsNc"/>
    <s v="https://www.youtube.com/watch?v=PC-PgkhpsNc"/>
    <s v="none"/>
    <n v="0"/>
    <x v="213"/>
    <d v="2015-07-27T14:53:11.000"/>
    <s v=" https://www.youtube.com/watch?v=lbb2lMCSg64 https://www.youtube.com/watch?v=lbb2lMCSg64"/>
    <s v="youtube.com youtube.com"/>
    <s v=""/>
    <n v="6"/>
    <s v="1"/>
    <s v="1"/>
    <n v="0"/>
    <n v="0"/>
    <n v="0"/>
    <n v="0"/>
    <n v="0"/>
    <n v="0"/>
    <n v="143"/>
    <n v="100"/>
    <n v="143"/>
  </r>
  <r>
    <s v="UCd0sHnrF1NVw90DF39XEKDQ"/>
    <s v="UCerAw4EfTOnYYxLLPZAzMxQ"/>
    <m/>
    <m/>
    <m/>
    <m/>
    <m/>
    <m/>
    <m/>
    <m/>
    <s v="Yes"/>
    <n v="217"/>
    <m/>
    <m/>
    <s v="Commented Video"/>
    <x v="0"/>
    <s v="Hi james i want to visualise Hashtag network , again since i have data from Radian 6 how can i visualise it from tweeter user network , as theses are not giving same coloumn name which u mentioned on hashtag network visualisations - tweeter search network"/>
    <s v="UCd0sHnrF1NVw90DF39XEKDQ"/>
    <s v="Luxmi Verma"/>
    <s v="http://www.youtube.com/channel/UCd0sHnrF1NVw90DF39XEKDQ"/>
    <m/>
    <s v="PC-PgkhpsNc"/>
    <s v="https://www.youtube.com/watch?v=PC-PgkhpsNc"/>
    <s v="none"/>
    <n v="0"/>
    <x v="214"/>
    <d v="2015-07-27T13:59:39.000"/>
    <m/>
    <m/>
    <s v=""/>
    <n v="7"/>
    <s v="1"/>
    <s v="1"/>
    <n v="0"/>
    <n v="0"/>
    <n v="0"/>
    <n v="0"/>
    <n v="0"/>
    <n v="0"/>
    <n v="43"/>
    <n v="100"/>
    <n v="43"/>
  </r>
  <r>
    <s v="UCd0sHnrF1NVw90DF39XEKDQ"/>
    <s v="UCerAw4EfTOnYYxLLPZAzMxQ"/>
    <m/>
    <m/>
    <m/>
    <m/>
    <m/>
    <m/>
    <m/>
    <m/>
    <s v="Yes"/>
    <n v="218"/>
    <m/>
    <m/>
    <s v="Commented Video"/>
    <x v="0"/>
    <s v="so in radian 6 i get data tweet like this &lt;br&gt;&amp;quot;i really &lt;a href=&quot;http://www.youtube.com/results?search_query=%23love&quot;&gt;#love&lt;/a&gt; &lt;a href=&quot;http://www.youtube.com/results?search_query=%23cupcake&quot;&gt;#cupcake&lt;/a&gt; &amp;quot;&lt;br&gt; &lt;br&gt;so will &lt;a href=&quot;http://www.youtube.com/results?search_query=%23love&quot;&gt;#love&lt;/a&gt; will be in vertex1 and cupcake will be in vertex 2?&lt;br&gt;what if only one hashtag is mentioned in a tweet ?&lt;br&gt;or &lt;br&gt;&lt;br&gt;put all tweet in edge tab  how i will find pair , i mean what you mean by put any value in vertex 1 and vertex 2"/>
    <s v="UCd0sHnrF1NVw90DF39XEKDQ"/>
    <s v="Luxmi Verma"/>
    <s v="http://www.youtube.com/channel/UCd0sHnrF1NVw90DF39XEKDQ"/>
    <m/>
    <s v="PC-PgkhpsNc"/>
    <s v="https://www.youtube.com/watch?v=PC-PgkhpsNc"/>
    <s v="none"/>
    <n v="0"/>
    <x v="215"/>
    <d v="2015-07-28T09:32:03.000"/>
    <s v=" http://www.youtube.com/results?search_query=%23love http://www.youtube.com/results?search_query=%23cupcake http://www.youtube.com/results?search_query=%23love"/>
    <s v="youtube.com youtube.com youtube.com"/>
    <s v=""/>
    <n v="7"/>
    <s v="1"/>
    <s v="1"/>
    <n v="3"/>
    <n v="2.8846153846153846"/>
    <n v="0"/>
    <n v="0"/>
    <n v="0"/>
    <n v="0"/>
    <n v="101"/>
    <n v="97.11538461538461"/>
    <n v="104"/>
  </r>
  <r>
    <s v="UCerAw4EfTOnYYxLLPZAzMxQ"/>
    <s v="UC9AMcBHhYQKbFy83LwC70Fg"/>
    <m/>
    <m/>
    <m/>
    <m/>
    <m/>
    <m/>
    <m/>
    <m/>
    <s v="Yes"/>
    <n v="219"/>
    <m/>
    <m/>
    <s v="Replied Comment"/>
    <x v="1"/>
    <s v="+Dan Nunya To enter three vertices into the program, simply head to the vertices tab and enter the name of each vertex in its own row in the first column.&lt;br&gt;&lt;br&gt;I think you may not mean three VERTICES, though, but perhaps something else.  Do you mean three MODES?  If you need further help, please contact me at james.m.cook@maine.edu and I&amp;#39;d be happy to discuss this in greater detail."/>
    <s v="UCerAw4EfTOnYYxLLPZAzMxQ"/>
    <s v="James Cook"/>
    <s v="http://www.youtube.com/channel/UCerAw4EfTOnYYxLLPZAzMxQ"/>
    <s v="UggypM6ymR9-YXgCoAEC"/>
    <s v="PC-PgkhpsNc"/>
    <s v="https://www.youtube.com/watch?v=PC-PgkhpsNc"/>
    <s v="none"/>
    <n v="0"/>
    <x v="216"/>
    <d v="2016-03-23T11:31:45.000"/>
    <m/>
    <m/>
    <s v=""/>
    <n v="1"/>
    <s v="1"/>
    <s v="1"/>
    <n v="1"/>
    <n v="1.3157894736842106"/>
    <n v="0"/>
    <n v="0"/>
    <n v="0"/>
    <n v="0"/>
    <n v="75"/>
    <n v="98.6842105263158"/>
    <n v="76"/>
  </r>
  <r>
    <s v="UC9AMcBHhYQKbFy83LwC70Fg"/>
    <s v="UC9AMcBHhYQKbFy83LwC70Fg"/>
    <m/>
    <m/>
    <m/>
    <m/>
    <m/>
    <m/>
    <m/>
    <m/>
    <s v="No"/>
    <n v="220"/>
    <m/>
    <m/>
    <s v="Replied Comment"/>
    <x v="1"/>
    <s v="sorry professor. i didnt see this post before i wrote you the email. thanks for responding so quickly. the email explains the problem more clearly."/>
    <s v="UC9AMcBHhYQKbFy83LwC70Fg"/>
    <s v="Dan Nunya"/>
    <s v="http://www.youtube.com/channel/UC9AMcBHhYQKbFy83LwC70Fg"/>
    <s v="UggypM6ymR9-YXgCoAEC"/>
    <s v="PC-PgkhpsNc"/>
    <s v="https://www.youtube.com/watch?v=PC-PgkhpsNc"/>
    <s v="none"/>
    <n v="0"/>
    <x v="217"/>
    <d v="2016-03-23T21:02:45.000"/>
    <m/>
    <m/>
    <s v=""/>
    <n v="1"/>
    <s v="1"/>
    <s v="1"/>
    <n v="1"/>
    <n v="4"/>
    <n v="2"/>
    <n v="8"/>
    <n v="0"/>
    <n v="0"/>
    <n v="22"/>
    <n v="88"/>
    <n v="25"/>
  </r>
  <r>
    <s v="UC9AMcBHhYQKbFy83LwC70Fg"/>
    <s v="UCerAw4EfTOnYYxLLPZAzMxQ"/>
    <m/>
    <m/>
    <m/>
    <m/>
    <m/>
    <m/>
    <m/>
    <m/>
    <s v="Yes"/>
    <n v="221"/>
    <m/>
    <m/>
    <s v="Commented Video"/>
    <x v="0"/>
    <s v="I like your tutorials, so I thought I would ask you to help. I am not in your class, but I am struggling with NodeXL. I have an assignment to enter THREE vertices into the program vs two. I can easily place the first two vertices in the NodeXL spreadsheet, but can&amp;#39;t figure out how to put the third into the spreadsheet and still have the graph function show that third list. I&amp;#39;ve been struggling with it for months, and cannot find a tutorial on that, nor is the book any help. Can you please advise?"/>
    <s v="UC9AMcBHhYQKbFy83LwC70Fg"/>
    <s v="Dan Nunya"/>
    <s v="http://www.youtube.com/channel/UC9AMcBHhYQKbFy83LwC70Fg"/>
    <m/>
    <s v="PC-PgkhpsNc"/>
    <s v="https://www.youtube.com/watch?v=PC-PgkhpsNc"/>
    <s v="none"/>
    <n v="0"/>
    <x v="218"/>
    <d v="2016-03-23T03:48:35.000"/>
    <m/>
    <m/>
    <s v=""/>
    <n v="1"/>
    <s v="1"/>
    <s v="1"/>
    <n v="1"/>
    <n v="1"/>
    <n v="2"/>
    <n v="2"/>
    <n v="0"/>
    <n v="0"/>
    <n v="97"/>
    <n v="97"/>
    <n v="100"/>
  </r>
  <r>
    <s v="UCerAw4EfTOnYYxLLPZAzMxQ"/>
    <s v="UCQm-eZonEALK3soY6l1QuCA"/>
    <m/>
    <m/>
    <m/>
    <m/>
    <m/>
    <m/>
    <m/>
    <m/>
    <s v="Yes"/>
    <n v="222"/>
    <m/>
    <m/>
    <s v="Replied Comment"/>
    <x v="1"/>
    <s v="+Nour Abuhadra Unfortunately, that&amp;#39;s due to limitations imposed by Twitter, not a limitation imposed by NodeXL. This means that there&amp;#39;s not any easy workaround for the problem as you encounter it in NodeXL."/>
    <s v="UCerAw4EfTOnYYxLLPZAzMxQ"/>
    <s v="James Cook"/>
    <s v="http://www.youtube.com/channel/UCerAw4EfTOnYYxLLPZAzMxQ"/>
    <s v="Ugi6RvNXtTzNW3gCoAEC"/>
    <s v="PC-PgkhpsNc"/>
    <s v="https://www.youtube.com/watch?v=PC-PgkhpsNc"/>
    <s v="none"/>
    <n v="0"/>
    <x v="219"/>
    <d v="2016-05-09T23:10:43.000"/>
    <m/>
    <m/>
    <s v=""/>
    <n v="2"/>
    <s v="1"/>
    <s v="1"/>
    <n v="1"/>
    <n v="2.7027027027027026"/>
    <n v="4"/>
    <n v="10.81081081081081"/>
    <n v="0"/>
    <n v="0"/>
    <n v="32"/>
    <n v="86.48648648648648"/>
    <n v="37"/>
  </r>
  <r>
    <s v="UCQm-eZonEALK3soY6l1QuCA"/>
    <s v="UCQm-eZonEALK3soY6l1QuCA"/>
    <m/>
    <m/>
    <m/>
    <m/>
    <m/>
    <m/>
    <m/>
    <m/>
    <s v="No"/>
    <n v="223"/>
    <m/>
    <m/>
    <s v="Replied Comment"/>
    <x v="1"/>
    <s v="+James Cook Thank you so much for your help. Do you know any softwares that can assist me in extracting information from Twitter that dates back farther? Or would this limitation occur regardless? I&amp;#39;ve seen some interesting analyses of hashtags that date back over several years (3-4 years) and I&amp;#39;m looking to do a similar thing. Would appreciate any advice you can give! Thanks!"/>
    <s v="UCQm-eZonEALK3soY6l1QuCA"/>
    <s v="Nour Abuhadra"/>
    <s v="http://www.youtube.com/channel/UCQm-eZonEALK3soY6l1QuCA"/>
    <s v="Ugi6RvNXtTzNW3gCoAEC"/>
    <s v="PC-PgkhpsNc"/>
    <s v="https://www.youtube.com/watch?v=PC-PgkhpsNc"/>
    <s v="none"/>
    <n v="0"/>
    <x v="220"/>
    <d v="2016-05-11T18:47:05.000"/>
    <m/>
    <m/>
    <s v=""/>
    <n v="1"/>
    <s v="1"/>
    <s v="1"/>
    <n v="3"/>
    <n v="4.3478260869565215"/>
    <n v="1"/>
    <n v="1.4492753623188406"/>
    <n v="0"/>
    <n v="0"/>
    <n v="65"/>
    <n v="94.20289855072464"/>
    <n v="69"/>
  </r>
  <r>
    <s v="UCerAw4EfTOnYYxLLPZAzMxQ"/>
    <s v="UCQm-eZonEALK3soY6l1QuCA"/>
    <m/>
    <m/>
    <m/>
    <m/>
    <m/>
    <m/>
    <m/>
    <m/>
    <s v="Yes"/>
    <n v="224"/>
    <m/>
    <m/>
    <s v="Replied Comment"/>
    <x v="1"/>
    <s v="@Nour Abuhadra this is most easily done capturing from the Twitter API firehose in the moment (so not headed significantly backwards in time at the moment of data capture).  I unfortunately don&amp;#39;t know of any tricks to get around this Twitter API limitation looking significantly backward in time with many tweets.  If you find a workaround, please let me know!"/>
    <s v="UCerAw4EfTOnYYxLLPZAzMxQ"/>
    <s v="James Cook"/>
    <s v="http://www.youtube.com/channel/UCerAw4EfTOnYYxLLPZAzMxQ"/>
    <s v="Ugi6RvNXtTzNW3gCoAEC"/>
    <s v="PC-PgkhpsNc"/>
    <s v="https://www.youtube.com/watch?v=PC-PgkhpsNc"/>
    <s v="none"/>
    <n v="0"/>
    <x v="221"/>
    <d v="2016-05-12T02:23:40.000"/>
    <m/>
    <m/>
    <s v=""/>
    <n v="2"/>
    <s v="1"/>
    <s v="1"/>
    <n v="0"/>
    <n v="0"/>
    <n v="3"/>
    <n v="4.838709677419355"/>
    <n v="0"/>
    <n v="0"/>
    <n v="59"/>
    <n v="95.16129032258064"/>
    <n v="62"/>
  </r>
  <r>
    <s v="UCQm-eZonEALK3soY6l1QuCA"/>
    <s v="UCerAw4EfTOnYYxLLPZAzMxQ"/>
    <m/>
    <m/>
    <m/>
    <m/>
    <m/>
    <m/>
    <m/>
    <m/>
    <s v="Yes"/>
    <n v="225"/>
    <m/>
    <m/>
    <s v="Commented Video"/>
    <x v="0"/>
    <s v="I had a question. How can I extract data from Twitter if the hashtag was active more than 1 week ago. The version I have seems to be limited by only importing tweets that occurred within the last week on my specific hashtag. I would like to extract information from a meeting that happened in February. I would really appreciate your help! Thanks."/>
    <s v="UCQm-eZonEALK3soY6l1QuCA"/>
    <s v="Nour Abuhadra"/>
    <s v="http://www.youtube.com/channel/UCQm-eZonEALK3soY6l1QuCA"/>
    <m/>
    <s v="PC-PgkhpsNc"/>
    <s v="https://www.youtube.com/watch?v=PC-PgkhpsNc"/>
    <s v="none"/>
    <n v="0"/>
    <x v="222"/>
    <d v="2016-05-09T22:21:31.000"/>
    <m/>
    <m/>
    <s v=""/>
    <n v="1"/>
    <s v="1"/>
    <s v="1"/>
    <n v="2"/>
    <n v="3.1746031746031744"/>
    <n v="1"/>
    <n v="1.5873015873015872"/>
    <n v="0"/>
    <n v="0"/>
    <n v="60"/>
    <n v="95.23809523809524"/>
    <n v="63"/>
  </r>
  <r>
    <s v="UCgeaB9V_kFKh-hU_yGjNvjw"/>
    <s v="UCPvkSOa9uU8mqNMYuGeYq1w"/>
    <m/>
    <m/>
    <m/>
    <m/>
    <m/>
    <m/>
    <m/>
    <m/>
    <s v="No"/>
    <n v="226"/>
    <m/>
    <m/>
    <s v="Replied Comment"/>
    <x v="1"/>
    <s v="In my opinion, one should consider the betweenness centrality but not just consider this criterion as the only one! Closeness centrality and also in/out degree values should be considered :) at least, this is what I&amp;#39;m doing for my master thesis."/>
    <s v="UCgeaB9V_kFKh-hU_yGjNvjw"/>
    <s v="Giada Calamai"/>
    <s v="http://www.youtube.com/channel/UCgeaB9V_kFKh-hU_yGjNvjw"/>
    <s v="UgjbDm4LAgJ_4ngCoAEC"/>
    <s v="PC-PgkhpsNc"/>
    <s v="https://www.youtube.com/watch?v=PC-PgkhpsNc"/>
    <s v="none"/>
    <n v="0"/>
    <x v="223"/>
    <d v="2018-06-21T15:37:19.000"/>
    <m/>
    <m/>
    <s v=""/>
    <n v="1"/>
    <s v="1"/>
    <s v="1"/>
    <n v="1"/>
    <n v="2.3255813953488373"/>
    <n v="0"/>
    <n v="0"/>
    <n v="0"/>
    <n v="0"/>
    <n v="42"/>
    <n v="97.67441860465117"/>
    <n v="43"/>
  </r>
  <r>
    <s v="UCPvkSOa9uU8mqNMYuGeYq1w"/>
    <s v="UCerAw4EfTOnYYxLLPZAzMxQ"/>
    <m/>
    <m/>
    <m/>
    <m/>
    <m/>
    <m/>
    <m/>
    <m/>
    <s v="No"/>
    <n v="227"/>
    <m/>
    <m/>
    <s v="Commented Video"/>
    <x v="0"/>
    <s v="Could the betweeness centrality node be taken as the most influential in the network?"/>
    <s v="UCPvkSOa9uU8mqNMYuGeYq1w"/>
    <s v="Emmanuel Nwofe"/>
    <s v="http://www.youtube.com/channel/UCPvkSOa9uU8mqNMYuGeYq1w"/>
    <m/>
    <s v="PC-PgkhpsNc"/>
    <s v="https://www.youtube.com/watch?v=PC-PgkhpsNc"/>
    <s v="none"/>
    <n v="0"/>
    <x v="224"/>
    <d v="2016-07-06T16:37:52.000"/>
    <m/>
    <m/>
    <s v=""/>
    <n v="1"/>
    <s v="1"/>
    <s v="1"/>
    <n v="1"/>
    <n v="7.142857142857143"/>
    <n v="0"/>
    <n v="0"/>
    <n v="0"/>
    <n v="0"/>
    <n v="13"/>
    <n v="92.85714285714286"/>
    <n v="14"/>
  </r>
  <r>
    <s v="UCerAw4EfTOnYYxLLPZAzMxQ"/>
    <s v="UCnUI6Ssl3FclHjuE2tEYN8w"/>
    <m/>
    <m/>
    <m/>
    <m/>
    <m/>
    <m/>
    <m/>
    <m/>
    <s v="Yes"/>
    <n v="228"/>
    <m/>
    <m/>
    <s v="Replied Comment"/>
    <x v="1"/>
    <s v="Hi, Lena glt. The 2007 version of NodeXL won&amp;#39;t work with Twitter any more because the Twitter API (the way of obtaining data from Twitter&amp;#39;s servers) has since been updated.  You need to use the newest version of NodeXL for it to work with Twitter."/>
    <s v="UCerAw4EfTOnYYxLLPZAzMxQ"/>
    <s v="James Cook"/>
    <s v="http://www.youtube.com/channel/UCerAw4EfTOnYYxLLPZAzMxQ"/>
    <s v="UggkLAE60L1w0ngCoAEC"/>
    <s v="PC-PgkhpsNc"/>
    <s v="https://www.youtube.com/watch?v=PC-PgkhpsNc"/>
    <s v="none"/>
    <n v="2"/>
    <x v="225"/>
    <d v="2016-07-26T21:13:30.000"/>
    <m/>
    <m/>
    <s v=""/>
    <n v="1"/>
    <s v="1"/>
    <s v="1"/>
    <n v="3"/>
    <n v="6.122448979591836"/>
    <n v="0"/>
    <n v="0"/>
    <n v="0"/>
    <n v="0"/>
    <n v="46"/>
    <n v="93.87755102040816"/>
    <n v="49"/>
  </r>
  <r>
    <s v="UCnUI6Ssl3FclHjuE2tEYN8w"/>
    <s v="UCnUI6Ssl3FclHjuE2tEYN8w"/>
    <m/>
    <m/>
    <m/>
    <m/>
    <m/>
    <m/>
    <m/>
    <m/>
    <s v="No"/>
    <n v="229"/>
    <m/>
    <m/>
    <s v="Replied Comment"/>
    <x v="1"/>
    <s v="Professor Cook, thank you for the reply. I tried everything and noticed that the 2007 NodeXl version that you use here can be still used with Twitter, but only if you have Windows 7 and previous versions. It will not work with any Windows after Windows 7."/>
    <s v="UCnUI6Ssl3FclHjuE2tEYN8w"/>
    <s v="Lena glt"/>
    <s v="http://www.youtube.com/channel/UCnUI6Ssl3FclHjuE2tEYN8w"/>
    <s v="UggkLAE60L1w0ngCoAEC"/>
    <s v="PC-PgkhpsNc"/>
    <s v="https://www.youtube.com/watch?v=PC-PgkhpsNc"/>
    <s v="none"/>
    <n v="0"/>
    <x v="226"/>
    <d v="2016-08-30T21:01:34.000"/>
    <m/>
    <m/>
    <s v=""/>
    <n v="1"/>
    <s v="1"/>
    <s v="1"/>
    <n v="2"/>
    <n v="4.25531914893617"/>
    <n v="0"/>
    <n v="0"/>
    <n v="0"/>
    <n v="0"/>
    <n v="45"/>
    <n v="95.74468085106383"/>
    <n v="47"/>
  </r>
  <r>
    <s v="UCnUI6Ssl3FclHjuE2tEYN8w"/>
    <s v="UCerAw4EfTOnYYxLLPZAzMxQ"/>
    <m/>
    <m/>
    <m/>
    <m/>
    <m/>
    <m/>
    <m/>
    <m/>
    <s v="Yes"/>
    <n v="230"/>
    <m/>
    <m/>
    <s v="Commented Video"/>
    <x v="0"/>
    <s v="Dr Cook, thank you for the videos. I&amp;#39;ve been trying to use NodeXl with Twitter. Downloaded the 2007 edition, also installed Excel 2007 to be compatible. Every time i try to do the Import (from either the Twitter search network or Twitter user&amp;#39;s network) it will release the messages like &amp;quot; The network couldn&amp;#39;t be otained {webException} The remote server returned an error: (410) Gone&amp;quot;. &lt;br&gt;What am i doing wrong?"/>
    <s v="UCnUI6Ssl3FclHjuE2tEYN8w"/>
    <s v="Lena glt"/>
    <s v="http://www.youtube.com/channel/UCnUI6Ssl3FclHjuE2tEYN8w"/>
    <m/>
    <s v="PC-PgkhpsNc"/>
    <s v="https://www.youtube.com/watch?v=PC-PgkhpsNc"/>
    <s v="none"/>
    <n v="0"/>
    <x v="227"/>
    <d v="2016-07-26T21:09:51.000"/>
    <m/>
    <m/>
    <s v=""/>
    <n v="1"/>
    <s v="1"/>
    <s v="1"/>
    <n v="4"/>
    <n v="5.128205128205129"/>
    <n v="2"/>
    <n v="2.5641025641025643"/>
    <n v="0"/>
    <n v="0"/>
    <n v="72"/>
    <n v="92.3076923076923"/>
    <n v="78"/>
  </r>
  <r>
    <s v="UCerAw4EfTOnYYxLLPZAzMxQ"/>
    <s v="UC85OOjTRUfgLKNWTMIvPp-Q"/>
    <m/>
    <m/>
    <m/>
    <m/>
    <m/>
    <m/>
    <m/>
    <m/>
    <s v="Yes"/>
    <n v="231"/>
    <m/>
    <m/>
    <s v="Replied Comment"/>
    <x v="1"/>
    <s v="Unfortunately, you don&amp;#39;t. It&amp;#39;s not NodeXL that sets up the limit -- it&amp;#39;s Twitter.  Twitter&amp;#39;s API, through which NodeXL and just about every other Twitter-scraping program accesses Twitter posts, has such a limit built in to prevent resource overuse.  There are ways outside of NodeXL to set up scripts that access small number of Tweets per hour over long periods of time, but that&amp;#39;s really in the class of a Python or R solution, not a NodeXL solution."/>
    <s v="UCerAw4EfTOnYYxLLPZAzMxQ"/>
    <s v="James Cook"/>
    <s v="http://www.youtube.com/channel/UCerAw4EfTOnYYxLLPZAzMxQ"/>
    <s v="Ugglmql1Nc0OV3gCoAEC"/>
    <s v="PC-PgkhpsNc"/>
    <s v="https://www.youtube.com/watch?v=PC-PgkhpsNc"/>
    <s v="none"/>
    <n v="0"/>
    <x v="228"/>
    <d v="2016-10-14T01:18:53.000"/>
    <m/>
    <m/>
    <s v=""/>
    <n v="1"/>
    <s v="1"/>
    <s v="1"/>
    <n v="0"/>
    <n v="0"/>
    <n v="3"/>
    <n v="3.409090909090909"/>
    <n v="0"/>
    <n v="0"/>
    <n v="85"/>
    <n v="96.5909090909091"/>
    <n v="88"/>
  </r>
  <r>
    <s v="UC85OOjTRUfgLKNWTMIvPp-Q"/>
    <s v="UC85OOjTRUfgLKNWTMIvPp-Q"/>
    <m/>
    <m/>
    <m/>
    <m/>
    <m/>
    <m/>
    <m/>
    <m/>
    <s v="No"/>
    <n v="232"/>
    <m/>
    <m/>
    <s v="Replied Comment"/>
    <x v="1"/>
    <s v="Ok, thank you so much"/>
    <s v="UC85OOjTRUfgLKNWTMIvPp-Q"/>
    <s v="Marah Archer"/>
    <s v="http://www.youtube.com/channel/UC85OOjTRUfgLKNWTMIvPp-Q"/>
    <s v="Ugglmql1Nc0OV3gCoAEC"/>
    <s v="PC-PgkhpsNc"/>
    <s v="https://www.youtube.com/watch?v=PC-PgkhpsNc"/>
    <s v="none"/>
    <n v="0"/>
    <x v="229"/>
    <d v="2016-10-14T01:41:17.000"/>
    <m/>
    <m/>
    <s v=""/>
    <n v="1"/>
    <s v="1"/>
    <s v="1"/>
    <n v="1"/>
    <n v="20"/>
    <n v="0"/>
    <n v="0"/>
    <n v="0"/>
    <n v="0"/>
    <n v="4"/>
    <n v="80"/>
    <n v="5"/>
  </r>
  <r>
    <s v="UC85OOjTRUfgLKNWTMIvPp-Q"/>
    <s v="UCerAw4EfTOnYYxLLPZAzMxQ"/>
    <m/>
    <m/>
    <m/>
    <m/>
    <m/>
    <m/>
    <m/>
    <m/>
    <s v="Yes"/>
    <n v="233"/>
    <m/>
    <m/>
    <s v="Commented Video"/>
    <x v="0"/>
    <s v="Hi, Dr. Cook, how do you set up nodexl to import all tweets outside the per hour limit?"/>
    <s v="UC85OOjTRUfgLKNWTMIvPp-Q"/>
    <s v="Marah Archer"/>
    <s v="http://www.youtube.com/channel/UC85OOjTRUfgLKNWTMIvPp-Q"/>
    <m/>
    <s v="PC-PgkhpsNc"/>
    <s v="https://www.youtube.com/watch?v=PC-PgkhpsNc"/>
    <s v="none"/>
    <n v="0"/>
    <x v="230"/>
    <d v="2016-10-13T23:55:13.000"/>
    <m/>
    <m/>
    <s v=""/>
    <n v="1"/>
    <s v="1"/>
    <s v="1"/>
    <n v="0"/>
    <n v="0"/>
    <n v="1"/>
    <n v="5.555555555555555"/>
    <n v="0"/>
    <n v="0"/>
    <n v="17"/>
    <n v="94.44444444444444"/>
    <n v="18"/>
  </r>
  <r>
    <s v="UC4JxISL4zq6bR8fkL0zzxrA"/>
    <s v="UCerAw4EfTOnYYxLLPZAzMxQ"/>
    <m/>
    <m/>
    <m/>
    <m/>
    <m/>
    <m/>
    <m/>
    <m/>
    <s v="No"/>
    <n v="234"/>
    <m/>
    <m/>
    <s v="Commented Video"/>
    <x v="0"/>
    <s v="Hi there, how do you use NodeXL to simply export an account&amp;#39;s network, and which nodes in the network are connected? (As opposed to importing data around themes in tweets). Thank you!"/>
    <s v="UC4JxISL4zq6bR8fkL0zzxrA"/>
    <s v="Gillian Casten"/>
    <s v="http://www.youtube.com/channel/UC4JxISL4zq6bR8fkL0zzxrA"/>
    <m/>
    <s v="PC-PgkhpsNc"/>
    <s v="https://www.youtube.com/watch?v=PC-PgkhpsNc"/>
    <s v="none"/>
    <n v="0"/>
    <x v="231"/>
    <d v="2017-07-29T21:12:10.000"/>
    <m/>
    <m/>
    <s v=""/>
    <n v="1"/>
    <s v="1"/>
    <s v="1"/>
    <n v="1"/>
    <n v="2.9411764705882355"/>
    <n v="0"/>
    <n v="0"/>
    <n v="0"/>
    <n v="0"/>
    <n v="33"/>
    <n v="97.05882352941177"/>
    <n v="34"/>
  </r>
  <r>
    <s v="UCuQ_8nkWLkfwU7LROEKCzfg"/>
    <s v="UC4B0PCHbdzSSzlHORDsaYjQ"/>
    <m/>
    <m/>
    <m/>
    <m/>
    <m/>
    <m/>
    <m/>
    <m/>
    <s v="No"/>
    <n v="235"/>
    <m/>
    <m/>
    <s v="Commented Video"/>
    <x v="0"/>
    <s v="Hello Mr Kellogg, &lt;br&gt;Thank you so much for those videos. Very very helpful ! &lt;br&gt;&lt;br&gt;I have a problem with the dynamic filters...&lt;br&gt;I added &amp;quot;Oher columns&amp;quot; in my vertices worksheet : dates of Birth, Election and Death. &lt;br&gt;Automatically, they appeared in my dynamic filters at first... but I don&amp;#39;t know why one of them disappeared (&amp;quot;election&amp;quot;, which is the most important for me) from the dynamic filters window. &lt;br&gt;It&amp;#39;s still in my worksheet, but there is no range bar for it when I open the Dynamic filters window. I can&amp;#39;t find the way to make it appears again. &lt;br&gt;Could you help me with this issue ? &lt;br&gt;&lt;br&gt;Thanks a lot !"/>
    <s v="UCuQ_8nkWLkfwU7LROEKCzfg"/>
    <s v="Elodie Salmon"/>
    <s v="http://www.youtube.com/channel/UCuQ_8nkWLkfwU7LROEKCzfg"/>
    <m/>
    <s v="yknqOhpUtzQ"/>
    <s v="https://www.youtube.com/watch?v=yknqOhpUtzQ"/>
    <s v="none"/>
    <n v="0"/>
    <x v="232"/>
    <d v="2017-09-27T17:08:43.000"/>
    <m/>
    <m/>
    <s v=""/>
    <n v="1"/>
    <s v="7"/>
    <s v="7"/>
    <n v="7"/>
    <n v="5.6"/>
    <n v="3"/>
    <n v="2.4"/>
    <n v="0"/>
    <n v="0"/>
    <n v="115"/>
    <n v="92"/>
    <n v="125"/>
  </r>
  <r>
    <s v="UCuQ_8nkWLkfwU7LROEKCzfg"/>
    <s v="UCerAw4EfTOnYYxLLPZAzMxQ"/>
    <m/>
    <m/>
    <m/>
    <m/>
    <m/>
    <m/>
    <m/>
    <m/>
    <s v="No"/>
    <n v="236"/>
    <m/>
    <m/>
    <s v="Commented Video"/>
    <x v="0"/>
    <s v="Hi Dr. Cook,  &lt;br&gt;Thank you very much for sharing those methods ! I am an absolute beginner with NodeXL, but I have to learn using it on my own very quickly for my PhD in History. I have 2 problems in the Vertices worksheet :&lt;br&gt;1- for some vertices lines, there are no metrics at all : no degree, no clotheness centrality, no clustering coefficient... nothing ! For 592 vertices, I have all the information, but for 277 others, absolutely nothing. So it only appears 592 vertices in the &amp;quot;overall metrics&amp;quot; worksheet, instead of 869 ! I don&amp;#39;t understand why. I found no reason : some of the &amp;quot;non registered&amp;quot; vertices are linked in edges, some of them not, they are every where in the list... I don&amp;#39;t understand. If I copy and past all my components in a new NodeXL file, it does the same. What can I do ? &lt;br&gt;2- For filter my network, I use the dynamic filter option, which is very useful. But I don&amp;#39;t understand the fonction of the dynamic filter column. It has been automatically fulfilled with &amp;quot;FAUX&amp;quot; or &amp;quot;VRAI&amp;quot;, and I don&amp;#39;t understand the logical here either... I can change from FAUX to VRAI and vice versa but I don&amp;#39;t know what it means. &lt;br&gt;I hope my issues are clearly explained... Thanks so much for helping, &lt;br&gt;ÉS"/>
    <s v="UCuQ_8nkWLkfwU7LROEKCzfg"/>
    <s v="Elodie Salmon"/>
    <s v="http://www.youtube.com/channel/UCuQ_8nkWLkfwU7LROEKCzfg"/>
    <m/>
    <s v="PC-PgkhpsNc"/>
    <s v="https://www.youtube.com/watch?v=PC-PgkhpsNc"/>
    <s v="none"/>
    <n v="0"/>
    <x v="233"/>
    <d v="2017-09-07T12:39:14.000"/>
    <m/>
    <m/>
    <s v=""/>
    <n v="1"/>
    <s v="7"/>
    <s v="1"/>
    <n v="7"/>
    <n v="2.9166666666666665"/>
    <n v="3"/>
    <n v="1.25"/>
    <n v="0"/>
    <n v="0"/>
    <n v="230"/>
    <n v="95.83333333333333"/>
    <n v="240"/>
  </r>
  <r>
    <s v="UCxeLD_unYqcF-hMFfpwP8bA"/>
    <s v="UCerAw4EfTOnYYxLLPZAzMxQ"/>
    <m/>
    <m/>
    <m/>
    <m/>
    <m/>
    <m/>
    <m/>
    <m/>
    <s v="No"/>
    <n v="237"/>
    <m/>
    <m/>
    <s v="Commented Video"/>
    <x v="0"/>
    <s v="Hello Dr. Cook, &lt;br&gt;May I know whether NodeXL still supports twitter? I have the Pro version of it. And it seems like the Twitter Users Network function only imports my followers and people I follow. There is no edge between any other nodes. I clicked on &amp;quot;plus friends and followers&amp;quot;. And according to the image on the right, it should be exactly what I&amp;#39;m looking for. May I know whether you have also encountered this? And if so, what are some good solutions? Thanks a million!"/>
    <s v="UCxeLD_unYqcF-hMFfpwP8bA"/>
    <s v="Rich L"/>
    <s v="http://www.youtube.com/channel/UCxeLD_unYqcF-hMFfpwP8bA"/>
    <m/>
    <s v="PC-PgkhpsNc"/>
    <s v="https://www.youtube.com/watch?v=PC-PgkhpsNc"/>
    <s v="none"/>
    <n v="0"/>
    <x v="234"/>
    <d v="2017-12-01T16:03:02.000"/>
    <m/>
    <m/>
    <s v=""/>
    <n v="1"/>
    <s v="1"/>
    <s v="1"/>
    <n v="4"/>
    <n v="4.395604395604396"/>
    <n v="0"/>
    <n v="0"/>
    <n v="0"/>
    <n v="0"/>
    <n v="87"/>
    <n v="95.6043956043956"/>
    <n v="91"/>
  </r>
  <r>
    <s v="UCgeaB9V_kFKh-hU_yGjNvjw"/>
    <s v="UCerAw4EfTOnYYxLLPZAzMxQ"/>
    <m/>
    <m/>
    <m/>
    <m/>
    <m/>
    <m/>
    <m/>
    <m/>
    <s v="No"/>
    <n v="238"/>
    <m/>
    <m/>
    <s v="Commented Video"/>
    <x v="0"/>
    <s v="Thank you very much Dr. Cook! This video was very useful! I&amp;#39;m currently using Node XL Pro for analysing a network for my master thesis in Communication and Media Research at the University of Fribourg (CH)! I wanted to use both Node XL Pro and Gephi to do my analysis but maybe I don&amp;#39;t need Gephi now that I&amp;#39;ve understood Node XL Pro better, thank you!"/>
    <s v="UCgeaB9V_kFKh-hU_yGjNvjw"/>
    <s v="Giada Calamai"/>
    <s v="http://www.youtube.com/channel/UCgeaB9V_kFKh-hU_yGjNvjw"/>
    <m/>
    <s v="PC-PgkhpsNc"/>
    <s v="https://www.youtube.com/watch?v=PC-PgkhpsNc"/>
    <s v="none"/>
    <n v="0"/>
    <x v="235"/>
    <d v="2018-06-21T15:36:05.000"/>
    <m/>
    <m/>
    <s v=""/>
    <n v="1"/>
    <s v="1"/>
    <s v="1"/>
    <n v="5"/>
    <n v="6.944444444444445"/>
    <n v="0"/>
    <n v="0"/>
    <n v="0"/>
    <n v="0"/>
    <n v="67"/>
    <n v="93.05555555555556"/>
    <n v="72"/>
  </r>
  <r>
    <s v="UC0-d0qMhGZQ1ZpuIZvQGPzA"/>
    <s v="UCerAw4EfTOnYYxLLPZAzMxQ"/>
    <m/>
    <m/>
    <m/>
    <m/>
    <m/>
    <m/>
    <m/>
    <m/>
    <s v="No"/>
    <n v="239"/>
    <m/>
    <m/>
    <s v="Commented Video"/>
    <x v="0"/>
    <s v="Thanks James, you&amp;#39;re life saver for sure. &lt;a href=&quot;http://www.youtube.com/results?search_query=%23BestTeacherIndeed&quot;&gt;#BestTeacherIndeed&lt;/a&gt;"/>
    <s v="UC0-d0qMhGZQ1ZpuIZvQGPzA"/>
    <s v="Rashed N"/>
    <s v="http://www.youtube.com/channel/UC0-d0qMhGZQ1ZpuIZvQGPzA"/>
    <m/>
    <s v="PC-PgkhpsNc"/>
    <s v="https://www.youtube.com/watch?v=PC-PgkhpsNc"/>
    <s v="none"/>
    <n v="4"/>
    <x v="236"/>
    <d v="2018-10-16T06:45:14.000"/>
    <s v=" http://www.youtube.com/results?search_query=%23BestTeacherIndeed"/>
    <s v="youtube.com"/>
    <s v=""/>
    <n v="1"/>
    <s v="1"/>
    <s v="1"/>
    <n v="1"/>
    <n v="5"/>
    <n v="0"/>
    <n v="0"/>
    <n v="0"/>
    <n v="0"/>
    <n v="19"/>
    <n v="95"/>
    <n v="20"/>
  </r>
  <r>
    <s v="UCQhhxor95wtiDxuQdQrljCA"/>
    <s v="UCerAw4EfTOnYYxLLPZAzMxQ"/>
    <m/>
    <m/>
    <m/>
    <m/>
    <m/>
    <m/>
    <m/>
    <m/>
    <s v="No"/>
    <n v="240"/>
    <m/>
    <m/>
    <s v="Commented Video"/>
    <x v="0"/>
    <s v="Thank you, that was very helpful 🙏👍"/>
    <s v="UCQhhxor95wtiDxuQdQrljCA"/>
    <s v="Kuba Dusza"/>
    <s v="http://www.youtube.com/channel/UCQhhxor95wtiDxuQdQrljCA"/>
    <m/>
    <s v="PC-PgkhpsNc"/>
    <s v="https://www.youtube.com/watch?v=PC-PgkhpsNc"/>
    <s v="none"/>
    <n v="0"/>
    <x v="237"/>
    <d v="2019-10-12T05:29:59.000"/>
    <m/>
    <m/>
    <s v=""/>
    <n v="1"/>
    <s v="1"/>
    <s v="1"/>
    <n v="2"/>
    <n v="33.333333333333336"/>
    <n v="0"/>
    <n v="0"/>
    <n v="0"/>
    <n v="0"/>
    <n v="4"/>
    <n v="66.66666666666667"/>
    <n v="6"/>
  </r>
  <r>
    <s v="UCP6YGSaCdnBaF7dShuCR0aA"/>
    <s v="UCerAw4EfTOnYYxLLPZAzMxQ"/>
    <m/>
    <m/>
    <m/>
    <m/>
    <m/>
    <m/>
    <m/>
    <m/>
    <s v="No"/>
    <n v="241"/>
    <m/>
    <m/>
    <s v="Commented Video"/>
    <x v="0"/>
    <s v="thx a lot,was really informative."/>
    <s v="UCP6YGSaCdnBaF7dShuCR0aA"/>
    <s v="venkat jagadeesh"/>
    <s v="http://www.youtube.com/channel/UCP6YGSaCdnBaF7dShuCR0aA"/>
    <m/>
    <s v="PC-PgkhpsNc"/>
    <s v="https://www.youtube.com/watch?v=PC-PgkhpsNc"/>
    <s v="none"/>
    <n v="0"/>
    <x v="238"/>
    <d v="2020-03-12T07:07:37.000"/>
    <m/>
    <m/>
    <s v=""/>
    <n v="1"/>
    <s v="1"/>
    <s v="1"/>
    <n v="0"/>
    <n v="0"/>
    <n v="0"/>
    <n v="0"/>
    <n v="0"/>
    <n v="0"/>
    <n v="6"/>
    <n v="100"/>
    <n v="6"/>
  </r>
  <r>
    <s v="UCTESLPLt2_wAX3ltGs3w09w"/>
    <s v="UCerAw4EfTOnYYxLLPZAzMxQ"/>
    <m/>
    <m/>
    <m/>
    <m/>
    <m/>
    <m/>
    <m/>
    <m/>
    <s v="No"/>
    <n v="242"/>
    <m/>
    <m/>
    <s v="Commented Video"/>
    <x v="0"/>
    <s v="this is very helpful! thankyou"/>
    <s v="UCTESLPLt2_wAX3ltGs3w09w"/>
    <s v="Gladisti Geraldia"/>
    <s v="http://www.youtube.com/channel/UCTESLPLt2_wAX3ltGs3w09w"/>
    <m/>
    <s v="PC-PgkhpsNc"/>
    <s v="https://www.youtube.com/watch?v=PC-PgkhpsNc"/>
    <s v="none"/>
    <n v="0"/>
    <x v="239"/>
    <d v="2020-05-30T19:03:07.000"/>
    <m/>
    <m/>
    <s v=""/>
    <n v="1"/>
    <s v="1"/>
    <s v="1"/>
    <n v="1"/>
    <n v="20"/>
    <n v="0"/>
    <n v="0"/>
    <n v="0"/>
    <n v="0"/>
    <n v="4"/>
    <n v="80"/>
    <n v="5"/>
  </r>
  <r>
    <s v="UCerAw4EfTOnYYxLLPZAzMxQ"/>
    <s v="UCshNH5WXvJ70zeeJkMv6jbQ"/>
    <m/>
    <m/>
    <m/>
    <m/>
    <m/>
    <m/>
    <m/>
    <m/>
    <s v="Yes"/>
    <n v="243"/>
    <m/>
    <m/>
    <s v="Replied Comment"/>
    <x v="1"/>
    <s v="Try just closing down and reopening your NodeXL file."/>
    <s v="UCerAw4EfTOnYYxLLPZAzMxQ"/>
    <s v="James Cook"/>
    <s v="http://www.youtube.com/channel/UCerAw4EfTOnYYxLLPZAzMxQ"/>
    <s v="UgwHD6S1yvKN2VTolhB4AaABAg"/>
    <s v="PC-PgkhpsNc"/>
    <s v="https://www.youtube.com/watch?v=PC-PgkhpsNc"/>
    <s v="none"/>
    <n v="1"/>
    <x v="240"/>
    <d v="2020-11-20T00:12:34.000"/>
    <m/>
    <m/>
    <s v=""/>
    <n v="1"/>
    <s v="1"/>
    <s v="1"/>
    <n v="0"/>
    <n v="0"/>
    <n v="0"/>
    <n v="0"/>
    <n v="0"/>
    <n v="0"/>
    <n v="9"/>
    <n v="100"/>
    <n v="9"/>
  </r>
  <r>
    <s v="UCshNH5WXvJ70zeeJkMv6jbQ"/>
    <s v="UCshNH5WXvJ70zeeJkMv6jbQ"/>
    <m/>
    <m/>
    <m/>
    <m/>
    <m/>
    <m/>
    <m/>
    <m/>
    <s v="No"/>
    <n v="244"/>
    <m/>
    <m/>
    <s v="Replied Comment"/>
    <x v="1"/>
    <s v="@James Cook it didn&amp;#39;t work. I figured it out though! Went to the &amp;quot;view&amp;quot; ribbon and selected the &amp;quot;document actions&amp;quot; button. It doesnt sound related at all but it worked!"/>
    <s v="UCshNH5WXvJ70zeeJkMv6jbQ"/>
    <s v="Robin Nilsson"/>
    <s v="http://www.youtube.com/channel/UCshNH5WXvJ70zeeJkMv6jbQ"/>
    <s v="UgwHD6S1yvKN2VTolhB4AaABAg"/>
    <s v="PC-PgkhpsNc"/>
    <s v="https://www.youtube.com/watch?v=PC-PgkhpsNc"/>
    <s v="none"/>
    <n v="0"/>
    <x v="241"/>
    <d v="2020-11-20T01:16:46.000"/>
    <m/>
    <m/>
    <s v=""/>
    <n v="1"/>
    <s v="1"/>
    <s v="1"/>
    <n v="2"/>
    <n v="5.555555555555555"/>
    <n v="0"/>
    <n v="0"/>
    <n v="0"/>
    <n v="0"/>
    <n v="34"/>
    <n v="94.44444444444444"/>
    <n v="36"/>
  </r>
  <r>
    <s v="UCshNH5WXvJ70zeeJkMv6jbQ"/>
    <s v="UCerAw4EfTOnYYxLLPZAzMxQ"/>
    <m/>
    <m/>
    <m/>
    <m/>
    <m/>
    <m/>
    <m/>
    <m/>
    <s v="Yes"/>
    <n v="245"/>
    <m/>
    <m/>
    <s v="Commented Video"/>
    <x v="0"/>
    <s v="I accidentally x&amp;#39;d out of the graph. How do I make it reappear?"/>
    <s v="UCshNH5WXvJ70zeeJkMv6jbQ"/>
    <s v="Robin Nilsson"/>
    <s v="http://www.youtube.com/channel/UCshNH5WXvJ70zeeJkMv6jbQ"/>
    <m/>
    <s v="PC-PgkhpsNc"/>
    <s v="https://www.youtube.com/watch?v=PC-PgkhpsNc"/>
    <s v="none"/>
    <n v="0"/>
    <x v="242"/>
    <d v="2020-11-20T00:05:26.000"/>
    <m/>
    <m/>
    <s v=""/>
    <n v="1"/>
    <s v="1"/>
    <s v="1"/>
    <n v="0"/>
    <n v="0"/>
    <n v="0"/>
    <n v="0"/>
    <n v="0"/>
    <n v="0"/>
    <n v="15"/>
    <n v="100"/>
    <n v="15"/>
  </r>
  <r>
    <s v="UCeVaJ_1m9gMXcDFX9d1YtXQ"/>
    <s v="UCerAw4EfTOnYYxLLPZAzMxQ"/>
    <m/>
    <m/>
    <m/>
    <m/>
    <m/>
    <m/>
    <m/>
    <m/>
    <s v="No"/>
    <n v="246"/>
    <m/>
    <m/>
    <s v="Commented Video"/>
    <x v="0"/>
    <s v="I WATCH THIS ON 2021, AND IT IS STILL USEFULL. THANKS MAN"/>
    <s v="UCeVaJ_1m9gMXcDFX9d1YtXQ"/>
    <s v="20-018-StefanusLau"/>
    <s v="http://www.youtube.com/channel/UCeVaJ_1m9gMXcDFX9d1YtXQ"/>
    <m/>
    <s v="PC-PgkhpsNc"/>
    <s v="https://www.youtube.com/watch?v=PC-PgkhpsNc"/>
    <s v="none"/>
    <n v="2"/>
    <x v="243"/>
    <d v="2021-01-26T15:46:13.000"/>
    <m/>
    <m/>
    <s v=""/>
    <n v="1"/>
    <s v="1"/>
    <s v="1"/>
    <n v="0"/>
    <n v="0"/>
    <n v="0"/>
    <n v="0"/>
    <n v="0"/>
    <n v="0"/>
    <n v="12"/>
    <n v="100"/>
    <n v="12"/>
  </r>
  <r>
    <s v="UCerAw4EfTOnYYxLLPZAzMxQ"/>
    <s v="UChq3AzwSatOknzk3fglc94w"/>
    <m/>
    <m/>
    <m/>
    <m/>
    <m/>
    <m/>
    <m/>
    <m/>
    <s v="Yes"/>
    <n v="247"/>
    <m/>
    <m/>
    <s v="Replied Comment"/>
    <x v="1"/>
    <s v="Hello, Amina!  I’m not quite sure exactly what’s going on with your data, but if Vertex 2 is blank, then you indeed won’t have a tie described, because you need information regarding two Vertices — Vertex 1 AND Vertex 2 — to characterize a tie. I’m not an employee of NodeXL, so I don’t know quite what might be going on with your data. However, if you would like to send me an email with some screen captures of what you’re doing or the actual NodeXL data sheet, I would be glad to take a look.  My email address is james.m.cook@&lt;a href=&quot;http://maine.edu/&quot;&gt;maine.edu&lt;/a&gt;."/>
    <s v="UCerAw4EfTOnYYxLLPZAzMxQ"/>
    <s v="James Cook"/>
    <s v="http://www.youtube.com/channel/UCerAw4EfTOnYYxLLPZAzMxQ"/>
    <s v="Ugy90ELdOflQDjLz6LB4AaABAg"/>
    <s v="PC-PgkhpsNc"/>
    <s v="https://www.youtube.com/watch?v=PC-PgkhpsNc"/>
    <s v="none"/>
    <n v="0"/>
    <x v="244"/>
    <d v="2021-02-07T21:23:09.000"/>
    <s v=" http://maine.edu/"/>
    <s v="maine.edu"/>
    <s v=""/>
    <n v="1"/>
    <s v="1"/>
    <s v="1"/>
    <n v="3"/>
    <n v="2.608695652173913"/>
    <n v="0"/>
    <n v="0"/>
    <n v="0"/>
    <n v="0"/>
    <n v="112"/>
    <n v="97.3913043478261"/>
    <n v="115"/>
  </r>
  <r>
    <s v="UChq3AzwSatOknzk3fglc94w"/>
    <s v="UCerAw4EfTOnYYxLLPZAzMxQ"/>
    <m/>
    <m/>
    <m/>
    <m/>
    <m/>
    <m/>
    <m/>
    <m/>
    <s v="Yes"/>
    <n v="248"/>
    <m/>
    <m/>
    <s v="Commented Video"/>
    <x v="0"/>
    <s v="Hi James, I&amp;#39;m getting an error message for edges data where the Vertex 2 column is blank - your graph shows outliers so not sure why Nodexl isn&amp;#39;t allowing me to have data to represent outliers?"/>
    <s v="UChq3AzwSatOknzk3fglc94w"/>
    <s v="Amina Gomri"/>
    <s v="http://www.youtube.com/channel/UChq3AzwSatOknzk3fglc94w"/>
    <m/>
    <s v="PC-PgkhpsNc"/>
    <s v="https://www.youtube.com/watch?v=PC-PgkhpsNc"/>
    <s v="none"/>
    <n v="0"/>
    <x v="245"/>
    <d v="2021-02-07T20:28:15.000"/>
    <m/>
    <m/>
    <s v=""/>
    <n v="1"/>
    <s v="1"/>
    <s v="1"/>
    <n v="0"/>
    <n v="0"/>
    <n v="1"/>
    <n v="2.5641025641025643"/>
    <n v="0"/>
    <n v="0"/>
    <n v="38"/>
    <n v="97.43589743589743"/>
    <n v="39"/>
  </r>
  <r>
    <s v="UCr0Eclqtwor1N3uAYG0Z3rw"/>
    <s v="UCerAw4EfTOnYYxLLPZAzMxQ"/>
    <m/>
    <m/>
    <m/>
    <m/>
    <m/>
    <m/>
    <m/>
    <m/>
    <s v="No"/>
    <n v="249"/>
    <m/>
    <m/>
    <s v="Commented Video"/>
    <x v="0"/>
    <s v="Thank you so much for the video! Very detailed and clear"/>
    <s v="UCr0Eclqtwor1N3uAYG0Z3rw"/>
    <s v="Linh Hiền"/>
    <s v="http://www.youtube.com/channel/UCr0Eclqtwor1N3uAYG0Z3rw"/>
    <m/>
    <s v="PC-PgkhpsNc"/>
    <s v="https://www.youtube.com/watch?v=PC-PgkhpsNc"/>
    <s v="none"/>
    <n v="0"/>
    <x v="246"/>
    <d v="2022-01-07T03:20:36.000"/>
    <m/>
    <m/>
    <s v=""/>
    <n v="1"/>
    <s v="1"/>
    <s v="1"/>
    <n v="2"/>
    <n v="18.181818181818183"/>
    <n v="0"/>
    <n v="0"/>
    <n v="0"/>
    <n v="0"/>
    <n v="9"/>
    <n v="81.81818181818181"/>
    <n v="11"/>
  </r>
  <r>
    <s v="UC2uIoW3cCj7GB3UTuEDLV1w"/>
    <s v="UCerAw4EfTOnYYxLLPZAzMxQ"/>
    <m/>
    <m/>
    <m/>
    <m/>
    <m/>
    <m/>
    <m/>
    <m/>
    <s v="No"/>
    <n v="250"/>
    <m/>
    <m/>
    <s v="Commented Video"/>
    <x v="0"/>
    <s v="After 9 years, this video is still helpful. Thank you so much, you save my academic life!"/>
    <s v="UC2uIoW3cCj7GB3UTuEDLV1w"/>
    <s v="Đức Nguyễn"/>
    <s v="http://www.youtube.com/channel/UC2uIoW3cCj7GB3UTuEDLV1w"/>
    <m/>
    <s v="PC-PgkhpsNc"/>
    <s v="https://www.youtube.com/watch?v=PC-PgkhpsNc"/>
    <s v="none"/>
    <n v="0"/>
    <x v="247"/>
    <d v="2022-05-14T04:42:06.000"/>
    <m/>
    <m/>
    <s v=""/>
    <n v="1"/>
    <s v="1"/>
    <s v="1"/>
    <n v="2"/>
    <n v="11.764705882352942"/>
    <n v="0"/>
    <n v="0"/>
    <n v="0"/>
    <n v="0"/>
    <n v="15"/>
    <n v="88.23529411764706"/>
    <n v="17"/>
  </r>
  <r>
    <s v="UCsq8SXE8cep1LI_Y8XfL4jg"/>
    <s v="UCfpw3xq_g1xpdwlyq11atZQ"/>
    <m/>
    <m/>
    <m/>
    <m/>
    <m/>
    <m/>
    <m/>
    <m/>
    <s v="No"/>
    <n v="251"/>
    <m/>
    <m/>
    <s v="Commented Video"/>
    <x v="0"/>
    <s v="Great resource for those just getting started with NodeXL. Thanks very much for posting!"/>
    <s v="UCsq8SXE8cep1LI_Y8XfL4jg"/>
    <s v="DrWhiteChocolateNRok"/>
    <s v="http://www.youtube.com/channel/UCsq8SXE8cep1LI_Y8XfL4jg"/>
    <m/>
    <s v="pwsImFyc0lE"/>
    <s v="https://www.youtube.com/watch?v=pwsImFyc0lE"/>
    <s v="none"/>
    <n v="0"/>
    <x v="248"/>
    <d v="2012-04-18T18:46:16.000"/>
    <m/>
    <m/>
    <s v=""/>
    <n v="1"/>
    <s v="3"/>
    <s v="3"/>
    <n v="1"/>
    <n v="7.142857142857143"/>
    <n v="0"/>
    <n v="0"/>
    <n v="0"/>
    <n v="0"/>
    <n v="13"/>
    <n v="92.85714285714286"/>
    <n v="14"/>
  </r>
  <r>
    <s v="UC6JkDblmdOQF2NFTBJ5_4Ng"/>
    <s v="UCOQy7XDYjkjhb0QwVMwf-7A"/>
    <m/>
    <m/>
    <m/>
    <m/>
    <m/>
    <m/>
    <m/>
    <m/>
    <s v="No"/>
    <n v="252"/>
    <m/>
    <m/>
    <s v="Commented Video"/>
    <x v="0"/>
    <s v="Thank you for the video"/>
    <s v="UC6JkDblmdOQF2NFTBJ5_4Ng"/>
    <s v="Majestic005"/>
    <s v="http://www.youtube.com/channel/UC6JkDblmdOQF2NFTBJ5_4Ng"/>
    <m/>
    <s v="xKhYGRpbwOc"/>
    <s v="https://www.youtube.com/watch?v=xKhYGRpbwOc"/>
    <s v="none"/>
    <n v="0"/>
    <x v="249"/>
    <d v="2014-01-19T10:05:04.000"/>
    <m/>
    <m/>
    <s v=""/>
    <n v="1"/>
    <s v="6"/>
    <s v="6"/>
    <n v="1"/>
    <n v="20"/>
    <n v="0"/>
    <n v="0"/>
    <n v="0"/>
    <n v="0"/>
    <n v="4"/>
    <n v="80"/>
    <n v="5"/>
  </r>
  <r>
    <s v="UC6JkDblmdOQF2NFTBJ5_4Ng"/>
    <s v="UCfpw3xq_g1xpdwlyq11atZQ"/>
    <m/>
    <m/>
    <m/>
    <m/>
    <m/>
    <m/>
    <m/>
    <m/>
    <s v="No"/>
    <n v="253"/>
    <m/>
    <m/>
    <s v="Commented Video"/>
    <x v="0"/>
    <s v="Thank you guys, excellent Job"/>
    <s v="UC6JkDblmdOQF2NFTBJ5_4Ng"/>
    <s v="Majestic005"/>
    <s v="http://www.youtube.com/channel/UC6JkDblmdOQF2NFTBJ5_4Ng"/>
    <m/>
    <s v="pwsImFyc0lE"/>
    <s v="https://www.youtube.com/watch?v=pwsImFyc0lE"/>
    <s v="none"/>
    <n v="0"/>
    <x v="250"/>
    <d v="2014-01-19T10:18:57.000"/>
    <m/>
    <m/>
    <s v=""/>
    <n v="1"/>
    <s v="6"/>
    <s v="3"/>
    <n v="2"/>
    <n v="40"/>
    <n v="0"/>
    <n v="0"/>
    <n v="0"/>
    <n v="0"/>
    <n v="3"/>
    <n v="60"/>
    <n v="5"/>
  </r>
  <r>
    <s v="UC3M0dy_bsmIy5gLcvLHwahg"/>
    <s v="UCfpw3xq_g1xpdwlyq11atZQ"/>
    <m/>
    <m/>
    <m/>
    <m/>
    <m/>
    <m/>
    <m/>
    <m/>
    <s v="No"/>
    <n v="254"/>
    <m/>
    <m/>
    <s v="Commented Video"/>
    <x v="0"/>
    <s v="can we build a weight edged graph with nodeXL?"/>
    <s v="UC3M0dy_bsmIy5gLcvLHwahg"/>
    <s v="Suchetana Gupta"/>
    <s v="http://www.youtube.com/channel/UC3M0dy_bsmIy5gLcvLHwahg"/>
    <m/>
    <s v="pwsImFyc0lE"/>
    <s v="https://www.youtube.com/watch?v=pwsImFyc0lE"/>
    <s v="none"/>
    <n v="1"/>
    <x v="251"/>
    <d v="2015-03-17T07:39:48.000"/>
    <m/>
    <m/>
    <s v=""/>
    <n v="1"/>
    <s v="3"/>
    <s v="3"/>
    <n v="0"/>
    <n v="0"/>
    <n v="0"/>
    <n v="0"/>
    <n v="0"/>
    <n v="0"/>
    <n v="9"/>
    <n v="100"/>
    <n v="9"/>
  </r>
  <r>
    <s v="UC7zED_KFa6-AaMwyUpeSAAQ"/>
    <s v="UCfpw3xq_g1xpdwlyq11atZQ"/>
    <m/>
    <m/>
    <m/>
    <m/>
    <m/>
    <m/>
    <m/>
    <m/>
    <s v="No"/>
    <n v="255"/>
    <m/>
    <m/>
    <s v="Commented Video"/>
    <x v="0"/>
    <s v="not free, not open source though...."/>
    <s v="UC7zED_KFa6-AaMwyUpeSAAQ"/>
    <s v="open-ecommerce.org"/>
    <s v="http://www.youtube.com/channel/UC7zED_KFa6-AaMwyUpeSAAQ"/>
    <m/>
    <s v="pwsImFyc0lE"/>
    <s v="https://www.youtube.com/watch?v=pwsImFyc0lE"/>
    <s v="none"/>
    <n v="1"/>
    <x v="252"/>
    <d v="2016-02-23T20:36:09.000"/>
    <m/>
    <m/>
    <s v=""/>
    <n v="1"/>
    <s v="3"/>
    <s v="3"/>
    <n v="1"/>
    <n v="16.666666666666668"/>
    <n v="0"/>
    <n v="0"/>
    <n v="0"/>
    <n v="0"/>
    <n v="5"/>
    <n v="83.33333333333333"/>
    <n v="6"/>
  </r>
  <r>
    <s v="UCf8SkhKscLmAF_zofz-5VXQ"/>
    <s v="UCewxu9BEC64CfQVzR6vd3cA"/>
    <m/>
    <m/>
    <m/>
    <m/>
    <m/>
    <m/>
    <m/>
    <m/>
    <s v="No"/>
    <n v="256"/>
    <m/>
    <m/>
    <s v="Commented Video"/>
    <x v="0"/>
    <s v="Hi Avkash!&lt;br&gt;&lt;br&gt;I was wondering if you could tell me how to filter tweets by country in Nodexl. Ex: &lt;a href=&quot;http://www.youtube.com/results?search_query=%23adidas&quot;&gt;#adidas&lt;/a&gt; tweets from Mexico only... ?&lt;br&gt;&lt;br&gt;Thanks!"/>
    <s v="UCf8SkhKscLmAF_zofz-5VXQ"/>
    <s v="Alfonso Flores"/>
    <s v="http://www.youtube.com/channel/UCf8SkhKscLmAF_zofz-5VXQ"/>
    <m/>
    <s v="DfVp1zDYNLg"/>
    <s v="https://www.youtube.com/watch?v=DfVp1zDYNLg"/>
    <s v="none"/>
    <n v="0"/>
    <x v="253"/>
    <d v="2017-04-24T19:32:45.000"/>
    <s v=" http://www.youtube.com/results?search_query=%23adidas"/>
    <s v="youtube.com"/>
    <s v=""/>
    <n v="1"/>
    <s v="3"/>
    <s v="3"/>
    <n v="0"/>
    <n v="0"/>
    <n v="0"/>
    <n v="0"/>
    <n v="0"/>
    <n v="0"/>
    <n v="39"/>
    <n v="100"/>
    <n v="39"/>
  </r>
  <r>
    <s v="UCf8SkhKscLmAF_zofz-5VXQ"/>
    <s v="UCerAw4EfTOnYYxLLPZAzMxQ"/>
    <m/>
    <m/>
    <m/>
    <m/>
    <m/>
    <m/>
    <m/>
    <m/>
    <s v="No"/>
    <n v="257"/>
    <m/>
    <m/>
    <s v="Commented Video"/>
    <x v="0"/>
    <s v="Hi Dr. Cook, &lt;br&gt;&lt;br&gt;I was wondering if you can tell me how to filter tweets by region in Nodexl. Ex: &lt;a href=&quot;http://www.youtube.com/results?search_query=%23adidas&quot;&gt;#adidas&lt;/a&gt; tweets from Mexico only...?&lt;br&gt;&lt;br&gt;Thank you!"/>
    <s v="UCf8SkhKscLmAF_zofz-5VXQ"/>
    <s v="Alfonso Flores"/>
    <s v="http://www.youtube.com/channel/UCf8SkhKscLmAF_zofz-5VXQ"/>
    <m/>
    <s v="PC-PgkhpsNc"/>
    <s v="https://www.youtube.com/watch?v=PC-PgkhpsNc"/>
    <s v="none"/>
    <n v="0"/>
    <x v="254"/>
    <d v="2017-04-24T19:31:11.000"/>
    <s v=" http://www.youtube.com/results?search_query=%23adidas"/>
    <s v="youtube.com"/>
    <s v=""/>
    <n v="1"/>
    <s v="3"/>
    <s v="1"/>
    <n v="1"/>
    <n v="2.4390243902439024"/>
    <n v="0"/>
    <n v="0"/>
    <n v="0"/>
    <n v="0"/>
    <n v="40"/>
    <n v="97.5609756097561"/>
    <n v="41"/>
  </r>
  <r>
    <s v="UCf8SkhKscLmAF_zofz-5VXQ"/>
    <s v="UCfpw3xq_g1xpdwlyq11atZQ"/>
    <m/>
    <m/>
    <m/>
    <m/>
    <m/>
    <m/>
    <m/>
    <m/>
    <s v="No"/>
    <n v="258"/>
    <m/>
    <m/>
    <s v="Commented Video"/>
    <x v="0"/>
    <s v="Hi there!&lt;br&gt;&lt;br&gt;I was wondering if you could tell me how to filter tweets by country in Nodexl. Ex: &lt;a href=&quot;http://www.youtube.com/results?search_query=%23adidas&quot;&gt;#adidas&lt;/a&gt; tweets from Mexico only... ?&lt;br&gt;&lt;br&gt;Thanks!"/>
    <s v="UCf8SkhKscLmAF_zofz-5VXQ"/>
    <s v="Alfonso Flores"/>
    <s v="http://www.youtube.com/channel/UCf8SkhKscLmAF_zofz-5VXQ"/>
    <m/>
    <s v="pwsImFyc0lE"/>
    <s v="https://www.youtube.com/watch?v=pwsImFyc0lE"/>
    <s v="none"/>
    <n v="0"/>
    <x v="255"/>
    <d v="2017-04-24T19:33:57.000"/>
    <s v=" http://www.youtube.com/results?search_query=%23adidas"/>
    <s v="youtube.com"/>
    <s v=""/>
    <n v="1"/>
    <s v="3"/>
    <s v="3"/>
    <n v="0"/>
    <n v="0"/>
    <n v="0"/>
    <n v="0"/>
    <n v="0"/>
    <n v="0"/>
    <n v="39"/>
    <n v="100"/>
    <n v="39"/>
  </r>
  <r>
    <s v="UCk1PoOyEAavdmyr0VdVN1Zg"/>
    <s v="UCfpw3xq_g1xpdwlyq11atZQ"/>
    <m/>
    <m/>
    <m/>
    <m/>
    <m/>
    <m/>
    <m/>
    <m/>
    <s v="No"/>
    <n v="259"/>
    <m/>
    <m/>
    <s v="Commented Video"/>
    <x v="0"/>
    <s v="get a real mic you moron, you tie everything you say into a huge web of absolutely garbage, glad your not a teacher, i could tie this all up in 5 minutes cause i know how to make a VIDEO work for me, you stand there with a pencil up your ass... fawk your anoying, i gotta go&lt;br&gt;oh, go fuck yourself"/>
    <s v="UCk1PoOyEAavdmyr0VdVN1Zg"/>
    <s v="Dwayne Harvey"/>
    <s v="http://www.youtube.com/channel/UCk1PoOyEAavdmyr0VdVN1Zg"/>
    <m/>
    <s v="pwsImFyc0lE"/>
    <s v="https://www.youtube.com/watch?v=pwsImFyc0lE"/>
    <s v="none"/>
    <n v="1"/>
    <x v="256"/>
    <d v="2017-09-04T22:05:01.000"/>
    <m/>
    <m/>
    <s v=""/>
    <n v="1"/>
    <s v="3"/>
    <s v="3"/>
    <n v="2"/>
    <n v="3.1746031746031744"/>
    <n v="3"/>
    <n v="4.761904761904762"/>
    <n v="0"/>
    <n v="0"/>
    <n v="58"/>
    <n v="92.06349206349206"/>
    <n v="63"/>
  </r>
  <r>
    <s v="UCxH7QekYGX6Zj7xDozlqXbg"/>
    <s v="UCfpw3xq_g1xpdwlyq11atZQ"/>
    <m/>
    <m/>
    <m/>
    <m/>
    <m/>
    <m/>
    <m/>
    <m/>
    <s v="No"/>
    <n v="260"/>
    <m/>
    <m/>
    <s v="Commented Video"/>
    <x v="0"/>
    <s v="Poor sound quality."/>
    <s v="UCxH7QekYGX6Zj7xDozlqXbg"/>
    <s v="Dan McCreary"/>
    <s v="http://www.youtube.com/channel/UCxH7QekYGX6Zj7xDozlqXbg"/>
    <m/>
    <s v="pwsImFyc0lE"/>
    <s v="https://www.youtube.com/watch?v=pwsImFyc0lE"/>
    <s v="none"/>
    <n v="0"/>
    <x v="257"/>
    <d v="2018-07-01T16:18:46.000"/>
    <m/>
    <m/>
    <s v=""/>
    <n v="1"/>
    <s v="3"/>
    <s v="3"/>
    <n v="0"/>
    <n v="0"/>
    <n v="1"/>
    <n v="33.333333333333336"/>
    <n v="0"/>
    <n v="0"/>
    <n v="2"/>
    <n v="66.66666666666667"/>
    <n v="3"/>
  </r>
  <r>
    <s v="UCerAw4EfTOnYYxLLPZAzMxQ"/>
    <s v="UCKrUAYzPSyq1cBlKN08M6qw"/>
    <m/>
    <m/>
    <m/>
    <m/>
    <m/>
    <m/>
    <m/>
    <m/>
    <s v="Yes"/>
    <n v="261"/>
    <m/>
    <m/>
    <s v="Replied Comment"/>
    <x v="1"/>
    <s v="Dear Miss Davids, I&amp;#39;m not a representative of either Microsoft or the folks who make NodeXL, and they&amp;#39;d be the best folks to ask.  However, I can say from experience that this has happened to my students when one of three things has happened: 1) they&amp;#39;ve got a lot of programs running on their computer or their computer has been booted for a long time and there isn&amp;#39;t a lot of memory available,  2) they&amp;#39;ve had Microsoft Office programs open for a long time and that particular suite of programs has become sluggish, or 3) they&amp;#39;re not working with a full and recent Microsoft Office suite of programs on a Windows machine, but instead are working with an Apple operating system or a less-costly version of Microsoft Office that doesn&amp;#39;t offer full features.  Do any of these apply to your situation?  #1 and #2 can be easily fixed by restarting your program or computer.  #3?  Eh, not so easy -- it&amp;#39;s one of the downsides of NodeXL."/>
    <s v="UCerAw4EfTOnYYxLLPZAzMxQ"/>
    <s v="James Cook"/>
    <s v="http://www.youtube.com/channel/UCerAw4EfTOnYYxLLPZAzMxQ"/>
    <s v="UgzDL7pmu1zHpkOXGrR4AaABAg"/>
    <s v="AyMwPYpmYng"/>
    <s v="https://www.youtube.com/watch?v=AyMwPYpmYng"/>
    <s v="none"/>
    <n v="1"/>
    <x v="258"/>
    <d v="2019-01-20T14:04:27.000"/>
    <m/>
    <m/>
    <s v=""/>
    <n v="1"/>
    <s v="1"/>
    <s v="3"/>
    <n v="3"/>
    <n v="1.639344262295082"/>
    <n v="4"/>
    <n v="2.185792349726776"/>
    <n v="0"/>
    <n v="0"/>
    <n v="176"/>
    <n v="96.17486338797814"/>
    <n v="183"/>
  </r>
  <r>
    <s v="UCKrUAYzPSyq1cBlKN08M6qw"/>
    <s v="UCerAw4EfTOnYYxLLPZAzMxQ"/>
    <m/>
    <m/>
    <m/>
    <m/>
    <m/>
    <m/>
    <m/>
    <m/>
    <s v="Yes"/>
    <n v="262"/>
    <m/>
    <m/>
    <s v="Commented Video"/>
    <x v="0"/>
    <s v="i have downloaded and using nodexl basic but the graph visualization is not displaying on the right at all. can anyone please assist me how i get the graph to display. thanks"/>
    <s v="UCKrUAYzPSyq1cBlKN08M6qw"/>
    <s v="Empress Chariot"/>
    <s v="http://www.youtube.com/channel/UCKrUAYzPSyq1cBlKN08M6qw"/>
    <m/>
    <s v="AyMwPYpmYng"/>
    <s v="https://www.youtube.com/watch?v=AyMwPYpmYng"/>
    <s v="none"/>
    <n v="0"/>
    <x v="259"/>
    <d v="2019-01-19T11:02:55.000"/>
    <m/>
    <m/>
    <s v=""/>
    <n v="2"/>
    <s v="3"/>
    <s v="1"/>
    <n v="1"/>
    <n v="3.125"/>
    <n v="0"/>
    <n v="0"/>
    <n v="0"/>
    <n v="0"/>
    <n v="31"/>
    <n v="96.875"/>
    <n v="32"/>
  </r>
  <r>
    <s v="UCKrUAYzPSyq1cBlKN08M6qw"/>
    <s v="UCerAw4EfTOnYYxLLPZAzMxQ"/>
    <m/>
    <m/>
    <m/>
    <m/>
    <m/>
    <m/>
    <m/>
    <m/>
    <s v="Yes"/>
    <n v="263"/>
    <m/>
    <m/>
    <s v="Commented Video"/>
    <x v="0"/>
    <s v="i have been trying for hours to activate it it keeps giving me pop up messages about entering a license received via email which i have not received and cannot proceed"/>
    <s v="UCKrUAYzPSyq1cBlKN08M6qw"/>
    <s v="Empress Chariot"/>
    <s v="http://www.youtube.com/channel/UCKrUAYzPSyq1cBlKN08M6qw"/>
    <m/>
    <s v="Gs4NPuKIXdo"/>
    <s v="https://www.youtube.com/watch?v=Gs4NPuKIXdo"/>
    <s v="none"/>
    <n v="0"/>
    <x v="260"/>
    <d v="2019-01-01T12:24:14.000"/>
    <m/>
    <m/>
    <s v=""/>
    <n v="2"/>
    <s v="3"/>
    <s v="1"/>
    <n v="0"/>
    <n v="0"/>
    <n v="0"/>
    <n v="0"/>
    <n v="0"/>
    <n v="0"/>
    <n v="31"/>
    <n v="100"/>
    <n v="31"/>
  </r>
  <r>
    <s v="UCKrUAYzPSyq1cBlKN08M6qw"/>
    <s v="UCfpw3xq_g1xpdwlyq11atZQ"/>
    <m/>
    <m/>
    <m/>
    <m/>
    <m/>
    <m/>
    <m/>
    <m/>
    <s v="No"/>
    <n v="264"/>
    <m/>
    <m/>
    <s v="Commented Video"/>
    <x v="0"/>
    <s v="my graph is not appearing on the right"/>
    <s v="UCKrUAYzPSyq1cBlKN08M6qw"/>
    <s v="Empress Chariot"/>
    <s v="http://www.youtube.com/channel/UCKrUAYzPSyq1cBlKN08M6qw"/>
    <m/>
    <s v="pwsImFyc0lE"/>
    <s v="https://www.youtube.com/watch?v=pwsImFyc0lE"/>
    <s v="none"/>
    <n v="0"/>
    <x v="261"/>
    <d v="2019-01-02T22:46:25.000"/>
    <m/>
    <m/>
    <s v=""/>
    <n v="1"/>
    <s v="3"/>
    <s v="3"/>
    <n v="1"/>
    <n v="12.5"/>
    <n v="0"/>
    <n v="0"/>
    <n v="0"/>
    <n v="0"/>
    <n v="7"/>
    <n v="87.5"/>
    <n v="8"/>
  </r>
  <r>
    <s v="UCerAw4EfTOnYYxLLPZAzMxQ"/>
    <s v="UCkLPx3Y2qhbDjUwEQRqLv0A"/>
    <m/>
    <m/>
    <m/>
    <m/>
    <m/>
    <m/>
    <m/>
    <m/>
    <s v="Yes"/>
    <n v="265"/>
    <m/>
    <m/>
    <s v="Replied Comment"/>
    <x v="1"/>
    <s v="Not hard at all.  It&amp;#39;s node shape 11 in the node shape column."/>
    <s v="UCerAw4EfTOnYYxLLPZAzMxQ"/>
    <s v="James Cook"/>
    <s v="http://www.youtube.com/channel/UCerAw4EfTOnYYxLLPZAzMxQ"/>
    <s v="UgwlyCZUCxnxBjbLfol4AaABAg"/>
    <s v="Gs4NPuKIXdo"/>
    <s v="https://www.youtube.com/watch?v=Gs4NPuKIXdo"/>
    <s v="none"/>
    <n v="0"/>
    <x v="262"/>
    <d v="2019-03-12T23:01:56.000"/>
    <m/>
    <m/>
    <s v=""/>
    <n v="1"/>
    <s v="1"/>
    <s v="3"/>
    <n v="0"/>
    <n v="0"/>
    <n v="1"/>
    <n v="6.666666666666667"/>
    <n v="0"/>
    <n v="0"/>
    <n v="14"/>
    <n v="93.33333333333333"/>
    <n v="15"/>
  </r>
  <r>
    <s v="UCkLPx3Y2qhbDjUwEQRqLv0A"/>
    <s v="UCerAw4EfTOnYYxLLPZAzMxQ"/>
    <m/>
    <m/>
    <m/>
    <m/>
    <m/>
    <m/>
    <m/>
    <m/>
    <s v="Yes"/>
    <n v="266"/>
    <m/>
    <m/>
    <s v="Commented Video"/>
    <x v="0"/>
    <s v="Good moring, how do I can insert image intoa node?"/>
    <s v="UCkLPx3Y2qhbDjUwEQRqLv0A"/>
    <s v="Felipe Ribeiro"/>
    <s v="http://www.youtube.com/channel/UCkLPx3Y2qhbDjUwEQRqLv0A"/>
    <m/>
    <s v="Gs4NPuKIXdo"/>
    <s v="https://www.youtube.com/watch?v=Gs4NPuKIXdo"/>
    <s v="none"/>
    <n v="0"/>
    <x v="263"/>
    <d v="2019-03-12T16:48:24.000"/>
    <m/>
    <m/>
    <s v=""/>
    <n v="1"/>
    <s v="3"/>
    <s v="1"/>
    <n v="1"/>
    <n v="10"/>
    <n v="0"/>
    <n v="0"/>
    <n v="0"/>
    <n v="0"/>
    <n v="9"/>
    <n v="90"/>
    <n v="10"/>
  </r>
  <r>
    <s v="UCkLPx3Y2qhbDjUwEQRqLv0A"/>
    <s v="UCfpw3xq_g1xpdwlyq11atZQ"/>
    <m/>
    <m/>
    <m/>
    <m/>
    <m/>
    <m/>
    <m/>
    <m/>
    <s v="No"/>
    <n v="267"/>
    <m/>
    <m/>
    <s v="Commented Video"/>
    <x v="0"/>
    <s v="Good moring, how do I can insert image into a node?"/>
    <s v="UCkLPx3Y2qhbDjUwEQRqLv0A"/>
    <s v="Felipe Ribeiro"/>
    <s v="http://www.youtube.com/channel/UCkLPx3Y2qhbDjUwEQRqLv0A"/>
    <m/>
    <s v="pwsImFyc0lE"/>
    <s v="https://www.youtube.com/watch?v=pwsImFyc0lE"/>
    <s v="none"/>
    <n v="1"/>
    <x v="264"/>
    <d v="2019-03-12T16:46:59.000"/>
    <m/>
    <m/>
    <s v=""/>
    <n v="1"/>
    <s v="3"/>
    <s v="3"/>
    <n v="1"/>
    <n v="9.090909090909092"/>
    <n v="0"/>
    <n v="0"/>
    <n v="0"/>
    <n v="0"/>
    <n v="10"/>
    <n v="90.9090909090909"/>
    <n v="11"/>
  </r>
  <r>
    <s v="UCT2t7sQp0Qyi9dxuckjOWAw"/>
    <s v="UCj-YNRE6g8gXzAaXu-kQ7Og"/>
    <m/>
    <m/>
    <m/>
    <m/>
    <m/>
    <m/>
    <m/>
    <m/>
    <s v="Yes"/>
    <n v="268"/>
    <m/>
    <m/>
    <s v="Replied Comment"/>
    <x v="1"/>
    <s v="Thanks a lot for your validations, Please find more contents in &lt;a href=&quot;http://vivianfrancos.com/&quot;&gt;vivianfrancos.com&lt;/a&gt;"/>
    <s v="UCT2t7sQp0Qyi9dxuckjOWAw"/>
    <s v="Vivian Francos #SeoHashtag Posiciona tu Hashtag"/>
    <s v="http://www.youtube.com/channel/UCT2t7sQp0Qyi9dxuckjOWAw"/>
    <s v="UgyndlUWvHnhc29lHfZ4AaABAg"/>
    <s v="3s6qbWY07FI"/>
    <s v="https://www.youtube.com/watch?v=3s6qbWY07FI"/>
    <s v="none"/>
    <n v="0"/>
    <x v="265"/>
    <d v="2022-04-20T11:00:15.000"/>
    <s v=" http://vivianfrancos.com/"/>
    <s v="vivianfrancos.com"/>
    <s v=""/>
    <n v="1"/>
    <s v="4"/>
    <s v="4"/>
    <n v="0"/>
    <n v="0"/>
    <n v="0"/>
    <n v="0"/>
    <n v="0"/>
    <n v="0"/>
    <n v="19"/>
    <n v="100"/>
    <n v="19"/>
  </r>
  <r>
    <s v="UCj-YNRE6g8gXzAaXu-kQ7Og"/>
    <s v="UCT2t7sQp0Qyi9dxuckjOWAw"/>
    <m/>
    <m/>
    <m/>
    <m/>
    <m/>
    <m/>
    <m/>
    <m/>
    <s v="Yes"/>
    <n v="269"/>
    <m/>
    <m/>
    <s v="Commented Video"/>
    <x v="0"/>
    <s v="Thanks in a million. Great content. Awesome. Very well explained. I couldn&amp;#39;t find this explanation--simply put anywhere else. Great teachers are hard to find. Grade: A++💥"/>
    <s v="UCj-YNRE6g8gXzAaXu-kQ7Og"/>
    <s v="John G"/>
    <s v="http://www.youtube.com/channel/UCj-YNRE6g8gXzAaXu-kQ7Og"/>
    <m/>
    <s v="3s6qbWY07FI"/>
    <s v="https://www.youtube.com/watch?v=3s6qbWY07FI"/>
    <s v="none"/>
    <n v="1"/>
    <x v="266"/>
    <d v="2022-04-20T07:06:19.000"/>
    <m/>
    <m/>
    <s v=""/>
    <n v="1"/>
    <s v="4"/>
    <s v="4"/>
    <n v="4"/>
    <n v="13.793103448275861"/>
    <n v="1"/>
    <n v="3.4482758620689653"/>
    <n v="0"/>
    <n v="0"/>
    <n v="24"/>
    <n v="82.75862068965517"/>
    <n v="29"/>
  </r>
  <r>
    <s v="UCj-YNRE6g8gXzAaXu-kQ7Og"/>
    <s v="UCfpw3xq_g1xpdwlyq11atZQ"/>
    <m/>
    <m/>
    <m/>
    <m/>
    <m/>
    <m/>
    <m/>
    <m/>
    <s v="No"/>
    <n v="270"/>
    <m/>
    <m/>
    <s v="Commented Video"/>
    <x v="0"/>
    <s v="Thanks in a million. You got the best stuff on earth! Where have you been all these years."/>
    <s v="UCj-YNRE6g8gXzAaXu-kQ7Og"/>
    <s v="John G"/>
    <s v="http://www.youtube.com/channel/UCj-YNRE6g8gXzAaXu-kQ7Og"/>
    <m/>
    <s v="owl9we4ldFI"/>
    <s v="https://www.youtube.com/watch?v=owl9we4ldFI"/>
    <s v="none"/>
    <n v="0"/>
    <x v="267"/>
    <d v="2019-07-17T08:17:20.000"/>
    <m/>
    <m/>
    <s v=""/>
    <n v="4"/>
    <s v="4"/>
    <s v="3"/>
    <n v="1"/>
    <n v="5.555555555555555"/>
    <n v="0"/>
    <n v="0"/>
    <n v="0"/>
    <n v="0"/>
    <n v="17"/>
    <n v="94.44444444444444"/>
    <n v="18"/>
  </r>
  <r>
    <s v="UCj-YNRE6g8gXzAaXu-kQ7Og"/>
    <s v="UCfpw3xq_g1xpdwlyq11atZQ"/>
    <m/>
    <m/>
    <m/>
    <m/>
    <m/>
    <m/>
    <m/>
    <m/>
    <s v="No"/>
    <n v="271"/>
    <m/>
    <m/>
    <s v="Commented Video"/>
    <x v="0"/>
    <s v="Thanks in a million. Great content. Awesome. Very well explained. I couldn&amp;#39;t find this explanation--simply put anywhere else. Great teachers are hard to find. Grade: A++💥"/>
    <s v="UCj-YNRE6g8gXzAaXu-kQ7Og"/>
    <s v="John G"/>
    <s v="http://www.youtube.com/channel/UCj-YNRE6g8gXzAaXu-kQ7Og"/>
    <m/>
    <s v="owl9we4ldFI"/>
    <s v="https://www.youtube.com/watch?v=owl9we4ldFI"/>
    <s v="none"/>
    <n v="0"/>
    <x v="268"/>
    <d v="2022-04-19T21:47:57.000"/>
    <m/>
    <m/>
    <s v=""/>
    <n v="4"/>
    <s v="4"/>
    <s v="3"/>
    <n v="4"/>
    <n v="13.793103448275861"/>
    <n v="1"/>
    <n v="3.4482758620689653"/>
    <n v="0"/>
    <n v="0"/>
    <n v="24"/>
    <n v="82.75862068965517"/>
    <n v="29"/>
  </r>
  <r>
    <s v="UCj-YNRE6g8gXzAaXu-kQ7Og"/>
    <s v="UCqS6Idv3FEU9VQX7-yHwnSw"/>
    <m/>
    <m/>
    <m/>
    <m/>
    <m/>
    <m/>
    <m/>
    <m/>
    <s v="No"/>
    <n v="272"/>
    <m/>
    <m/>
    <s v="Commented Video"/>
    <x v="0"/>
    <s v="Thanks in a million. Great content. Awesome. Very well explained. I couldn&amp;#39;t find this explanation--simply put anywhere else. Great teachers are hard to find. Grade: A++💥"/>
    <s v="UCj-YNRE6g8gXzAaXu-kQ7Og"/>
    <s v="John G"/>
    <s v="http://www.youtube.com/channel/UCj-YNRE6g8gXzAaXu-kQ7Og"/>
    <m/>
    <s v="leNjC1CQiow"/>
    <s v="https://www.youtube.com/watch?v=leNjC1CQiow"/>
    <s v="none"/>
    <n v="0"/>
    <x v="269"/>
    <d v="2022-04-21T03:35:12.000"/>
    <m/>
    <m/>
    <s v=""/>
    <n v="1"/>
    <s v="4"/>
    <s v="4"/>
    <n v="4"/>
    <n v="13.793103448275861"/>
    <n v="1"/>
    <n v="3.4482758620689653"/>
    <n v="0"/>
    <n v="0"/>
    <n v="24"/>
    <n v="82.75862068965517"/>
    <n v="29"/>
  </r>
  <r>
    <s v="UCj-YNRE6g8gXzAaXu-kQ7Og"/>
    <s v="UCoHpLfLDotbsVyGvGlsekQA"/>
    <m/>
    <m/>
    <m/>
    <m/>
    <m/>
    <m/>
    <m/>
    <m/>
    <s v="No"/>
    <n v="273"/>
    <m/>
    <m/>
    <s v="Commented Video"/>
    <x v="0"/>
    <s v="Thanks in a million. Great content. Awesome. Very well explained. I couldn&amp;#39;t find this explanation--simply put anywhere else. Great teachers are hard to find. Grade: A++💥"/>
    <s v="UCj-YNRE6g8gXzAaXu-kQ7Og"/>
    <s v="John G"/>
    <s v="http://www.youtube.com/channel/UCj-YNRE6g8gXzAaXu-kQ7Og"/>
    <m/>
    <s v="3x-TXaTF3-Y"/>
    <s v="https://www.youtube.com/watch?v=3x-TXaTF3-Y"/>
    <s v="none"/>
    <n v="0"/>
    <x v="270"/>
    <d v="2022-04-20T07:12:42.000"/>
    <m/>
    <m/>
    <s v=""/>
    <n v="1"/>
    <s v="4"/>
    <s v="4"/>
    <n v="4"/>
    <n v="13.793103448275861"/>
    <n v="1"/>
    <n v="3.4482758620689653"/>
    <n v="0"/>
    <n v="0"/>
    <n v="24"/>
    <n v="82.75862068965517"/>
    <n v="29"/>
  </r>
  <r>
    <s v="UCj-YNRE6g8gXzAaXu-kQ7Og"/>
    <s v="UCuyDUN7SDHJd3-UQhX69A9w"/>
    <m/>
    <m/>
    <m/>
    <m/>
    <m/>
    <m/>
    <m/>
    <m/>
    <s v="No"/>
    <n v="274"/>
    <m/>
    <m/>
    <s v="Commented Video"/>
    <x v="0"/>
    <s v="Thanks in a million. Great content. Awesome. Very well explained. I couldn&amp;#39;t find this explanation--simply put anywhere else. Great teachers are hard to find. Grade: A++💥"/>
    <s v="UCj-YNRE6g8gXzAaXu-kQ7Og"/>
    <s v="John G"/>
    <s v="http://www.youtube.com/channel/UCj-YNRE6g8gXzAaXu-kQ7Og"/>
    <m/>
    <s v="THdrju-UWjo"/>
    <s v="https://www.youtube.com/watch?v=THdrju-UWjo"/>
    <s v="none"/>
    <n v="1"/>
    <x v="271"/>
    <d v="2022-04-20T07:00:41.000"/>
    <m/>
    <m/>
    <s v=""/>
    <n v="1"/>
    <s v="4"/>
    <s v="4"/>
    <n v="4"/>
    <n v="13.793103448275861"/>
    <n v="1"/>
    <n v="3.4482758620689653"/>
    <n v="0"/>
    <n v="0"/>
    <n v="24"/>
    <n v="82.75862068965517"/>
    <n v="29"/>
  </r>
  <r>
    <s v="UCj-YNRE6g8gXzAaXu-kQ7Og"/>
    <s v="UCnrbbUoV6A2YP0tCJJfJSsg"/>
    <m/>
    <m/>
    <m/>
    <m/>
    <m/>
    <m/>
    <m/>
    <m/>
    <s v="No"/>
    <n v="275"/>
    <m/>
    <m/>
    <s v="Commented Video"/>
    <x v="0"/>
    <s v="Thanks in a million! Very well explained. Great product second to none. This is the nth time that I am watching this again. Great content. Awesome. Grade: A++ 💥"/>
    <s v="UCj-YNRE6g8gXzAaXu-kQ7Og"/>
    <s v="John G"/>
    <s v="http://www.youtube.com/channel/UCj-YNRE6g8gXzAaXu-kQ7Og"/>
    <m/>
    <s v="8lDndBPEDj4"/>
    <s v="https://www.youtube.com/watch?v=8lDndBPEDj4"/>
    <s v="none"/>
    <n v="0"/>
    <x v="272"/>
    <d v="2022-03-22T22:15:40.000"/>
    <m/>
    <m/>
    <s v=""/>
    <n v="2"/>
    <s v="4"/>
    <s v="4"/>
    <n v="4"/>
    <n v="14.285714285714286"/>
    <n v="0"/>
    <n v="0"/>
    <n v="0"/>
    <n v="0"/>
    <n v="24"/>
    <n v="85.71428571428571"/>
    <n v="28"/>
  </r>
  <r>
    <s v="UCj-YNRE6g8gXzAaXu-kQ7Og"/>
    <s v="UCnrbbUoV6A2YP0tCJJfJSsg"/>
    <m/>
    <m/>
    <m/>
    <m/>
    <m/>
    <m/>
    <m/>
    <m/>
    <s v="No"/>
    <n v="276"/>
    <m/>
    <m/>
    <s v="Commented Video"/>
    <x v="0"/>
    <s v="Thanks in a million. Great content. Awesome. Very well explained. I couldn&amp;#39;t find this explanation--simply put anywhere else. Great teachers are hard to find. Grade: A++💥"/>
    <s v="UCj-YNRE6g8gXzAaXu-kQ7Og"/>
    <s v="John G"/>
    <s v="http://www.youtube.com/channel/UCj-YNRE6g8gXzAaXu-kQ7Og"/>
    <m/>
    <s v="8lDndBPEDj4"/>
    <s v="https://www.youtube.com/watch?v=8lDndBPEDj4"/>
    <s v="none"/>
    <n v="0"/>
    <x v="273"/>
    <d v="2022-04-20T18:32:38.000"/>
    <m/>
    <m/>
    <s v=""/>
    <n v="2"/>
    <s v="4"/>
    <s v="4"/>
    <n v="4"/>
    <n v="13.793103448275861"/>
    <n v="1"/>
    <n v="3.4482758620689653"/>
    <n v="0"/>
    <n v="0"/>
    <n v="24"/>
    <n v="82.75862068965517"/>
    <n v="29"/>
  </r>
  <r>
    <s v="UCj-YNRE6g8gXzAaXu-kQ7Og"/>
    <s v="UCfpw3xq_g1xpdwlyq11atZQ"/>
    <m/>
    <m/>
    <m/>
    <m/>
    <m/>
    <m/>
    <m/>
    <m/>
    <s v="No"/>
    <n v="277"/>
    <m/>
    <m/>
    <s v="Commented Video"/>
    <x v="0"/>
    <s v="Thanks in a million. You got the best stuff on earth! Where have you been all these years."/>
    <s v="UCj-YNRE6g8gXzAaXu-kQ7Og"/>
    <s v="John G"/>
    <s v="http://www.youtube.com/channel/UCj-YNRE6g8gXzAaXu-kQ7Og"/>
    <m/>
    <s v="pwsImFyc0lE"/>
    <s v="https://www.youtube.com/watch?v=pwsImFyc0lE"/>
    <s v="none"/>
    <n v="0"/>
    <x v="274"/>
    <d v="2019-07-17T08:17:45.000"/>
    <m/>
    <m/>
    <s v=""/>
    <n v="4"/>
    <s v="4"/>
    <s v="3"/>
    <n v="1"/>
    <n v="5.555555555555555"/>
    <n v="0"/>
    <n v="0"/>
    <n v="0"/>
    <n v="0"/>
    <n v="17"/>
    <n v="94.44444444444444"/>
    <n v="18"/>
  </r>
  <r>
    <s v="UCj-YNRE6g8gXzAaXu-kQ7Og"/>
    <s v="UCfpw3xq_g1xpdwlyq11atZQ"/>
    <m/>
    <m/>
    <m/>
    <m/>
    <m/>
    <m/>
    <m/>
    <m/>
    <s v="No"/>
    <n v="278"/>
    <m/>
    <m/>
    <s v="Commented Video"/>
    <x v="0"/>
    <s v="Thanks in a million. You got the best stuff on earth! Where have you been all these years."/>
    <s v="UCj-YNRE6g8gXzAaXu-kQ7Og"/>
    <s v="John G"/>
    <s v="http://www.youtube.com/channel/UCj-YNRE6g8gXzAaXu-kQ7Og"/>
    <m/>
    <s v="pwsImFyc0lE"/>
    <s v="https://www.youtube.com/watch?v=pwsImFyc0lE"/>
    <s v="none"/>
    <n v="2"/>
    <x v="274"/>
    <d v="2019-07-17T08:17:45.000"/>
    <m/>
    <m/>
    <s v=""/>
    <n v="4"/>
    <s v="4"/>
    <s v="3"/>
    <n v="1"/>
    <n v="5.555555555555555"/>
    <n v="0"/>
    <n v="0"/>
    <n v="0"/>
    <n v="0"/>
    <n v="17"/>
    <n v="94.44444444444444"/>
    <n v="18"/>
  </r>
  <r>
    <s v="UCmbTaq_33tRrVi_b7V2zzwg"/>
    <s v="UCfpw3xq_g1xpdwlyq11atZQ"/>
    <m/>
    <m/>
    <m/>
    <m/>
    <m/>
    <m/>
    <m/>
    <m/>
    <s v="No"/>
    <n v="279"/>
    <m/>
    <m/>
    <s v="Commented Video"/>
    <x v="0"/>
    <s v="Great job but not a good sound quality"/>
    <s v="UCmbTaq_33tRrVi_b7V2zzwg"/>
    <s v="Sadiq A"/>
    <s v="http://www.youtube.com/channel/UCmbTaq_33tRrVi_b7V2zzwg"/>
    <m/>
    <s v="pwsImFyc0lE"/>
    <s v="https://www.youtube.com/watch?v=pwsImFyc0lE"/>
    <s v="none"/>
    <n v="1"/>
    <x v="275"/>
    <d v="2019-08-01T23:46:08.000"/>
    <m/>
    <m/>
    <s v=""/>
    <n v="1"/>
    <s v="3"/>
    <s v="3"/>
    <n v="2"/>
    <n v="25"/>
    <n v="0"/>
    <n v="0"/>
    <n v="0"/>
    <n v="0"/>
    <n v="6"/>
    <n v="75"/>
    <n v="8"/>
  </r>
  <r>
    <s v="UC6-_IKv5-IipN6rYvnyoNUg"/>
    <s v="UC6-_IKv5-IipN6rYvnyoNUg"/>
    <m/>
    <m/>
    <m/>
    <m/>
    <m/>
    <m/>
    <m/>
    <m/>
    <s v="No"/>
    <n v="280"/>
    <m/>
    <m/>
    <s v="Posted Video"/>
    <x v="2"/>
    <m/>
    <m/>
    <m/>
    <m/>
    <m/>
    <s v="qYS-obITp8U"/>
    <s v="https://www.youtube.com/watch?v=qYS-obITp8U"/>
    <m/>
    <m/>
    <x v="276"/>
    <m/>
    <m/>
    <m/>
    <m/>
    <n v="1"/>
    <s v="2"/>
    <s v="2"/>
    <m/>
    <m/>
    <m/>
    <m/>
    <m/>
    <m/>
    <m/>
    <m/>
    <m/>
  </r>
  <r>
    <s v="UC0ejCnEOTEswqFo4wd_6N9g"/>
    <s v="UC0ejCnEOTEswqFo4wd_6N9g"/>
    <m/>
    <m/>
    <m/>
    <m/>
    <m/>
    <m/>
    <m/>
    <m/>
    <s v="No"/>
    <n v="281"/>
    <m/>
    <m/>
    <s v="Posted Video"/>
    <x v="2"/>
    <m/>
    <m/>
    <m/>
    <m/>
    <m/>
    <s v="AAk39e00SlY"/>
    <s v="https://www.youtube.com/watch?v=AAk39e00SlY"/>
    <m/>
    <m/>
    <x v="277"/>
    <m/>
    <m/>
    <m/>
    <m/>
    <n v="1"/>
    <s v="2"/>
    <s v="2"/>
    <m/>
    <m/>
    <m/>
    <m/>
    <m/>
    <m/>
    <m/>
    <m/>
    <m/>
  </r>
  <r>
    <s v="UCl3_JxeNm227rFEceAPDi7A"/>
    <s v="UCl3_JxeNm227rFEceAPDi7A"/>
    <m/>
    <m/>
    <m/>
    <m/>
    <m/>
    <m/>
    <m/>
    <m/>
    <s v="No"/>
    <n v="282"/>
    <m/>
    <m/>
    <s v="Posted Video"/>
    <x v="2"/>
    <m/>
    <m/>
    <m/>
    <m/>
    <m/>
    <s v="vi01cIzeiqw"/>
    <s v="https://www.youtube.com/watch?v=vi01cIzeiqw"/>
    <m/>
    <m/>
    <x v="278"/>
    <m/>
    <m/>
    <m/>
    <m/>
    <n v="1"/>
    <s v="25"/>
    <s v="25"/>
    <m/>
    <m/>
    <m/>
    <m/>
    <m/>
    <m/>
    <m/>
    <m/>
    <m/>
  </r>
  <r>
    <s v="UC66vVHIk59YgD3h1mm1KrXQ"/>
    <s v="UC66vVHIk59YgD3h1mm1KrXQ"/>
    <m/>
    <m/>
    <m/>
    <m/>
    <m/>
    <m/>
    <m/>
    <m/>
    <s v="No"/>
    <n v="283"/>
    <m/>
    <m/>
    <s v="Posted Video"/>
    <x v="2"/>
    <m/>
    <m/>
    <m/>
    <m/>
    <m/>
    <s v="XmBgsR82uPo"/>
    <s v="https://www.youtube.com/watch?v=XmBgsR82uPo"/>
    <m/>
    <m/>
    <x v="279"/>
    <m/>
    <m/>
    <m/>
    <m/>
    <n v="1"/>
    <s v="2"/>
    <s v="2"/>
    <m/>
    <m/>
    <m/>
    <m/>
    <m/>
    <m/>
    <m/>
    <m/>
    <m/>
  </r>
  <r>
    <s v="UC4n1n-2l0CaRwTErBeFB_ww"/>
    <s v="UC4n1n-2l0CaRwTErBeFB_ww"/>
    <m/>
    <m/>
    <m/>
    <m/>
    <m/>
    <m/>
    <m/>
    <m/>
    <s v="No"/>
    <n v="284"/>
    <m/>
    <m/>
    <s v="Posted Video"/>
    <x v="2"/>
    <m/>
    <m/>
    <m/>
    <m/>
    <m/>
    <s v="8cNW3OD6I0o"/>
    <s v="https://www.youtube.com/watch?v=8cNW3OD6I0o"/>
    <m/>
    <m/>
    <x v="280"/>
    <m/>
    <m/>
    <m/>
    <m/>
    <n v="1"/>
    <s v="2"/>
    <s v="2"/>
    <m/>
    <m/>
    <m/>
    <m/>
    <m/>
    <m/>
    <m/>
    <m/>
    <m/>
  </r>
  <r>
    <s v="UCyCJVMyIh50PLFp6vCZ6-Zw"/>
    <s v="UCyCJVMyIh50PLFp6vCZ6-Zw"/>
    <m/>
    <m/>
    <m/>
    <m/>
    <m/>
    <m/>
    <m/>
    <m/>
    <s v="No"/>
    <n v="285"/>
    <m/>
    <m/>
    <s v="Posted Video"/>
    <x v="2"/>
    <m/>
    <m/>
    <m/>
    <m/>
    <m/>
    <s v="V5J2bUOoNh8"/>
    <s v="https://www.youtube.com/watch?v=V5J2bUOoNh8"/>
    <m/>
    <m/>
    <x v="281"/>
    <m/>
    <m/>
    <m/>
    <m/>
    <n v="1"/>
    <s v="2"/>
    <s v="2"/>
    <m/>
    <m/>
    <m/>
    <m/>
    <m/>
    <m/>
    <m/>
    <m/>
    <m/>
  </r>
  <r>
    <s v="UCoB94ow_SQUv369e2uhOXSw"/>
    <s v="UCoB94ow_SQUv369e2uhOXSw"/>
    <m/>
    <m/>
    <m/>
    <m/>
    <m/>
    <m/>
    <m/>
    <m/>
    <s v="No"/>
    <n v="286"/>
    <m/>
    <m/>
    <s v="Posted Video"/>
    <x v="2"/>
    <m/>
    <m/>
    <m/>
    <m/>
    <m/>
    <s v="hN3-wTOxrsY"/>
    <s v="https://www.youtube.com/watch?v=hN3-wTOxrsY"/>
    <m/>
    <m/>
    <x v="282"/>
    <m/>
    <m/>
    <m/>
    <m/>
    <n v="1"/>
    <s v="11"/>
    <s v="11"/>
    <m/>
    <m/>
    <m/>
    <m/>
    <m/>
    <m/>
    <m/>
    <m/>
    <m/>
  </r>
  <r>
    <s v="UC7roQpV6qEGtQqPL_d0KlHw"/>
    <s v="UC7roQpV6qEGtQqPL_d0KlHw"/>
    <m/>
    <m/>
    <m/>
    <m/>
    <m/>
    <m/>
    <m/>
    <m/>
    <s v="No"/>
    <n v="287"/>
    <m/>
    <m/>
    <s v="Posted Video"/>
    <x v="2"/>
    <m/>
    <m/>
    <m/>
    <m/>
    <m/>
    <s v="hTnnEnpQkkk"/>
    <s v="https://www.youtube.com/watch?v=hTnnEnpQkkk"/>
    <m/>
    <m/>
    <x v="283"/>
    <m/>
    <m/>
    <m/>
    <m/>
    <n v="1"/>
    <s v="14"/>
    <s v="14"/>
    <m/>
    <m/>
    <m/>
    <m/>
    <m/>
    <m/>
    <m/>
    <m/>
    <m/>
  </r>
  <r>
    <s v="UCQVbb4dGKq_eQU0Urm0imww"/>
    <s v="UCQVbb4dGKq_eQU0Urm0imww"/>
    <m/>
    <m/>
    <m/>
    <m/>
    <m/>
    <m/>
    <m/>
    <m/>
    <s v="No"/>
    <n v="288"/>
    <m/>
    <m/>
    <s v="Posted Video"/>
    <x v="2"/>
    <m/>
    <m/>
    <m/>
    <m/>
    <m/>
    <s v="R544_0CS46g"/>
    <s v="https://www.youtube.com/watch?v=R544_0CS46g"/>
    <m/>
    <m/>
    <x v="284"/>
    <m/>
    <m/>
    <m/>
    <m/>
    <n v="1"/>
    <s v="2"/>
    <s v="2"/>
    <m/>
    <m/>
    <m/>
    <m/>
    <m/>
    <m/>
    <m/>
    <m/>
    <m/>
  </r>
  <r>
    <s v="UCCb9_Kn8F_Opb3UCGm-lILQ"/>
    <s v="UCCb9_Kn8F_Opb3UCGm-lILQ"/>
    <m/>
    <m/>
    <m/>
    <m/>
    <m/>
    <m/>
    <m/>
    <m/>
    <s v="No"/>
    <n v="289"/>
    <m/>
    <m/>
    <s v="Posted Video"/>
    <x v="2"/>
    <m/>
    <m/>
    <m/>
    <m/>
    <m/>
    <s v="imzmS6mzOws"/>
    <s v="https://www.youtube.com/watch?v=imzmS6mzOws"/>
    <m/>
    <m/>
    <x v="285"/>
    <m/>
    <m/>
    <m/>
    <m/>
    <n v="2"/>
    <s v="2"/>
    <s v="2"/>
    <m/>
    <m/>
    <m/>
    <m/>
    <m/>
    <m/>
    <m/>
    <m/>
    <m/>
  </r>
  <r>
    <s v="UCCb9_Kn8F_Opb3UCGm-lILQ"/>
    <s v="UCCb9_Kn8F_Opb3UCGm-lILQ"/>
    <m/>
    <m/>
    <m/>
    <m/>
    <m/>
    <m/>
    <m/>
    <m/>
    <s v="No"/>
    <n v="290"/>
    <m/>
    <m/>
    <s v="Posted Video"/>
    <x v="2"/>
    <m/>
    <m/>
    <m/>
    <m/>
    <m/>
    <s v="mGfzlUpCpxw"/>
    <s v="https://www.youtube.com/watch?v=mGfzlUpCpxw"/>
    <m/>
    <m/>
    <x v="286"/>
    <m/>
    <m/>
    <m/>
    <m/>
    <n v="2"/>
    <s v="2"/>
    <s v="2"/>
    <m/>
    <m/>
    <m/>
    <m/>
    <m/>
    <m/>
    <m/>
    <m/>
    <m/>
  </r>
  <r>
    <s v="UCv0vw-y0YIwqEbU305hhcFg"/>
    <s v="UCv0vw-y0YIwqEbU305hhcFg"/>
    <m/>
    <m/>
    <m/>
    <m/>
    <m/>
    <m/>
    <m/>
    <m/>
    <s v="No"/>
    <n v="291"/>
    <m/>
    <m/>
    <s v="Posted Video"/>
    <x v="2"/>
    <m/>
    <m/>
    <m/>
    <m/>
    <m/>
    <s v="5_mfdaFBRy4"/>
    <s v="https://www.youtube.com/watch?v=5_mfdaFBRy4"/>
    <m/>
    <m/>
    <x v="287"/>
    <m/>
    <m/>
    <m/>
    <m/>
    <n v="1"/>
    <s v="24"/>
    <s v="24"/>
    <m/>
    <m/>
    <m/>
    <m/>
    <m/>
    <m/>
    <m/>
    <m/>
    <m/>
  </r>
  <r>
    <s v="UCPV_4r46H2Qo-jvCJOshyCw"/>
    <s v="UCPV_4r46H2Qo-jvCJOshyCw"/>
    <m/>
    <m/>
    <m/>
    <m/>
    <m/>
    <m/>
    <m/>
    <m/>
    <s v="No"/>
    <n v="292"/>
    <m/>
    <m/>
    <s v="Posted Video"/>
    <x v="2"/>
    <m/>
    <m/>
    <m/>
    <m/>
    <m/>
    <s v="M-7plTokyJ4"/>
    <s v="https://www.youtube.com/watch?v=M-7plTokyJ4"/>
    <m/>
    <m/>
    <x v="288"/>
    <m/>
    <m/>
    <m/>
    <m/>
    <n v="1"/>
    <s v="2"/>
    <s v="2"/>
    <m/>
    <m/>
    <m/>
    <m/>
    <m/>
    <m/>
    <m/>
    <m/>
    <m/>
  </r>
  <r>
    <s v="UCB_X37NbtJ8tXBrYj_4mEHg"/>
    <s v="UCB_X37NbtJ8tXBrYj_4mEHg"/>
    <m/>
    <m/>
    <m/>
    <m/>
    <m/>
    <m/>
    <m/>
    <m/>
    <s v="No"/>
    <n v="293"/>
    <m/>
    <m/>
    <s v="Posted Video"/>
    <x v="2"/>
    <m/>
    <m/>
    <m/>
    <m/>
    <m/>
    <s v="0M3T65Iw3Ac"/>
    <s v="https://www.youtube.com/watch?v=0M3T65Iw3Ac"/>
    <m/>
    <m/>
    <x v="289"/>
    <m/>
    <m/>
    <m/>
    <m/>
    <n v="1"/>
    <s v="23"/>
    <s v="23"/>
    <m/>
    <m/>
    <m/>
    <m/>
    <m/>
    <m/>
    <m/>
    <m/>
    <m/>
  </r>
  <r>
    <s v="UCNciB2joNhQCbcvuS_sf_fQ"/>
    <s v="UCNciB2joNhQCbcvuS_sf_fQ"/>
    <m/>
    <m/>
    <m/>
    <m/>
    <m/>
    <m/>
    <m/>
    <m/>
    <s v="No"/>
    <n v="294"/>
    <m/>
    <m/>
    <s v="Posted Video"/>
    <x v="2"/>
    <m/>
    <m/>
    <m/>
    <m/>
    <m/>
    <s v="fhuWyA2B_m4"/>
    <s v="https://www.youtube.com/watch?v=fhuWyA2B_m4"/>
    <m/>
    <m/>
    <x v="290"/>
    <m/>
    <m/>
    <m/>
    <m/>
    <n v="1"/>
    <s v="2"/>
    <s v="2"/>
    <m/>
    <m/>
    <m/>
    <m/>
    <m/>
    <m/>
    <m/>
    <m/>
    <m/>
  </r>
  <r>
    <s v="UCA6OvhEq-_c8R9hHdJkqp3A"/>
    <s v="UCA6OvhEq-_c8R9hHdJkqp3A"/>
    <m/>
    <m/>
    <m/>
    <m/>
    <m/>
    <m/>
    <m/>
    <m/>
    <s v="No"/>
    <n v="295"/>
    <m/>
    <m/>
    <s v="Posted Video"/>
    <x v="2"/>
    <m/>
    <m/>
    <m/>
    <m/>
    <m/>
    <s v="Ec0agEZ557k"/>
    <s v="https://www.youtube.com/watch?v=Ec0agEZ557k"/>
    <m/>
    <m/>
    <x v="291"/>
    <m/>
    <m/>
    <m/>
    <m/>
    <n v="1"/>
    <s v="2"/>
    <s v="2"/>
    <m/>
    <m/>
    <m/>
    <m/>
    <m/>
    <m/>
    <m/>
    <m/>
    <m/>
  </r>
  <r>
    <s v="UCfYrvWfah8SKHvX-fQ_oLWQ"/>
    <s v="UCfYrvWfah8SKHvX-fQ_oLWQ"/>
    <m/>
    <m/>
    <m/>
    <m/>
    <m/>
    <m/>
    <m/>
    <m/>
    <s v="No"/>
    <n v="296"/>
    <m/>
    <m/>
    <s v="Commented Video"/>
    <x v="0"/>
    <s v="Here is the actual picture in google drive&lt;br&gt;&lt;br&gt;&lt;a href=&quot;https://drive.google.com/file/d/1PbtSxb9-HpDzskfSC5qh5BHOzSlGEPPF/view?usp=sharing&quot;&gt;https://drive.google.com/file/d/1PbtSxb9-HpDzskfSC5qh5BHOzSlGEPPF/view?usp=sharing&lt;/a&gt;"/>
    <s v="UCfYrvWfah8SKHvX-fQ_oLWQ"/>
    <s v="Mika Laiti"/>
    <s v="http://www.youtube.com/channel/UCfYrvWfah8SKHvX-fQ_oLWQ"/>
    <m/>
    <s v="o-D-Duv8Mcs"/>
    <s v="https://www.youtube.com/watch?v=o-D-Duv8Mcs"/>
    <s v="none"/>
    <n v="1"/>
    <x v="292"/>
    <d v="2020-04-02T17:02:03.000"/>
    <s v=" https://drive.google.com/file/d/1PbtSxb9-HpDzskfSC5qh5BHOzSlGEPPF/view?usp=sharing https://drive.google.com/file/d/1PbtSxb9-HpDzskfSC5qh5BHOzSlGEPPF/view?usp=sharing"/>
    <s v="google.com google.com"/>
    <s v=""/>
    <n v="7"/>
    <s v="17"/>
    <s v="17"/>
    <n v="0"/>
    <n v="0"/>
    <n v="0"/>
    <n v="0"/>
    <n v="0"/>
    <n v="0"/>
    <n v="35"/>
    <n v="100"/>
    <n v="35"/>
  </r>
  <r>
    <s v="UCfYrvWfah8SKHvX-fQ_oLWQ"/>
    <s v="UCfYrvWfah8SKHvX-fQ_oLWQ"/>
    <m/>
    <m/>
    <m/>
    <m/>
    <m/>
    <m/>
    <m/>
    <m/>
    <s v="No"/>
    <n v="297"/>
    <m/>
    <m/>
    <s v="Commented Video"/>
    <x v="0"/>
    <s v="more info from&lt;br&gt;&lt;br&gt;&lt;a href=&quot;https://fierbmi.com/&quot;&gt;https://fierbmi.com/&lt;/a&gt;"/>
    <s v="UCfYrvWfah8SKHvX-fQ_oLWQ"/>
    <s v="Mika Laiti"/>
    <s v="http://www.youtube.com/channel/UCfYrvWfah8SKHvX-fQ_oLWQ"/>
    <m/>
    <s v="o-D-Duv8Mcs"/>
    <s v="https://www.youtube.com/watch?v=o-D-Duv8Mcs"/>
    <s v="none"/>
    <n v="1"/>
    <x v="293"/>
    <d v="2020-04-02T17:02:32.000"/>
    <s v=" https://fierbmi.com/ https://fierbmi.com/"/>
    <s v="fierbmi.com fierbmi.com"/>
    <s v=""/>
    <n v="7"/>
    <s v="17"/>
    <s v="17"/>
    <n v="0"/>
    <n v="0"/>
    <n v="0"/>
    <n v="0"/>
    <n v="0"/>
    <n v="0"/>
    <n v="14"/>
    <n v="100"/>
    <n v="14"/>
  </r>
  <r>
    <s v="UCfYrvWfah8SKHvX-fQ_oLWQ"/>
    <s v="UCfYrvWfah8SKHvX-fQ_oLWQ"/>
    <m/>
    <m/>
    <m/>
    <m/>
    <m/>
    <m/>
    <m/>
    <m/>
    <s v="No"/>
    <n v="298"/>
    <m/>
    <m/>
    <s v="Commented Video"/>
    <x v="0"/>
    <s v="link to gephi file&lt;br&gt;&lt;br&gt;&lt;a href=&quot;https://drive.google.com/open?id=1dAYfGszD6TI7S6I0vyZt419CBPZe2lwU&quot;&gt;https://drive.google.com/open?id=1dAYfGszD6TI7S6I0vyZt419CBPZe2lwU&lt;/a&gt;"/>
    <s v="UCfYrvWfah8SKHvX-fQ_oLWQ"/>
    <s v="Mika Laiti"/>
    <s v="http://www.youtube.com/channel/UCfYrvWfah8SKHvX-fQ_oLWQ"/>
    <m/>
    <s v="o-D-Duv8Mcs"/>
    <s v="https://www.youtube.com/watch?v=o-D-Duv8Mcs"/>
    <s v="none"/>
    <n v="0"/>
    <x v="294"/>
    <d v="2020-04-02T17:04:21.000"/>
    <s v=" https://drive.google.com/open?id=1dAYfGszD6TI7S6I0vyZt419CBPZe2lwU https://drive.google.com/open?id=1dAYfGszD6TI7S6I0vyZt419CBPZe2lwU"/>
    <s v="google.com google.com"/>
    <s v=""/>
    <n v="7"/>
    <s v="17"/>
    <s v="17"/>
    <n v="0"/>
    <n v="0"/>
    <n v="0"/>
    <n v="0"/>
    <n v="0"/>
    <n v="0"/>
    <n v="23"/>
    <n v="100"/>
    <n v="23"/>
  </r>
  <r>
    <s v="UCfYrvWfah8SKHvX-fQ_oLWQ"/>
    <s v="UCfYrvWfah8SKHvX-fQ_oLWQ"/>
    <m/>
    <m/>
    <m/>
    <m/>
    <m/>
    <m/>
    <m/>
    <m/>
    <s v="No"/>
    <n v="299"/>
    <m/>
    <m/>
    <s v="Commented Video"/>
    <x v="0"/>
    <s v="Here the original dataset&lt;br&gt;&lt;br&gt;&lt;a href=&quot;http://www.nodexlgraphgallery.org/Pages/Graph.aspx?graphID=224174&quot;&gt;http://www.nodexlgraphgallery.org/Pages/Graph.aspx?graphID=224174&lt;/a&gt;"/>
    <s v="UCfYrvWfah8SKHvX-fQ_oLWQ"/>
    <s v="Mika Laiti"/>
    <s v="http://www.youtube.com/channel/UCfYrvWfah8SKHvX-fQ_oLWQ"/>
    <m/>
    <s v="o-D-Duv8Mcs"/>
    <s v="https://www.youtube.com/watch?v=o-D-Duv8Mcs"/>
    <s v="none"/>
    <n v="1"/>
    <x v="295"/>
    <d v="2020-04-02T17:19:57.000"/>
    <s v=" http://www.nodexlgraphgallery.org/Pages/Graph.aspx?graphID=224174 http://www.nodexlgraphgallery.org/Pages/Graph.aspx?graphID=224174"/>
    <s v="nodexlgraphgallery.org nodexlgraphgallery.org"/>
    <s v=""/>
    <n v="7"/>
    <s v="17"/>
    <s v="17"/>
    <n v="0"/>
    <n v="0"/>
    <n v="0"/>
    <n v="0"/>
    <n v="0"/>
    <n v="0"/>
    <n v="27"/>
    <n v="100"/>
    <n v="27"/>
  </r>
  <r>
    <s v="UCfYrvWfah8SKHvX-fQ_oLWQ"/>
    <s v="UCfYrvWfah8SKHvX-fQ_oLWQ"/>
    <m/>
    <m/>
    <m/>
    <m/>
    <m/>
    <m/>
    <m/>
    <m/>
    <s v="No"/>
    <n v="300"/>
    <m/>
    <m/>
    <s v="Commented Video"/>
    <x v="0"/>
    <s v="My Twitter account. I post a lot stuff like this there&lt;br&gt;&lt;br&gt;&lt;a href=&quot;https://twitter.com/mihkal&quot;&gt;https://twitter.com/mihkal&lt;/a&gt;"/>
    <s v="UCfYrvWfah8SKHvX-fQ_oLWQ"/>
    <s v="Mika Laiti"/>
    <s v="http://www.youtube.com/channel/UCfYrvWfah8SKHvX-fQ_oLWQ"/>
    <m/>
    <s v="o-D-Duv8Mcs"/>
    <s v="https://www.youtube.com/watch?v=o-D-Duv8Mcs"/>
    <s v="none"/>
    <n v="1"/>
    <x v="296"/>
    <d v="2020-04-02T20:19:30.000"/>
    <s v=" https://twitter.com/mihkal https://twitter.com/mihkal"/>
    <s v="twitter.com twitter.com"/>
    <s v=""/>
    <n v="7"/>
    <s v="17"/>
    <s v="17"/>
    <n v="1"/>
    <n v="4.166666666666667"/>
    <n v="0"/>
    <n v="0"/>
    <n v="0"/>
    <n v="0"/>
    <n v="23"/>
    <n v="95.83333333333333"/>
    <n v="24"/>
  </r>
  <r>
    <s v="UCfYrvWfah8SKHvX-fQ_oLWQ"/>
    <s v="UCfYrvWfah8SKHvX-fQ_oLWQ"/>
    <m/>
    <m/>
    <m/>
    <m/>
    <m/>
    <m/>
    <m/>
    <m/>
    <s v="No"/>
    <n v="301"/>
    <m/>
    <m/>
    <s v="Commented Video"/>
    <x v="0"/>
    <s v="This video lacks the part where nodexl workbook data is exported to gexf. &lt;br&gt;it is simple task. Export menu | GEXF"/>
    <s v="UCfYrvWfah8SKHvX-fQ_oLWQ"/>
    <s v="Mika Laiti"/>
    <s v="http://www.youtube.com/channel/UCfYrvWfah8SKHvX-fQ_oLWQ"/>
    <m/>
    <s v="o-D-Duv8Mcs"/>
    <s v="https://www.youtube.com/watch?v=o-D-Duv8Mcs"/>
    <s v="none"/>
    <n v="3"/>
    <x v="297"/>
    <d v="2020-04-03T11:11:28.000"/>
    <m/>
    <m/>
    <s v=""/>
    <n v="7"/>
    <s v="17"/>
    <s v="17"/>
    <n v="0"/>
    <n v="0"/>
    <n v="1"/>
    <n v="4.761904761904762"/>
    <n v="0"/>
    <n v="0"/>
    <n v="20"/>
    <n v="95.23809523809524"/>
    <n v="21"/>
  </r>
  <r>
    <s v="UCfYrvWfah8SKHvX-fQ_oLWQ"/>
    <s v="UCfYrvWfah8SKHvX-fQ_oLWQ"/>
    <m/>
    <m/>
    <m/>
    <m/>
    <m/>
    <m/>
    <m/>
    <m/>
    <s v="No"/>
    <n v="302"/>
    <m/>
    <m/>
    <s v="Posted Video"/>
    <x v="2"/>
    <m/>
    <m/>
    <m/>
    <m/>
    <m/>
    <s v="o-D-Duv8Mcs"/>
    <s v="https://www.youtube.com/watch?v=o-D-Duv8Mcs"/>
    <m/>
    <m/>
    <x v="298"/>
    <m/>
    <m/>
    <m/>
    <m/>
    <n v="7"/>
    <s v="17"/>
    <s v="17"/>
    <m/>
    <m/>
    <m/>
    <m/>
    <m/>
    <m/>
    <m/>
    <m/>
    <m/>
  </r>
  <r>
    <s v="UCOQy7XDYjkjhb0QwVMwf-7A"/>
    <s v="UCo4986VKClJt42gAAOHqWtQ"/>
    <m/>
    <m/>
    <m/>
    <m/>
    <m/>
    <m/>
    <m/>
    <m/>
    <s v="No"/>
    <n v="303"/>
    <m/>
    <m/>
    <s v="Commented Video"/>
    <x v="0"/>
    <s v="Thanks for this video!_x000a__x000a_Your viewers may find it useful to download data sets for NodeXL from the NodeXL Graph Gallery._x000a__x000a_This reduces the time needed to download a large dataset.  The gallery also features some useful examples of how to best visualize a network.  You can download the machine readable instructions for creating many of the networks you see in the gallery by clicking the link: &amp;quot;Download the NodeXL Options Used to Create the Graph&amp;quot;."/>
    <s v="UCOQy7XDYjkjhb0QwVMwf-7A"/>
    <s v="Marc Smith"/>
    <s v="http://www.youtube.com/channel/UCOQy7XDYjkjhb0QwVMwf-7A"/>
    <m/>
    <s v="39yXz72qdow"/>
    <s v="https://www.youtube.com/watch?v=39yXz72qdow"/>
    <s v="none"/>
    <n v="0"/>
    <x v="299"/>
    <d v="2012-04-05T20:27:42.000"/>
    <m/>
    <m/>
    <s v=""/>
    <n v="1"/>
    <s v="6"/>
    <s v="9"/>
    <n v="4"/>
    <n v="5.128205128205129"/>
    <n v="0"/>
    <n v="0"/>
    <n v="0"/>
    <n v="0"/>
    <n v="74"/>
    <n v="94.87179487179488"/>
    <n v="78"/>
  </r>
  <r>
    <s v="UCo4986VKClJt42gAAOHqWtQ"/>
    <s v="UCo4986VKClJt42gAAOHqWtQ"/>
    <m/>
    <m/>
    <m/>
    <m/>
    <m/>
    <m/>
    <m/>
    <m/>
    <s v="No"/>
    <n v="304"/>
    <m/>
    <m/>
    <s v="Posted Video"/>
    <x v="2"/>
    <m/>
    <m/>
    <m/>
    <m/>
    <m/>
    <s v="39yXz72qdow"/>
    <s v="https://www.youtube.com/watch?v=39yXz72qdow"/>
    <m/>
    <m/>
    <x v="300"/>
    <m/>
    <m/>
    <m/>
    <m/>
    <n v="1"/>
    <s v="9"/>
    <s v="9"/>
    <m/>
    <m/>
    <m/>
    <m/>
    <m/>
    <m/>
    <m/>
    <m/>
    <m/>
  </r>
  <r>
    <s v="UCNZfOYWp05qz-k-2UKkfCTA"/>
    <s v="UCNZfOYWp05qz-k-2UKkfCTA"/>
    <m/>
    <m/>
    <m/>
    <m/>
    <m/>
    <m/>
    <m/>
    <m/>
    <s v="No"/>
    <n v="305"/>
    <m/>
    <m/>
    <s v="Posted Video"/>
    <x v="2"/>
    <m/>
    <m/>
    <m/>
    <m/>
    <m/>
    <s v="PbYZl4BZjJ8"/>
    <s v="https://www.youtube.com/watch?v=PbYZl4BZjJ8"/>
    <m/>
    <m/>
    <x v="301"/>
    <m/>
    <m/>
    <m/>
    <m/>
    <n v="1"/>
    <s v="2"/>
    <s v="2"/>
    <m/>
    <m/>
    <m/>
    <m/>
    <m/>
    <m/>
    <m/>
    <m/>
    <m/>
  </r>
  <r>
    <s v="UCo0TNY6-xhfq93AOKF_zDng"/>
    <s v="UCo0TNY6-xhfq93AOKF_zDng"/>
    <m/>
    <m/>
    <m/>
    <m/>
    <m/>
    <m/>
    <m/>
    <m/>
    <s v="No"/>
    <n v="306"/>
    <m/>
    <m/>
    <s v="Posted Video"/>
    <x v="2"/>
    <m/>
    <m/>
    <m/>
    <m/>
    <m/>
    <s v="6syIwTVbrt0"/>
    <s v="https://www.youtube.com/watch?v=6syIwTVbrt0"/>
    <m/>
    <m/>
    <x v="302"/>
    <m/>
    <m/>
    <m/>
    <m/>
    <n v="1"/>
    <s v="2"/>
    <s v="2"/>
    <m/>
    <m/>
    <m/>
    <m/>
    <m/>
    <m/>
    <m/>
    <m/>
    <m/>
  </r>
  <r>
    <s v="UCudmJpNyT3lLYSTkmkhDm8w"/>
    <s v="UCudmJpNyT3lLYSTkmkhDm8w"/>
    <m/>
    <m/>
    <m/>
    <m/>
    <m/>
    <m/>
    <m/>
    <m/>
    <s v="No"/>
    <n v="307"/>
    <m/>
    <m/>
    <s v="Posted Video"/>
    <x v="2"/>
    <m/>
    <m/>
    <m/>
    <m/>
    <m/>
    <s v="hVfI1U7uHR4"/>
    <s v="https://www.youtube.com/watch?v=hVfI1U7uHR4"/>
    <m/>
    <m/>
    <x v="303"/>
    <m/>
    <m/>
    <m/>
    <m/>
    <n v="1"/>
    <s v="13"/>
    <s v="13"/>
    <m/>
    <m/>
    <m/>
    <m/>
    <m/>
    <m/>
    <m/>
    <m/>
    <m/>
  </r>
  <r>
    <s v="UCcBoleECTMUEbXqg2AZNHdg"/>
    <s v="UCcBoleECTMUEbXqg2AZNHdg"/>
    <m/>
    <m/>
    <m/>
    <m/>
    <m/>
    <m/>
    <m/>
    <m/>
    <s v="No"/>
    <n v="308"/>
    <m/>
    <m/>
    <s v="Commented Video"/>
    <x v="0"/>
    <s v="@Marc Smith explains social network analysis in this chat with social media metrics students at the University of Nebraska at Omaha."/>
    <s v="UCcBoleECTMUEbXqg2AZNHdg"/>
    <s v="Jeremy Harris Lipschultz"/>
    <s v="http://www.youtube.com/channel/UCcBoleECTMUEbXqg2AZNHdg"/>
    <m/>
    <s v="4joYD7ye-R0"/>
    <s v="https://www.youtube.com/watch?v=4joYD7ye-R0"/>
    <s v="none"/>
    <n v="0"/>
    <x v="304"/>
    <d v="2015-07-28T02:20:21.000"/>
    <m/>
    <m/>
    <s v=""/>
    <n v="2"/>
    <s v="2"/>
    <s v="2"/>
    <n v="0"/>
    <n v="0"/>
    <n v="0"/>
    <n v="0"/>
    <n v="0"/>
    <n v="0"/>
    <n v="21"/>
    <n v="100"/>
    <n v="21"/>
  </r>
  <r>
    <s v="UCcBoleECTMUEbXqg2AZNHdg"/>
    <s v="UCcBoleECTMUEbXqg2AZNHdg"/>
    <m/>
    <m/>
    <m/>
    <m/>
    <m/>
    <m/>
    <m/>
    <m/>
    <s v="No"/>
    <n v="309"/>
    <m/>
    <m/>
    <s v="Posted Video"/>
    <x v="2"/>
    <m/>
    <m/>
    <m/>
    <m/>
    <m/>
    <s v="4joYD7ye-R0"/>
    <s v="https://www.youtube.com/watch?v=4joYD7ye-R0"/>
    <m/>
    <m/>
    <x v="305"/>
    <m/>
    <m/>
    <m/>
    <m/>
    <n v="2"/>
    <s v="2"/>
    <s v="2"/>
    <m/>
    <m/>
    <m/>
    <m/>
    <m/>
    <m/>
    <m/>
    <m/>
    <m/>
  </r>
  <r>
    <s v="UCT2t7sQp0Qyi9dxuckjOWAw"/>
    <s v="UCT2t7sQp0Qyi9dxuckjOWAw"/>
    <m/>
    <m/>
    <m/>
    <m/>
    <m/>
    <m/>
    <m/>
    <m/>
    <s v="No"/>
    <n v="310"/>
    <m/>
    <m/>
    <s v="Commented Video"/>
    <x v="0"/>
    <s v="ENLACE PARA TRADUCIR TEXTO DEL VIDEO  &lt;a href=&quot;https://docs.google.com/document/d/1GdYAVkfBXcNrpG_b_EAZwHldbSvUpY3GFjEESWu474c/edit?usp=sharing&quot;&gt;https://docs.google.com/document/d/1GdYAVkfBXcNrpG_b_EAZwHldbSvUpY3GFjEESWu474c/edit?usp=sharing&lt;/a&gt;"/>
    <s v="UCT2t7sQp0Qyi9dxuckjOWAw"/>
    <s v="Vivian Francos #SeoHashtag Posiciona tu Hashtag"/>
    <s v="http://www.youtube.com/channel/UCT2t7sQp0Qyi9dxuckjOWAw"/>
    <m/>
    <s v="ETE3foyjx_E"/>
    <s v="https://www.youtube.com/watch?v=ETE3foyjx_E"/>
    <s v="none"/>
    <n v="0"/>
    <x v="306"/>
    <d v="2019-10-26T16:52:11.000"/>
    <s v=" https://docs.google.com/document/d/1GdYAVkfBXcNrpG_b_EAZwHldbSvUpY3GFjEESWu474c/edit?usp=sharing https://docs.google.com/document/d/1GdYAVkfBXcNrpG_b_EAZwHldbSvUpY3GFjEESWu474c/edit?usp=sharing"/>
    <s v="google.com google.com"/>
    <s v=""/>
    <n v="3"/>
    <s v="4"/>
    <s v="4"/>
    <n v="0"/>
    <n v="0"/>
    <n v="0"/>
    <n v="0"/>
    <n v="0"/>
    <n v="0"/>
    <n v="29"/>
    <n v="100"/>
    <n v="29"/>
  </r>
  <r>
    <s v="UCT2t7sQp0Qyi9dxuckjOWAw"/>
    <s v="UCT2t7sQp0Qyi9dxuckjOWAw"/>
    <m/>
    <m/>
    <m/>
    <m/>
    <m/>
    <m/>
    <m/>
    <m/>
    <s v="No"/>
    <n v="311"/>
    <m/>
    <m/>
    <s v="Posted Video"/>
    <x v="2"/>
    <m/>
    <m/>
    <m/>
    <m/>
    <m/>
    <s v="3s6qbWY07FI"/>
    <s v="https://www.youtube.com/watch?v=3s6qbWY07FI"/>
    <m/>
    <m/>
    <x v="307"/>
    <m/>
    <m/>
    <m/>
    <m/>
    <n v="3"/>
    <s v="4"/>
    <s v="4"/>
    <m/>
    <m/>
    <m/>
    <m/>
    <m/>
    <m/>
    <m/>
    <m/>
    <m/>
  </r>
  <r>
    <s v="UCT2t7sQp0Qyi9dxuckjOWAw"/>
    <s v="UCT2t7sQp0Qyi9dxuckjOWAw"/>
    <m/>
    <m/>
    <m/>
    <m/>
    <m/>
    <m/>
    <m/>
    <m/>
    <s v="No"/>
    <n v="312"/>
    <m/>
    <m/>
    <s v="Posted Video"/>
    <x v="2"/>
    <m/>
    <m/>
    <m/>
    <m/>
    <m/>
    <s v="ETE3foyjx_E"/>
    <s v="https://www.youtube.com/watch?v=ETE3foyjx_E"/>
    <m/>
    <m/>
    <x v="308"/>
    <m/>
    <m/>
    <m/>
    <m/>
    <n v="3"/>
    <s v="4"/>
    <s v="4"/>
    <m/>
    <m/>
    <m/>
    <m/>
    <m/>
    <m/>
    <m/>
    <m/>
    <m/>
  </r>
  <r>
    <s v="UCgGajeuaTuh2HMsWDSnsD7Q"/>
    <s v="UCgGajeuaTuh2HMsWDSnsD7Q"/>
    <m/>
    <m/>
    <m/>
    <m/>
    <m/>
    <m/>
    <m/>
    <m/>
    <s v="No"/>
    <n v="313"/>
    <m/>
    <m/>
    <s v="Posted Video"/>
    <x v="2"/>
    <m/>
    <m/>
    <m/>
    <m/>
    <m/>
    <s v="IUlPHNXUDFI"/>
    <s v="https://www.youtube.com/watch?v=IUlPHNXUDFI"/>
    <m/>
    <m/>
    <x v="309"/>
    <m/>
    <m/>
    <m/>
    <m/>
    <n v="6"/>
    <s v="2"/>
    <s v="2"/>
    <m/>
    <m/>
    <m/>
    <m/>
    <m/>
    <m/>
    <m/>
    <m/>
    <m/>
  </r>
  <r>
    <s v="UCgGajeuaTuh2HMsWDSnsD7Q"/>
    <s v="UCgGajeuaTuh2HMsWDSnsD7Q"/>
    <m/>
    <m/>
    <m/>
    <m/>
    <m/>
    <m/>
    <m/>
    <m/>
    <s v="No"/>
    <n v="314"/>
    <m/>
    <m/>
    <s v="Posted Video"/>
    <x v="2"/>
    <m/>
    <m/>
    <m/>
    <m/>
    <m/>
    <s v="WoFbiZxNGt4"/>
    <s v="https://www.youtube.com/watch?v=WoFbiZxNGt4"/>
    <m/>
    <m/>
    <x v="310"/>
    <m/>
    <m/>
    <m/>
    <m/>
    <n v="6"/>
    <s v="2"/>
    <s v="2"/>
    <m/>
    <m/>
    <m/>
    <m/>
    <m/>
    <m/>
    <m/>
    <m/>
    <m/>
  </r>
  <r>
    <s v="UCgGajeuaTuh2HMsWDSnsD7Q"/>
    <s v="UCgGajeuaTuh2HMsWDSnsD7Q"/>
    <m/>
    <m/>
    <m/>
    <m/>
    <m/>
    <m/>
    <m/>
    <m/>
    <s v="No"/>
    <n v="315"/>
    <m/>
    <m/>
    <s v="Posted Video"/>
    <x v="2"/>
    <m/>
    <m/>
    <m/>
    <m/>
    <m/>
    <s v="MtpFeGA-57Y"/>
    <s v="https://www.youtube.com/watch?v=MtpFeGA-57Y"/>
    <m/>
    <m/>
    <x v="311"/>
    <m/>
    <m/>
    <m/>
    <m/>
    <n v="6"/>
    <s v="2"/>
    <s v="2"/>
    <m/>
    <m/>
    <m/>
    <m/>
    <m/>
    <m/>
    <m/>
    <m/>
    <m/>
  </r>
  <r>
    <s v="UCgGajeuaTuh2HMsWDSnsD7Q"/>
    <s v="UCgGajeuaTuh2HMsWDSnsD7Q"/>
    <m/>
    <m/>
    <m/>
    <m/>
    <m/>
    <m/>
    <m/>
    <m/>
    <s v="No"/>
    <n v="316"/>
    <m/>
    <m/>
    <s v="Posted Video"/>
    <x v="2"/>
    <m/>
    <m/>
    <m/>
    <m/>
    <m/>
    <s v="zg1s4bF59Ss"/>
    <s v="https://www.youtube.com/watch?v=zg1s4bF59Ss"/>
    <m/>
    <m/>
    <x v="312"/>
    <m/>
    <m/>
    <m/>
    <m/>
    <n v="6"/>
    <s v="2"/>
    <s v="2"/>
    <m/>
    <m/>
    <m/>
    <m/>
    <m/>
    <m/>
    <m/>
    <m/>
    <m/>
  </r>
  <r>
    <s v="UCgGajeuaTuh2HMsWDSnsD7Q"/>
    <s v="UCgGajeuaTuh2HMsWDSnsD7Q"/>
    <m/>
    <m/>
    <m/>
    <m/>
    <m/>
    <m/>
    <m/>
    <m/>
    <s v="No"/>
    <n v="317"/>
    <m/>
    <m/>
    <s v="Posted Video"/>
    <x v="2"/>
    <m/>
    <m/>
    <m/>
    <m/>
    <m/>
    <s v="gYfi-UXg0RE"/>
    <s v="https://www.youtube.com/watch?v=gYfi-UXg0RE"/>
    <m/>
    <m/>
    <x v="313"/>
    <m/>
    <m/>
    <m/>
    <m/>
    <n v="6"/>
    <s v="2"/>
    <s v="2"/>
    <m/>
    <m/>
    <m/>
    <m/>
    <m/>
    <m/>
    <m/>
    <m/>
    <m/>
  </r>
  <r>
    <s v="UCgGajeuaTuh2HMsWDSnsD7Q"/>
    <s v="UCgGajeuaTuh2HMsWDSnsD7Q"/>
    <m/>
    <m/>
    <m/>
    <m/>
    <m/>
    <m/>
    <m/>
    <m/>
    <s v="No"/>
    <n v="318"/>
    <m/>
    <m/>
    <s v="Posted Video"/>
    <x v="2"/>
    <m/>
    <m/>
    <m/>
    <m/>
    <m/>
    <s v="BYS8gVQMH7I"/>
    <s v="https://www.youtube.com/watch?v=BYS8gVQMH7I"/>
    <m/>
    <m/>
    <x v="314"/>
    <m/>
    <m/>
    <m/>
    <m/>
    <n v="6"/>
    <s v="2"/>
    <s v="2"/>
    <m/>
    <m/>
    <m/>
    <m/>
    <m/>
    <m/>
    <m/>
    <m/>
    <m/>
  </r>
  <r>
    <s v="UCOQy7XDYjkjhb0QwVMwf-7A"/>
    <s v="UC_gmpAYBi-b5LaCaWZnDBhQ"/>
    <m/>
    <m/>
    <m/>
    <m/>
    <m/>
    <m/>
    <m/>
    <m/>
    <s v="No"/>
    <n v="319"/>
    <m/>
    <m/>
    <s v="Commented Video"/>
    <x v="0"/>
    <s v="Have a request for the next &amp;quot;NodeXL Weather Report&amp;quot;?"/>
    <s v="UCOQy7XDYjkjhb0QwVMwf-7A"/>
    <s v="Marc Smith"/>
    <s v="http://www.youtube.com/channel/UCOQy7XDYjkjhb0QwVMwf-7A"/>
    <m/>
    <s v="yMCTnhBUpOg"/>
    <s v="https://www.youtube.com/watch?v=yMCTnhBUpOg"/>
    <s v="none"/>
    <n v="0"/>
    <x v="315"/>
    <d v="2016-08-03T18:44:07.000"/>
    <m/>
    <m/>
    <s v=""/>
    <n v="1"/>
    <s v="6"/>
    <s v="6"/>
    <n v="0"/>
    <n v="0"/>
    <n v="0"/>
    <n v="0"/>
    <n v="0"/>
    <n v="0"/>
    <n v="11"/>
    <n v="100"/>
    <n v="11"/>
  </r>
  <r>
    <s v="UC_gmpAYBi-b5LaCaWZnDBhQ"/>
    <s v="UC_gmpAYBi-b5LaCaWZnDBhQ"/>
    <m/>
    <m/>
    <m/>
    <m/>
    <m/>
    <m/>
    <m/>
    <m/>
    <s v="No"/>
    <n v="320"/>
    <m/>
    <m/>
    <s v="Posted Video"/>
    <x v="2"/>
    <m/>
    <m/>
    <m/>
    <m/>
    <m/>
    <s v="yMCTnhBUpOg"/>
    <s v="https://www.youtube.com/watch?v=yMCTnhBUpOg"/>
    <m/>
    <m/>
    <x v="316"/>
    <m/>
    <m/>
    <m/>
    <m/>
    <n v="2"/>
    <s v="6"/>
    <s v="6"/>
    <m/>
    <m/>
    <m/>
    <m/>
    <m/>
    <m/>
    <m/>
    <m/>
    <m/>
  </r>
  <r>
    <s v="UC_gmpAYBi-b5LaCaWZnDBhQ"/>
    <s v="UC_gmpAYBi-b5LaCaWZnDBhQ"/>
    <m/>
    <m/>
    <m/>
    <m/>
    <m/>
    <m/>
    <m/>
    <m/>
    <s v="No"/>
    <n v="321"/>
    <m/>
    <m/>
    <s v="Posted Video"/>
    <x v="2"/>
    <m/>
    <m/>
    <m/>
    <m/>
    <m/>
    <s v="jBXGN265uPI"/>
    <s v="https://www.youtube.com/watch?v=jBXGN265uPI"/>
    <m/>
    <m/>
    <x v="317"/>
    <m/>
    <m/>
    <m/>
    <m/>
    <n v="2"/>
    <s v="6"/>
    <s v="6"/>
    <m/>
    <m/>
    <m/>
    <m/>
    <m/>
    <m/>
    <m/>
    <m/>
    <m/>
  </r>
  <r>
    <s v="UCqDiq5jdrPYU0Qck9GJDbRg"/>
    <s v="UCqDiq5jdrPYU0Qck9GJDbRg"/>
    <m/>
    <m/>
    <m/>
    <m/>
    <m/>
    <m/>
    <m/>
    <m/>
    <s v="No"/>
    <n v="322"/>
    <m/>
    <m/>
    <s v="Posted Video"/>
    <x v="2"/>
    <m/>
    <m/>
    <m/>
    <m/>
    <m/>
    <s v="_LzT3A2_wDA"/>
    <s v="https://www.youtube.com/watch?v=_LzT3A2_wDA"/>
    <m/>
    <m/>
    <x v="318"/>
    <m/>
    <m/>
    <m/>
    <m/>
    <n v="1"/>
    <s v="2"/>
    <s v="2"/>
    <m/>
    <m/>
    <m/>
    <m/>
    <m/>
    <m/>
    <m/>
    <m/>
    <m/>
  </r>
  <r>
    <s v="UCEqAdgfHAPJPDq0hZqxjvyA"/>
    <s v="UCEqAdgfHAPJPDq0hZqxjvyA"/>
    <m/>
    <m/>
    <m/>
    <m/>
    <m/>
    <m/>
    <m/>
    <m/>
    <s v="No"/>
    <n v="323"/>
    <m/>
    <m/>
    <s v="Posted Video"/>
    <x v="2"/>
    <m/>
    <m/>
    <m/>
    <m/>
    <m/>
    <s v="pCYpAmk_2-Y"/>
    <s v="https://www.youtube.com/watch?v=pCYpAmk_2-Y"/>
    <m/>
    <m/>
    <x v="319"/>
    <m/>
    <m/>
    <m/>
    <m/>
    <n v="1"/>
    <s v="2"/>
    <s v="2"/>
    <m/>
    <m/>
    <m/>
    <m/>
    <m/>
    <m/>
    <m/>
    <m/>
    <m/>
  </r>
  <r>
    <s v="UCRZps3dH47Yd7pj8LmS7vmg"/>
    <s v="UCRZps3dH47Yd7pj8LmS7vmg"/>
    <m/>
    <m/>
    <m/>
    <m/>
    <m/>
    <m/>
    <m/>
    <m/>
    <s v="No"/>
    <n v="324"/>
    <m/>
    <m/>
    <s v="Commented Video"/>
    <x v="0"/>
    <s v="&lt;a href=&quot;https://www.amazon.com.br/s?i=stripbooks&amp;amp;rh=n%3A6740748011%2Cp_lbr_books_authors_browse-bin%3ATulio+Kahn&amp;amp;s=date-desc-rank&amp;amp;qid=1637233274&amp;amp;ref=sr_pg_1&quot;&gt;https://www.amazon.com.br/s?i=stripbooks&amp;amp;rh=n%3A6740748011%2Cp_lbr_books_authors_browse-bin%3ATulio+Kahn&amp;amp;s=date-desc-rank&amp;amp;qid=1637233274&amp;amp;ref=sr_pg_1&lt;/a&gt;"/>
    <s v="UCRZps3dH47Yd7pj8LmS7vmg"/>
    <s v="Tulio Kahn"/>
    <s v="http://www.youtube.com/channel/UCRZps3dH47Yd7pj8LmS7vmg"/>
    <m/>
    <s v="x9IzmOWAlnA"/>
    <s v="https://www.youtube.com/watch?v=x9IzmOWAlnA"/>
    <s v="none"/>
    <n v="0"/>
    <x v="320"/>
    <d v="2021-11-18T12:08:32.000"/>
    <s v=" https://www.amazon.com.br/s?i=stripbooks&amp;amp;rh=n%3A6740748011%2Cp_lbr_books_authors_browse-bin%3ATulio+Kahn&amp;amp;s=date-desc-rank&amp;amp;qid=1637233274&amp;amp;ref=sr_pg_1 https://www.amazon.com.br/s?i=stripbooks&amp;amp;rh=n%3A6740748011%2Cp_lbr_books_authors_browse-bin%3ATulio+Kahn&amp;amp;s=date-desc-rank&amp;amp;qid=1637233274&amp;amp;ref=sr_pg_1"/>
    <s v="com.br com.br"/>
    <s v=""/>
    <n v="2"/>
    <s v="21"/>
    <s v="21"/>
    <n v="0"/>
    <n v="0"/>
    <n v="0"/>
    <n v="0"/>
    <n v="0"/>
    <n v="0"/>
    <n v="57"/>
    <n v="100"/>
    <n v="57"/>
  </r>
  <r>
    <s v="UCRZps3dH47Yd7pj8LmS7vmg"/>
    <s v="UCRZps3dH47Yd7pj8LmS7vmg"/>
    <m/>
    <m/>
    <m/>
    <m/>
    <m/>
    <m/>
    <m/>
    <m/>
    <s v="No"/>
    <n v="325"/>
    <m/>
    <m/>
    <s v="Posted Video"/>
    <x v="2"/>
    <m/>
    <m/>
    <m/>
    <m/>
    <m/>
    <s v="x9IzmOWAlnA"/>
    <s v="https://www.youtube.com/watch?v=x9IzmOWAlnA"/>
    <m/>
    <m/>
    <x v="321"/>
    <m/>
    <m/>
    <m/>
    <m/>
    <n v="2"/>
    <s v="21"/>
    <s v="21"/>
    <m/>
    <m/>
    <m/>
    <m/>
    <m/>
    <m/>
    <m/>
    <m/>
    <m/>
  </r>
  <r>
    <s v="UCoVrqzF4FU2Lv5vnB_JXchA"/>
    <s v="UCoVrqzF4FU2Lv5vnB_JXchA"/>
    <m/>
    <m/>
    <m/>
    <m/>
    <m/>
    <m/>
    <m/>
    <m/>
    <s v="No"/>
    <n v="326"/>
    <m/>
    <m/>
    <s v="Posted Video"/>
    <x v="2"/>
    <m/>
    <m/>
    <m/>
    <m/>
    <m/>
    <s v="WHociTCrX48"/>
    <s v="https://www.youtube.com/watch?v=WHociTCrX48"/>
    <m/>
    <m/>
    <x v="322"/>
    <m/>
    <m/>
    <m/>
    <m/>
    <n v="1"/>
    <s v="8"/>
    <s v="8"/>
    <m/>
    <m/>
    <m/>
    <m/>
    <m/>
    <m/>
    <m/>
    <m/>
    <m/>
  </r>
  <r>
    <s v="UCAsUVwqROYclu1B2tk74kwg"/>
    <s v="UCAsUVwqROYclu1B2tk74kwg"/>
    <m/>
    <m/>
    <m/>
    <m/>
    <m/>
    <m/>
    <m/>
    <m/>
    <s v="No"/>
    <n v="327"/>
    <m/>
    <m/>
    <s v="Posted Video"/>
    <x v="2"/>
    <m/>
    <m/>
    <m/>
    <m/>
    <m/>
    <s v="aJuHtKjYySE"/>
    <s v="https://www.youtube.com/watch?v=aJuHtKjYySE"/>
    <m/>
    <m/>
    <x v="323"/>
    <m/>
    <m/>
    <m/>
    <m/>
    <n v="1"/>
    <s v="20"/>
    <s v="20"/>
    <m/>
    <m/>
    <m/>
    <m/>
    <m/>
    <m/>
    <m/>
    <m/>
    <m/>
  </r>
  <r>
    <s v="UCszcmo-D454RsJIOheCu7QQ"/>
    <s v="UCszcmo-D454RsJIOheCu7QQ"/>
    <m/>
    <m/>
    <m/>
    <m/>
    <m/>
    <m/>
    <m/>
    <m/>
    <s v="No"/>
    <n v="328"/>
    <m/>
    <m/>
    <s v="Posted Video"/>
    <x v="2"/>
    <m/>
    <m/>
    <m/>
    <m/>
    <m/>
    <s v="89xmLtfm7G4"/>
    <s v="https://www.youtube.com/watch?v=89xmLtfm7G4"/>
    <m/>
    <m/>
    <x v="324"/>
    <m/>
    <m/>
    <m/>
    <m/>
    <n v="4"/>
    <s v="2"/>
    <s v="2"/>
    <m/>
    <m/>
    <m/>
    <m/>
    <m/>
    <m/>
    <m/>
    <m/>
    <m/>
  </r>
  <r>
    <s v="UCszcmo-D454RsJIOheCu7QQ"/>
    <s v="UCszcmo-D454RsJIOheCu7QQ"/>
    <m/>
    <m/>
    <m/>
    <m/>
    <m/>
    <m/>
    <m/>
    <m/>
    <s v="No"/>
    <n v="329"/>
    <m/>
    <m/>
    <s v="Posted Video"/>
    <x v="2"/>
    <m/>
    <m/>
    <m/>
    <m/>
    <m/>
    <s v="zkOZhLTTZMU"/>
    <s v="https://www.youtube.com/watch?v=zkOZhLTTZMU"/>
    <m/>
    <m/>
    <x v="325"/>
    <m/>
    <m/>
    <m/>
    <m/>
    <n v="4"/>
    <s v="2"/>
    <s v="2"/>
    <m/>
    <m/>
    <m/>
    <m/>
    <m/>
    <m/>
    <m/>
    <m/>
    <m/>
  </r>
  <r>
    <s v="UCszcmo-D454RsJIOheCu7QQ"/>
    <s v="UCszcmo-D454RsJIOheCu7QQ"/>
    <m/>
    <m/>
    <m/>
    <m/>
    <m/>
    <m/>
    <m/>
    <m/>
    <s v="No"/>
    <n v="330"/>
    <m/>
    <m/>
    <s v="Posted Video"/>
    <x v="2"/>
    <m/>
    <m/>
    <m/>
    <m/>
    <m/>
    <s v="Udl9m3kua9Y"/>
    <s v="https://www.youtube.com/watch?v=Udl9m3kua9Y"/>
    <m/>
    <m/>
    <x v="326"/>
    <m/>
    <m/>
    <m/>
    <m/>
    <n v="4"/>
    <s v="2"/>
    <s v="2"/>
    <m/>
    <m/>
    <m/>
    <m/>
    <m/>
    <m/>
    <m/>
    <m/>
    <m/>
  </r>
  <r>
    <s v="UCszcmo-D454RsJIOheCu7QQ"/>
    <s v="UCszcmo-D454RsJIOheCu7QQ"/>
    <m/>
    <m/>
    <m/>
    <m/>
    <m/>
    <m/>
    <m/>
    <m/>
    <s v="No"/>
    <n v="331"/>
    <m/>
    <m/>
    <s v="Posted Video"/>
    <x v="2"/>
    <m/>
    <m/>
    <m/>
    <m/>
    <m/>
    <s v="kCApYWeu-kE"/>
    <s v="https://www.youtube.com/watch?v=kCApYWeu-kE"/>
    <m/>
    <m/>
    <x v="327"/>
    <m/>
    <m/>
    <m/>
    <m/>
    <n v="4"/>
    <s v="2"/>
    <s v="2"/>
    <m/>
    <m/>
    <m/>
    <m/>
    <m/>
    <m/>
    <m/>
    <m/>
    <m/>
  </r>
  <r>
    <s v="UCbmNph6atAoGfqLoCL_duAg"/>
    <s v="UCbmNph6atAoGfqLoCL_duAg"/>
    <m/>
    <m/>
    <m/>
    <m/>
    <m/>
    <m/>
    <m/>
    <m/>
    <s v="No"/>
    <n v="332"/>
    <m/>
    <m/>
    <s v="Posted Video"/>
    <x v="2"/>
    <m/>
    <m/>
    <m/>
    <m/>
    <m/>
    <s v="ZYLWHRa8Et4"/>
    <s v="https://www.youtube.com/watch?v=ZYLWHRa8Et4"/>
    <m/>
    <m/>
    <x v="328"/>
    <m/>
    <m/>
    <m/>
    <m/>
    <n v="1"/>
    <s v="16"/>
    <s v="16"/>
    <m/>
    <m/>
    <m/>
    <m/>
    <m/>
    <m/>
    <m/>
    <m/>
    <m/>
  </r>
  <r>
    <s v="UC8Gt-9-7Z9vypF8m3WMaOgg"/>
    <s v="UC8Gt-9-7Z9vypF8m3WMaOgg"/>
    <m/>
    <m/>
    <m/>
    <m/>
    <m/>
    <m/>
    <m/>
    <m/>
    <s v="No"/>
    <n v="333"/>
    <m/>
    <m/>
    <s v="Posted Video"/>
    <x v="2"/>
    <m/>
    <m/>
    <m/>
    <m/>
    <m/>
    <s v="8b-U81FWPI4"/>
    <s v="https://www.youtube.com/watch?v=8b-U81FWPI4"/>
    <m/>
    <m/>
    <x v="329"/>
    <m/>
    <m/>
    <m/>
    <m/>
    <n v="1"/>
    <s v="2"/>
    <s v="2"/>
    <m/>
    <m/>
    <m/>
    <m/>
    <m/>
    <m/>
    <m/>
    <m/>
    <m/>
  </r>
  <r>
    <s v="UCVRsFyifrTrADDHncqwLghg"/>
    <s v="UCVRsFyifrTrADDHncqwLghg"/>
    <m/>
    <m/>
    <m/>
    <m/>
    <m/>
    <m/>
    <m/>
    <m/>
    <s v="No"/>
    <n v="334"/>
    <m/>
    <m/>
    <s v="Posted Video"/>
    <x v="2"/>
    <m/>
    <m/>
    <m/>
    <m/>
    <m/>
    <s v="1VVN0ZlxXmI"/>
    <s v="https://www.youtube.com/watch?v=1VVN0ZlxXmI"/>
    <m/>
    <m/>
    <x v="330"/>
    <m/>
    <m/>
    <m/>
    <m/>
    <n v="1"/>
    <s v="19"/>
    <s v="19"/>
    <m/>
    <m/>
    <m/>
    <m/>
    <m/>
    <m/>
    <m/>
    <m/>
    <m/>
  </r>
  <r>
    <s v="UCpSb0VfB8knPbOeEdHGJdnQ"/>
    <s v="UCpSb0VfB8knPbOeEdHGJdnQ"/>
    <m/>
    <m/>
    <m/>
    <m/>
    <m/>
    <m/>
    <m/>
    <m/>
    <s v="No"/>
    <n v="335"/>
    <m/>
    <m/>
    <s v="Posted Video"/>
    <x v="2"/>
    <m/>
    <m/>
    <m/>
    <m/>
    <m/>
    <s v="Ksggp3-Grdo"/>
    <s v="https://www.youtube.com/watch?v=Ksggp3-Grdo"/>
    <m/>
    <m/>
    <x v="331"/>
    <m/>
    <m/>
    <m/>
    <m/>
    <n v="1"/>
    <s v="2"/>
    <s v="2"/>
    <m/>
    <m/>
    <m/>
    <m/>
    <m/>
    <m/>
    <m/>
    <m/>
    <m/>
  </r>
  <r>
    <s v="UCif9JdoLvBtApiSu94tWjPg"/>
    <s v="UCif9JdoLvBtApiSu94tWjPg"/>
    <m/>
    <m/>
    <m/>
    <m/>
    <m/>
    <m/>
    <m/>
    <m/>
    <s v="No"/>
    <n v="336"/>
    <m/>
    <m/>
    <s v="Posted Video"/>
    <x v="2"/>
    <m/>
    <m/>
    <m/>
    <m/>
    <m/>
    <s v="JWbyuFZSm2Y"/>
    <s v="https://www.youtube.com/watch?v=JWbyuFZSm2Y"/>
    <m/>
    <m/>
    <x v="332"/>
    <m/>
    <m/>
    <m/>
    <m/>
    <n v="2"/>
    <s v="10"/>
    <s v="10"/>
    <m/>
    <m/>
    <m/>
    <m/>
    <m/>
    <m/>
    <m/>
    <m/>
    <m/>
  </r>
  <r>
    <s v="UCif9JdoLvBtApiSu94tWjPg"/>
    <s v="UCif9JdoLvBtApiSu94tWjPg"/>
    <m/>
    <m/>
    <m/>
    <m/>
    <m/>
    <m/>
    <m/>
    <m/>
    <s v="No"/>
    <n v="337"/>
    <m/>
    <m/>
    <s v="Posted Video"/>
    <x v="2"/>
    <m/>
    <m/>
    <m/>
    <m/>
    <m/>
    <s v="tzkLBf9t7MY"/>
    <s v="https://www.youtube.com/watch?v=tzkLBf9t7MY"/>
    <m/>
    <m/>
    <x v="333"/>
    <m/>
    <m/>
    <m/>
    <m/>
    <n v="2"/>
    <s v="10"/>
    <s v="10"/>
    <m/>
    <m/>
    <m/>
    <m/>
    <m/>
    <m/>
    <m/>
    <m/>
    <m/>
  </r>
  <r>
    <s v="UCcyRyUvk-VLYGh8srnf9E2Q"/>
    <s v="UCcyRyUvk-VLYGh8srnf9E2Q"/>
    <m/>
    <m/>
    <m/>
    <m/>
    <m/>
    <m/>
    <m/>
    <m/>
    <s v="No"/>
    <n v="338"/>
    <m/>
    <m/>
    <s v="Posted Video"/>
    <x v="2"/>
    <m/>
    <m/>
    <m/>
    <m/>
    <m/>
    <s v="GYSgH1g_YQI"/>
    <s v="https://www.youtube.com/watch?v=GYSgH1g_YQI"/>
    <m/>
    <m/>
    <x v="334"/>
    <m/>
    <m/>
    <m/>
    <m/>
    <n v="1"/>
    <s v="5"/>
    <s v="5"/>
    <m/>
    <m/>
    <m/>
    <m/>
    <m/>
    <m/>
    <m/>
    <m/>
    <m/>
  </r>
  <r>
    <s v="UCGajcAd0-l59-ly_FeDMYXw"/>
    <s v="UCGajcAd0-l59-ly_FeDMYXw"/>
    <m/>
    <m/>
    <m/>
    <m/>
    <m/>
    <m/>
    <m/>
    <m/>
    <s v="No"/>
    <n v="339"/>
    <m/>
    <m/>
    <s v="Posted Video"/>
    <x v="2"/>
    <m/>
    <m/>
    <m/>
    <m/>
    <m/>
    <s v="TrCcbMEkJM0"/>
    <s v="https://www.youtube.com/watch?v=TrCcbMEkJM0"/>
    <m/>
    <m/>
    <x v="335"/>
    <m/>
    <m/>
    <m/>
    <m/>
    <n v="1"/>
    <s v="15"/>
    <s v="15"/>
    <m/>
    <m/>
    <m/>
    <m/>
    <m/>
    <m/>
    <m/>
    <m/>
    <m/>
  </r>
  <r>
    <s v="UC4B0PCHbdzSSzlHORDsaYjQ"/>
    <s v="UC4B0PCHbdzSSzlHORDsaYjQ"/>
    <m/>
    <m/>
    <m/>
    <m/>
    <m/>
    <m/>
    <m/>
    <m/>
    <s v="No"/>
    <n v="340"/>
    <m/>
    <m/>
    <s v="Posted Video"/>
    <x v="2"/>
    <m/>
    <m/>
    <m/>
    <m/>
    <m/>
    <s v="Cp5dejUrVUE"/>
    <s v="https://www.youtube.com/watch?v=Cp5dejUrVUE"/>
    <m/>
    <m/>
    <x v="336"/>
    <m/>
    <m/>
    <m/>
    <m/>
    <n v="5"/>
    <s v="7"/>
    <s v="7"/>
    <m/>
    <m/>
    <m/>
    <m/>
    <m/>
    <m/>
    <m/>
    <m/>
    <m/>
  </r>
  <r>
    <s v="UC4B0PCHbdzSSzlHORDsaYjQ"/>
    <s v="UC4B0PCHbdzSSzlHORDsaYjQ"/>
    <m/>
    <m/>
    <m/>
    <m/>
    <m/>
    <m/>
    <m/>
    <m/>
    <s v="No"/>
    <n v="341"/>
    <m/>
    <m/>
    <s v="Posted Video"/>
    <x v="2"/>
    <m/>
    <m/>
    <m/>
    <m/>
    <m/>
    <s v="GDEZBIXOz_c"/>
    <s v="https://www.youtube.com/watch?v=GDEZBIXOz_c"/>
    <m/>
    <m/>
    <x v="337"/>
    <m/>
    <m/>
    <m/>
    <m/>
    <n v="5"/>
    <s v="7"/>
    <s v="7"/>
    <m/>
    <m/>
    <m/>
    <m/>
    <m/>
    <m/>
    <m/>
    <m/>
    <m/>
  </r>
  <r>
    <s v="UC4B0PCHbdzSSzlHORDsaYjQ"/>
    <s v="UC4B0PCHbdzSSzlHORDsaYjQ"/>
    <m/>
    <m/>
    <m/>
    <m/>
    <m/>
    <m/>
    <m/>
    <m/>
    <s v="No"/>
    <n v="342"/>
    <m/>
    <m/>
    <s v="Posted Video"/>
    <x v="2"/>
    <m/>
    <m/>
    <m/>
    <m/>
    <m/>
    <s v="9YcbpzQ3f8I"/>
    <s v="https://www.youtube.com/watch?v=9YcbpzQ3f8I"/>
    <m/>
    <m/>
    <x v="338"/>
    <m/>
    <m/>
    <m/>
    <m/>
    <n v="5"/>
    <s v="7"/>
    <s v="7"/>
    <m/>
    <m/>
    <m/>
    <m/>
    <m/>
    <m/>
    <m/>
    <m/>
    <m/>
  </r>
  <r>
    <s v="UC4B0PCHbdzSSzlHORDsaYjQ"/>
    <s v="UC4B0PCHbdzSSzlHORDsaYjQ"/>
    <m/>
    <m/>
    <m/>
    <m/>
    <m/>
    <m/>
    <m/>
    <m/>
    <s v="No"/>
    <n v="343"/>
    <m/>
    <m/>
    <s v="Posted Video"/>
    <x v="2"/>
    <m/>
    <m/>
    <m/>
    <m/>
    <m/>
    <s v="yknqOhpUtzQ"/>
    <s v="https://www.youtube.com/watch?v=yknqOhpUtzQ"/>
    <m/>
    <m/>
    <x v="339"/>
    <m/>
    <m/>
    <m/>
    <m/>
    <n v="5"/>
    <s v="7"/>
    <s v="7"/>
    <m/>
    <m/>
    <m/>
    <m/>
    <m/>
    <m/>
    <m/>
    <m/>
    <m/>
  </r>
  <r>
    <s v="UC4B0PCHbdzSSzlHORDsaYjQ"/>
    <s v="UC4B0PCHbdzSSzlHORDsaYjQ"/>
    <m/>
    <m/>
    <m/>
    <m/>
    <m/>
    <m/>
    <m/>
    <m/>
    <s v="No"/>
    <n v="344"/>
    <m/>
    <m/>
    <s v="Posted Video"/>
    <x v="2"/>
    <m/>
    <m/>
    <m/>
    <m/>
    <m/>
    <s v="0snyC8fNhXo"/>
    <s v="https://www.youtube.com/watch?v=0snyC8fNhXo"/>
    <m/>
    <m/>
    <x v="340"/>
    <m/>
    <m/>
    <m/>
    <m/>
    <n v="5"/>
    <s v="7"/>
    <s v="7"/>
    <m/>
    <m/>
    <m/>
    <m/>
    <m/>
    <m/>
    <m/>
    <m/>
    <m/>
  </r>
  <r>
    <s v="UCewxu9BEC64CfQVzR6vd3cA"/>
    <s v="UCewxu9BEC64CfQVzR6vd3cA"/>
    <m/>
    <m/>
    <m/>
    <m/>
    <m/>
    <m/>
    <m/>
    <m/>
    <s v="No"/>
    <n v="345"/>
    <m/>
    <m/>
    <s v="Posted Video"/>
    <x v="2"/>
    <m/>
    <m/>
    <m/>
    <m/>
    <m/>
    <s v="DfVp1zDYNLg"/>
    <s v="https://www.youtube.com/watch?v=DfVp1zDYNLg"/>
    <m/>
    <m/>
    <x v="341"/>
    <m/>
    <m/>
    <m/>
    <m/>
    <n v="1"/>
    <s v="3"/>
    <s v="3"/>
    <m/>
    <m/>
    <m/>
    <m/>
    <m/>
    <m/>
    <m/>
    <m/>
    <m/>
  </r>
  <r>
    <s v="UC2T_oimRLkjFPyGYeAz6qPw"/>
    <s v="UC2T_oimRLkjFPyGYeAz6qPw"/>
    <m/>
    <m/>
    <m/>
    <m/>
    <m/>
    <m/>
    <m/>
    <m/>
    <s v="No"/>
    <n v="346"/>
    <m/>
    <m/>
    <s v="Posted Video"/>
    <x v="2"/>
    <m/>
    <m/>
    <m/>
    <m/>
    <m/>
    <s v="loKrwwx7OWQ"/>
    <s v="https://www.youtube.com/watch?v=loKrwwx7OWQ"/>
    <m/>
    <m/>
    <x v="342"/>
    <m/>
    <m/>
    <m/>
    <m/>
    <n v="1"/>
    <s v="2"/>
    <s v="2"/>
    <m/>
    <m/>
    <m/>
    <m/>
    <m/>
    <m/>
    <m/>
    <m/>
    <m/>
  </r>
  <r>
    <s v="UCqS6Idv3FEU9VQX7-yHwnSw"/>
    <s v="UCqS6Idv3FEU9VQX7-yHwnSw"/>
    <m/>
    <m/>
    <m/>
    <m/>
    <m/>
    <m/>
    <m/>
    <m/>
    <s v="No"/>
    <n v="347"/>
    <m/>
    <m/>
    <s v="Posted Video"/>
    <x v="2"/>
    <m/>
    <m/>
    <m/>
    <m/>
    <m/>
    <s v="leNjC1CQiow"/>
    <s v="https://www.youtube.com/watch?v=leNjC1CQiow"/>
    <m/>
    <m/>
    <x v="343"/>
    <m/>
    <m/>
    <m/>
    <m/>
    <n v="1"/>
    <s v="4"/>
    <s v="4"/>
    <m/>
    <m/>
    <m/>
    <m/>
    <m/>
    <m/>
    <m/>
    <m/>
    <m/>
  </r>
  <r>
    <s v="UCaz5lJl4O-DlZ0Ype11GGDQ"/>
    <s v="UCaz5lJl4O-DlZ0Ype11GGDQ"/>
    <m/>
    <m/>
    <m/>
    <m/>
    <m/>
    <m/>
    <m/>
    <m/>
    <s v="No"/>
    <n v="348"/>
    <m/>
    <m/>
    <s v="Commented Video"/>
    <x v="0"/>
    <s v="Merhabalar. Node XL ve Sosyal Ağ Analizi konusunda sizlerden mesaj ve yorumlar almaktayım ve ilginize çok teşekkür ederim. Konuya geri dönüş yapmak planlarım arasında olmakla birlikte, bu yakın zamanda olmayacak. Node XL kullanmayı ve bazı temel sosyal ağ analizi kavramlarını öğrenebileceğiniz bir PDF dosyası ayarladım sizler için. İlgili linkten &amp;quot;Node XL ile Ağların Çizimi ve Analizi&amp;quot; isimli PDF doyasına ulaşabilirsiniz. Bu dosya umarım işinizi görür ve daha iyi çalışmalar yapmanıza olanak tanır. Teşekkürler.&lt;br&gt;&lt;br&gt;Node XL ile Ağların Çizimi ve Analizi&lt;br&gt;&lt;br&gt;&lt;a href=&quot;https://drive.google.com/file/d/1setCSR5TRFgLAsY6IIbyKG9_eT02Ay5C/view?usp=sharing&quot;&gt;https://drive.google.com/file/d/1setCSR5TRFgLAsY6IIbyKG9_eT02Ay5C/view?usp=sharing&lt;/a&gt;"/>
    <s v="UCaz5lJl4O-DlZ0Ype11GGDQ"/>
    <s v="Kaan"/>
    <s v="http://www.youtube.com/channel/UCaz5lJl4O-DlZ0Ype11GGDQ"/>
    <m/>
    <s v="-dB0rwt6_U8"/>
    <s v="https://www.youtube.com/watch?v=-dB0rwt6_U8"/>
    <s v="none"/>
    <n v="1"/>
    <x v="344"/>
    <d v="2021-01-04T23:21:27.000"/>
    <s v=" https://drive.google.com/file/d/1setCSR5TRFgLAsY6IIbyKG9_eT02Ay5C/view?usp=sharing https://drive.google.com/file/d/1setCSR5TRFgLAsY6IIbyKG9_eT02Ay5C/view?usp=sharing"/>
    <s v="google.com google.com"/>
    <s v=""/>
    <n v="2"/>
    <s v="5"/>
    <s v="5"/>
    <n v="0"/>
    <n v="0"/>
    <n v="0"/>
    <n v="0"/>
    <n v="0"/>
    <n v="0"/>
    <n v="109"/>
    <n v="100"/>
    <n v="109"/>
  </r>
  <r>
    <s v="UCaz5lJl4O-DlZ0Ype11GGDQ"/>
    <s v="UCaz5lJl4O-DlZ0Ype11GGDQ"/>
    <m/>
    <m/>
    <m/>
    <m/>
    <m/>
    <m/>
    <m/>
    <m/>
    <s v="No"/>
    <n v="349"/>
    <m/>
    <m/>
    <s v="Posted Video"/>
    <x v="2"/>
    <m/>
    <m/>
    <m/>
    <m/>
    <m/>
    <s v="-dB0rwt6_U8"/>
    <s v="https://www.youtube.com/watch?v=-dB0rwt6_U8"/>
    <m/>
    <m/>
    <x v="345"/>
    <m/>
    <m/>
    <m/>
    <m/>
    <n v="2"/>
    <s v="5"/>
    <s v="5"/>
    <m/>
    <m/>
    <m/>
    <m/>
    <m/>
    <m/>
    <m/>
    <m/>
    <m/>
  </r>
  <r>
    <s v="UCY8xUWeaWVE4JY05JUupzYQ"/>
    <s v="UCY8xUWeaWVE4JY05JUupzYQ"/>
    <m/>
    <m/>
    <m/>
    <m/>
    <m/>
    <m/>
    <m/>
    <m/>
    <s v="No"/>
    <n v="350"/>
    <m/>
    <m/>
    <s v="Posted Video"/>
    <x v="2"/>
    <m/>
    <m/>
    <m/>
    <m/>
    <m/>
    <s v="gv96pG-FpNs"/>
    <s v="https://www.youtube.com/watch?v=gv96pG-FpNs"/>
    <m/>
    <m/>
    <x v="346"/>
    <m/>
    <m/>
    <m/>
    <m/>
    <n v="1"/>
    <s v="2"/>
    <s v="2"/>
    <m/>
    <m/>
    <m/>
    <m/>
    <m/>
    <m/>
    <m/>
    <m/>
    <m/>
  </r>
  <r>
    <s v="UCOQy7XDYjkjhb0QwVMwf-7A"/>
    <s v="UCOQy7XDYjkjhb0QwVMwf-7A"/>
    <m/>
    <m/>
    <m/>
    <m/>
    <m/>
    <m/>
    <m/>
    <m/>
    <s v="No"/>
    <n v="351"/>
    <m/>
    <m/>
    <s v="Commented Video"/>
    <x v="0"/>
    <s v="Plot NodeXL location data on a PowerMap &lt;br&gt;From NodeXL &lt;b&gt;Edges&lt;/b&gt; worksheet: Insert -&amp;gt; 3D Map &lt;br&gt;PowerMap automatically recognizes geographic data present. &lt;br&gt;You can add other columns. &lt;br&gt;It generates a 3d world map of the location of Tweets (that have location data)."/>
    <s v="UCOQy7XDYjkjhb0QwVMwf-7A"/>
    <s v="Marc Smith"/>
    <s v="http://www.youtube.com/channel/UCOQy7XDYjkjhb0QwVMwf-7A"/>
    <m/>
    <s v="PmDKuAnKiGA"/>
    <s v="https://www.youtube.com/watch?v=PmDKuAnKiGA"/>
    <s v="none"/>
    <n v="0"/>
    <x v="347"/>
    <d v="2019-02-01T19:05:48.000"/>
    <m/>
    <m/>
    <s v=""/>
    <n v="9"/>
    <s v="6"/>
    <s v="6"/>
    <n v="0"/>
    <n v="0"/>
    <n v="1"/>
    <n v="2.127659574468085"/>
    <n v="0"/>
    <n v="0"/>
    <n v="46"/>
    <n v="97.87234042553192"/>
    <n v="47"/>
  </r>
  <r>
    <s v="UCOQy7XDYjkjhb0QwVMwf-7A"/>
    <s v="UCerAw4EfTOnYYxLLPZAzMxQ"/>
    <m/>
    <m/>
    <m/>
    <m/>
    <m/>
    <m/>
    <m/>
    <m/>
    <s v="No"/>
    <n v="352"/>
    <m/>
    <m/>
    <s v="Commented Video"/>
    <x v="0"/>
    <s v="NodeXL Tip: You can list all edges first and NodeXL will populate the Vertices list automatically. "/>
    <s v="UCOQy7XDYjkjhb0QwVMwf-7A"/>
    <s v="Marc Smith"/>
    <s v="http://www.youtube.com/channel/UCOQy7XDYjkjhb0QwVMwf-7A"/>
    <m/>
    <s v="t8YHRVf60BU"/>
    <s v="https://www.youtube.com/watch?v=t8YHRVf60BU"/>
    <s v="none"/>
    <n v="0"/>
    <x v="348"/>
    <d v="2012-09-09T16:21:47.000"/>
    <m/>
    <m/>
    <s v=""/>
    <n v="1"/>
    <s v="6"/>
    <s v="1"/>
    <n v="0"/>
    <n v="0"/>
    <n v="0"/>
    <n v="0"/>
    <n v="0"/>
    <n v="0"/>
    <n v="16"/>
    <n v="100"/>
    <n v="16"/>
  </r>
  <r>
    <s v="UCOQy7XDYjkjhb0QwVMwf-7A"/>
    <s v="UCOQy7XDYjkjhb0QwVMwf-7A"/>
    <m/>
    <m/>
    <m/>
    <m/>
    <m/>
    <m/>
    <m/>
    <m/>
    <s v="No"/>
    <n v="353"/>
    <m/>
    <m/>
    <s v="Posted Video"/>
    <x v="2"/>
    <m/>
    <m/>
    <m/>
    <m/>
    <m/>
    <s v="PmDKuAnKiGA"/>
    <s v="https://www.youtube.com/watch?v=PmDKuAnKiGA"/>
    <m/>
    <m/>
    <x v="349"/>
    <m/>
    <m/>
    <m/>
    <m/>
    <n v="9"/>
    <s v="6"/>
    <s v="6"/>
    <m/>
    <m/>
    <m/>
    <m/>
    <m/>
    <m/>
    <m/>
    <m/>
    <m/>
  </r>
  <r>
    <s v="UCOQy7XDYjkjhb0QwVMwf-7A"/>
    <s v="UCOQy7XDYjkjhb0QwVMwf-7A"/>
    <m/>
    <m/>
    <m/>
    <m/>
    <m/>
    <m/>
    <m/>
    <m/>
    <s v="No"/>
    <n v="354"/>
    <m/>
    <m/>
    <s v="Posted Video"/>
    <x v="2"/>
    <m/>
    <m/>
    <m/>
    <m/>
    <m/>
    <s v="EEZfb4WC_uE"/>
    <s v="https://www.youtube.com/watch?v=EEZfb4WC_uE"/>
    <m/>
    <m/>
    <x v="350"/>
    <m/>
    <m/>
    <m/>
    <m/>
    <n v="9"/>
    <s v="6"/>
    <s v="6"/>
    <m/>
    <m/>
    <m/>
    <m/>
    <m/>
    <m/>
    <m/>
    <m/>
    <m/>
  </r>
  <r>
    <s v="UCOQy7XDYjkjhb0QwVMwf-7A"/>
    <s v="UCOQy7XDYjkjhb0QwVMwf-7A"/>
    <m/>
    <m/>
    <m/>
    <m/>
    <m/>
    <m/>
    <m/>
    <m/>
    <s v="No"/>
    <n v="355"/>
    <m/>
    <m/>
    <s v="Posted Video"/>
    <x v="2"/>
    <m/>
    <m/>
    <m/>
    <m/>
    <m/>
    <s v="jUz1XgQaXVE"/>
    <s v="https://www.youtube.com/watch?v=jUz1XgQaXVE"/>
    <m/>
    <m/>
    <x v="351"/>
    <m/>
    <m/>
    <m/>
    <m/>
    <n v="9"/>
    <s v="6"/>
    <s v="6"/>
    <m/>
    <m/>
    <m/>
    <m/>
    <m/>
    <m/>
    <m/>
    <m/>
    <m/>
  </r>
  <r>
    <s v="UCOQy7XDYjkjhb0QwVMwf-7A"/>
    <s v="UCOQy7XDYjkjhb0QwVMwf-7A"/>
    <m/>
    <m/>
    <m/>
    <m/>
    <m/>
    <m/>
    <m/>
    <m/>
    <s v="No"/>
    <n v="356"/>
    <m/>
    <m/>
    <s v="Posted Video"/>
    <x v="2"/>
    <m/>
    <m/>
    <m/>
    <m/>
    <m/>
    <s v="Y_20YJMfpWE"/>
    <s v="https://www.youtube.com/watch?v=Y_20YJMfpWE"/>
    <m/>
    <m/>
    <x v="352"/>
    <m/>
    <m/>
    <m/>
    <m/>
    <n v="9"/>
    <s v="6"/>
    <s v="6"/>
    <m/>
    <m/>
    <m/>
    <m/>
    <m/>
    <m/>
    <m/>
    <m/>
    <m/>
  </r>
  <r>
    <s v="UCOQy7XDYjkjhb0QwVMwf-7A"/>
    <s v="UCOQy7XDYjkjhb0QwVMwf-7A"/>
    <m/>
    <m/>
    <m/>
    <m/>
    <m/>
    <m/>
    <m/>
    <m/>
    <s v="No"/>
    <n v="357"/>
    <m/>
    <m/>
    <s v="Posted Video"/>
    <x v="2"/>
    <m/>
    <m/>
    <m/>
    <m/>
    <m/>
    <s v="D2yECwk_gq8"/>
    <s v="https://www.youtube.com/watch?v=D2yECwk_gq8"/>
    <m/>
    <m/>
    <x v="353"/>
    <m/>
    <m/>
    <m/>
    <m/>
    <n v="9"/>
    <s v="6"/>
    <s v="6"/>
    <m/>
    <m/>
    <m/>
    <m/>
    <m/>
    <m/>
    <m/>
    <m/>
    <m/>
  </r>
  <r>
    <s v="UCOQy7XDYjkjhb0QwVMwf-7A"/>
    <s v="UCOQy7XDYjkjhb0QwVMwf-7A"/>
    <m/>
    <m/>
    <m/>
    <m/>
    <m/>
    <m/>
    <m/>
    <m/>
    <s v="No"/>
    <n v="358"/>
    <m/>
    <m/>
    <s v="Posted Video"/>
    <x v="2"/>
    <m/>
    <m/>
    <m/>
    <m/>
    <m/>
    <s v="5qNwGSCUqHo"/>
    <s v="https://www.youtube.com/watch?v=5qNwGSCUqHo"/>
    <m/>
    <m/>
    <x v="354"/>
    <m/>
    <m/>
    <m/>
    <m/>
    <n v="9"/>
    <s v="6"/>
    <s v="6"/>
    <m/>
    <m/>
    <m/>
    <m/>
    <m/>
    <m/>
    <m/>
    <m/>
    <m/>
  </r>
  <r>
    <s v="UCOQy7XDYjkjhb0QwVMwf-7A"/>
    <s v="UCOQy7XDYjkjhb0QwVMwf-7A"/>
    <m/>
    <m/>
    <m/>
    <m/>
    <m/>
    <m/>
    <m/>
    <m/>
    <s v="No"/>
    <n v="359"/>
    <m/>
    <m/>
    <s v="Posted Video"/>
    <x v="2"/>
    <m/>
    <m/>
    <m/>
    <m/>
    <m/>
    <s v="xKhYGRpbwOc"/>
    <s v="https://www.youtube.com/watch?v=xKhYGRpbwOc"/>
    <m/>
    <m/>
    <x v="355"/>
    <m/>
    <m/>
    <m/>
    <m/>
    <n v="9"/>
    <s v="6"/>
    <s v="6"/>
    <m/>
    <m/>
    <m/>
    <m/>
    <m/>
    <m/>
    <m/>
    <m/>
    <m/>
  </r>
  <r>
    <s v="UCOQy7XDYjkjhb0QwVMwf-7A"/>
    <s v="UCOQy7XDYjkjhb0QwVMwf-7A"/>
    <m/>
    <m/>
    <m/>
    <m/>
    <m/>
    <m/>
    <m/>
    <m/>
    <s v="No"/>
    <n v="360"/>
    <m/>
    <m/>
    <s v="Posted Video"/>
    <x v="2"/>
    <m/>
    <m/>
    <m/>
    <m/>
    <m/>
    <s v="4ae-mqDr7co"/>
    <s v="https://www.youtube.com/watch?v=4ae-mqDr7co"/>
    <m/>
    <m/>
    <x v="356"/>
    <m/>
    <m/>
    <m/>
    <m/>
    <n v="9"/>
    <s v="6"/>
    <s v="6"/>
    <m/>
    <m/>
    <m/>
    <m/>
    <m/>
    <m/>
    <m/>
    <m/>
    <m/>
  </r>
  <r>
    <s v="UC3WCzD4z9DiTLTempQrMUeg"/>
    <s v="UC3WCzD4z9DiTLTempQrMUeg"/>
    <m/>
    <m/>
    <m/>
    <m/>
    <m/>
    <m/>
    <m/>
    <m/>
    <s v="No"/>
    <n v="361"/>
    <m/>
    <m/>
    <s v="Posted Video"/>
    <x v="2"/>
    <m/>
    <m/>
    <m/>
    <m/>
    <m/>
    <s v="ByE9IG1PtOs"/>
    <s v="https://www.youtube.com/watch?v=ByE9IG1PtOs"/>
    <m/>
    <m/>
    <x v="357"/>
    <m/>
    <m/>
    <m/>
    <m/>
    <n v="1"/>
    <s v="2"/>
    <s v="2"/>
    <m/>
    <m/>
    <m/>
    <m/>
    <m/>
    <m/>
    <m/>
    <m/>
    <m/>
  </r>
  <r>
    <s v="UCoHpLfLDotbsVyGvGlsekQA"/>
    <s v="UCoHpLfLDotbsVyGvGlsekQA"/>
    <m/>
    <m/>
    <m/>
    <m/>
    <m/>
    <m/>
    <m/>
    <m/>
    <s v="No"/>
    <n v="362"/>
    <m/>
    <m/>
    <s v="Posted Video"/>
    <x v="2"/>
    <m/>
    <m/>
    <m/>
    <m/>
    <m/>
    <s v="GUjqCaLet34"/>
    <s v="https://www.youtube.com/watch?v=GUjqCaLet34"/>
    <m/>
    <m/>
    <x v="358"/>
    <m/>
    <m/>
    <m/>
    <m/>
    <n v="2"/>
    <s v="4"/>
    <s v="4"/>
    <m/>
    <m/>
    <m/>
    <m/>
    <m/>
    <m/>
    <m/>
    <m/>
    <m/>
  </r>
  <r>
    <s v="UCoHpLfLDotbsVyGvGlsekQA"/>
    <s v="UCoHpLfLDotbsVyGvGlsekQA"/>
    <m/>
    <m/>
    <m/>
    <m/>
    <m/>
    <m/>
    <m/>
    <m/>
    <s v="No"/>
    <n v="363"/>
    <m/>
    <m/>
    <s v="Posted Video"/>
    <x v="2"/>
    <m/>
    <m/>
    <m/>
    <m/>
    <m/>
    <s v="3x-TXaTF3-Y"/>
    <s v="https://www.youtube.com/watch?v=3x-TXaTF3-Y"/>
    <m/>
    <m/>
    <x v="359"/>
    <m/>
    <m/>
    <m/>
    <m/>
    <n v="2"/>
    <s v="4"/>
    <s v="4"/>
    <m/>
    <m/>
    <m/>
    <m/>
    <m/>
    <m/>
    <m/>
    <m/>
    <m/>
  </r>
  <r>
    <s v="UClF3Q-_xtSxneYXZZIs3rtQ"/>
    <s v="UClF3Q-_xtSxneYXZZIs3rtQ"/>
    <m/>
    <m/>
    <m/>
    <m/>
    <m/>
    <m/>
    <m/>
    <m/>
    <s v="No"/>
    <n v="364"/>
    <m/>
    <m/>
    <s v="Posted Video"/>
    <x v="2"/>
    <m/>
    <m/>
    <m/>
    <m/>
    <m/>
    <s v="o53sJ939r7A"/>
    <s v="https://www.youtube.com/watch?v=o53sJ939r7A"/>
    <m/>
    <m/>
    <x v="360"/>
    <m/>
    <m/>
    <m/>
    <m/>
    <n v="1"/>
    <s v="12"/>
    <s v="12"/>
    <m/>
    <m/>
    <m/>
    <m/>
    <m/>
    <m/>
    <m/>
    <m/>
    <m/>
  </r>
  <r>
    <s v="UCuyDUN7SDHJd3-UQhX69A9w"/>
    <s v="UCuyDUN7SDHJd3-UQhX69A9w"/>
    <m/>
    <m/>
    <m/>
    <m/>
    <m/>
    <m/>
    <m/>
    <m/>
    <s v="No"/>
    <n v="365"/>
    <m/>
    <m/>
    <s v="Posted Video"/>
    <x v="2"/>
    <m/>
    <m/>
    <m/>
    <m/>
    <m/>
    <s v="THdrju-UWjo"/>
    <s v="https://www.youtube.com/watch?v=THdrju-UWjo"/>
    <m/>
    <m/>
    <x v="361"/>
    <m/>
    <m/>
    <m/>
    <m/>
    <n v="1"/>
    <s v="4"/>
    <s v="4"/>
    <m/>
    <m/>
    <m/>
    <m/>
    <m/>
    <m/>
    <m/>
    <m/>
    <m/>
  </r>
  <r>
    <s v="UCnrbbUoV6A2YP0tCJJfJSsg"/>
    <s v="UCnrbbUoV6A2YP0tCJJfJSsg"/>
    <m/>
    <m/>
    <m/>
    <m/>
    <m/>
    <m/>
    <m/>
    <m/>
    <s v="No"/>
    <n v="366"/>
    <m/>
    <m/>
    <s v="Posted Video"/>
    <x v="2"/>
    <m/>
    <m/>
    <m/>
    <m/>
    <m/>
    <s v="b6cQRd_1Umg"/>
    <s v="https://www.youtube.com/watch?v=b6cQRd_1Umg"/>
    <m/>
    <m/>
    <x v="362"/>
    <m/>
    <m/>
    <m/>
    <m/>
    <n v="5"/>
    <s v="4"/>
    <s v="4"/>
    <m/>
    <m/>
    <m/>
    <m/>
    <m/>
    <m/>
    <m/>
    <m/>
    <m/>
  </r>
  <r>
    <s v="UCnrbbUoV6A2YP0tCJJfJSsg"/>
    <s v="UCnrbbUoV6A2YP0tCJJfJSsg"/>
    <m/>
    <m/>
    <m/>
    <m/>
    <m/>
    <m/>
    <m/>
    <m/>
    <s v="No"/>
    <n v="367"/>
    <m/>
    <m/>
    <s v="Posted Video"/>
    <x v="2"/>
    <m/>
    <m/>
    <m/>
    <m/>
    <m/>
    <s v="JiEZOB3VElw"/>
    <s v="https://www.youtube.com/watch?v=JiEZOB3VElw"/>
    <m/>
    <m/>
    <x v="363"/>
    <m/>
    <m/>
    <m/>
    <m/>
    <n v="5"/>
    <s v="4"/>
    <s v="4"/>
    <m/>
    <m/>
    <m/>
    <m/>
    <m/>
    <m/>
    <m/>
    <m/>
    <m/>
  </r>
  <r>
    <s v="UCnrbbUoV6A2YP0tCJJfJSsg"/>
    <s v="UCnrbbUoV6A2YP0tCJJfJSsg"/>
    <m/>
    <m/>
    <m/>
    <m/>
    <m/>
    <m/>
    <m/>
    <m/>
    <s v="No"/>
    <n v="368"/>
    <m/>
    <m/>
    <s v="Posted Video"/>
    <x v="2"/>
    <m/>
    <m/>
    <m/>
    <m/>
    <m/>
    <s v="mjAq8eA7uOM"/>
    <s v="https://www.youtube.com/watch?v=mjAq8eA7uOM"/>
    <m/>
    <m/>
    <x v="364"/>
    <m/>
    <m/>
    <m/>
    <m/>
    <n v="5"/>
    <s v="4"/>
    <s v="4"/>
    <m/>
    <m/>
    <m/>
    <m/>
    <m/>
    <m/>
    <m/>
    <m/>
    <m/>
  </r>
  <r>
    <s v="UCnrbbUoV6A2YP0tCJJfJSsg"/>
    <s v="UCnrbbUoV6A2YP0tCJJfJSsg"/>
    <m/>
    <m/>
    <m/>
    <m/>
    <m/>
    <m/>
    <m/>
    <m/>
    <s v="No"/>
    <n v="369"/>
    <m/>
    <m/>
    <s v="Posted Video"/>
    <x v="2"/>
    <m/>
    <m/>
    <m/>
    <m/>
    <m/>
    <s v="l0n5rKT0ztI"/>
    <s v="https://www.youtube.com/watch?v=l0n5rKT0ztI"/>
    <m/>
    <m/>
    <x v="365"/>
    <m/>
    <m/>
    <m/>
    <m/>
    <n v="5"/>
    <s v="4"/>
    <s v="4"/>
    <m/>
    <m/>
    <m/>
    <m/>
    <m/>
    <m/>
    <m/>
    <m/>
    <m/>
  </r>
  <r>
    <s v="UCnrbbUoV6A2YP0tCJJfJSsg"/>
    <s v="UCnrbbUoV6A2YP0tCJJfJSsg"/>
    <m/>
    <m/>
    <m/>
    <m/>
    <m/>
    <m/>
    <m/>
    <m/>
    <s v="No"/>
    <n v="370"/>
    <m/>
    <m/>
    <s v="Posted Video"/>
    <x v="2"/>
    <m/>
    <m/>
    <m/>
    <m/>
    <m/>
    <s v="8lDndBPEDj4"/>
    <s v="https://www.youtube.com/watch?v=8lDndBPEDj4"/>
    <m/>
    <m/>
    <x v="366"/>
    <m/>
    <m/>
    <m/>
    <m/>
    <n v="5"/>
    <s v="4"/>
    <s v="4"/>
    <m/>
    <m/>
    <m/>
    <m/>
    <m/>
    <m/>
    <m/>
    <m/>
    <m/>
  </r>
  <r>
    <s v="UCerAw4EfTOnYYxLLPZAzMxQ"/>
    <s v="UCerAw4EfTOnYYxLLPZAzMxQ"/>
    <m/>
    <m/>
    <m/>
    <m/>
    <m/>
    <m/>
    <m/>
    <m/>
    <s v="No"/>
    <n v="371"/>
    <m/>
    <m/>
    <s v="Commented Video"/>
    <x v="0"/>
    <s v="Thanks for the tip, Marc!  NB: Marc Smith is a NodeXL superstar.  We have him to thank for this excellent open source social network resource."/>
    <s v="UCerAw4EfTOnYYxLLPZAzMxQ"/>
    <s v="James Cook"/>
    <s v="http://www.youtube.com/channel/UCerAw4EfTOnYYxLLPZAzMxQ"/>
    <m/>
    <s v="t8YHRVf60BU"/>
    <s v="https://www.youtube.com/watch?v=t8YHRVf60BU"/>
    <s v="none"/>
    <n v="0"/>
    <x v="367"/>
    <d v="2012-09-09T20:24:54.000"/>
    <m/>
    <m/>
    <s v=""/>
    <n v="17"/>
    <s v="1"/>
    <s v="1"/>
    <n v="2"/>
    <n v="8"/>
    <n v="0"/>
    <n v="0"/>
    <n v="0"/>
    <n v="0"/>
    <n v="23"/>
    <n v="92"/>
    <n v="25"/>
  </r>
  <r>
    <s v="UCerAw4EfTOnYYxLLPZAzMxQ"/>
    <s v="UCerAw4EfTOnYYxLLPZAzMxQ"/>
    <m/>
    <m/>
    <m/>
    <m/>
    <m/>
    <m/>
    <m/>
    <m/>
    <s v="No"/>
    <n v="372"/>
    <m/>
    <m/>
    <s v="Commented Video"/>
    <x v="0"/>
    <s v="KC, thanks for the comments.  Instead of looking for ONE tool that does everything you want, consider the possibility of taking each package&amp;#39;s strength and stitching them together.  For dynamic filtering and visualization, consider NodeXL or Gephi.  For analysis, consider network analysis in R, or, if you&amp;#39;re looking for a ready-to-go package with a good number of analytic tools, check out UCINET."/>
    <s v="UCerAw4EfTOnYYxLLPZAzMxQ"/>
    <s v="James Cook"/>
    <s v="http://www.youtube.com/channel/UCerAw4EfTOnYYxLLPZAzMxQ"/>
    <m/>
    <s v="08MqGSL9TNQ"/>
    <s v="https://www.youtube.com/watch?v=08MqGSL9TNQ"/>
    <s v="none"/>
    <n v="0"/>
    <x v="368"/>
    <d v="2013-10-04T13:03:09.000"/>
    <m/>
    <m/>
    <s v=""/>
    <n v="17"/>
    <s v="1"/>
    <s v="1"/>
    <n v="3"/>
    <n v="4.411764705882353"/>
    <n v="0"/>
    <n v="0"/>
    <n v="0"/>
    <n v="0"/>
    <n v="65"/>
    <n v="95.58823529411765"/>
    <n v="68"/>
  </r>
  <r>
    <s v="UCerAw4EfTOnYYxLLPZAzMxQ"/>
    <s v="UCerAw4EfTOnYYxLLPZAzMxQ"/>
    <m/>
    <m/>
    <m/>
    <m/>
    <m/>
    <m/>
    <m/>
    <m/>
    <s v="No"/>
    <n v="373"/>
    <m/>
    <m/>
    <s v="Commented Video"/>
    <x v="0"/>
    <s v="Update: this guide is old (more than 3 years old), so the link to download has changed.  Try here instead: &lt;a href=&quot;https://www.smrfoundation.org/nodexl/installation/&quot;&gt;https://www.smrfoundation.org/nodexl/installation/&lt;/a&gt;"/>
    <s v="UCerAw4EfTOnYYxLLPZAzMxQ"/>
    <s v="James Cook"/>
    <s v="http://www.youtube.com/channel/UCerAw4EfTOnYYxLLPZAzMxQ"/>
    <m/>
    <s v="Gs4NPuKIXdo"/>
    <s v="https://www.youtube.com/watch?v=Gs4NPuKIXdo"/>
    <s v="none"/>
    <n v="0"/>
    <x v="369"/>
    <d v="2018-12-03T15:03:26.000"/>
    <s v=" https://www.smrfoundation.org/nodexl/installation/ https://www.smrfoundation.org/nodexl/installation/"/>
    <s v="smrfoundation.org smrfoundation.org"/>
    <s v=""/>
    <n v="17"/>
    <s v="1"/>
    <s v="1"/>
    <n v="0"/>
    <n v="0"/>
    <n v="0"/>
    <n v="0"/>
    <n v="0"/>
    <n v="0"/>
    <n v="35"/>
    <n v="100"/>
    <n v="35"/>
  </r>
  <r>
    <s v="UCerAw4EfTOnYYxLLPZAzMxQ"/>
    <s v="UCerAw4EfTOnYYxLLPZAzMxQ"/>
    <m/>
    <m/>
    <m/>
    <m/>
    <m/>
    <m/>
    <m/>
    <m/>
    <s v="No"/>
    <n v="374"/>
    <m/>
    <m/>
    <s v="Posted Video"/>
    <x v="2"/>
    <m/>
    <m/>
    <m/>
    <m/>
    <m/>
    <s v="SUkcT9CYCMQ"/>
    <s v="https://www.youtube.com/watch?v=SUkcT9CYCMQ"/>
    <m/>
    <m/>
    <x v="370"/>
    <m/>
    <m/>
    <m/>
    <m/>
    <n v="17"/>
    <s v="1"/>
    <s v="1"/>
    <m/>
    <m/>
    <m/>
    <m/>
    <m/>
    <m/>
    <m/>
    <m/>
    <m/>
  </r>
  <r>
    <s v="UCerAw4EfTOnYYxLLPZAzMxQ"/>
    <s v="UCerAw4EfTOnYYxLLPZAzMxQ"/>
    <m/>
    <m/>
    <m/>
    <m/>
    <m/>
    <m/>
    <m/>
    <m/>
    <s v="No"/>
    <n v="375"/>
    <m/>
    <m/>
    <s v="Posted Video"/>
    <x v="2"/>
    <m/>
    <m/>
    <m/>
    <m/>
    <m/>
    <s v="vp7VXgvVAPg"/>
    <s v="https://www.youtube.com/watch?v=vp7VXgvVAPg"/>
    <m/>
    <m/>
    <x v="371"/>
    <m/>
    <m/>
    <m/>
    <m/>
    <n v="17"/>
    <s v="1"/>
    <s v="1"/>
    <m/>
    <m/>
    <m/>
    <m/>
    <m/>
    <m/>
    <m/>
    <m/>
    <m/>
  </r>
  <r>
    <s v="UCerAw4EfTOnYYxLLPZAzMxQ"/>
    <s v="UCerAw4EfTOnYYxLLPZAzMxQ"/>
    <m/>
    <m/>
    <m/>
    <m/>
    <m/>
    <m/>
    <m/>
    <m/>
    <s v="No"/>
    <n v="376"/>
    <m/>
    <m/>
    <s v="Posted Video"/>
    <x v="2"/>
    <m/>
    <m/>
    <m/>
    <m/>
    <m/>
    <s v="lBqT_KdC7YQ"/>
    <s v="https://www.youtube.com/watch?v=lBqT_KdC7YQ"/>
    <m/>
    <m/>
    <x v="372"/>
    <m/>
    <m/>
    <m/>
    <m/>
    <n v="17"/>
    <s v="1"/>
    <s v="1"/>
    <m/>
    <m/>
    <m/>
    <m/>
    <m/>
    <m/>
    <m/>
    <m/>
    <m/>
  </r>
  <r>
    <s v="UCerAw4EfTOnYYxLLPZAzMxQ"/>
    <s v="UCerAw4EfTOnYYxLLPZAzMxQ"/>
    <m/>
    <m/>
    <m/>
    <m/>
    <m/>
    <m/>
    <m/>
    <m/>
    <s v="No"/>
    <n v="377"/>
    <m/>
    <m/>
    <s v="Posted Video"/>
    <x v="2"/>
    <m/>
    <m/>
    <m/>
    <m/>
    <m/>
    <s v="bCENPBWjEaE"/>
    <s v="https://www.youtube.com/watch?v=bCENPBWjEaE"/>
    <m/>
    <m/>
    <x v="373"/>
    <m/>
    <m/>
    <m/>
    <m/>
    <n v="17"/>
    <s v="1"/>
    <s v="1"/>
    <m/>
    <m/>
    <m/>
    <m/>
    <m/>
    <m/>
    <m/>
    <m/>
    <m/>
  </r>
  <r>
    <s v="UCerAw4EfTOnYYxLLPZAzMxQ"/>
    <s v="UCerAw4EfTOnYYxLLPZAzMxQ"/>
    <m/>
    <m/>
    <m/>
    <m/>
    <m/>
    <m/>
    <m/>
    <m/>
    <s v="No"/>
    <n v="378"/>
    <m/>
    <m/>
    <s v="Posted Video"/>
    <x v="2"/>
    <m/>
    <m/>
    <m/>
    <m/>
    <m/>
    <s v="lbb2lMCSg64"/>
    <s v="https://www.youtube.com/watch?v=lbb2lMCSg64"/>
    <m/>
    <m/>
    <x v="374"/>
    <m/>
    <m/>
    <m/>
    <m/>
    <n v="17"/>
    <s v="1"/>
    <s v="1"/>
    <m/>
    <m/>
    <m/>
    <m/>
    <m/>
    <m/>
    <m/>
    <m/>
    <m/>
  </r>
  <r>
    <s v="UCerAw4EfTOnYYxLLPZAzMxQ"/>
    <s v="UCerAw4EfTOnYYxLLPZAzMxQ"/>
    <m/>
    <m/>
    <m/>
    <m/>
    <m/>
    <m/>
    <m/>
    <m/>
    <s v="No"/>
    <n v="379"/>
    <m/>
    <m/>
    <s v="Posted Video"/>
    <x v="2"/>
    <m/>
    <m/>
    <m/>
    <m/>
    <m/>
    <s v="1yCjhTuLA1o"/>
    <s v="https://www.youtube.com/watch?v=1yCjhTuLA1o"/>
    <m/>
    <m/>
    <x v="375"/>
    <m/>
    <m/>
    <m/>
    <m/>
    <n v="17"/>
    <s v="1"/>
    <s v="1"/>
    <m/>
    <m/>
    <m/>
    <m/>
    <m/>
    <m/>
    <m/>
    <m/>
    <m/>
  </r>
  <r>
    <s v="UCerAw4EfTOnYYxLLPZAzMxQ"/>
    <s v="UCerAw4EfTOnYYxLLPZAzMxQ"/>
    <m/>
    <m/>
    <m/>
    <m/>
    <m/>
    <m/>
    <m/>
    <m/>
    <s v="No"/>
    <n v="380"/>
    <m/>
    <m/>
    <s v="Posted Video"/>
    <x v="2"/>
    <m/>
    <m/>
    <m/>
    <m/>
    <m/>
    <s v="AyMwPYpmYng"/>
    <s v="https://www.youtube.com/watch?v=AyMwPYpmYng"/>
    <m/>
    <m/>
    <x v="376"/>
    <m/>
    <m/>
    <m/>
    <m/>
    <n v="17"/>
    <s v="1"/>
    <s v="1"/>
    <m/>
    <m/>
    <m/>
    <m/>
    <m/>
    <m/>
    <m/>
    <m/>
    <m/>
  </r>
  <r>
    <s v="UCerAw4EfTOnYYxLLPZAzMxQ"/>
    <s v="UCerAw4EfTOnYYxLLPZAzMxQ"/>
    <m/>
    <m/>
    <m/>
    <m/>
    <m/>
    <m/>
    <m/>
    <m/>
    <s v="No"/>
    <n v="381"/>
    <m/>
    <m/>
    <s v="Posted Video"/>
    <x v="2"/>
    <m/>
    <m/>
    <m/>
    <m/>
    <m/>
    <s v="_ci5QaUkAfw"/>
    <s v="https://www.youtube.com/watch?v=_ci5QaUkAfw"/>
    <m/>
    <m/>
    <x v="377"/>
    <m/>
    <m/>
    <m/>
    <m/>
    <n v="17"/>
    <s v="1"/>
    <s v="1"/>
    <m/>
    <m/>
    <m/>
    <m/>
    <m/>
    <m/>
    <m/>
    <m/>
    <m/>
  </r>
  <r>
    <s v="UCerAw4EfTOnYYxLLPZAzMxQ"/>
    <s v="UCerAw4EfTOnYYxLLPZAzMxQ"/>
    <m/>
    <m/>
    <m/>
    <m/>
    <m/>
    <m/>
    <m/>
    <m/>
    <s v="No"/>
    <n v="382"/>
    <m/>
    <m/>
    <s v="Posted Video"/>
    <x v="2"/>
    <m/>
    <m/>
    <m/>
    <m/>
    <m/>
    <s v="CwQ8IrHZDgA"/>
    <s v="https://www.youtube.com/watch?v=CwQ8IrHZDgA"/>
    <m/>
    <m/>
    <x v="378"/>
    <m/>
    <m/>
    <m/>
    <m/>
    <n v="17"/>
    <s v="1"/>
    <s v="1"/>
    <m/>
    <m/>
    <m/>
    <m/>
    <m/>
    <m/>
    <m/>
    <m/>
    <m/>
  </r>
  <r>
    <s v="UCerAw4EfTOnYYxLLPZAzMxQ"/>
    <s v="UCerAw4EfTOnYYxLLPZAzMxQ"/>
    <m/>
    <m/>
    <m/>
    <m/>
    <m/>
    <m/>
    <m/>
    <m/>
    <s v="No"/>
    <n v="383"/>
    <m/>
    <m/>
    <s v="Posted Video"/>
    <x v="2"/>
    <m/>
    <m/>
    <m/>
    <m/>
    <m/>
    <s v="t8YHRVf60BU"/>
    <s v="https://www.youtube.com/watch?v=t8YHRVf60BU"/>
    <m/>
    <m/>
    <x v="379"/>
    <m/>
    <m/>
    <m/>
    <m/>
    <n v="17"/>
    <s v="1"/>
    <s v="1"/>
    <m/>
    <m/>
    <m/>
    <m/>
    <m/>
    <m/>
    <m/>
    <m/>
    <m/>
  </r>
  <r>
    <s v="UCerAw4EfTOnYYxLLPZAzMxQ"/>
    <s v="UCerAw4EfTOnYYxLLPZAzMxQ"/>
    <m/>
    <m/>
    <m/>
    <m/>
    <m/>
    <m/>
    <m/>
    <m/>
    <s v="No"/>
    <n v="384"/>
    <m/>
    <m/>
    <s v="Posted Video"/>
    <x v="2"/>
    <m/>
    <m/>
    <m/>
    <m/>
    <m/>
    <s v="08MqGSL9TNQ"/>
    <s v="https://www.youtube.com/watch?v=08MqGSL9TNQ"/>
    <m/>
    <m/>
    <x v="380"/>
    <m/>
    <m/>
    <m/>
    <m/>
    <n v="17"/>
    <s v="1"/>
    <s v="1"/>
    <m/>
    <m/>
    <m/>
    <m/>
    <m/>
    <m/>
    <m/>
    <m/>
    <m/>
  </r>
  <r>
    <s v="UCerAw4EfTOnYYxLLPZAzMxQ"/>
    <s v="UCerAw4EfTOnYYxLLPZAzMxQ"/>
    <m/>
    <m/>
    <m/>
    <m/>
    <m/>
    <m/>
    <m/>
    <m/>
    <s v="No"/>
    <n v="385"/>
    <m/>
    <m/>
    <s v="Posted Video"/>
    <x v="2"/>
    <m/>
    <m/>
    <m/>
    <m/>
    <m/>
    <s v="Gs4NPuKIXdo"/>
    <s v="https://www.youtube.com/watch?v=Gs4NPuKIXdo"/>
    <m/>
    <m/>
    <x v="381"/>
    <m/>
    <m/>
    <m/>
    <m/>
    <n v="17"/>
    <s v="1"/>
    <s v="1"/>
    <m/>
    <m/>
    <m/>
    <m/>
    <m/>
    <m/>
    <m/>
    <m/>
    <m/>
  </r>
  <r>
    <s v="UCerAw4EfTOnYYxLLPZAzMxQ"/>
    <s v="UCerAw4EfTOnYYxLLPZAzMxQ"/>
    <m/>
    <m/>
    <m/>
    <m/>
    <m/>
    <m/>
    <m/>
    <m/>
    <s v="No"/>
    <n v="386"/>
    <m/>
    <m/>
    <s v="Posted Video"/>
    <x v="2"/>
    <m/>
    <m/>
    <m/>
    <m/>
    <m/>
    <s v="zEgrruOITHw"/>
    <s v="https://www.youtube.com/watch?v=zEgrruOITHw"/>
    <m/>
    <m/>
    <x v="382"/>
    <m/>
    <m/>
    <m/>
    <m/>
    <n v="17"/>
    <s v="1"/>
    <s v="1"/>
    <m/>
    <m/>
    <m/>
    <m/>
    <m/>
    <m/>
    <m/>
    <m/>
    <m/>
  </r>
  <r>
    <s v="UCerAw4EfTOnYYxLLPZAzMxQ"/>
    <s v="UCerAw4EfTOnYYxLLPZAzMxQ"/>
    <m/>
    <m/>
    <m/>
    <m/>
    <m/>
    <m/>
    <m/>
    <m/>
    <s v="No"/>
    <n v="387"/>
    <m/>
    <m/>
    <s v="Posted Video"/>
    <x v="2"/>
    <m/>
    <m/>
    <m/>
    <m/>
    <m/>
    <s v="PC-PgkhpsNc"/>
    <s v="https://www.youtube.com/watch?v=PC-PgkhpsNc"/>
    <m/>
    <m/>
    <x v="383"/>
    <m/>
    <m/>
    <m/>
    <m/>
    <n v="17"/>
    <s v="1"/>
    <s v="1"/>
    <m/>
    <m/>
    <m/>
    <m/>
    <m/>
    <m/>
    <m/>
    <m/>
    <m/>
  </r>
  <r>
    <s v="UCfpw3xq_g1xpdwlyq11atZQ"/>
    <s v="UCfpw3xq_g1xpdwlyq11atZQ"/>
    <m/>
    <m/>
    <m/>
    <m/>
    <m/>
    <m/>
    <m/>
    <m/>
    <s v="No"/>
    <n v="388"/>
    <m/>
    <m/>
    <s v="Posted Video"/>
    <x v="2"/>
    <m/>
    <m/>
    <m/>
    <m/>
    <m/>
    <s v="zMlwGOki4Yg"/>
    <s v="https://www.youtube.com/watch?v=zMlwGOki4Yg"/>
    <m/>
    <m/>
    <x v="384"/>
    <m/>
    <m/>
    <m/>
    <m/>
    <n v="3"/>
    <s v="3"/>
    <s v="3"/>
    <m/>
    <m/>
    <m/>
    <m/>
    <m/>
    <m/>
    <m/>
    <m/>
    <m/>
  </r>
  <r>
    <s v="UCfpw3xq_g1xpdwlyq11atZQ"/>
    <s v="UCfpw3xq_g1xpdwlyq11atZQ"/>
    <m/>
    <m/>
    <m/>
    <m/>
    <m/>
    <m/>
    <m/>
    <m/>
    <s v="No"/>
    <n v="389"/>
    <m/>
    <m/>
    <s v="Posted Video"/>
    <x v="2"/>
    <m/>
    <m/>
    <m/>
    <m/>
    <m/>
    <s v="owl9we4ldFI"/>
    <s v="https://www.youtube.com/watch?v=owl9we4ldFI"/>
    <m/>
    <m/>
    <x v="385"/>
    <m/>
    <m/>
    <m/>
    <m/>
    <n v="3"/>
    <s v="3"/>
    <s v="3"/>
    <m/>
    <m/>
    <m/>
    <m/>
    <m/>
    <m/>
    <m/>
    <m/>
    <m/>
  </r>
  <r>
    <s v="UCfpw3xq_g1xpdwlyq11atZQ"/>
    <s v="UCfpw3xq_g1xpdwlyq11atZQ"/>
    <m/>
    <m/>
    <m/>
    <m/>
    <m/>
    <m/>
    <m/>
    <m/>
    <s v="No"/>
    <n v="390"/>
    <m/>
    <m/>
    <s v="Posted Video"/>
    <x v="2"/>
    <m/>
    <m/>
    <m/>
    <m/>
    <m/>
    <s v="pwsImFyc0lE"/>
    <s v="https://www.youtube.com/watch?v=pwsImFyc0lE"/>
    <m/>
    <m/>
    <x v="386"/>
    <m/>
    <m/>
    <m/>
    <m/>
    <n v="3"/>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431" firstHeaderRow="1" firstDataRow="1" firstDataCol="1"/>
  <pivotFields count="4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17">
        <item x="0"/>
        <item x="1"/>
        <item x="2"/>
        <item x="3"/>
        <item x="4"/>
        <item x="5"/>
        <item x="6"/>
        <item x="7"/>
        <item x="8"/>
        <item x="9"/>
        <item x="10"/>
        <item x="11"/>
        <item x="12"/>
        <item x="13"/>
        <item x="14"/>
        <item x="15"/>
        <item t="default"/>
      </items>
    </pivotField>
  </pivotFields>
  <rowFields count="3">
    <field x="43"/>
    <field x="42"/>
    <field x="25"/>
  </rowFields>
  <rowItems count="406">
    <i>
      <x v="1"/>
    </i>
    <i r="1">
      <x v="5"/>
    </i>
    <i r="2">
      <x v="135"/>
    </i>
    <i>
      <x v="2"/>
    </i>
    <i r="1">
      <x v="8"/>
    </i>
    <i r="2">
      <x v="224"/>
    </i>
    <i r="1">
      <x v="9"/>
    </i>
    <i r="2">
      <x v="260"/>
    </i>
    <i>
      <x v="3"/>
    </i>
    <i r="1">
      <x v="2"/>
    </i>
    <i r="2">
      <x v="38"/>
    </i>
    <i r="1">
      <x v="8"/>
    </i>
    <i r="2">
      <x v="222"/>
    </i>
    <i r="2">
      <x v="232"/>
    </i>
    <i>
      <x v="4"/>
    </i>
    <i r="1">
      <x v="3"/>
    </i>
    <i r="2">
      <x v="61"/>
    </i>
    <i r="1">
      <x v="4"/>
    </i>
    <i r="2">
      <x v="96"/>
    </i>
    <i r="2">
      <x v="97"/>
    </i>
    <i r="2">
      <x v="109"/>
    </i>
    <i r="1">
      <x v="6"/>
    </i>
    <i r="2">
      <x v="163"/>
    </i>
    <i r="1">
      <x v="9"/>
    </i>
    <i r="2">
      <x v="252"/>
    </i>
    <i r="2">
      <x v="253"/>
    </i>
    <i r="2">
      <x v="267"/>
    </i>
    <i r="2">
      <x v="274"/>
    </i>
    <i r="1">
      <x v="10"/>
    </i>
    <i r="2">
      <x v="290"/>
    </i>
    <i>
      <x v="5"/>
    </i>
    <i r="1">
      <x v="1"/>
    </i>
    <i r="2">
      <x v="19"/>
    </i>
    <i r="1">
      <x v="2"/>
    </i>
    <i r="2">
      <x v="45"/>
    </i>
    <i r="2">
      <x v="51"/>
    </i>
    <i r="1">
      <x v="3"/>
    </i>
    <i r="2">
      <x v="77"/>
    </i>
    <i r="2">
      <x v="84"/>
    </i>
    <i r="2">
      <x v="88"/>
    </i>
    <i r="1">
      <x v="4"/>
    </i>
    <i r="2">
      <x v="99"/>
    </i>
    <i r="2">
      <x v="103"/>
    </i>
    <i r="2">
      <x v="116"/>
    </i>
    <i r="1">
      <x v="5"/>
    </i>
    <i r="2">
      <x v="144"/>
    </i>
    <i r="2">
      <x v="145"/>
    </i>
    <i r="1">
      <x v="8"/>
    </i>
    <i r="2">
      <x v="228"/>
    </i>
    <i r="1">
      <x v="9"/>
    </i>
    <i r="2">
      <x v="259"/>
    </i>
    <i r="2">
      <x v="267"/>
    </i>
    <i r="1">
      <x v="10"/>
    </i>
    <i r="2">
      <x v="278"/>
    </i>
    <i r="2">
      <x v="288"/>
    </i>
    <i r="2">
      <x v="289"/>
    </i>
    <i r="2">
      <x v="301"/>
    </i>
    <i r="2">
      <x v="305"/>
    </i>
    <i r="1">
      <x v="11"/>
    </i>
    <i r="2">
      <x v="312"/>
    </i>
    <i r="2">
      <x v="314"/>
    </i>
    <i r="2">
      <x v="327"/>
    </i>
    <i r="1">
      <x v="12"/>
    </i>
    <i r="2">
      <x v="340"/>
    </i>
    <i r="2">
      <x v="347"/>
    </i>
    <i>
      <x v="6"/>
    </i>
    <i r="1">
      <x v="1"/>
    </i>
    <i r="2">
      <x v="19"/>
    </i>
    <i r="1">
      <x v="2"/>
    </i>
    <i r="2">
      <x v="35"/>
    </i>
    <i r="1">
      <x v="4"/>
    </i>
    <i r="2">
      <x v="95"/>
    </i>
    <i r="2">
      <x v="97"/>
    </i>
    <i r="2">
      <x v="98"/>
    </i>
    <i r="1">
      <x v="5"/>
    </i>
    <i r="2">
      <x v="130"/>
    </i>
    <i r="2">
      <x v="131"/>
    </i>
    <i r="2">
      <x v="135"/>
    </i>
    <i r="1">
      <x v="6"/>
    </i>
    <i r="2">
      <x v="163"/>
    </i>
    <i r="1">
      <x v="8"/>
    </i>
    <i r="2">
      <x v="215"/>
    </i>
    <i r="2">
      <x v="223"/>
    </i>
    <i r="2">
      <x v="234"/>
    </i>
    <i r="2">
      <x v="236"/>
    </i>
    <i r="1">
      <x v="9"/>
    </i>
    <i r="2">
      <x v="245"/>
    </i>
    <i r="2">
      <x v="251"/>
    </i>
    <i r="1">
      <x v="10"/>
    </i>
    <i r="2">
      <x v="293"/>
    </i>
    <i r="1">
      <x v="12"/>
    </i>
    <i r="2">
      <x v="338"/>
    </i>
    <i r="2">
      <x v="339"/>
    </i>
    <i r="2">
      <x v="343"/>
    </i>
    <i>
      <x v="7"/>
    </i>
    <i r="1">
      <x v="1"/>
    </i>
    <i r="2">
      <x v="4"/>
    </i>
    <i r="1">
      <x v="2"/>
    </i>
    <i r="2">
      <x v="33"/>
    </i>
    <i r="2">
      <x v="35"/>
    </i>
    <i r="2">
      <x v="38"/>
    </i>
    <i r="2">
      <x v="45"/>
    </i>
    <i r="2">
      <x v="50"/>
    </i>
    <i r="1">
      <x v="3"/>
    </i>
    <i r="2">
      <x v="65"/>
    </i>
    <i r="2">
      <x v="77"/>
    </i>
    <i r="2">
      <x v="79"/>
    </i>
    <i r="1">
      <x v="4"/>
    </i>
    <i r="2">
      <x v="93"/>
    </i>
    <i r="2">
      <x v="99"/>
    </i>
    <i r="2">
      <x v="111"/>
    </i>
    <i r="1">
      <x v="5"/>
    </i>
    <i r="2">
      <x v="123"/>
    </i>
    <i r="2">
      <x v="128"/>
    </i>
    <i r="2">
      <x v="129"/>
    </i>
    <i r="2">
      <x v="132"/>
    </i>
    <i r="2">
      <x v="134"/>
    </i>
    <i r="2">
      <x v="152"/>
    </i>
    <i r="1">
      <x v="6"/>
    </i>
    <i r="2">
      <x v="169"/>
    </i>
    <i r="2">
      <x v="170"/>
    </i>
    <i r="2">
      <x v="171"/>
    </i>
    <i r="1">
      <x v="7"/>
    </i>
    <i r="2">
      <x v="209"/>
    </i>
    <i r="2">
      <x v="210"/>
    </i>
    <i r="1">
      <x v="8"/>
    </i>
    <i r="2">
      <x v="214"/>
    </i>
    <i r="2">
      <x v="224"/>
    </i>
    <i r="2">
      <x v="240"/>
    </i>
    <i r="1">
      <x v="9"/>
    </i>
    <i r="2">
      <x v="245"/>
    </i>
    <i r="2">
      <x v="247"/>
    </i>
    <i r="2">
      <x v="258"/>
    </i>
    <i r="2">
      <x v="261"/>
    </i>
    <i r="1">
      <x v="10"/>
    </i>
    <i r="2">
      <x v="277"/>
    </i>
    <i r="2">
      <x v="283"/>
    </i>
    <i r="2">
      <x v="285"/>
    </i>
    <i r="2">
      <x v="291"/>
    </i>
    <i r="2">
      <x v="294"/>
    </i>
    <i r="1">
      <x v="11"/>
    </i>
    <i r="2">
      <x v="315"/>
    </i>
    <i r="2">
      <x v="319"/>
    </i>
    <i r="2">
      <x v="322"/>
    </i>
    <i r="1">
      <x v="12"/>
    </i>
    <i r="2">
      <x v="338"/>
    </i>
    <i r="2">
      <x v="347"/>
    </i>
    <i r="2">
      <x v="365"/>
    </i>
    <i>
      <x v="8"/>
    </i>
    <i r="1">
      <x v="1"/>
    </i>
    <i r="2">
      <x v="13"/>
    </i>
    <i r="1">
      <x v="2"/>
    </i>
    <i r="2">
      <x v="49"/>
    </i>
    <i r="2">
      <x v="54"/>
    </i>
    <i r="2">
      <x v="56"/>
    </i>
    <i r="1">
      <x v="3"/>
    </i>
    <i r="2">
      <x v="61"/>
    </i>
    <i r="2">
      <x v="65"/>
    </i>
    <i r="2">
      <x v="72"/>
    </i>
    <i r="2">
      <x v="79"/>
    </i>
    <i r="2">
      <x v="83"/>
    </i>
    <i r="1">
      <x v="5"/>
    </i>
    <i r="2">
      <x v="124"/>
    </i>
    <i r="2">
      <x v="125"/>
    </i>
    <i r="2">
      <x v="130"/>
    </i>
    <i r="2">
      <x v="131"/>
    </i>
    <i r="2">
      <x v="132"/>
    </i>
    <i r="2">
      <x v="133"/>
    </i>
    <i r="2">
      <x v="144"/>
    </i>
    <i r="2">
      <x v="149"/>
    </i>
    <i r="2">
      <x v="152"/>
    </i>
    <i r="1">
      <x v="6"/>
    </i>
    <i r="2">
      <x v="173"/>
    </i>
    <i r="1">
      <x v="7"/>
    </i>
    <i r="2">
      <x v="186"/>
    </i>
    <i r="2">
      <x v="187"/>
    </i>
    <i r="2">
      <x v="188"/>
    </i>
    <i r="2">
      <x v="208"/>
    </i>
    <i r="1">
      <x v="8"/>
    </i>
    <i r="2">
      <x v="216"/>
    </i>
    <i r="2">
      <x v="221"/>
    </i>
    <i r="2">
      <x v="224"/>
    </i>
    <i r="2">
      <x v="230"/>
    </i>
    <i r="2">
      <x v="243"/>
    </i>
    <i r="2">
      <x v="244"/>
    </i>
    <i r="1">
      <x v="9"/>
    </i>
    <i r="2">
      <x v="251"/>
    </i>
    <i r="2">
      <x v="258"/>
    </i>
    <i r="1">
      <x v="10"/>
    </i>
    <i r="2">
      <x v="287"/>
    </i>
    <i r="2">
      <x v="288"/>
    </i>
    <i r="2">
      <x v="289"/>
    </i>
    <i r="1">
      <x v="11"/>
    </i>
    <i r="2">
      <x v="327"/>
    </i>
    <i r="1">
      <x v="12"/>
    </i>
    <i r="2">
      <x v="341"/>
    </i>
    <i>
      <x v="9"/>
    </i>
    <i r="1">
      <x v="1"/>
    </i>
    <i r="2">
      <x v="6"/>
    </i>
    <i r="2">
      <x v="7"/>
    </i>
    <i r="2">
      <x v="19"/>
    </i>
    <i r="2">
      <x v="27"/>
    </i>
    <i r="1">
      <x v="2"/>
    </i>
    <i r="2">
      <x v="43"/>
    </i>
    <i r="2">
      <x v="49"/>
    </i>
    <i r="2">
      <x v="51"/>
    </i>
    <i r="1">
      <x v="3"/>
    </i>
    <i r="2">
      <x v="62"/>
    </i>
    <i r="1">
      <x v="4"/>
    </i>
    <i r="2">
      <x v="115"/>
    </i>
    <i r="1">
      <x v="5"/>
    </i>
    <i r="2">
      <x v="146"/>
    </i>
    <i r="1">
      <x v="6"/>
    </i>
    <i r="2">
      <x v="163"/>
    </i>
    <i r="2">
      <x v="164"/>
    </i>
    <i r="2">
      <x v="171"/>
    </i>
    <i r="2">
      <x v="182"/>
    </i>
    <i r="1">
      <x v="7"/>
    </i>
    <i r="2">
      <x v="184"/>
    </i>
    <i r="2">
      <x v="188"/>
    </i>
    <i r="2">
      <x v="201"/>
    </i>
    <i r="2">
      <x v="211"/>
    </i>
    <i r="1">
      <x v="9"/>
    </i>
    <i r="2">
      <x v="248"/>
    </i>
    <i r="2">
      <x v="251"/>
    </i>
    <i r="2">
      <x v="264"/>
    </i>
    <i r="2">
      <x v="271"/>
    </i>
    <i r="1">
      <x v="10"/>
    </i>
    <i r="2">
      <x v="293"/>
    </i>
    <i r="1">
      <x v="11"/>
    </i>
    <i r="2">
      <x v="307"/>
    </i>
    <i r="2">
      <x v="327"/>
    </i>
    <i r="1">
      <x v="12"/>
    </i>
    <i r="2">
      <x v="336"/>
    </i>
    <i>
      <x v="10"/>
    </i>
    <i r="1">
      <x v="1"/>
    </i>
    <i r="2">
      <x v="25"/>
    </i>
    <i r="1">
      <x v="2"/>
    </i>
    <i r="2">
      <x v="32"/>
    </i>
    <i r="2">
      <x v="40"/>
    </i>
    <i r="2">
      <x v="48"/>
    </i>
    <i r="2">
      <x v="51"/>
    </i>
    <i r="2">
      <x v="58"/>
    </i>
    <i r="1">
      <x v="3"/>
    </i>
    <i r="2">
      <x v="82"/>
    </i>
    <i r="2">
      <x v="83"/>
    </i>
    <i r="2">
      <x v="86"/>
    </i>
    <i r="2">
      <x v="87"/>
    </i>
    <i r="2">
      <x v="88"/>
    </i>
    <i r="1">
      <x v="4"/>
    </i>
    <i r="2">
      <x v="101"/>
    </i>
    <i r="2">
      <x v="117"/>
    </i>
    <i r="1">
      <x v="5"/>
    </i>
    <i r="2">
      <x v="127"/>
    </i>
    <i r="1">
      <x v="6"/>
    </i>
    <i r="2">
      <x v="173"/>
    </i>
    <i r="1">
      <x v="7"/>
    </i>
    <i r="2">
      <x v="183"/>
    </i>
    <i r="2">
      <x v="190"/>
    </i>
    <i r="1">
      <x v="8"/>
    </i>
    <i r="2">
      <x v="225"/>
    </i>
    <i r="1">
      <x v="10"/>
    </i>
    <i r="2">
      <x v="290"/>
    </i>
    <i r="1">
      <x v="11"/>
    </i>
    <i r="2">
      <x v="334"/>
    </i>
    <i r="1">
      <x v="12"/>
    </i>
    <i r="2">
      <x v="338"/>
    </i>
    <i>
      <x v="11"/>
    </i>
    <i r="1">
      <x v="1"/>
    </i>
    <i r="2">
      <x v="1"/>
    </i>
    <i r="2">
      <x v="2"/>
    </i>
    <i r="2">
      <x v="3"/>
    </i>
    <i r="2">
      <x v="12"/>
    </i>
    <i r="2">
      <x v="13"/>
    </i>
    <i r="2">
      <x v="19"/>
    </i>
    <i r="2">
      <x v="20"/>
    </i>
    <i r="2">
      <x v="22"/>
    </i>
    <i r="1">
      <x v="2"/>
    </i>
    <i r="2">
      <x v="32"/>
    </i>
    <i r="1">
      <x v="3"/>
    </i>
    <i r="2">
      <x v="71"/>
    </i>
    <i r="2">
      <x v="72"/>
    </i>
    <i r="2">
      <x v="74"/>
    </i>
    <i r="1">
      <x v="4"/>
    </i>
    <i r="2">
      <x v="100"/>
    </i>
    <i r="2">
      <x v="104"/>
    </i>
    <i r="2">
      <x v="112"/>
    </i>
    <i r="1">
      <x v="5"/>
    </i>
    <i r="2">
      <x v="129"/>
    </i>
    <i r="2">
      <x v="136"/>
    </i>
    <i r="2">
      <x v="145"/>
    </i>
    <i r="1">
      <x v="7"/>
    </i>
    <i r="2">
      <x v="199"/>
    </i>
    <i r="2">
      <x v="212"/>
    </i>
    <i r="1">
      <x v="8"/>
    </i>
    <i r="2">
      <x v="214"/>
    </i>
    <i r="2">
      <x v="229"/>
    </i>
    <i r="2">
      <x v="235"/>
    </i>
    <i r="1">
      <x v="10"/>
    </i>
    <i r="2">
      <x v="286"/>
    </i>
    <i r="2">
      <x v="295"/>
    </i>
    <i r="2">
      <x v="300"/>
    </i>
    <i r="2">
      <x v="301"/>
    </i>
    <i r="1">
      <x v="11"/>
    </i>
    <i r="2">
      <x v="335"/>
    </i>
    <i>
      <x v="12"/>
    </i>
    <i r="1">
      <x v="1"/>
    </i>
    <i r="2">
      <x v="17"/>
    </i>
    <i r="1">
      <x v="2"/>
    </i>
    <i r="2">
      <x v="59"/>
    </i>
    <i r="1">
      <x v="3"/>
    </i>
    <i r="2">
      <x v="63"/>
    </i>
    <i r="2">
      <x v="67"/>
    </i>
    <i r="2">
      <x v="72"/>
    </i>
    <i r="2">
      <x v="73"/>
    </i>
    <i r="1">
      <x v="4"/>
    </i>
    <i r="2">
      <x v="93"/>
    </i>
    <i r="2">
      <x v="94"/>
    </i>
    <i r="2">
      <x v="105"/>
    </i>
    <i r="2">
      <x v="115"/>
    </i>
    <i r="1">
      <x v="5"/>
    </i>
    <i r="2">
      <x v="137"/>
    </i>
    <i r="2">
      <x v="141"/>
    </i>
    <i r="2">
      <x v="151"/>
    </i>
    <i r="1">
      <x v="6"/>
    </i>
    <i r="2">
      <x v="155"/>
    </i>
    <i r="1">
      <x v="7"/>
    </i>
    <i r="2">
      <x v="183"/>
    </i>
    <i r="2">
      <x v="195"/>
    </i>
    <i r="2">
      <x v="196"/>
    </i>
    <i r="2">
      <x v="210"/>
    </i>
    <i r="1">
      <x v="10"/>
    </i>
    <i r="2">
      <x v="278"/>
    </i>
    <i r="1">
      <x v="11"/>
    </i>
    <i r="2">
      <x v="308"/>
    </i>
    <i r="2">
      <x v="322"/>
    </i>
    <i r="2">
      <x v="323"/>
    </i>
    <i r="2">
      <x v="325"/>
    </i>
    <i r="1">
      <x v="12"/>
    </i>
    <i r="2">
      <x v="338"/>
    </i>
    <i r="2">
      <x v="356"/>
    </i>
    <i>
      <x v="13"/>
    </i>
    <i r="1">
      <x v="1"/>
    </i>
    <i r="2">
      <x v="4"/>
    </i>
    <i r="2">
      <x v="11"/>
    </i>
    <i r="2">
      <x v="14"/>
    </i>
    <i r="2">
      <x v="26"/>
    </i>
    <i r="1">
      <x v="2"/>
    </i>
    <i r="2">
      <x v="38"/>
    </i>
    <i r="2">
      <x v="40"/>
    </i>
    <i r="2">
      <x v="55"/>
    </i>
    <i r="1">
      <x v="3"/>
    </i>
    <i r="2">
      <x v="64"/>
    </i>
    <i r="2">
      <x v="67"/>
    </i>
    <i r="1">
      <x v="4"/>
    </i>
    <i r="2">
      <x v="104"/>
    </i>
    <i r="2">
      <x v="116"/>
    </i>
    <i r="1">
      <x v="5"/>
    </i>
    <i r="2">
      <x v="125"/>
    </i>
    <i r="2">
      <x v="127"/>
    </i>
    <i r="2">
      <x v="128"/>
    </i>
    <i r="2">
      <x v="133"/>
    </i>
    <i r="2">
      <x v="148"/>
    </i>
    <i r="2">
      <x v="152"/>
    </i>
    <i r="1">
      <x v="7"/>
    </i>
    <i r="2">
      <x v="204"/>
    </i>
    <i r="1">
      <x v="8"/>
    </i>
    <i r="2">
      <x v="219"/>
    </i>
    <i r="1">
      <x v="9"/>
    </i>
    <i r="2">
      <x v="271"/>
    </i>
    <i r="1">
      <x v="10"/>
    </i>
    <i r="2">
      <x v="277"/>
    </i>
    <i r="2">
      <x v="279"/>
    </i>
    <i r="2">
      <x v="280"/>
    </i>
    <i r="1">
      <x v="11"/>
    </i>
    <i r="2">
      <x v="312"/>
    </i>
    <i r="2">
      <x v="313"/>
    </i>
    <i r="2">
      <x v="323"/>
    </i>
    <i r="2">
      <x v="326"/>
    </i>
    <i r="2">
      <x v="327"/>
    </i>
    <i r="1">
      <x v="12"/>
    </i>
    <i r="2">
      <x v="341"/>
    </i>
    <i>
      <x v="14"/>
    </i>
    <i r="1">
      <x v="1"/>
    </i>
    <i r="2">
      <x v="7"/>
    </i>
    <i r="2">
      <x v="13"/>
    </i>
    <i r="2">
      <x v="14"/>
    </i>
    <i r="1">
      <x v="3"/>
    </i>
    <i r="2">
      <x v="82"/>
    </i>
    <i r="2">
      <x v="86"/>
    </i>
    <i r="2">
      <x v="89"/>
    </i>
    <i r="1">
      <x v="4"/>
    </i>
    <i r="2">
      <x v="93"/>
    </i>
    <i r="2">
      <x v="101"/>
    </i>
    <i r="2">
      <x v="102"/>
    </i>
    <i r="2">
      <x v="103"/>
    </i>
    <i r="2">
      <x v="110"/>
    </i>
    <i r="2">
      <x v="111"/>
    </i>
    <i r="2">
      <x v="112"/>
    </i>
    <i r="1">
      <x v="5"/>
    </i>
    <i r="2">
      <x v="134"/>
    </i>
    <i r="2">
      <x v="135"/>
    </i>
    <i r="2">
      <x v="137"/>
    </i>
    <i r="2">
      <x v="140"/>
    </i>
    <i r="2">
      <x v="152"/>
    </i>
    <i t="grand">
      <x/>
    </i>
  </rowItems>
  <colItems count="1">
    <i/>
  </colItems>
  <dataFields count="1">
    <dataField name="Count of Published At" fld="2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omment_Type" sourceName="Comment Type">
  <pivotTables>
    <pivotTable tabId="14" name="TimeSeries"/>
  </pivotTables>
  <data>
    <tabular pivotCacheId="1139235642">
      <items count="3">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omment Type" cache="Slicer_Comment_Type" caption="Comment Type" rowHeight="241300"/>
</slicers>
</file>

<file path=xl/tables/table1.xml><?xml version="1.0" encoding="utf-8"?>
<table xmlns="http://schemas.openxmlformats.org/spreadsheetml/2006/main" id="1" name="Edges" displayName="Edges" ref="A2:AP390" totalsRowShown="0" headerRowDxfId="329" dataDxfId="293">
  <autoFilter ref="A2:AP390"/>
  <tableColumns count="42">
    <tableColumn id="1" name="Vertex 1" dataDxfId="278"/>
    <tableColumn id="2" name="Vertex 2" dataDxfId="276"/>
    <tableColumn id="3" name="Color" dataDxfId="277"/>
    <tableColumn id="4" name="Width" dataDxfId="302"/>
    <tableColumn id="11" name="Style" dataDxfId="301"/>
    <tableColumn id="5" name="Opacity" dataDxfId="300"/>
    <tableColumn id="6" name="Visibility" dataDxfId="299"/>
    <tableColumn id="10" name="Label" dataDxfId="298"/>
    <tableColumn id="12" name="Label Text Color" dataDxfId="297"/>
    <tableColumn id="13" name="Label Font Size" dataDxfId="296"/>
    <tableColumn id="14" name="Reciprocated?" dataDxfId="212"/>
    <tableColumn id="7" name="ID" dataDxfId="295"/>
    <tableColumn id="9" name="Dynamic Filter" dataDxfId="294"/>
    <tableColumn id="8" name="Add Your Own Columns Here" dataDxfId="275"/>
    <tableColumn id="15" name="Relationship" dataDxfId="274"/>
    <tableColumn id="16" name="Comment Type" dataDxfId="273"/>
    <tableColumn id="17" name="Comment" dataDxfId="272"/>
    <tableColumn id="18" name="Author Channel ID" dataDxfId="271"/>
    <tableColumn id="19" name="Author Display Name" dataDxfId="270"/>
    <tableColumn id="20" name="Author Channel URL" dataDxfId="269"/>
    <tableColumn id="21" name="Parent ID" dataDxfId="268"/>
    <tableColumn id="22" name="Video ID" dataDxfId="267"/>
    <tableColumn id="23" name="Video URL" dataDxfId="266"/>
    <tableColumn id="24" name="Viewer Rating" dataDxfId="265"/>
    <tableColumn id="25" name="Like Count" dataDxfId="264"/>
    <tableColumn id="26" name="Published At" dataDxfId="263"/>
    <tableColumn id="27" name="Updated At" dataDxfId="262"/>
    <tableColumn id="28" name="URLs In Comment" dataDxfId="261"/>
    <tableColumn id="29" name="Domains In Comment" dataDxfId="260"/>
    <tableColumn id="30" name="Hashtags In Comment" dataDxfId="259"/>
    <tableColumn id="31" name="Edge Weight"/>
    <tableColumn id="32" name="Vertex 1 Group" dataDxfId="227">
      <calculatedColumnFormula>REPLACE(INDEX(GroupVertices[Group], MATCH(Edges[[#This Row],[Vertex 1]],GroupVertices[Vertex],0)),1,1,"")</calculatedColumnFormula>
    </tableColumn>
    <tableColumn id="33" name="Vertex 2 Group" dataDxfId="188">
      <calculatedColumnFormula>REPLACE(INDEX(GroupVertices[Group], MATCH(Edges[[#This Row],[Vertex 2]],GroupVertices[Vertex],0)),1,1,"")</calculatedColumnFormula>
    </tableColumn>
    <tableColumn id="34" name="Sentiment List #1: List1 Word Count" dataDxfId="187"/>
    <tableColumn id="35" name="Sentiment List #1: List1 Word Percentage (%)" dataDxfId="186"/>
    <tableColumn id="36" name="Sentiment List #2: List2 Word Count" dataDxfId="185"/>
    <tableColumn id="37" name="Sentiment List #2: List2 Word Percentage (%)" dataDxfId="184"/>
    <tableColumn id="38" name="Sentiment List #3: List3 Word Count" dataDxfId="183"/>
    <tableColumn id="39" name="Sentiment List #3: List3 Word Percentage (%)" dataDxfId="182"/>
    <tableColumn id="40" name="Non-categorized Word Count" dataDxfId="181"/>
    <tableColumn id="41" name="Non-categorized Word Percentage (%)" dataDxfId="180"/>
    <tableColumn id="42" name="Edge Content Word Count" dataDxfId="17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11" totalsRowShown="0" headerRowDxfId="211" dataDxfId="210">
  <autoFilter ref="A1:G1311"/>
  <tableColumns count="7">
    <tableColumn id="1" name="Word" dataDxfId="209"/>
    <tableColumn id="2" name="Count" dataDxfId="208"/>
    <tableColumn id="3" name="Salience" dataDxfId="207"/>
    <tableColumn id="4" name="Group" dataDxfId="206"/>
    <tableColumn id="5" name="Word on Sentiment List #1: List1" dataDxfId="205"/>
    <tableColumn id="6" name="Word on Sentiment List #2: List2" dataDxfId="204"/>
    <tableColumn id="7" name="Word on Sentiment List #3: List3" dataDxfId="20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43" totalsRowShown="0" headerRowDxfId="202" dataDxfId="201">
  <autoFilter ref="A1:L643"/>
  <tableColumns count="12">
    <tableColumn id="1" name="Word 1" dataDxfId="200"/>
    <tableColumn id="2" name="Word 2" dataDxfId="199"/>
    <tableColumn id="3" name="Count" dataDxfId="198"/>
    <tableColumn id="4" name="Salience" dataDxfId="197"/>
    <tableColumn id="5" name="Mutual Information" dataDxfId="196"/>
    <tableColumn id="6" name="Group" dataDxfId="195"/>
    <tableColumn id="7" name="Word1 on Sentiment List #1: List1" dataDxfId="194"/>
    <tableColumn id="8" name="Word1 on Sentiment List #2: List2" dataDxfId="193"/>
    <tableColumn id="9" name="Word1 on Sentiment List #3: List3" dataDxfId="192"/>
    <tableColumn id="10" name="Word2 on Sentiment List #1: List1" dataDxfId="191"/>
    <tableColumn id="11" name="Word2 on Sentiment List #2: List2" dataDxfId="190"/>
    <tableColumn id="12" name="Word2 on Sentiment List #3: List3" dataDxfId="189"/>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38" totalsRowShown="0" headerRowDxfId="160" dataDxfId="159">
  <autoFilter ref="A2:C38"/>
  <tableColumns count="3">
    <tableColumn id="1" name="Group 1" dataDxfId="158"/>
    <tableColumn id="2" name="Group 2" dataDxfId="157"/>
    <tableColumn id="3" name="Edges" dataDxfId="156"/>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153" dataDxfId="152">
  <autoFilter ref="A1:B7"/>
  <tableColumns count="2">
    <tableColumn id="1" name="Key" dataDxfId="138"/>
    <tableColumn id="2" name="Value" dataDxfId="137"/>
  </tableColumns>
  <tableStyleInfo name="NodeXL Table" showFirstColumn="0" showLastColumn="0" showRowStripes="1" showColumnStripes="0"/>
</table>
</file>

<file path=xl/tables/table15.xml><?xml version="1.0" encoding="utf-8"?>
<table xmlns="http://schemas.openxmlformats.org/spreadsheetml/2006/main" id="14" name="TopItems_1" displayName="TopItems_1" ref="A1:B11" totalsRowShown="0" headerRowDxfId="142" dataDxfId="141">
  <autoFilter ref="A1:B11"/>
  <tableColumns count="2">
    <tableColumn id="1" name="Top 10 Vertices, Ranked by Betweenness Centrality" dataDxfId="140"/>
    <tableColumn id="2" name="Betweenness Centrality" dataDxfId="139"/>
  </tableColumns>
  <tableStyleInfo name="NodeXL Table" showFirstColumn="0" showLastColumn="0" showRowStripes="1" showColumnStripes="0"/>
</table>
</file>

<file path=xl/tables/table16.xml><?xml version="1.0" encoding="utf-8"?>
<table xmlns="http://schemas.openxmlformats.org/spreadsheetml/2006/main" id="16" name="NetworkTopItems_1" displayName="NetworkTopItems_1" ref="A1:V11" totalsRowShown="0" headerRowDxfId="136" dataDxfId="135">
  <autoFilter ref="A1:V11"/>
  <tableColumns count="22">
    <tableColumn id="1" name="Top URLs In Comment in Entire Graph" dataDxfId="134"/>
    <tableColumn id="2" name="Entire Graph Count" dataDxfId="133"/>
    <tableColumn id="3" name="Top URLs In Comment in G1" dataDxfId="132"/>
    <tableColumn id="4" name="G1 Count" dataDxfId="131"/>
    <tableColumn id="5" name="Top URLs In Comment in G2" dataDxfId="130"/>
    <tableColumn id="6" name="G2 Count" dataDxfId="129"/>
    <tableColumn id="7" name="Top URLs In Comment in G3" dataDxfId="128"/>
    <tableColumn id="8" name="G3 Count" dataDxfId="127"/>
    <tableColumn id="9" name="Top URLs In Comment in G4" dataDxfId="126"/>
    <tableColumn id="10" name="G4 Count" dataDxfId="125"/>
    <tableColumn id="11" name="Top URLs In Comment in G5" dataDxfId="124"/>
    <tableColumn id="12" name="G5 Count" dataDxfId="123"/>
    <tableColumn id="13" name="Top URLs In Comment in G6" dataDxfId="122"/>
    <tableColumn id="14" name="G6 Count" dataDxfId="121"/>
    <tableColumn id="15" name="Top URLs In Comment in G7" dataDxfId="120"/>
    <tableColumn id="16" name="G7 Count" dataDxfId="119"/>
    <tableColumn id="17" name="Top URLs In Comment in G8" dataDxfId="118"/>
    <tableColumn id="18" name="G8 Count" dataDxfId="117"/>
    <tableColumn id="19" name="Top URLs In Comment in G9" dataDxfId="116"/>
    <tableColumn id="20" name="G9 Count" dataDxfId="115"/>
    <tableColumn id="21" name="Top URLs In Comment in G10" dataDxfId="114"/>
    <tableColumn id="22" name="G10 Count" dataDxfId="113"/>
  </tableColumns>
  <tableStyleInfo name="NodeXL Table" showFirstColumn="0" showLastColumn="0" showRowStripes="1" showColumnStripes="0"/>
</table>
</file>

<file path=xl/tables/table17.xml><?xml version="1.0" encoding="utf-8"?>
<table xmlns="http://schemas.openxmlformats.org/spreadsheetml/2006/main" id="17" name="NetworkTopItems_2" displayName="NetworkTopItems_2" ref="A14:V24" totalsRowShown="0" headerRowDxfId="111" dataDxfId="110">
  <autoFilter ref="A14:V24"/>
  <tableColumns count="22">
    <tableColumn id="1" name="Top Domains In Comment in Entire Graph" dataDxfId="109"/>
    <tableColumn id="2" name="Entire Graph Count" dataDxfId="108"/>
    <tableColumn id="3" name="Top Domains In Comment in G1" dataDxfId="107"/>
    <tableColumn id="4" name="G1 Count" dataDxfId="106"/>
    <tableColumn id="5" name="Top Domains In Comment in G2" dataDxfId="105"/>
    <tableColumn id="6" name="G2 Count" dataDxfId="104"/>
    <tableColumn id="7" name="Top Domains In Comment in G3" dataDxfId="103"/>
    <tableColumn id="8" name="G3 Count" dataDxfId="102"/>
    <tableColumn id="9" name="Top Domains In Comment in G4" dataDxfId="101"/>
    <tableColumn id="10" name="G4 Count" dataDxfId="100"/>
    <tableColumn id="11" name="Top Domains In Comment in G5" dataDxfId="99"/>
    <tableColumn id="12" name="G5 Count" dataDxfId="98"/>
    <tableColumn id="13" name="Top Domains In Comment in G6" dataDxfId="97"/>
    <tableColumn id="14" name="G6 Count" dataDxfId="96"/>
    <tableColumn id="15" name="Top Domains In Comment in G7" dataDxfId="95"/>
    <tableColumn id="16" name="G7 Count" dataDxfId="94"/>
    <tableColumn id="17" name="Top Domains In Comment in G8" dataDxfId="93"/>
    <tableColumn id="18" name="G8 Count" dataDxfId="92"/>
    <tableColumn id="19" name="Top Domains In Comment in G9" dataDxfId="91"/>
    <tableColumn id="20" name="G9 Count" dataDxfId="90"/>
    <tableColumn id="21" name="Top Domains In Comment in G10" dataDxfId="89"/>
    <tableColumn id="22" name="G10 Count" dataDxfId="88"/>
  </tableColumns>
  <tableStyleInfo name="NodeXL Table" showFirstColumn="0" showLastColumn="0" showRowStripes="1" showColumnStripes="0"/>
</table>
</file>

<file path=xl/tables/table18.xml><?xml version="1.0" encoding="utf-8"?>
<table xmlns="http://schemas.openxmlformats.org/spreadsheetml/2006/main" id="18" name="NetworkTopItems_3" displayName="NetworkTopItems_3" ref="A27:V28" totalsRowShown="0" headerRowDxfId="86" dataDxfId="85">
  <autoFilter ref="A27:V28"/>
  <tableColumns count="22">
    <tableColumn id="1" name="Top Hashtags In Comment in Entire Graph" dataDxfId="84"/>
    <tableColumn id="2" name="Entire Graph Count" dataDxfId="83"/>
    <tableColumn id="3" name="Top Hashtags In Comment in G1" dataDxfId="82"/>
    <tableColumn id="4" name="G1 Count" dataDxfId="81"/>
    <tableColumn id="5" name="Top Hashtags In Comment in G2" dataDxfId="80"/>
    <tableColumn id="6" name="G2 Count" dataDxfId="79"/>
    <tableColumn id="7" name="Top Hashtags In Comment in G3" dataDxfId="78"/>
    <tableColumn id="8" name="G3 Count" dataDxfId="77"/>
    <tableColumn id="9" name="Top Hashtags In Comment in G4" dataDxfId="76"/>
    <tableColumn id="10" name="G4 Count" dataDxfId="75"/>
    <tableColumn id="11" name="Top Hashtags In Comment in G5" dataDxfId="74"/>
    <tableColumn id="12" name="G5 Count" dataDxfId="73"/>
    <tableColumn id="13" name="Top Hashtags In Comment in G6" dataDxfId="72"/>
    <tableColumn id="14" name="G6 Count" dataDxfId="71"/>
    <tableColumn id="15" name="Top Hashtags In Comment in G7" dataDxfId="70"/>
    <tableColumn id="16" name="G7 Count" dataDxfId="69"/>
    <tableColumn id="17" name="Top Hashtags In Comment in G8" dataDxfId="68"/>
    <tableColumn id="18" name="G8 Count" dataDxfId="67"/>
    <tableColumn id="19" name="Top Hashtags In Comment in G9" dataDxfId="66"/>
    <tableColumn id="20" name="G9 Count" dataDxfId="65"/>
    <tableColumn id="21" name="Top Hashtags In Comment in G10" dataDxfId="64"/>
    <tableColumn id="22" name="G10 Count" dataDxfId="63"/>
  </tableColumns>
  <tableStyleInfo name="NodeXL Table" showFirstColumn="0" showLastColumn="0" showRowStripes="1" showColumnStripes="0"/>
</table>
</file>

<file path=xl/tables/table19.xml><?xml version="1.0" encoding="utf-8"?>
<table xmlns="http://schemas.openxmlformats.org/spreadsheetml/2006/main" id="19" name="NetworkTopItems_4" displayName="NetworkTopItems_4" ref="A30:V40" totalsRowShown="0" headerRowDxfId="61" dataDxfId="60">
  <autoFilter ref="A30:V40"/>
  <tableColumns count="22">
    <tableColumn id="1" name="Top Words in Comment in Entire Graph" dataDxfId="59"/>
    <tableColumn id="2" name="Entire Graph Count" dataDxfId="58"/>
    <tableColumn id="3" name="Top Words in Comment in G1" dataDxfId="57"/>
    <tableColumn id="4" name="G1 Count" dataDxfId="56"/>
    <tableColumn id="5" name="Top Words in Comment in G2" dataDxfId="55"/>
    <tableColumn id="6" name="G2 Count" dataDxfId="54"/>
    <tableColumn id="7" name="Top Words in Comment in G3" dataDxfId="53"/>
    <tableColumn id="8" name="G3 Count" dataDxfId="52"/>
    <tableColumn id="9" name="Top Words in Comment in G4" dataDxfId="51"/>
    <tableColumn id="10" name="G4 Count" dataDxfId="50"/>
    <tableColumn id="11" name="Top Words in Comment in G5" dataDxfId="49"/>
    <tableColumn id="12" name="G5 Count" dataDxfId="48"/>
    <tableColumn id="13" name="Top Words in Comment in G6" dataDxfId="47"/>
    <tableColumn id="14" name="G6 Count" dataDxfId="46"/>
    <tableColumn id="15" name="Top Words in Comment in G7" dataDxfId="45"/>
    <tableColumn id="16" name="G7 Count" dataDxfId="44"/>
    <tableColumn id="17" name="Top Words in Comment in G8" dataDxfId="43"/>
    <tableColumn id="18" name="G8 Count" dataDxfId="42"/>
    <tableColumn id="19" name="Top Words in Comment in G9" dataDxfId="41"/>
    <tableColumn id="20" name="G9 Count" dataDxfId="40"/>
    <tableColumn id="21" name="Top Words in Comment in G10" dataDxfId="39"/>
    <tableColumn id="22" name="G10 Count" dataDxfId="3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N226" totalsRowShown="0" headerRowDxfId="328" dataDxfId="279">
  <autoFilter ref="A2:BN226"/>
  <tableColumns count="66">
    <tableColumn id="1" name="Vertex" dataDxfId="292"/>
    <tableColumn id="2" name="Color" dataDxfId="291"/>
    <tableColumn id="5" name="Shape" dataDxfId="290"/>
    <tableColumn id="6" name="Size" dataDxfId="289"/>
    <tableColumn id="4" name="Opacity" dataDxfId="240"/>
    <tableColumn id="7" name="Image File" dataDxfId="238"/>
    <tableColumn id="3" name="Visibility" dataDxfId="239"/>
    <tableColumn id="10" name="Label" dataDxfId="288"/>
    <tableColumn id="16" name="Label Fill Color" dataDxfId="287"/>
    <tableColumn id="9" name="Label Position" dataDxfId="258"/>
    <tableColumn id="8" name="Tooltip" dataDxfId="256"/>
    <tableColumn id="18" name="Layout Order" dataDxfId="257"/>
    <tableColumn id="13" name="X" dataDxfId="286"/>
    <tableColumn id="14" name="Y" dataDxfId="285"/>
    <tableColumn id="12" name="Locked?" dataDxfId="284"/>
    <tableColumn id="19" name="Polar R" dataDxfId="283"/>
    <tableColumn id="20" name="Polar Angle" dataDxfId="282"/>
    <tableColumn id="21" name="Degree" dataDxfId="149"/>
    <tableColumn id="22" name="In-Degree" dataDxfId="148"/>
    <tableColumn id="23" name="Out-Degree" dataDxfId="146"/>
    <tableColumn id="24" name="Betweenness Centrality" dataDxfId="147"/>
    <tableColumn id="25" name="Closeness Centrality" dataDxfId="151"/>
    <tableColumn id="26" name="Eigenvector Centrality" dataDxfId="150"/>
    <tableColumn id="15" name="PageRank" dataDxfId="145"/>
    <tableColumn id="27" name="Clustering Coefficient" dataDxfId="143"/>
    <tableColumn id="29" name="Reciprocated Vertex Pair Ratio" dataDxfId="144"/>
    <tableColumn id="11" name="ID" dataDxfId="281"/>
    <tableColumn id="28" name="Dynamic Filter" dataDxfId="280"/>
    <tableColumn id="17" name="Add Your Own Columns Here" dataDxfId="255"/>
    <tableColumn id="30" name="Title" dataDxfId="254"/>
    <tableColumn id="31" name="Description" dataDxfId="253"/>
    <tableColumn id="32" name="Author Channel ID" dataDxfId="252"/>
    <tableColumn id="33" name="Author Display Name" dataDxfId="251"/>
    <tableColumn id="34" name="Author Channel URL" dataDxfId="250"/>
    <tableColumn id="35" name="Custom URL" dataDxfId="249"/>
    <tableColumn id="36" name="Published At" dataDxfId="248"/>
    <tableColumn id="37" name="Thumbnail" dataDxfId="247"/>
    <tableColumn id="38" name="View Count" dataDxfId="246"/>
    <tableColumn id="39" name="Comment Count" dataDxfId="245"/>
    <tableColumn id="40" name="Subscriber Count" dataDxfId="244"/>
    <tableColumn id="41" name="Hidden Subscriber Count" dataDxfId="243"/>
    <tableColumn id="42" name="Video Count" dataDxfId="242"/>
    <tableColumn id="43" name="Content Owner" dataDxfId="241"/>
    <tableColumn id="44" name="Time Linked" dataDxfId="237"/>
    <tableColumn id="45" name="Custom Menu Item Text" dataDxfId="236"/>
    <tableColumn id="46" name="Custom Menu Item Action" dataDxfId="228"/>
    <tableColumn id="47" name="Vertex Group" dataDxfId="178">
      <calculatedColumnFormula>REPLACE(INDEX(GroupVertices[Group], MATCH(Vertices[[#This Row],[Vertex]],GroupVertices[Vertex],0)),1,1,"")</calculatedColumnFormula>
    </tableColumn>
    <tableColumn id="48" name="Sentiment List #1: List1 Word Count" dataDxfId="177"/>
    <tableColumn id="49" name="Sentiment List #1: List1 Word Percentage (%)" dataDxfId="176"/>
    <tableColumn id="50" name="Sentiment List #2: List2 Word Count" dataDxfId="175"/>
    <tableColumn id="51" name="Sentiment List #2: List2 Word Percentage (%)" dataDxfId="174"/>
    <tableColumn id="52" name="Sentiment List #3: List3 Word Count" dataDxfId="173"/>
    <tableColumn id="53" name="Sentiment List #3: List3 Word Percentage (%)" dataDxfId="172"/>
    <tableColumn id="54" name="Non-categorized Word Count" dataDxfId="171"/>
    <tableColumn id="55" name="Non-categorized Word Percentage (%)" dataDxfId="170"/>
    <tableColumn id="56" name="Vertex Content Word Count" dataDxfId="10"/>
    <tableColumn id="57" name="URLs In Comment by Count" dataDxfId="9"/>
    <tableColumn id="58" name="URLs In Comment by Salience" dataDxfId="8"/>
    <tableColumn id="59" name="Domains In Comment by Count" dataDxfId="7"/>
    <tableColumn id="60" name="Domains In Comment by Salience" dataDxfId="6"/>
    <tableColumn id="61" name="Hashtags In Comment by Count" dataDxfId="5"/>
    <tableColumn id="62" name="Hashtags In Comment by Salience" dataDxfId="4"/>
    <tableColumn id="63" name="Top Words in Comment by Count" dataDxfId="3"/>
    <tableColumn id="64" name="Top Words in Comment by Salience" dataDxfId="2"/>
    <tableColumn id="65" name="Top Word Pairs in Comment by Count" dataDxfId="1"/>
    <tableColumn id="66" name="Top Word Pairs in Commen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5" displayName="NetworkTopItems_5" ref="A43:V53" totalsRowShown="0" headerRowDxfId="36" dataDxfId="35">
  <autoFilter ref="A43:V53"/>
  <tableColumns count="22">
    <tableColumn id="1" name="Top Word Pairs in Comment in Entire Graph" dataDxfId="34"/>
    <tableColumn id="2" name="Entire Graph Count" dataDxfId="33"/>
    <tableColumn id="3" name="Top Word Pairs in Comment in G1" dataDxfId="32"/>
    <tableColumn id="4" name="G1 Count" dataDxfId="31"/>
    <tableColumn id="5" name="Top Word Pairs in Comment in G2" dataDxfId="30"/>
    <tableColumn id="6" name="G2 Count" dataDxfId="29"/>
    <tableColumn id="7" name="Top Word Pairs in Comment in G3" dataDxfId="28"/>
    <tableColumn id="8" name="G3 Count" dataDxfId="27"/>
    <tableColumn id="9" name="Top Word Pairs in Comment in G4" dataDxfId="26"/>
    <tableColumn id="10" name="G4 Count" dataDxfId="25"/>
    <tableColumn id="11" name="Top Word Pairs in Comment in G5" dataDxfId="24"/>
    <tableColumn id="12" name="G5 Count" dataDxfId="23"/>
    <tableColumn id="13" name="Top Word Pairs in Comment in G6" dataDxfId="22"/>
    <tableColumn id="14" name="G6 Count" dataDxfId="21"/>
    <tableColumn id="15" name="Top Word Pairs in Comment in G7" dataDxfId="20"/>
    <tableColumn id="16" name="G7 Count" dataDxfId="19"/>
    <tableColumn id="17" name="Top Word Pairs in Comment in G8" dataDxfId="18"/>
    <tableColumn id="18" name="G8 Count" dataDxfId="17"/>
    <tableColumn id="19" name="Top Word Pairs in Comment in G9" dataDxfId="16"/>
    <tableColumn id="20" name="G9 Count" dataDxfId="15"/>
    <tableColumn id="21" name="Top Word Pairs in Comment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L27" totalsRowShown="0" headerRowDxfId="327">
  <autoFilter ref="A2:AL27"/>
  <tableColumns count="38">
    <tableColumn id="1" name="Group" dataDxfId="235"/>
    <tableColumn id="2" name="Vertex Color" dataDxfId="234"/>
    <tableColumn id="3" name="Vertex Shape" dataDxfId="232"/>
    <tableColumn id="22" name="Visibility" dataDxfId="233"/>
    <tableColumn id="4" name="Collapsed?"/>
    <tableColumn id="18" name="Label" dataDxfId="326"/>
    <tableColumn id="20" name="Collapsed X"/>
    <tableColumn id="21" name="Collapsed Y"/>
    <tableColumn id="6" name="ID" dataDxfId="325"/>
    <tableColumn id="19" name="Collapsed Properties" dataDxfId="226"/>
    <tableColumn id="5" name="Vertices" dataDxfId="225"/>
    <tableColumn id="7" name="Unique Edges" dataDxfId="224"/>
    <tableColumn id="8" name="Edges With Duplicates" dataDxfId="223"/>
    <tableColumn id="9" name="Total Edges" dataDxfId="222"/>
    <tableColumn id="10" name="Self-Loops" dataDxfId="221"/>
    <tableColumn id="24" name="Reciprocated Vertex Pair Ratio" dataDxfId="220"/>
    <tableColumn id="25" name="Reciprocated Edge Ratio" dataDxfId="219"/>
    <tableColumn id="11" name="Connected Components" dataDxfId="218"/>
    <tableColumn id="12" name="Single-Vertex Connected Components" dataDxfId="217"/>
    <tableColumn id="13" name="Maximum Vertices in a Connected Component" dataDxfId="216"/>
    <tableColumn id="14" name="Maximum Edges in a Connected Component" dataDxfId="215"/>
    <tableColumn id="15" name="Maximum Geodesic Distance (Diameter)" dataDxfId="214"/>
    <tableColumn id="16" name="Average Geodesic Distance" dataDxfId="213"/>
    <tableColumn id="17" name="Graph Density" dataDxfId="169"/>
    <tableColumn id="23" name="Sentiment List #1: List1 Word Count" dataDxfId="168"/>
    <tableColumn id="26" name="Sentiment List #1: List1 Word Percentage (%)" dataDxfId="167"/>
    <tableColumn id="27" name="Sentiment List #2: List2 Word Count" dataDxfId="166"/>
    <tableColumn id="28" name="Sentiment List #2: List2 Word Percentage (%)" dataDxfId="165"/>
    <tableColumn id="29" name="Sentiment List #3: List3 Word Count" dataDxfId="164"/>
    <tableColumn id="30" name="Sentiment List #3: List3 Word Percentage (%)" dataDxfId="163"/>
    <tableColumn id="31" name="Non-categorized Word Count" dataDxfId="162"/>
    <tableColumn id="32" name="Non-categorized Word Percentage (%)" dataDxfId="161"/>
    <tableColumn id="33" name="Group Content Word Count" dataDxfId="112"/>
    <tableColumn id="34" name="Top URLs In Comment" dataDxfId="87"/>
    <tableColumn id="35" name="Top Domains In Comment" dataDxfId="62"/>
    <tableColumn id="36" name="Top Hashtags In Comment" dataDxfId="37"/>
    <tableColumn id="37" name="Top Words in Comment" dataDxfId="12"/>
    <tableColumn id="38" name="Top Word Pairs in Comment"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5" totalsRowShown="0" headerRowDxfId="324" dataDxfId="323">
  <autoFilter ref="A1:C225"/>
  <tableColumns count="3">
    <tableColumn id="1" name="Group" dataDxfId="231"/>
    <tableColumn id="2" name="Vertex" dataDxfId="230"/>
    <tableColumn id="3" name="Vertex ID" dataDxfId="22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55"/>
    <tableColumn id="2" name="Value" dataDxfId="15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2"/>
    <tableColumn id="2" name="Degree Frequency" dataDxfId="321">
      <calculatedColumnFormula>COUNTIF(Vertices[Degree], "&gt;= " &amp; D2) - COUNTIF(Vertices[Degree], "&gt;=" &amp; D3)</calculatedColumnFormula>
    </tableColumn>
    <tableColumn id="3" name="In-Degree Bin" dataDxfId="320"/>
    <tableColumn id="4" name="In-Degree Frequency" dataDxfId="319">
      <calculatedColumnFormula>COUNTIF(Vertices[In-Degree], "&gt;= " &amp; F2) - COUNTIF(Vertices[In-Degree], "&gt;=" &amp; F3)</calculatedColumnFormula>
    </tableColumn>
    <tableColumn id="5" name="Out-Degree Bin" dataDxfId="318"/>
    <tableColumn id="6" name="Out-Degree Frequency" dataDxfId="317">
      <calculatedColumnFormula>COUNTIF(Vertices[Out-Degree], "&gt;= " &amp; H2) - COUNTIF(Vertices[Out-Degree], "&gt;=" &amp; H3)</calculatedColumnFormula>
    </tableColumn>
    <tableColumn id="7" name="Betweenness Centrality Bin" dataDxfId="316"/>
    <tableColumn id="8" name="Betweenness Centrality Frequency" dataDxfId="315">
      <calculatedColumnFormula>COUNTIF(Vertices[Betweenness Centrality], "&gt;= " &amp; J2) - COUNTIF(Vertices[Betweenness Centrality], "&gt;=" &amp; J3)</calculatedColumnFormula>
    </tableColumn>
    <tableColumn id="9" name="Closeness Centrality Bin" dataDxfId="314"/>
    <tableColumn id="10" name="Closeness Centrality Frequency" dataDxfId="313">
      <calculatedColumnFormula>COUNTIF(Vertices[Closeness Centrality], "&gt;= " &amp; L2) - COUNTIF(Vertices[Closeness Centrality], "&gt;=" &amp; L3)</calculatedColumnFormula>
    </tableColumn>
    <tableColumn id="11" name="Eigenvector Centrality Bin" dataDxfId="312"/>
    <tableColumn id="12" name="Eigenvector Centrality Frequency" dataDxfId="311">
      <calculatedColumnFormula>COUNTIF(Vertices[Eigenvector Centrality], "&gt;= " &amp; N2) - COUNTIF(Vertices[Eigenvector Centrality], "&gt;=" &amp; N3)</calculatedColumnFormula>
    </tableColumn>
    <tableColumn id="18" name="PageRank Bin" dataDxfId="310"/>
    <tableColumn id="17" name="PageRank Frequency" dataDxfId="309">
      <calculatedColumnFormula>COUNTIF(Vertices[Eigenvector Centrality], "&gt;= " &amp; P2) - COUNTIF(Vertices[Eigenvector Centrality], "&gt;=" &amp; P3)</calculatedColumnFormula>
    </tableColumn>
    <tableColumn id="13" name="Clustering Coefficient Bin" dataDxfId="308"/>
    <tableColumn id="14" name="Clustering Coefficient Frequency" dataDxfId="307">
      <calculatedColumnFormula>COUNTIF(Vertices[Clustering Coefficient], "&gt;= " &amp; R2) - COUNTIF(Vertices[Clustering Coefficient], "&gt;=" &amp; R3)</calculatedColumnFormula>
    </tableColumn>
    <tableColumn id="15" name="Dynamic Filter Bin" dataDxfId="306"/>
    <tableColumn id="16" name="Dynamic Filter Frequency" dataDxfId="30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81" totalsRowShown="0" headerRowDxfId="304">
  <autoFilter ref="J1:K81"/>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hyperlink" Target="http://www.youtube.com/results?search_query=%23SaveBabakanSiliwangi" TargetMode="External" /><Relationship Id="rId2" Type="http://schemas.openxmlformats.org/officeDocument/2006/relationships/hyperlink" Target="https://www.smrfoundation.org/nodexl/installation/" TargetMode="External" /><Relationship Id="rId3" Type="http://schemas.openxmlformats.org/officeDocument/2006/relationships/hyperlink" Target="http://www.youtube.com/results?search_query=%23adidas" TargetMode="External" /><Relationship Id="rId4" Type="http://schemas.openxmlformats.org/officeDocument/2006/relationships/hyperlink" Target="http://maine.edu/" TargetMode="External" /><Relationship Id="rId5" Type="http://schemas.openxmlformats.org/officeDocument/2006/relationships/hyperlink" Target="http://www.youtube.com/results?search_query=%23love" TargetMode="External" /><Relationship Id="rId6" Type="http://schemas.openxmlformats.org/officeDocument/2006/relationships/hyperlink" Target="https://www.youtube.com/watch?v=lbb2lMCSg64" TargetMode="External" /><Relationship Id="rId7" Type="http://schemas.openxmlformats.org/officeDocument/2006/relationships/hyperlink" Target="https://nodexlgraphgallery.org/Pages/registration.aspx" TargetMode="External" /><Relationship Id="rId8" Type="http://schemas.openxmlformats.org/officeDocument/2006/relationships/hyperlink" Target="http://www.youtube.com/results?search_query=%23SaveBabakan" TargetMode="External" /><Relationship Id="rId9" Type="http://schemas.openxmlformats.org/officeDocument/2006/relationships/hyperlink" Target="https://nodexlgraphgallery.org/Pages/registration.asp" TargetMode="External" /><Relationship Id="rId10" Type="http://schemas.openxmlformats.org/officeDocument/2006/relationships/hyperlink" Target="https://www.smrfoundation.org/2019/09/05/nodexl-pro-facebook-data-importers-no-longer-functional/" TargetMode="External" /><Relationship Id="rId11" Type="http://schemas.openxmlformats.org/officeDocument/2006/relationships/hyperlink" Target="https://www.smrfoundation.org/nodexl/installation/" TargetMode="External" /><Relationship Id="rId12" Type="http://schemas.openxmlformats.org/officeDocument/2006/relationships/hyperlink" Target="http://maine.edu/" TargetMode="External" /><Relationship Id="rId13" Type="http://schemas.openxmlformats.org/officeDocument/2006/relationships/hyperlink" Target="https://www.peteraldhous.com/CAR/NodeXL_CAR2012.pdf" TargetMode="External" /><Relationship Id="rId14" Type="http://schemas.openxmlformats.org/officeDocument/2006/relationships/hyperlink" Target="http://www.nodexlgraphgallery.org/Pages/Graph.aspx?graphID=57173" TargetMode="External" /><Relationship Id="rId15" Type="http://schemas.openxmlformats.org/officeDocument/2006/relationships/hyperlink" Target="http://www.amazon.com/Analyzing-Social-Media-Networks-NodeXL/dp/0123822297" TargetMode="External" /><Relationship Id="rId16" Type="http://schemas.openxmlformats.org/officeDocument/2006/relationships/hyperlink" Target="https://nodexlgraphgallery.org/Pages/registration.asp" TargetMode="External" /><Relationship Id="rId17" Type="http://schemas.openxmlformats.org/officeDocument/2006/relationships/hyperlink" Target="https://nodexlgraphgallery.org/Pages/registration.aspx" TargetMode="External" /><Relationship Id="rId18" Type="http://schemas.openxmlformats.org/officeDocument/2006/relationships/hyperlink" Target="https://www.youtube.com/watch?v=lbb2lMCSg64" TargetMode="External" /><Relationship Id="rId19" Type="http://schemas.openxmlformats.org/officeDocument/2006/relationships/hyperlink" Target="http://www.youtube.com/results?search_query=%23love" TargetMode="External" /><Relationship Id="rId20" Type="http://schemas.openxmlformats.org/officeDocument/2006/relationships/hyperlink" Target="http://developer.twitter.com/" TargetMode="External" /><Relationship Id="rId21" Type="http://schemas.openxmlformats.org/officeDocument/2006/relationships/hyperlink" Target="http://www.youtube.com/results?search_query=%23SaveBabakanSiliwangi" TargetMode="External" /><Relationship Id="rId22" Type="http://schemas.openxmlformats.org/officeDocument/2006/relationships/hyperlink" Target="http://www.youtube.com/results?search_query=%23adidas" TargetMode="External" /><Relationship Id="rId23" Type="http://schemas.openxmlformats.org/officeDocument/2006/relationships/hyperlink" Target="http://www.youtube.com/results?search_query=%23SaveBabakan" TargetMode="External" /><Relationship Id="rId24" Type="http://schemas.openxmlformats.org/officeDocument/2006/relationships/hyperlink" Target="https://www.smrfoundation.org/2019/09/05/nodexl-pro-facebook-data-importers-no-longer-functional/" TargetMode="External" /><Relationship Id="rId25" Type="http://schemas.openxmlformats.org/officeDocument/2006/relationships/hyperlink" Target="https://docs.google.com/document/d/1GdYAVkfBXcNrpG_b_EAZwHldbSvUpY3GFjEESWu474c/edit?usp=sharing" TargetMode="External" /><Relationship Id="rId26" Type="http://schemas.openxmlformats.org/officeDocument/2006/relationships/hyperlink" Target="https://vivianfrancos.com/conoce-tus-mapas-de-audiencia-nodexl/" TargetMode="External" /><Relationship Id="rId27" Type="http://schemas.openxmlformats.org/officeDocument/2006/relationships/hyperlink" Target="http://vivianfrancos.com/" TargetMode="External" /><Relationship Id="rId28" Type="http://schemas.openxmlformats.org/officeDocument/2006/relationships/hyperlink" Target="https://drive.google.com/file/d/1setCSR5TRFgLAsY6IIbyKG9_eT02Ay5C/view?usp=sharing" TargetMode="External" /><Relationship Id="rId29" Type="http://schemas.openxmlformats.org/officeDocument/2006/relationships/hyperlink" Target="https://www.nodexlgraphgallery.org/Pages/Registration.aspx" TargetMode="External" /><Relationship Id="rId30" Type="http://schemas.openxmlformats.org/officeDocument/2006/relationships/hyperlink" Target="http://download.cnet.com/NodeXL/3001-2077_4-10967171.html" TargetMode="External" /><Relationship Id="rId31" Type="http://schemas.openxmlformats.org/officeDocument/2006/relationships/hyperlink" Target="http://www.youtube.com/results?search_query=%23m%C3%BClteci" TargetMode="External" /><Relationship Id="rId32" Type="http://schemas.openxmlformats.org/officeDocument/2006/relationships/hyperlink" Target="http://nodexl.codeplex.com/" TargetMode="External" /><Relationship Id="rId33" Type="http://schemas.openxmlformats.org/officeDocument/2006/relationships/hyperlink" Target="http://blog.ibpad.com.br/" TargetMode="External" /><Relationship Id="rId34" Type="http://schemas.openxmlformats.org/officeDocument/2006/relationships/hyperlink" Target="http://www.youtube.com/watch?v=39yXz72qdow&amp;amp;t=4m08s" TargetMode="External" /><Relationship Id="rId35" Type="http://schemas.openxmlformats.org/officeDocument/2006/relationships/hyperlink" Target="https://archive.codeplex.com/?p=nodexl" TargetMode="External" /><Relationship Id="rId36" Type="http://schemas.openxmlformats.org/officeDocument/2006/relationships/hyperlink" Target="https://nodexl.codeplex.com/" TargetMode="External" /><Relationship Id="rId37" Type="http://schemas.openxmlformats.org/officeDocument/2006/relationships/hyperlink" Target="https://nodexl.codeplex.com/" TargetMode="External" /><Relationship Id="rId38" Type="http://schemas.openxmlformats.org/officeDocument/2006/relationships/table" Target="../tables/table16.xml" /><Relationship Id="rId39" Type="http://schemas.openxmlformats.org/officeDocument/2006/relationships/table" Target="../tables/table17.xml" /><Relationship Id="rId40" Type="http://schemas.openxmlformats.org/officeDocument/2006/relationships/table" Target="../tables/table18.xml" /><Relationship Id="rId41" Type="http://schemas.openxmlformats.org/officeDocument/2006/relationships/table" Target="../tables/table19.xml" /><Relationship Id="rId42" Type="http://schemas.openxmlformats.org/officeDocument/2006/relationships/table" Target="../tables/table20.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39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7" width="12.00390625" style="0" bestFit="1" customWidth="1"/>
    <col min="18" max="18" width="12.8515625" style="0" bestFit="1" customWidth="1"/>
    <col min="19" max="19" width="16.421875" style="0" bestFit="1" customWidth="1"/>
    <col min="20" max="20" width="14.28125" style="0" bestFit="1" customWidth="1"/>
    <col min="21" max="21" width="11.421875" style="0" bestFit="1" customWidth="1"/>
    <col min="22" max="22" width="10.8515625" style="0" bestFit="1" customWidth="1"/>
    <col min="23" max="23" width="8.57421875" style="0" bestFit="1" customWidth="1"/>
    <col min="24" max="24" width="9.7109375" style="0" bestFit="1" customWidth="1"/>
    <col min="25" max="25" width="8.57421875" style="0" bestFit="1" customWidth="1"/>
    <col min="26" max="26" width="12.140625" style="0" bestFit="1" customWidth="1"/>
    <col min="27" max="27" width="10.8515625" style="0" bestFit="1" customWidth="1"/>
    <col min="28" max="28" width="12.00390625" style="0" bestFit="1" customWidth="1"/>
    <col min="29" max="29" width="13.140625" style="0" bestFit="1" customWidth="1"/>
    <col min="30" max="30" width="13.28125" style="0" bestFit="1" customWidth="1"/>
    <col min="31" max="31" width="14.421875" style="0" customWidth="1"/>
    <col min="32" max="33" width="11.140625" style="0" bestFit="1" customWidth="1"/>
    <col min="34" max="34" width="19.7109375" style="0" bestFit="1" customWidth="1"/>
    <col min="35" max="35" width="24.28125" style="0" bestFit="1" customWidth="1"/>
    <col min="36" max="36" width="19.7109375" style="0" bestFit="1" customWidth="1"/>
    <col min="37" max="37" width="24.28125" style="0" bestFit="1" customWidth="1"/>
    <col min="38" max="38" width="19.7109375" style="0" bestFit="1" customWidth="1"/>
    <col min="39" max="39" width="24.28125" style="0" bestFit="1" customWidth="1"/>
    <col min="40" max="40" width="18.57421875" style="0" bestFit="1" customWidth="1"/>
    <col min="41" max="41" width="22.28125" style="0" bestFit="1" customWidth="1"/>
    <col min="42" max="42" width="15.7109375" style="0" bestFit="1" customWidth="1"/>
  </cols>
  <sheetData>
    <row r="1" spans="3:14" ht="15">
      <c r="C1" s="17" t="s">
        <v>39</v>
      </c>
      <c r="D1" s="18"/>
      <c r="E1" s="18"/>
      <c r="F1" s="18"/>
      <c r="G1" s="17"/>
      <c r="H1" s="15" t="s">
        <v>43</v>
      </c>
      <c r="I1" s="52"/>
      <c r="J1" s="52"/>
      <c r="K1" s="34" t="s">
        <v>42</v>
      </c>
      <c r="L1" s="19" t="s">
        <v>40</v>
      </c>
      <c r="M1" s="19"/>
      <c r="N1" s="16" t="s">
        <v>41</v>
      </c>
    </row>
    <row r="2" spans="1:4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323</v>
      </c>
      <c r="P2" s="13" t="s">
        <v>324</v>
      </c>
      <c r="Q2" s="13" t="s">
        <v>325</v>
      </c>
      <c r="R2" s="13" t="s">
        <v>326</v>
      </c>
      <c r="S2" s="13" t="s">
        <v>327</v>
      </c>
      <c r="T2" s="13" t="s">
        <v>328</v>
      </c>
      <c r="U2" s="13" t="s">
        <v>329</v>
      </c>
      <c r="V2" s="13" t="s">
        <v>330</v>
      </c>
      <c r="W2" s="13" t="s">
        <v>331</v>
      </c>
      <c r="X2" s="13" t="s">
        <v>332</v>
      </c>
      <c r="Y2" s="13" t="s">
        <v>333</v>
      </c>
      <c r="Z2" s="13" t="s">
        <v>334</v>
      </c>
      <c r="AA2" s="13" t="s">
        <v>335</v>
      </c>
      <c r="AB2" s="13" t="s">
        <v>336</v>
      </c>
      <c r="AC2" s="13" t="s">
        <v>337</v>
      </c>
      <c r="AD2" s="13" t="s">
        <v>338</v>
      </c>
      <c r="AE2" t="s">
        <v>1377</v>
      </c>
      <c r="AF2" s="13" t="s">
        <v>1416</v>
      </c>
      <c r="AG2" s="13" t="s">
        <v>1417</v>
      </c>
      <c r="AH2" s="54" t="s">
        <v>2072</v>
      </c>
      <c r="AI2" s="54" t="s">
        <v>2073</v>
      </c>
      <c r="AJ2" s="54" t="s">
        <v>2074</v>
      </c>
      <c r="AK2" s="54" t="s">
        <v>2075</v>
      </c>
      <c r="AL2" s="54" t="s">
        <v>2076</v>
      </c>
      <c r="AM2" s="54" t="s">
        <v>2077</v>
      </c>
      <c r="AN2" s="54" t="s">
        <v>2078</v>
      </c>
      <c r="AO2" s="54" t="s">
        <v>2079</v>
      </c>
      <c r="AP2" s="54" t="s">
        <v>2080</v>
      </c>
    </row>
    <row r="3" spans="1:42" ht="15" customHeight="1">
      <c r="A3" s="65" t="s">
        <v>562</v>
      </c>
      <c r="B3" s="65" t="s">
        <v>521</v>
      </c>
      <c r="C3" s="66" t="s">
        <v>2942</v>
      </c>
      <c r="D3" s="67">
        <v>3</v>
      </c>
      <c r="E3" s="68"/>
      <c r="F3" s="69">
        <v>40</v>
      </c>
      <c r="G3" s="66"/>
      <c r="H3" s="70"/>
      <c r="I3" s="71"/>
      <c r="J3" s="71"/>
      <c r="K3" s="35" t="s">
        <v>65</v>
      </c>
      <c r="L3" s="72">
        <v>3</v>
      </c>
      <c r="M3" s="72"/>
      <c r="N3" s="73"/>
      <c r="O3" s="80" t="s">
        <v>563</v>
      </c>
      <c r="P3" s="80" t="s">
        <v>325</v>
      </c>
      <c r="Q3" s="83" t="s">
        <v>851</v>
      </c>
      <c r="R3" s="80" t="s">
        <v>562</v>
      </c>
      <c r="S3" s="80" t="s">
        <v>1034</v>
      </c>
      <c r="T3" s="85" t="str">
        <f>HYPERLINK("http://www.youtube.com/channel/UCdmhCH2BrYLQeiYzykYSBlA")</f>
        <v>http://www.youtube.com/channel/UCdmhCH2BrYLQeiYzykYSBlA</v>
      </c>
      <c r="U3" s="80"/>
      <c r="V3" s="80" t="s">
        <v>1135</v>
      </c>
      <c r="W3" s="85" t="str">
        <f>HYPERLINK("https://www.youtube.com/watch?v=vi01cIzeiqw")</f>
        <v>https://www.youtube.com/watch?v=vi01cIzeiqw</v>
      </c>
      <c r="X3" s="80" t="s">
        <v>1183</v>
      </c>
      <c r="Y3" s="80">
        <v>0</v>
      </c>
      <c r="Z3" s="87">
        <v>42518.05482638889</v>
      </c>
      <c r="AA3" s="87">
        <v>42518.05482638889</v>
      </c>
      <c r="AB3" s="80"/>
      <c r="AC3" s="80"/>
      <c r="AD3" s="83" t="s">
        <v>1239</v>
      </c>
      <c r="AE3" s="82">
        <v>1</v>
      </c>
      <c r="AF3" s="83" t="str">
        <f>REPLACE(INDEX(GroupVertices[Group],MATCH(Edges[[#This Row],[Vertex 1]],GroupVertices[Vertex],0)),1,1,"")</f>
        <v>25</v>
      </c>
      <c r="AG3" s="83" t="str">
        <f>REPLACE(INDEX(GroupVertices[Group],MATCH(Edges[[#This Row],[Vertex 2]],GroupVertices[Vertex],0)),1,1,"")</f>
        <v>25</v>
      </c>
      <c r="AH3" s="111">
        <v>0</v>
      </c>
      <c r="AI3" s="112">
        <v>0</v>
      </c>
      <c r="AJ3" s="111">
        <v>0</v>
      </c>
      <c r="AK3" s="112">
        <v>0</v>
      </c>
      <c r="AL3" s="111">
        <v>0</v>
      </c>
      <c r="AM3" s="112">
        <v>0</v>
      </c>
      <c r="AN3" s="111">
        <v>5</v>
      </c>
      <c r="AO3" s="112">
        <v>100</v>
      </c>
      <c r="AP3" s="111">
        <v>5</v>
      </c>
    </row>
    <row r="4" spans="1:42" ht="15" customHeight="1">
      <c r="A4" s="65" t="s">
        <v>339</v>
      </c>
      <c r="B4" s="65" t="s">
        <v>525</v>
      </c>
      <c r="C4" s="66" t="s">
        <v>2942</v>
      </c>
      <c r="D4" s="67">
        <v>3</v>
      </c>
      <c r="E4" s="68"/>
      <c r="F4" s="69">
        <v>40</v>
      </c>
      <c r="G4" s="66"/>
      <c r="H4" s="70"/>
      <c r="I4" s="71"/>
      <c r="J4" s="71"/>
      <c r="K4" s="35" t="s">
        <v>65</v>
      </c>
      <c r="L4" s="79">
        <v>4</v>
      </c>
      <c r="M4" s="79"/>
      <c r="N4" s="73"/>
      <c r="O4" s="81" t="s">
        <v>563</v>
      </c>
      <c r="P4" s="81" t="s">
        <v>325</v>
      </c>
      <c r="Q4" s="84" t="s">
        <v>567</v>
      </c>
      <c r="R4" s="81" t="s">
        <v>339</v>
      </c>
      <c r="S4" s="81" t="s">
        <v>852</v>
      </c>
      <c r="T4" s="86" t="str">
        <f>HYPERLINK("http://www.youtube.com/channel/UCEm5HlGvJXSCTKsFxWih04g")</f>
        <v>http://www.youtube.com/channel/UCEm5HlGvJXSCTKsFxWih04g</v>
      </c>
      <c r="U4" s="81"/>
      <c r="V4" s="81" t="s">
        <v>1089</v>
      </c>
      <c r="W4" s="86" t="str">
        <f>HYPERLINK("https://www.youtube.com/watch?v=hN3-wTOxrsY")</f>
        <v>https://www.youtube.com/watch?v=hN3-wTOxrsY</v>
      </c>
      <c r="X4" s="81" t="s">
        <v>1183</v>
      </c>
      <c r="Y4" s="81">
        <v>0</v>
      </c>
      <c r="Z4" s="88">
        <v>41600.621770833335</v>
      </c>
      <c r="AA4" s="88">
        <v>41600.621770833335</v>
      </c>
      <c r="AB4" s="81"/>
      <c r="AC4" s="81"/>
      <c r="AD4" s="84" t="s">
        <v>1239</v>
      </c>
      <c r="AE4" s="82">
        <v>1</v>
      </c>
      <c r="AF4" s="83" t="str">
        <f>REPLACE(INDEX(GroupVertices[Group],MATCH(Edges[[#This Row],[Vertex 1]],GroupVertices[Vertex],0)),1,1,"")</f>
        <v>11</v>
      </c>
      <c r="AG4" s="83" t="str">
        <f>REPLACE(INDEX(GroupVertices[Group],MATCH(Edges[[#This Row],[Vertex 2]],GroupVertices[Vertex],0)),1,1,"")</f>
        <v>11</v>
      </c>
      <c r="AH4" s="111">
        <v>3</v>
      </c>
      <c r="AI4" s="112">
        <v>6.25</v>
      </c>
      <c r="AJ4" s="111">
        <v>0</v>
      </c>
      <c r="AK4" s="112">
        <v>0</v>
      </c>
      <c r="AL4" s="111">
        <v>0</v>
      </c>
      <c r="AM4" s="112">
        <v>0</v>
      </c>
      <c r="AN4" s="111">
        <v>45</v>
      </c>
      <c r="AO4" s="112">
        <v>93.75</v>
      </c>
      <c r="AP4" s="111">
        <v>48</v>
      </c>
    </row>
    <row r="5" spans="1:42" ht="15">
      <c r="A5" s="65" t="s">
        <v>340</v>
      </c>
      <c r="B5" s="65" t="s">
        <v>525</v>
      </c>
      <c r="C5" s="66" t="s">
        <v>2942</v>
      </c>
      <c r="D5" s="67">
        <v>3</v>
      </c>
      <c r="E5" s="68"/>
      <c r="F5" s="69">
        <v>40</v>
      </c>
      <c r="G5" s="66"/>
      <c r="H5" s="70"/>
      <c r="I5" s="71"/>
      <c r="J5" s="71"/>
      <c r="K5" s="35" t="s">
        <v>65</v>
      </c>
      <c r="L5" s="79">
        <v>5</v>
      </c>
      <c r="M5" s="79"/>
      <c r="N5" s="73"/>
      <c r="O5" s="81" t="s">
        <v>563</v>
      </c>
      <c r="P5" s="81" t="s">
        <v>325</v>
      </c>
      <c r="Q5" s="84" t="s">
        <v>568</v>
      </c>
      <c r="R5" s="81" t="s">
        <v>340</v>
      </c>
      <c r="S5" s="81" t="s">
        <v>853</v>
      </c>
      <c r="T5" s="86" t="str">
        <f>HYPERLINK("http://www.youtube.com/channel/UC6q8R5SJYsuHhleU2GgJKGA")</f>
        <v>http://www.youtube.com/channel/UC6q8R5SJYsuHhleU2GgJKGA</v>
      </c>
      <c r="U5" s="81"/>
      <c r="V5" s="81" t="s">
        <v>1089</v>
      </c>
      <c r="W5" s="86" t="str">
        <f>HYPERLINK("https://www.youtube.com/watch?v=hN3-wTOxrsY")</f>
        <v>https://www.youtube.com/watch?v=hN3-wTOxrsY</v>
      </c>
      <c r="X5" s="81" t="s">
        <v>1183</v>
      </c>
      <c r="Y5" s="81">
        <v>0</v>
      </c>
      <c r="Z5" s="88">
        <v>41769.07821759259</v>
      </c>
      <c r="AA5" s="88">
        <v>41769.07821759259</v>
      </c>
      <c r="AB5" s="81"/>
      <c r="AC5" s="81"/>
      <c r="AD5" s="84" t="s">
        <v>1239</v>
      </c>
      <c r="AE5" s="82">
        <v>1</v>
      </c>
      <c r="AF5" s="83" t="str">
        <f>REPLACE(INDEX(GroupVertices[Group],MATCH(Edges[[#This Row],[Vertex 1]],GroupVertices[Vertex],0)),1,1,"")</f>
        <v>11</v>
      </c>
      <c r="AG5" s="83" t="str">
        <f>REPLACE(INDEX(GroupVertices[Group],MATCH(Edges[[#This Row],[Vertex 2]],GroupVertices[Vertex],0)),1,1,"")</f>
        <v>11</v>
      </c>
      <c r="AH5" s="111">
        <v>2</v>
      </c>
      <c r="AI5" s="112">
        <v>4.166666666666667</v>
      </c>
      <c r="AJ5" s="111">
        <v>0</v>
      </c>
      <c r="AK5" s="112">
        <v>0</v>
      </c>
      <c r="AL5" s="111">
        <v>0</v>
      </c>
      <c r="AM5" s="112">
        <v>0</v>
      </c>
      <c r="AN5" s="111">
        <v>46</v>
      </c>
      <c r="AO5" s="112">
        <v>95.83333333333333</v>
      </c>
      <c r="AP5" s="111">
        <v>48</v>
      </c>
    </row>
    <row r="6" spans="1:42" ht="15">
      <c r="A6" s="65" t="s">
        <v>341</v>
      </c>
      <c r="B6" s="65" t="s">
        <v>525</v>
      </c>
      <c r="C6" s="66" t="s">
        <v>2942</v>
      </c>
      <c r="D6" s="67">
        <v>3</v>
      </c>
      <c r="E6" s="68"/>
      <c r="F6" s="69">
        <v>40</v>
      </c>
      <c r="G6" s="66"/>
      <c r="H6" s="70"/>
      <c r="I6" s="71"/>
      <c r="J6" s="71"/>
      <c r="K6" s="35" t="s">
        <v>65</v>
      </c>
      <c r="L6" s="79">
        <v>6</v>
      </c>
      <c r="M6" s="79"/>
      <c r="N6" s="73"/>
      <c r="O6" s="81" t="s">
        <v>563</v>
      </c>
      <c r="P6" s="81" t="s">
        <v>325</v>
      </c>
      <c r="Q6" s="84" t="s">
        <v>569</v>
      </c>
      <c r="R6" s="81" t="s">
        <v>341</v>
      </c>
      <c r="S6" s="81" t="s">
        <v>854</v>
      </c>
      <c r="T6" s="86" t="str">
        <f>HYPERLINK("http://www.youtube.com/channel/UC2jHQ9iN3gjeCs6mCCyI_1g")</f>
        <v>http://www.youtube.com/channel/UC2jHQ9iN3gjeCs6mCCyI_1g</v>
      </c>
      <c r="U6" s="81"/>
      <c r="V6" s="81" t="s">
        <v>1089</v>
      </c>
      <c r="W6" s="86" t="str">
        <f>HYPERLINK("https://www.youtube.com/watch?v=hN3-wTOxrsY")</f>
        <v>https://www.youtube.com/watch?v=hN3-wTOxrsY</v>
      </c>
      <c r="X6" s="81" t="s">
        <v>1183</v>
      </c>
      <c r="Y6" s="81">
        <v>0</v>
      </c>
      <c r="Z6" s="88">
        <v>42068.02347222222</v>
      </c>
      <c r="AA6" s="88">
        <v>42068.02347222222</v>
      </c>
      <c r="AB6" s="81"/>
      <c r="AC6" s="81"/>
      <c r="AD6" s="84" t="s">
        <v>1239</v>
      </c>
      <c r="AE6" s="82">
        <v>1</v>
      </c>
      <c r="AF6" s="83" t="str">
        <f>REPLACE(INDEX(GroupVertices[Group],MATCH(Edges[[#This Row],[Vertex 1]],GroupVertices[Vertex],0)),1,1,"")</f>
        <v>11</v>
      </c>
      <c r="AG6" s="83" t="str">
        <f>REPLACE(INDEX(GroupVertices[Group],MATCH(Edges[[#This Row],[Vertex 2]],GroupVertices[Vertex],0)),1,1,"")</f>
        <v>11</v>
      </c>
      <c r="AH6" s="111">
        <v>0</v>
      </c>
      <c r="AI6" s="112">
        <v>0</v>
      </c>
      <c r="AJ6" s="111">
        <v>0</v>
      </c>
      <c r="AK6" s="112">
        <v>0</v>
      </c>
      <c r="AL6" s="111">
        <v>0</v>
      </c>
      <c r="AM6" s="112">
        <v>0</v>
      </c>
      <c r="AN6" s="111">
        <v>5</v>
      </c>
      <c r="AO6" s="112">
        <v>100</v>
      </c>
      <c r="AP6" s="111">
        <v>5</v>
      </c>
    </row>
    <row r="7" spans="1:42" ht="15">
      <c r="A7" s="65" t="s">
        <v>342</v>
      </c>
      <c r="B7" s="65" t="s">
        <v>525</v>
      </c>
      <c r="C7" s="66" t="s">
        <v>2942</v>
      </c>
      <c r="D7" s="67">
        <v>3</v>
      </c>
      <c r="E7" s="68"/>
      <c r="F7" s="69">
        <v>40</v>
      </c>
      <c r="G7" s="66"/>
      <c r="H7" s="70"/>
      <c r="I7" s="71"/>
      <c r="J7" s="71"/>
      <c r="K7" s="35" t="s">
        <v>65</v>
      </c>
      <c r="L7" s="79">
        <v>7</v>
      </c>
      <c r="M7" s="79"/>
      <c r="N7" s="73"/>
      <c r="O7" s="81" t="s">
        <v>563</v>
      </c>
      <c r="P7" s="81" t="s">
        <v>325</v>
      </c>
      <c r="Q7" s="84" t="s">
        <v>570</v>
      </c>
      <c r="R7" s="81" t="s">
        <v>342</v>
      </c>
      <c r="S7" s="81" t="s">
        <v>855</v>
      </c>
      <c r="T7" s="86" t="str">
        <f>HYPERLINK("http://www.youtube.com/channel/UC625RO8AWt6tzDrFxA22tPQ")</f>
        <v>http://www.youtube.com/channel/UC625RO8AWt6tzDrFxA22tPQ</v>
      </c>
      <c r="U7" s="81"/>
      <c r="V7" s="81" t="s">
        <v>1089</v>
      </c>
      <c r="W7" s="86" t="str">
        <f>HYPERLINK("https://www.youtube.com/watch?v=hN3-wTOxrsY")</f>
        <v>https://www.youtube.com/watch?v=hN3-wTOxrsY</v>
      </c>
      <c r="X7" s="81" t="s">
        <v>1183</v>
      </c>
      <c r="Y7" s="81">
        <v>1</v>
      </c>
      <c r="Z7" s="88">
        <v>42132.484085648146</v>
      </c>
      <c r="AA7" s="88">
        <v>42132.484085648146</v>
      </c>
      <c r="AB7" s="81"/>
      <c r="AC7" s="81"/>
      <c r="AD7" s="84" t="s">
        <v>1239</v>
      </c>
      <c r="AE7" s="82">
        <v>1</v>
      </c>
      <c r="AF7" s="83" t="str">
        <f>REPLACE(INDEX(GroupVertices[Group],MATCH(Edges[[#This Row],[Vertex 1]],GroupVertices[Vertex],0)),1,1,"")</f>
        <v>11</v>
      </c>
      <c r="AG7" s="83" t="str">
        <f>REPLACE(INDEX(GroupVertices[Group],MATCH(Edges[[#This Row],[Vertex 2]],GroupVertices[Vertex],0)),1,1,"")</f>
        <v>11</v>
      </c>
      <c r="AH7" s="111">
        <v>1</v>
      </c>
      <c r="AI7" s="112">
        <v>6.666666666666667</v>
      </c>
      <c r="AJ7" s="111">
        <v>0</v>
      </c>
      <c r="AK7" s="112">
        <v>0</v>
      </c>
      <c r="AL7" s="111">
        <v>0</v>
      </c>
      <c r="AM7" s="112">
        <v>0</v>
      </c>
      <c r="AN7" s="111">
        <v>14</v>
      </c>
      <c r="AO7" s="112">
        <v>93.33333333333333</v>
      </c>
      <c r="AP7" s="111">
        <v>15</v>
      </c>
    </row>
    <row r="8" spans="1:42" ht="15">
      <c r="A8" s="65" t="s">
        <v>343</v>
      </c>
      <c r="B8" s="65" t="s">
        <v>344</v>
      </c>
      <c r="C8" s="66" t="s">
        <v>2942</v>
      </c>
      <c r="D8" s="67">
        <v>3</v>
      </c>
      <c r="E8" s="68"/>
      <c r="F8" s="69">
        <v>40</v>
      </c>
      <c r="G8" s="66"/>
      <c r="H8" s="70"/>
      <c r="I8" s="71"/>
      <c r="J8" s="71"/>
      <c r="K8" s="35" t="s">
        <v>65</v>
      </c>
      <c r="L8" s="79">
        <v>8</v>
      </c>
      <c r="M8" s="79"/>
      <c r="N8" s="73"/>
      <c r="O8" s="81" t="s">
        <v>564</v>
      </c>
      <c r="P8" s="81" t="s">
        <v>566</v>
      </c>
      <c r="Q8" s="84" t="s">
        <v>571</v>
      </c>
      <c r="R8" s="81" t="s">
        <v>343</v>
      </c>
      <c r="S8" s="81" t="s">
        <v>856</v>
      </c>
      <c r="T8" s="86" t="str">
        <f>HYPERLINK("http://www.youtube.com/channel/UCwmXhkHeZ7EbApGCHtpuAlg")</f>
        <v>http://www.youtube.com/channel/UCwmXhkHeZ7EbApGCHtpuAlg</v>
      </c>
      <c r="U8" s="81" t="s">
        <v>1035</v>
      </c>
      <c r="V8" s="81" t="s">
        <v>1089</v>
      </c>
      <c r="W8" s="86" t="str">
        <f>HYPERLINK("https://www.youtube.com/watch?v=hN3-wTOxrsY")</f>
        <v>https://www.youtube.com/watch?v=hN3-wTOxrsY</v>
      </c>
      <c r="X8" s="81" t="s">
        <v>1183</v>
      </c>
      <c r="Y8" s="81">
        <v>0</v>
      </c>
      <c r="Z8" s="88">
        <v>42448.68678240741</v>
      </c>
      <c r="AA8" s="88">
        <v>42448.68678240741</v>
      </c>
      <c r="AB8" s="81"/>
      <c r="AC8" s="81"/>
      <c r="AD8" s="84" t="s">
        <v>1239</v>
      </c>
      <c r="AE8" s="82">
        <v>1</v>
      </c>
      <c r="AF8" s="83" t="str">
        <f>REPLACE(INDEX(GroupVertices[Group],MATCH(Edges[[#This Row],[Vertex 1]],GroupVertices[Vertex],0)),1,1,"")</f>
        <v>11</v>
      </c>
      <c r="AG8" s="83" t="str">
        <f>REPLACE(INDEX(GroupVertices[Group],MATCH(Edges[[#This Row],[Vertex 2]],GroupVertices[Vertex],0)),1,1,"")</f>
        <v>11</v>
      </c>
      <c r="AH8" s="111">
        <v>0</v>
      </c>
      <c r="AI8" s="112">
        <v>0</v>
      </c>
      <c r="AJ8" s="111">
        <v>0</v>
      </c>
      <c r="AK8" s="112">
        <v>0</v>
      </c>
      <c r="AL8" s="111">
        <v>0</v>
      </c>
      <c r="AM8" s="112">
        <v>0</v>
      </c>
      <c r="AN8" s="111">
        <v>5</v>
      </c>
      <c r="AO8" s="112">
        <v>100</v>
      </c>
      <c r="AP8" s="111">
        <v>5</v>
      </c>
    </row>
    <row r="9" spans="1:42" ht="15">
      <c r="A9" s="65" t="s">
        <v>344</v>
      </c>
      <c r="B9" s="65" t="s">
        <v>525</v>
      </c>
      <c r="C9" s="66" t="s">
        <v>2942</v>
      </c>
      <c r="D9" s="67">
        <v>3</v>
      </c>
      <c r="E9" s="68"/>
      <c r="F9" s="69">
        <v>40</v>
      </c>
      <c r="G9" s="66"/>
      <c r="H9" s="70"/>
      <c r="I9" s="71"/>
      <c r="J9" s="71"/>
      <c r="K9" s="35" t="s">
        <v>65</v>
      </c>
      <c r="L9" s="79">
        <v>9</v>
      </c>
      <c r="M9" s="79"/>
      <c r="N9" s="73"/>
      <c r="O9" s="81" t="s">
        <v>563</v>
      </c>
      <c r="P9" s="81" t="s">
        <v>325</v>
      </c>
      <c r="Q9" s="84" t="s">
        <v>572</v>
      </c>
      <c r="R9" s="81" t="s">
        <v>344</v>
      </c>
      <c r="S9" s="81" t="s">
        <v>857</v>
      </c>
      <c r="T9" s="86" t="str">
        <f>HYPERLINK("http://www.youtube.com/channel/UCl9gn5ZSJFQ33S_h1D8lGlg")</f>
        <v>http://www.youtube.com/channel/UCl9gn5ZSJFQ33S_h1D8lGlg</v>
      </c>
      <c r="U9" s="81"/>
      <c r="V9" s="81" t="s">
        <v>1089</v>
      </c>
      <c r="W9" s="86" t="str">
        <f>HYPERLINK("https://www.youtube.com/watch?v=hN3-wTOxrsY")</f>
        <v>https://www.youtube.com/watch?v=hN3-wTOxrsY</v>
      </c>
      <c r="X9" s="81" t="s">
        <v>1183</v>
      </c>
      <c r="Y9" s="81">
        <v>1</v>
      </c>
      <c r="Z9" s="88">
        <v>42368.82157407407</v>
      </c>
      <c r="AA9" s="88">
        <v>42368.82157407407</v>
      </c>
      <c r="AB9" s="81"/>
      <c r="AC9" s="81"/>
      <c r="AD9" s="84" t="s">
        <v>1239</v>
      </c>
      <c r="AE9" s="82">
        <v>1</v>
      </c>
      <c r="AF9" s="83" t="str">
        <f>REPLACE(INDEX(GroupVertices[Group],MATCH(Edges[[#This Row],[Vertex 1]],GroupVertices[Vertex],0)),1,1,"")</f>
        <v>11</v>
      </c>
      <c r="AG9" s="83" t="str">
        <f>REPLACE(INDEX(GroupVertices[Group],MATCH(Edges[[#This Row],[Vertex 2]],GroupVertices[Vertex],0)),1,1,"")</f>
        <v>11</v>
      </c>
      <c r="AH9" s="111">
        <v>0</v>
      </c>
      <c r="AI9" s="112">
        <v>0</v>
      </c>
      <c r="AJ9" s="111">
        <v>0</v>
      </c>
      <c r="AK9" s="112">
        <v>0</v>
      </c>
      <c r="AL9" s="111">
        <v>0</v>
      </c>
      <c r="AM9" s="112">
        <v>0</v>
      </c>
      <c r="AN9" s="111">
        <v>9</v>
      </c>
      <c r="AO9" s="112">
        <v>100</v>
      </c>
      <c r="AP9" s="111">
        <v>9</v>
      </c>
    </row>
    <row r="10" spans="1:42" ht="15">
      <c r="A10" s="65" t="s">
        <v>345</v>
      </c>
      <c r="B10" s="65" t="s">
        <v>450</v>
      </c>
      <c r="C10" s="66" t="s">
        <v>2942</v>
      </c>
      <c r="D10" s="67">
        <v>3</v>
      </c>
      <c r="E10" s="68"/>
      <c r="F10" s="69">
        <v>40</v>
      </c>
      <c r="G10" s="66"/>
      <c r="H10" s="70"/>
      <c r="I10" s="71"/>
      <c r="J10" s="71"/>
      <c r="K10" s="35" t="s">
        <v>65</v>
      </c>
      <c r="L10" s="79">
        <v>10</v>
      </c>
      <c r="M10" s="79"/>
      <c r="N10" s="73"/>
      <c r="O10" s="81" t="s">
        <v>563</v>
      </c>
      <c r="P10" s="81" t="s">
        <v>325</v>
      </c>
      <c r="Q10" s="84" t="s">
        <v>573</v>
      </c>
      <c r="R10" s="81" t="s">
        <v>345</v>
      </c>
      <c r="S10" s="81" t="s">
        <v>858</v>
      </c>
      <c r="T10" s="86" t="str">
        <f>HYPERLINK("http://www.youtube.com/channel/UCXBDxpU7E1QT0J1nS-BGnQg")</f>
        <v>http://www.youtube.com/channel/UCXBDxpU7E1QT0J1nS-BGnQg</v>
      </c>
      <c r="U10" s="81"/>
      <c r="V10" s="81" t="s">
        <v>1090</v>
      </c>
      <c r="W10" s="86" t="str">
        <f>HYPERLINK("https://www.youtube.com/watch?v=PmDKuAnKiGA")</f>
        <v>https://www.youtube.com/watch?v=PmDKuAnKiGA</v>
      </c>
      <c r="X10" s="81" t="s">
        <v>1183</v>
      </c>
      <c r="Y10" s="81">
        <v>0</v>
      </c>
      <c r="Z10" s="88">
        <v>42250.44415509259</v>
      </c>
      <c r="AA10" s="88">
        <v>42250.44415509259</v>
      </c>
      <c r="AB10" s="81"/>
      <c r="AC10" s="81"/>
      <c r="AD10" s="84" t="s">
        <v>1239</v>
      </c>
      <c r="AE10" s="82">
        <v>1</v>
      </c>
      <c r="AF10" s="83" t="str">
        <f>REPLACE(INDEX(GroupVertices[Group],MATCH(Edges[[#This Row],[Vertex 1]],GroupVertices[Vertex],0)),1,1,"")</f>
        <v>6</v>
      </c>
      <c r="AG10" s="83" t="str">
        <f>REPLACE(INDEX(GroupVertices[Group],MATCH(Edges[[#This Row],[Vertex 2]],GroupVertices[Vertex],0)),1,1,"")</f>
        <v>6</v>
      </c>
      <c r="AH10" s="111">
        <v>1</v>
      </c>
      <c r="AI10" s="112">
        <v>7.6923076923076925</v>
      </c>
      <c r="AJ10" s="111">
        <v>0</v>
      </c>
      <c r="AK10" s="112">
        <v>0</v>
      </c>
      <c r="AL10" s="111">
        <v>0</v>
      </c>
      <c r="AM10" s="112">
        <v>0</v>
      </c>
      <c r="AN10" s="111">
        <v>12</v>
      </c>
      <c r="AO10" s="112">
        <v>92.3076923076923</v>
      </c>
      <c r="AP10" s="111">
        <v>13</v>
      </c>
    </row>
    <row r="11" spans="1:42" ht="15">
      <c r="A11" s="65" t="s">
        <v>346</v>
      </c>
      <c r="B11" s="65" t="s">
        <v>526</v>
      </c>
      <c r="C11" s="66" t="s">
        <v>2942</v>
      </c>
      <c r="D11" s="67">
        <v>3</v>
      </c>
      <c r="E11" s="68"/>
      <c r="F11" s="69">
        <v>40</v>
      </c>
      <c r="G11" s="66"/>
      <c r="H11" s="70"/>
      <c r="I11" s="71"/>
      <c r="J11" s="71"/>
      <c r="K11" s="35" t="s">
        <v>65</v>
      </c>
      <c r="L11" s="79">
        <v>11</v>
      </c>
      <c r="M11" s="79"/>
      <c r="N11" s="73"/>
      <c r="O11" s="81" t="s">
        <v>563</v>
      </c>
      <c r="P11" s="81" t="s">
        <v>325</v>
      </c>
      <c r="Q11" s="84" t="s">
        <v>574</v>
      </c>
      <c r="R11" s="81" t="s">
        <v>346</v>
      </c>
      <c r="S11" s="81" t="s">
        <v>859</v>
      </c>
      <c r="T11" s="86" t="str">
        <f>HYPERLINK("http://www.youtube.com/channel/UCSnr1NggLE8M63F61SbWGDw")</f>
        <v>http://www.youtube.com/channel/UCSnr1NggLE8M63F61SbWGDw</v>
      </c>
      <c r="U11" s="81"/>
      <c r="V11" s="81" t="s">
        <v>1091</v>
      </c>
      <c r="W11" s="86" t="str">
        <f>HYPERLINK("https://www.youtube.com/watch?v=hTnnEnpQkkk")</f>
        <v>https://www.youtube.com/watch?v=hTnnEnpQkkk</v>
      </c>
      <c r="X11" s="81" t="s">
        <v>1183</v>
      </c>
      <c r="Y11" s="81">
        <v>0</v>
      </c>
      <c r="Z11" s="88">
        <v>42350.79545138889</v>
      </c>
      <c r="AA11" s="88">
        <v>42350.79545138889</v>
      </c>
      <c r="AB11" s="81"/>
      <c r="AC11" s="81"/>
      <c r="AD11" s="84" t="s">
        <v>1239</v>
      </c>
      <c r="AE11" s="82">
        <v>1</v>
      </c>
      <c r="AF11" s="83" t="str">
        <f>REPLACE(INDEX(GroupVertices[Group],MATCH(Edges[[#This Row],[Vertex 1]],GroupVertices[Vertex],0)),1,1,"")</f>
        <v>14</v>
      </c>
      <c r="AG11" s="83" t="str">
        <f>REPLACE(INDEX(GroupVertices[Group],MATCH(Edges[[#This Row],[Vertex 2]],GroupVertices[Vertex],0)),1,1,"")</f>
        <v>14</v>
      </c>
      <c r="AH11" s="111">
        <v>0</v>
      </c>
      <c r="AI11" s="112">
        <v>0</v>
      </c>
      <c r="AJ11" s="111">
        <v>0</v>
      </c>
      <c r="AK11" s="112">
        <v>0</v>
      </c>
      <c r="AL11" s="111">
        <v>0</v>
      </c>
      <c r="AM11" s="112">
        <v>0</v>
      </c>
      <c r="AN11" s="111">
        <v>4</v>
      </c>
      <c r="AO11" s="112">
        <v>100</v>
      </c>
      <c r="AP11" s="111">
        <v>4</v>
      </c>
    </row>
    <row r="12" spans="1:42" ht="15">
      <c r="A12" s="65" t="s">
        <v>347</v>
      </c>
      <c r="B12" s="65" t="s">
        <v>526</v>
      </c>
      <c r="C12" s="66" t="s">
        <v>2942</v>
      </c>
      <c r="D12" s="67">
        <v>3</v>
      </c>
      <c r="E12" s="68"/>
      <c r="F12" s="69">
        <v>40</v>
      </c>
      <c r="G12" s="66"/>
      <c r="H12" s="70"/>
      <c r="I12" s="71"/>
      <c r="J12" s="71"/>
      <c r="K12" s="35" t="s">
        <v>65</v>
      </c>
      <c r="L12" s="79">
        <v>12</v>
      </c>
      <c r="M12" s="79"/>
      <c r="N12" s="73"/>
      <c r="O12" s="81" t="s">
        <v>563</v>
      </c>
      <c r="P12" s="81" t="s">
        <v>325</v>
      </c>
      <c r="Q12" s="84" t="s">
        <v>575</v>
      </c>
      <c r="R12" s="81" t="s">
        <v>347</v>
      </c>
      <c r="S12" s="81" t="s">
        <v>860</v>
      </c>
      <c r="T12" s="86" t="str">
        <f>HYPERLINK("http://www.youtube.com/channel/UCXxni4CYgsAp7QsUM71k2gQ")</f>
        <v>http://www.youtube.com/channel/UCXxni4CYgsAp7QsUM71k2gQ</v>
      </c>
      <c r="U12" s="81"/>
      <c r="V12" s="81" t="s">
        <v>1091</v>
      </c>
      <c r="W12" s="86" t="str">
        <f>HYPERLINK("https://www.youtube.com/watch?v=hTnnEnpQkkk")</f>
        <v>https://www.youtube.com/watch?v=hTnnEnpQkkk</v>
      </c>
      <c r="X12" s="81" t="s">
        <v>1183</v>
      </c>
      <c r="Y12" s="81">
        <v>1</v>
      </c>
      <c r="Z12" s="88">
        <v>43187.74649305556</v>
      </c>
      <c r="AA12" s="88">
        <v>43187.74649305556</v>
      </c>
      <c r="AB12" s="81"/>
      <c r="AC12" s="81"/>
      <c r="AD12" s="84" t="s">
        <v>1239</v>
      </c>
      <c r="AE12" s="82">
        <v>1</v>
      </c>
      <c r="AF12" s="83" t="str">
        <f>REPLACE(INDEX(GroupVertices[Group],MATCH(Edges[[#This Row],[Vertex 1]],GroupVertices[Vertex],0)),1,1,"")</f>
        <v>14</v>
      </c>
      <c r="AG12" s="83" t="str">
        <f>REPLACE(INDEX(GroupVertices[Group],MATCH(Edges[[#This Row],[Vertex 2]],GroupVertices[Vertex],0)),1,1,"")</f>
        <v>14</v>
      </c>
      <c r="AH12" s="111">
        <v>0</v>
      </c>
      <c r="AI12" s="112">
        <v>0</v>
      </c>
      <c r="AJ12" s="111">
        <v>0</v>
      </c>
      <c r="AK12" s="112">
        <v>0</v>
      </c>
      <c r="AL12" s="111">
        <v>0</v>
      </c>
      <c r="AM12" s="112">
        <v>0</v>
      </c>
      <c r="AN12" s="111">
        <v>14</v>
      </c>
      <c r="AO12" s="112">
        <v>100</v>
      </c>
      <c r="AP12" s="111">
        <v>14</v>
      </c>
    </row>
    <row r="13" spans="1:42" ht="15">
      <c r="A13" s="65" t="s">
        <v>348</v>
      </c>
      <c r="B13" s="65" t="s">
        <v>526</v>
      </c>
      <c r="C13" s="66" t="s">
        <v>2942</v>
      </c>
      <c r="D13" s="67">
        <v>3</v>
      </c>
      <c r="E13" s="68"/>
      <c r="F13" s="69">
        <v>40</v>
      </c>
      <c r="G13" s="66"/>
      <c r="H13" s="70"/>
      <c r="I13" s="71"/>
      <c r="J13" s="71"/>
      <c r="K13" s="35" t="s">
        <v>65</v>
      </c>
      <c r="L13" s="79">
        <v>13</v>
      </c>
      <c r="M13" s="79"/>
      <c r="N13" s="73"/>
      <c r="O13" s="81" t="s">
        <v>563</v>
      </c>
      <c r="P13" s="81" t="s">
        <v>325</v>
      </c>
      <c r="Q13" s="84" t="s">
        <v>576</v>
      </c>
      <c r="R13" s="81" t="s">
        <v>348</v>
      </c>
      <c r="S13" s="81" t="s">
        <v>861</v>
      </c>
      <c r="T13" s="86" t="str">
        <f>HYPERLINK("http://www.youtube.com/channel/UCMjfNOw_F_QdVO_NcQ49hwA")</f>
        <v>http://www.youtube.com/channel/UCMjfNOw_F_QdVO_NcQ49hwA</v>
      </c>
      <c r="U13" s="81"/>
      <c r="V13" s="81" t="s">
        <v>1091</v>
      </c>
      <c r="W13" s="86" t="str">
        <f>HYPERLINK("https://www.youtube.com/watch?v=hTnnEnpQkkk")</f>
        <v>https://www.youtube.com/watch?v=hTnnEnpQkkk</v>
      </c>
      <c r="X13" s="81" t="s">
        <v>1183</v>
      </c>
      <c r="Y13" s="81">
        <v>0</v>
      </c>
      <c r="Z13" s="88">
        <v>43847.591944444444</v>
      </c>
      <c r="AA13" s="88">
        <v>43847.591944444444</v>
      </c>
      <c r="AB13" s="81"/>
      <c r="AC13" s="81"/>
      <c r="AD13" s="84" t="s">
        <v>1239</v>
      </c>
      <c r="AE13" s="82">
        <v>1</v>
      </c>
      <c r="AF13" s="83" t="str">
        <f>REPLACE(INDEX(GroupVertices[Group],MATCH(Edges[[#This Row],[Vertex 1]],GroupVertices[Vertex],0)),1,1,"")</f>
        <v>14</v>
      </c>
      <c r="AG13" s="83" t="str">
        <f>REPLACE(INDEX(GroupVertices[Group],MATCH(Edges[[#This Row],[Vertex 2]],GroupVertices[Vertex],0)),1,1,"")</f>
        <v>14</v>
      </c>
      <c r="AH13" s="111">
        <v>1</v>
      </c>
      <c r="AI13" s="112">
        <v>6.666666666666667</v>
      </c>
      <c r="AJ13" s="111">
        <v>0</v>
      </c>
      <c r="AK13" s="112">
        <v>0</v>
      </c>
      <c r="AL13" s="111">
        <v>0</v>
      </c>
      <c r="AM13" s="112">
        <v>0</v>
      </c>
      <c r="AN13" s="111">
        <v>14</v>
      </c>
      <c r="AO13" s="112">
        <v>93.33333333333333</v>
      </c>
      <c r="AP13" s="111">
        <v>15</v>
      </c>
    </row>
    <row r="14" spans="1:42" ht="15">
      <c r="A14" s="65" t="s">
        <v>349</v>
      </c>
      <c r="B14" s="65" t="s">
        <v>529</v>
      </c>
      <c r="C14" s="66" t="s">
        <v>2942</v>
      </c>
      <c r="D14" s="67">
        <v>3</v>
      </c>
      <c r="E14" s="68"/>
      <c r="F14" s="69">
        <v>40</v>
      </c>
      <c r="G14" s="66"/>
      <c r="H14" s="70"/>
      <c r="I14" s="71"/>
      <c r="J14" s="71"/>
      <c r="K14" s="35" t="s">
        <v>65</v>
      </c>
      <c r="L14" s="79">
        <v>14</v>
      </c>
      <c r="M14" s="79"/>
      <c r="N14" s="73"/>
      <c r="O14" s="81" t="s">
        <v>563</v>
      </c>
      <c r="P14" s="81" t="s">
        <v>325</v>
      </c>
      <c r="Q14" s="84" t="s">
        <v>577</v>
      </c>
      <c r="R14" s="81" t="s">
        <v>349</v>
      </c>
      <c r="S14" s="81" t="s">
        <v>862</v>
      </c>
      <c r="T14" s="86" t="str">
        <f>HYPERLINK("http://www.youtube.com/channel/UCcqj5COuFHh1eHF0xdBQoig")</f>
        <v>http://www.youtube.com/channel/UCcqj5COuFHh1eHF0xdBQoig</v>
      </c>
      <c r="U14" s="81"/>
      <c r="V14" s="81" t="s">
        <v>1092</v>
      </c>
      <c r="W14" s="86" t="str">
        <f>HYPERLINK("https://www.youtube.com/watch?v=5_mfdaFBRy4")</f>
        <v>https://www.youtube.com/watch?v=5_mfdaFBRy4</v>
      </c>
      <c r="X14" s="81" t="s">
        <v>1183</v>
      </c>
      <c r="Y14" s="81">
        <v>2</v>
      </c>
      <c r="Z14" s="88">
        <v>42137.48489583333</v>
      </c>
      <c r="AA14" s="88">
        <v>42137.48489583333</v>
      </c>
      <c r="AB14" s="81"/>
      <c r="AC14" s="81"/>
      <c r="AD14" s="84" t="s">
        <v>1239</v>
      </c>
      <c r="AE14" s="82">
        <v>1</v>
      </c>
      <c r="AF14" s="83" t="str">
        <f>REPLACE(INDEX(GroupVertices[Group],MATCH(Edges[[#This Row],[Vertex 1]],GroupVertices[Vertex],0)),1,1,"")</f>
        <v>24</v>
      </c>
      <c r="AG14" s="83" t="str">
        <f>REPLACE(INDEX(GroupVertices[Group],MATCH(Edges[[#This Row],[Vertex 2]],GroupVertices[Vertex],0)),1,1,"")</f>
        <v>24</v>
      </c>
      <c r="AH14" s="111">
        <v>1</v>
      </c>
      <c r="AI14" s="112">
        <v>16.666666666666668</v>
      </c>
      <c r="AJ14" s="111">
        <v>0</v>
      </c>
      <c r="AK14" s="112">
        <v>0</v>
      </c>
      <c r="AL14" s="111">
        <v>0</v>
      </c>
      <c r="AM14" s="112">
        <v>0</v>
      </c>
      <c r="AN14" s="111">
        <v>5</v>
      </c>
      <c r="AO14" s="112">
        <v>83.33333333333333</v>
      </c>
      <c r="AP14" s="111">
        <v>6</v>
      </c>
    </row>
    <row r="15" spans="1:42" ht="15">
      <c r="A15" s="65" t="s">
        <v>350</v>
      </c>
      <c r="B15" s="65" t="s">
        <v>531</v>
      </c>
      <c r="C15" s="66" t="s">
        <v>2942</v>
      </c>
      <c r="D15" s="67">
        <v>3</v>
      </c>
      <c r="E15" s="68"/>
      <c r="F15" s="69">
        <v>40</v>
      </c>
      <c r="G15" s="66"/>
      <c r="H15" s="70"/>
      <c r="I15" s="71"/>
      <c r="J15" s="71"/>
      <c r="K15" s="35" t="s">
        <v>65</v>
      </c>
      <c r="L15" s="79">
        <v>15</v>
      </c>
      <c r="M15" s="79"/>
      <c r="N15" s="73"/>
      <c r="O15" s="81" t="s">
        <v>563</v>
      </c>
      <c r="P15" s="81" t="s">
        <v>325</v>
      </c>
      <c r="Q15" s="84" t="s">
        <v>578</v>
      </c>
      <c r="R15" s="81" t="s">
        <v>350</v>
      </c>
      <c r="S15" s="81" t="s">
        <v>863</v>
      </c>
      <c r="T15" s="86" t="str">
        <f>HYPERLINK("http://www.youtube.com/channel/UCXpbkjiFlXTpSy3DnioAJjw")</f>
        <v>http://www.youtube.com/channel/UCXpbkjiFlXTpSy3DnioAJjw</v>
      </c>
      <c r="U15" s="81"/>
      <c r="V15" s="81" t="s">
        <v>1093</v>
      </c>
      <c r="W15" s="86" t="str">
        <f>HYPERLINK("https://www.youtube.com/watch?v=0M3T65Iw3Ac")</f>
        <v>https://www.youtube.com/watch?v=0M3T65Iw3Ac</v>
      </c>
      <c r="X15" s="81" t="s">
        <v>1183</v>
      </c>
      <c r="Y15" s="81">
        <v>0</v>
      </c>
      <c r="Z15" s="88">
        <v>40969.76320601852</v>
      </c>
      <c r="AA15" s="88">
        <v>40969.76320601852</v>
      </c>
      <c r="AB15" s="81"/>
      <c r="AC15" s="81"/>
      <c r="AD15" s="84" t="s">
        <v>1239</v>
      </c>
      <c r="AE15" s="82">
        <v>1</v>
      </c>
      <c r="AF15" s="83" t="str">
        <f>REPLACE(INDEX(GroupVertices[Group],MATCH(Edges[[#This Row],[Vertex 1]],GroupVertices[Vertex],0)),1,1,"")</f>
        <v>23</v>
      </c>
      <c r="AG15" s="83" t="str">
        <f>REPLACE(INDEX(GroupVertices[Group],MATCH(Edges[[#This Row],[Vertex 2]],GroupVertices[Vertex],0)),1,1,"")</f>
        <v>23</v>
      </c>
      <c r="AH15" s="111">
        <v>2</v>
      </c>
      <c r="AI15" s="112">
        <v>15.384615384615385</v>
      </c>
      <c r="AJ15" s="111">
        <v>0</v>
      </c>
      <c r="AK15" s="112">
        <v>0</v>
      </c>
      <c r="AL15" s="111">
        <v>0</v>
      </c>
      <c r="AM15" s="112">
        <v>0</v>
      </c>
      <c r="AN15" s="111">
        <v>11</v>
      </c>
      <c r="AO15" s="112">
        <v>84.61538461538461</v>
      </c>
      <c r="AP15" s="111">
        <v>13</v>
      </c>
    </row>
    <row r="16" spans="1:42" ht="15">
      <c r="A16" s="65" t="s">
        <v>351</v>
      </c>
      <c r="B16" s="65" t="s">
        <v>352</v>
      </c>
      <c r="C16" s="66" t="s">
        <v>2942</v>
      </c>
      <c r="D16" s="67">
        <v>3</v>
      </c>
      <c r="E16" s="68"/>
      <c r="F16" s="69">
        <v>40</v>
      </c>
      <c r="G16" s="66"/>
      <c r="H16" s="70"/>
      <c r="I16" s="71"/>
      <c r="J16" s="71"/>
      <c r="K16" s="35" t="s">
        <v>66</v>
      </c>
      <c r="L16" s="79">
        <v>16</v>
      </c>
      <c r="M16" s="79"/>
      <c r="N16" s="73"/>
      <c r="O16" s="81" t="s">
        <v>564</v>
      </c>
      <c r="P16" s="81" t="s">
        <v>566</v>
      </c>
      <c r="Q16" s="84" t="s">
        <v>579</v>
      </c>
      <c r="R16" s="81" t="s">
        <v>351</v>
      </c>
      <c r="S16" s="81" t="s">
        <v>864</v>
      </c>
      <c r="T16" s="86" t="str">
        <f>HYPERLINK("http://www.youtube.com/channel/UCT2t7sQp0Qyi9dxuckjOWAw")</f>
        <v>http://www.youtube.com/channel/UCT2t7sQp0Qyi9dxuckjOWAw</v>
      </c>
      <c r="U16" s="81" t="s">
        <v>1036</v>
      </c>
      <c r="V16" s="81" t="s">
        <v>1094</v>
      </c>
      <c r="W16" s="86" t="str">
        <f>HYPERLINK("https://www.youtube.com/watch?v=3s6qbWY07FI")</f>
        <v>https://www.youtube.com/watch?v=3s6qbWY07FI</v>
      </c>
      <c r="X16" s="81" t="s">
        <v>1183</v>
      </c>
      <c r="Y16" s="81">
        <v>0</v>
      </c>
      <c r="Z16" s="88">
        <v>43985.59532407407</v>
      </c>
      <c r="AA16" s="88">
        <v>43985.59532407407</v>
      </c>
      <c r="AB16" s="81" t="s">
        <v>1184</v>
      </c>
      <c r="AC16" s="81" t="s">
        <v>1218</v>
      </c>
      <c r="AD16" s="84" t="s">
        <v>1239</v>
      </c>
      <c r="AE16" s="82">
        <v>1</v>
      </c>
      <c r="AF16" s="83" t="str">
        <f>REPLACE(INDEX(GroupVertices[Group],MATCH(Edges[[#This Row],[Vertex 1]],GroupVertices[Vertex],0)),1,1,"")</f>
        <v>4</v>
      </c>
      <c r="AG16" s="83" t="str">
        <f>REPLACE(INDEX(GroupVertices[Group],MATCH(Edges[[#This Row],[Vertex 2]],GroupVertices[Vertex],0)),1,1,"")</f>
        <v>4</v>
      </c>
      <c r="AH16" s="111">
        <v>0</v>
      </c>
      <c r="AI16" s="112">
        <v>0</v>
      </c>
      <c r="AJ16" s="111">
        <v>0</v>
      </c>
      <c r="AK16" s="112">
        <v>0</v>
      </c>
      <c r="AL16" s="111">
        <v>0</v>
      </c>
      <c r="AM16" s="112">
        <v>0</v>
      </c>
      <c r="AN16" s="111">
        <v>45</v>
      </c>
      <c r="AO16" s="112">
        <v>100</v>
      </c>
      <c r="AP16" s="111">
        <v>45</v>
      </c>
    </row>
    <row r="17" spans="1:42" ht="15">
      <c r="A17" s="65" t="s">
        <v>352</v>
      </c>
      <c r="B17" s="65" t="s">
        <v>351</v>
      </c>
      <c r="C17" s="66" t="s">
        <v>2942</v>
      </c>
      <c r="D17" s="67">
        <v>3</v>
      </c>
      <c r="E17" s="68"/>
      <c r="F17" s="69">
        <v>40</v>
      </c>
      <c r="G17" s="66"/>
      <c r="H17" s="70"/>
      <c r="I17" s="71"/>
      <c r="J17" s="71"/>
      <c r="K17" s="35" t="s">
        <v>66</v>
      </c>
      <c r="L17" s="79">
        <v>17</v>
      </c>
      <c r="M17" s="79"/>
      <c r="N17" s="73"/>
      <c r="O17" s="81" t="s">
        <v>563</v>
      </c>
      <c r="P17" s="81" t="s">
        <v>325</v>
      </c>
      <c r="Q17" s="84" t="s">
        <v>580</v>
      </c>
      <c r="R17" s="81" t="s">
        <v>352</v>
      </c>
      <c r="S17" s="81" t="s">
        <v>865</v>
      </c>
      <c r="T17" s="86" t="str">
        <f>HYPERLINK("http://www.youtube.com/channel/UCUGm4MAV0xRkCWAIe34oHEA")</f>
        <v>http://www.youtube.com/channel/UCUGm4MAV0xRkCWAIe34oHEA</v>
      </c>
      <c r="U17" s="81"/>
      <c r="V17" s="81" t="s">
        <v>1094</v>
      </c>
      <c r="W17" s="86" t="str">
        <f>HYPERLINK("https://www.youtube.com/watch?v=3s6qbWY07FI")</f>
        <v>https://www.youtube.com/watch?v=3s6qbWY07FI</v>
      </c>
      <c r="X17" s="81" t="s">
        <v>1183</v>
      </c>
      <c r="Y17" s="81">
        <v>2</v>
      </c>
      <c r="Z17" s="88">
        <v>43971.58761574074</v>
      </c>
      <c r="AA17" s="88">
        <v>43971.58761574074</v>
      </c>
      <c r="AB17" s="81"/>
      <c r="AC17" s="81"/>
      <c r="AD17" s="84" t="s">
        <v>1239</v>
      </c>
      <c r="AE17" s="82">
        <v>1</v>
      </c>
      <c r="AF17" s="83" t="str">
        <f>REPLACE(INDEX(GroupVertices[Group],MATCH(Edges[[#This Row],[Vertex 1]],GroupVertices[Vertex],0)),1,1,"")</f>
        <v>4</v>
      </c>
      <c r="AG17" s="83" t="str">
        <f>REPLACE(INDEX(GroupVertices[Group],MATCH(Edges[[#This Row],[Vertex 2]],GroupVertices[Vertex],0)),1,1,"")</f>
        <v>4</v>
      </c>
      <c r="AH17" s="111">
        <v>0</v>
      </c>
      <c r="AI17" s="112">
        <v>0</v>
      </c>
      <c r="AJ17" s="111">
        <v>0</v>
      </c>
      <c r="AK17" s="112">
        <v>0</v>
      </c>
      <c r="AL17" s="111">
        <v>0</v>
      </c>
      <c r="AM17" s="112">
        <v>0</v>
      </c>
      <c r="AN17" s="111">
        <v>10</v>
      </c>
      <c r="AO17" s="112">
        <v>100</v>
      </c>
      <c r="AP17" s="111">
        <v>10</v>
      </c>
    </row>
    <row r="18" spans="1:42" ht="15">
      <c r="A18" s="65" t="s">
        <v>353</v>
      </c>
      <c r="B18" s="65" t="s">
        <v>354</v>
      </c>
      <c r="C18" s="66" t="s">
        <v>2942</v>
      </c>
      <c r="D18" s="67">
        <v>3</v>
      </c>
      <c r="E18" s="68"/>
      <c r="F18" s="69">
        <v>40</v>
      </c>
      <c r="G18" s="66"/>
      <c r="H18" s="70"/>
      <c r="I18" s="71"/>
      <c r="J18" s="71"/>
      <c r="K18" s="35" t="s">
        <v>66</v>
      </c>
      <c r="L18" s="79">
        <v>18</v>
      </c>
      <c r="M18" s="79"/>
      <c r="N18" s="73"/>
      <c r="O18" s="81" t="s">
        <v>564</v>
      </c>
      <c r="P18" s="81" t="s">
        <v>566</v>
      </c>
      <c r="Q18" s="84" t="s">
        <v>581</v>
      </c>
      <c r="R18" s="81" t="s">
        <v>353</v>
      </c>
      <c r="S18" s="81" t="s">
        <v>866</v>
      </c>
      <c r="T18" s="86" t="str">
        <f>HYPERLINK("http://www.youtube.com/channel/UCfYrvWfah8SKHvX-fQ_oLWQ")</f>
        <v>http://www.youtube.com/channel/UCfYrvWfah8SKHvX-fQ_oLWQ</v>
      </c>
      <c r="U18" s="81" t="s">
        <v>1037</v>
      </c>
      <c r="V18" s="81" t="s">
        <v>1095</v>
      </c>
      <c r="W18" s="86" t="str">
        <f>HYPERLINK("https://www.youtube.com/watch?v=o-D-Duv8Mcs")</f>
        <v>https://www.youtube.com/watch?v=o-D-Duv8Mcs</v>
      </c>
      <c r="X18" s="81" t="s">
        <v>1183</v>
      </c>
      <c r="Y18" s="81">
        <v>1</v>
      </c>
      <c r="Z18" s="88">
        <v>43923.84836805556</v>
      </c>
      <c r="AA18" s="88">
        <v>43923.84836805556</v>
      </c>
      <c r="AB18" s="81" t="s">
        <v>1185</v>
      </c>
      <c r="AC18" s="81" t="s">
        <v>1219</v>
      </c>
      <c r="AD18" s="84" t="s">
        <v>1239</v>
      </c>
      <c r="AE18" s="82">
        <v>1</v>
      </c>
      <c r="AF18" s="83" t="str">
        <f>REPLACE(INDEX(GroupVertices[Group],MATCH(Edges[[#This Row],[Vertex 1]],GroupVertices[Vertex],0)),1,1,"")</f>
        <v>17</v>
      </c>
      <c r="AG18" s="83" t="str">
        <f>REPLACE(INDEX(GroupVertices[Group],MATCH(Edges[[#This Row],[Vertex 2]],GroupVertices[Vertex],0)),1,1,"")</f>
        <v>17</v>
      </c>
      <c r="AH18" s="111">
        <v>2</v>
      </c>
      <c r="AI18" s="112">
        <v>5.128205128205129</v>
      </c>
      <c r="AJ18" s="111">
        <v>0</v>
      </c>
      <c r="AK18" s="112">
        <v>0</v>
      </c>
      <c r="AL18" s="111">
        <v>0</v>
      </c>
      <c r="AM18" s="112">
        <v>0</v>
      </c>
      <c r="AN18" s="111">
        <v>37</v>
      </c>
      <c r="AO18" s="112">
        <v>94.87179487179488</v>
      </c>
      <c r="AP18" s="111">
        <v>39</v>
      </c>
    </row>
    <row r="19" spans="1:42" ht="15">
      <c r="A19" s="65" t="s">
        <v>354</v>
      </c>
      <c r="B19" s="65" t="s">
        <v>353</v>
      </c>
      <c r="C19" s="66" t="s">
        <v>2942</v>
      </c>
      <c r="D19" s="67">
        <v>3</v>
      </c>
      <c r="E19" s="68"/>
      <c r="F19" s="69">
        <v>40</v>
      </c>
      <c r="G19" s="66"/>
      <c r="H19" s="70"/>
      <c r="I19" s="71"/>
      <c r="J19" s="71"/>
      <c r="K19" s="35" t="s">
        <v>66</v>
      </c>
      <c r="L19" s="79">
        <v>19</v>
      </c>
      <c r="M19" s="79"/>
      <c r="N19" s="73"/>
      <c r="O19" s="81" t="s">
        <v>563</v>
      </c>
      <c r="P19" s="81" t="s">
        <v>325</v>
      </c>
      <c r="Q19" s="84" t="s">
        <v>582</v>
      </c>
      <c r="R19" s="81" t="s">
        <v>354</v>
      </c>
      <c r="S19" s="81" t="s">
        <v>867</v>
      </c>
      <c r="T19" s="86" t="str">
        <f>HYPERLINK("http://www.youtube.com/channel/UC2b3yDPx5ALGuEJSAs_E7kw")</f>
        <v>http://www.youtube.com/channel/UC2b3yDPx5ALGuEJSAs_E7kw</v>
      </c>
      <c r="U19" s="81"/>
      <c r="V19" s="81" t="s">
        <v>1095</v>
      </c>
      <c r="W19" s="86" t="str">
        <f>HYPERLINK("https://www.youtube.com/watch?v=o-D-Duv8Mcs")</f>
        <v>https://www.youtube.com/watch?v=o-D-Duv8Mcs</v>
      </c>
      <c r="X19" s="81" t="s">
        <v>1183</v>
      </c>
      <c r="Y19" s="81">
        <v>1</v>
      </c>
      <c r="Z19" s="88">
        <v>43923.82962962963</v>
      </c>
      <c r="AA19" s="88">
        <v>43923.82962962963</v>
      </c>
      <c r="AB19" s="81"/>
      <c r="AC19" s="81"/>
      <c r="AD19" s="84" t="s">
        <v>1239</v>
      </c>
      <c r="AE19" s="82">
        <v>1</v>
      </c>
      <c r="AF19" s="83" t="str">
        <f>REPLACE(INDEX(GroupVertices[Group],MATCH(Edges[[#This Row],[Vertex 1]],GroupVertices[Vertex],0)),1,1,"")</f>
        <v>17</v>
      </c>
      <c r="AG19" s="83" t="str">
        <f>REPLACE(INDEX(GroupVertices[Group],MATCH(Edges[[#This Row],[Vertex 2]],GroupVertices[Vertex],0)),1,1,"")</f>
        <v>17</v>
      </c>
      <c r="AH19" s="111">
        <v>1</v>
      </c>
      <c r="AI19" s="112">
        <v>16.666666666666668</v>
      </c>
      <c r="AJ19" s="111">
        <v>0</v>
      </c>
      <c r="AK19" s="112">
        <v>0</v>
      </c>
      <c r="AL19" s="111">
        <v>0</v>
      </c>
      <c r="AM19" s="112">
        <v>0</v>
      </c>
      <c r="AN19" s="111">
        <v>5</v>
      </c>
      <c r="AO19" s="112">
        <v>83.33333333333333</v>
      </c>
      <c r="AP19" s="111">
        <v>6</v>
      </c>
    </row>
    <row r="20" spans="1:42" ht="15">
      <c r="A20" s="65" t="s">
        <v>353</v>
      </c>
      <c r="B20" s="65" t="s">
        <v>355</v>
      </c>
      <c r="C20" s="66" t="s">
        <v>2942</v>
      </c>
      <c r="D20" s="67">
        <v>3</v>
      </c>
      <c r="E20" s="68"/>
      <c r="F20" s="69">
        <v>40</v>
      </c>
      <c r="G20" s="66"/>
      <c r="H20" s="70"/>
      <c r="I20" s="71"/>
      <c r="J20" s="71"/>
      <c r="K20" s="35" t="s">
        <v>66</v>
      </c>
      <c r="L20" s="79">
        <v>20</v>
      </c>
      <c r="M20" s="79"/>
      <c r="N20" s="73"/>
      <c r="O20" s="81" t="s">
        <v>564</v>
      </c>
      <c r="P20" s="81" t="s">
        <v>566</v>
      </c>
      <c r="Q20" s="84" t="s">
        <v>583</v>
      </c>
      <c r="R20" s="81" t="s">
        <v>353</v>
      </c>
      <c r="S20" s="81" t="s">
        <v>866</v>
      </c>
      <c r="T20" s="86" t="str">
        <f>HYPERLINK("http://www.youtube.com/channel/UCfYrvWfah8SKHvX-fQ_oLWQ")</f>
        <v>http://www.youtube.com/channel/UCfYrvWfah8SKHvX-fQ_oLWQ</v>
      </c>
      <c r="U20" s="81" t="s">
        <v>1038</v>
      </c>
      <c r="V20" s="81" t="s">
        <v>1095</v>
      </c>
      <c r="W20" s="86" t="str">
        <f>HYPERLINK("https://www.youtube.com/watch?v=o-D-Duv8Mcs")</f>
        <v>https://www.youtube.com/watch?v=o-D-Duv8Mcs</v>
      </c>
      <c r="X20" s="81" t="s">
        <v>1183</v>
      </c>
      <c r="Y20" s="81">
        <v>2</v>
      </c>
      <c r="Z20" s="88">
        <v>43924.67320601852</v>
      </c>
      <c r="AA20" s="88">
        <v>43924.67320601852</v>
      </c>
      <c r="AB20" s="81" t="s">
        <v>1186</v>
      </c>
      <c r="AC20" s="81" t="s">
        <v>1220</v>
      </c>
      <c r="AD20" s="84" t="s">
        <v>1239</v>
      </c>
      <c r="AE20" s="82">
        <v>1</v>
      </c>
      <c r="AF20" s="83" t="str">
        <f>REPLACE(INDEX(GroupVertices[Group],MATCH(Edges[[#This Row],[Vertex 1]],GroupVertices[Vertex],0)),1,1,"")</f>
        <v>17</v>
      </c>
      <c r="AG20" s="83" t="str">
        <f>REPLACE(INDEX(GroupVertices[Group],MATCH(Edges[[#This Row],[Vertex 2]],GroupVertices[Vertex],0)),1,1,"")</f>
        <v>17</v>
      </c>
      <c r="AH20" s="111">
        <v>1</v>
      </c>
      <c r="AI20" s="112">
        <v>0.3508771929824561</v>
      </c>
      <c r="AJ20" s="111">
        <v>1</v>
      </c>
      <c r="AK20" s="112">
        <v>0.3508771929824561</v>
      </c>
      <c r="AL20" s="111">
        <v>0</v>
      </c>
      <c r="AM20" s="112">
        <v>0</v>
      </c>
      <c r="AN20" s="111">
        <v>283</v>
      </c>
      <c r="AO20" s="112">
        <v>99.29824561403508</v>
      </c>
      <c r="AP20" s="111">
        <v>285</v>
      </c>
    </row>
    <row r="21" spans="1:42" ht="15">
      <c r="A21" s="65" t="s">
        <v>355</v>
      </c>
      <c r="B21" s="65" t="s">
        <v>353</v>
      </c>
      <c r="C21" s="66" t="s">
        <v>2942</v>
      </c>
      <c r="D21" s="67">
        <v>3</v>
      </c>
      <c r="E21" s="68"/>
      <c r="F21" s="69">
        <v>40</v>
      </c>
      <c r="G21" s="66"/>
      <c r="H21" s="70"/>
      <c r="I21" s="71"/>
      <c r="J21" s="71"/>
      <c r="K21" s="35" t="s">
        <v>66</v>
      </c>
      <c r="L21" s="79">
        <v>21</v>
      </c>
      <c r="M21" s="79"/>
      <c r="N21" s="73"/>
      <c r="O21" s="81" t="s">
        <v>563</v>
      </c>
      <c r="P21" s="81" t="s">
        <v>325</v>
      </c>
      <c r="Q21" s="84" t="s">
        <v>584</v>
      </c>
      <c r="R21" s="81" t="s">
        <v>355</v>
      </c>
      <c r="S21" s="81" t="s">
        <v>868</v>
      </c>
      <c r="T21" s="86" t="str">
        <f>HYPERLINK("http://www.youtube.com/channel/UCeiKh2VbzXlQeESwZzg7xxQ")</f>
        <v>http://www.youtube.com/channel/UCeiKh2VbzXlQeESwZzg7xxQ</v>
      </c>
      <c r="U21" s="81"/>
      <c r="V21" s="81" t="s">
        <v>1095</v>
      </c>
      <c r="W21" s="86" t="str">
        <f>HYPERLINK("https://www.youtube.com/watch?v=o-D-Duv8Mcs")</f>
        <v>https://www.youtube.com/watch?v=o-D-Duv8Mcs</v>
      </c>
      <c r="X21" s="81" t="s">
        <v>1183</v>
      </c>
      <c r="Y21" s="81">
        <v>0</v>
      </c>
      <c r="Z21" s="88">
        <v>43924.658425925925</v>
      </c>
      <c r="AA21" s="88">
        <v>43924.658425925925</v>
      </c>
      <c r="AB21" s="81"/>
      <c r="AC21" s="81"/>
      <c r="AD21" s="84" t="s">
        <v>1239</v>
      </c>
      <c r="AE21" s="82">
        <v>1</v>
      </c>
      <c r="AF21" s="83" t="str">
        <f>REPLACE(INDEX(GroupVertices[Group],MATCH(Edges[[#This Row],[Vertex 1]],GroupVertices[Vertex],0)),1,1,"")</f>
        <v>17</v>
      </c>
      <c r="AG21" s="83" t="str">
        <f>REPLACE(INDEX(GroupVertices[Group],MATCH(Edges[[#This Row],[Vertex 2]],GroupVertices[Vertex],0)),1,1,"")</f>
        <v>17</v>
      </c>
      <c r="AH21" s="111">
        <v>0</v>
      </c>
      <c r="AI21" s="112">
        <v>0</v>
      </c>
      <c r="AJ21" s="111">
        <v>0</v>
      </c>
      <c r="AK21" s="112">
        <v>0</v>
      </c>
      <c r="AL21" s="111">
        <v>0</v>
      </c>
      <c r="AM21" s="112">
        <v>0</v>
      </c>
      <c r="AN21" s="111">
        <v>13</v>
      </c>
      <c r="AO21" s="112">
        <v>100</v>
      </c>
      <c r="AP21" s="111">
        <v>13</v>
      </c>
    </row>
    <row r="22" spans="1:42" ht="15">
      <c r="A22" s="65" t="s">
        <v>356</v>
      </c>
      <c r="B22" s="65" t="s">
        <v>358</v>
      </c>
      <c r="C22" s="66" t="s">
        <v>2942</v>
      </c>
      <c r="D22" s="67">
        <v>3</v>
      </c>
      <c r="E22" s="68"/>
      <c r="F22" s="69">
        <v>40</v>
      </c>
      <c r="G22" s="66"/>
      <c r="H22" s="70"/>
      <c r="I22" s="71"/>
      <c r="J22" s="71"/>
      <c r="K22" s="35" t="s">
        <v>65</v>
      </c>
      <c r="L22" s="79">
        <v>22</v>
      </c>
      <c r="M22" s="79"/>
      <c r="N22" s="73"/>
      <c r="O22" s="81" t="s">
        <v>563</v>
      </c>
      <c r="P22" s="81" t="s">
        <v>325</v>
      </c>
      <c r="Q22" s="84" t="s">
        <v>585</v>
      </c>
      <c r="R22" s="81" t="s">
        <v>356</v>
      </c>
      <c r="S22" s="81" t="s">
        <v>869</v>
      </c>
      <c r="T22" s="86" t="str">
        <f>HYPERLINK("http://www.youtube.com/channel/UCOySjL4JhGjAvIU2BeWaZMA")</f>
        <v>http://www.youtube.com/channel/UCOySjL4JhGjAvIU2BeWaZMA</v>
      </c>
      <c r="U22" s="81"/>
      <c r="V22" s="81" t="s">
        <v>1096</v>
      </c>
      <c r="W22" s="86" t="str">
        <f>HYPERLINK("https://www.youtube.com/watch?v=39yXz72qdow")</f>
        <v>https://www.youtube.com/watch?v=39yXz72qdow</v>
      </c>
      <c r="X22" s="81" t="s">
        <v>1183</v>
      </c>
      <c r="Y22" s="81">
        <v>0</v>
      </c>
      <c r="Z22" s="88">
        <v>41071.16103009259</v>
      </c>
      <c r="AA22" s="88">
        <v>41071.16103009259</v>
      </c>
      <c r="AB22" s="81"/>
      <c r="AC22" s="81"/>
      <c r="AD22" s="84" t="s">
        <v>1239</v>
      </c>
      <c r="AE22" s="82">
        <v>1</v>
      </c>
      <c r="AF22" s="83" t="str">
        <f>REPLACE(INDEX(GroupVertices[Group],MATCH(Edges[[#This Row],[Vertex 1]],GroupVertices[Vertex],0)),1,1,"")</f>
        <v>9</v>
      </c>
      <c r="AG22" s="83" t="str">
        <f>REPLACE(INDEX(GroupVertices[Group],MATCH(Edges[[#This Row],[Vertex 2]],GroupVertices[Vertex],0)),1,1,"")</f>
        <v>9</v>
      </c>
      <c r="AH22" s="111">
        <v>1</v>
      </c>
      <c r="AI22" s="112">
        <v>100</v>
      </c>
      <c r="AJ22" s="111">
        <v>0</v>
      </c>
      <c r="AK22" s="112">
        <v>0</v>
      </c>
      <c r="AL22" s="111">
        <v>0</v>
      </c>
      <c r="AM22" s="112">
        <v>0</v>
      </c>
      <c r="AN22" s="111">
        <v>0</v>
      </c>
      <c r="AO22" s="112">
        <v>0</v>
      </c>
      <c r="AP22" s="111">
        <v>1</v>
      </c>
    </row>
    <row r="23" spans="1:42" ht="15">
      <c r="A23" s="65" t="s">
        <v>357</v>
      </c>
      <c r="B23" s="65" t="s">
        <v>358</v>
      </c>
      <c r="C23" s="66" t="s">
        <v>2942</v>
      </c>
      <c r="D23" s="67">
        <v>3</v>
      </c>
      <c r="E23" s="68"/>
      <c r="F23" s="69">
        <v>40</v>
      </c>
      <c r="G23" s="66"/>
      <c r="H23" s="70"/>
      <c r="I23" s="71"/>
      <c r="J23" s="71"/>
      <c r="K23" s="35" t="s">
        <v>65</v>
      </c>
      <c r="L23" s="79">
        <v>23</v>
      </c>
      <c r="M23" s="79"/>
      <c r="N23" s="73"/>
      <c r="O23" s="81" t="s">
        <v>563</v>
      </c>
      <c r="P23" s="81" t="s">
        <v>325</v>
      </c>
      <c r="Q23" s="84" t="s">
        <v>586</v>
      </c>
      <c r="R23" s="81" t="s">
        <v>357</v>
      </c>
      <c r="S23" s="81" t="s">
        <v>870</v>
      </c>
      <c r="T23" s="86" t="str">
        <f>HYPERLINK("http://www.youtube.com/channel/UCkkgApUQlDrsLaod5io227g")</f>
        <v>http://www.youtube.com/channel/UCkkgApUQlDrsLaod5io227g</v>
      </c>
      <c r="U23" s="81"/>
      <c r="V23" s="81" t="s">
        <v>1096</v>
      </c>
      <c r="W23" s="86" t="str">
        <f>HYPERLINK("https://www.youtube.com/watch?v=39yXz72qdow")</f>
        <v>https://www.youtube.com/watch?v=39yXz72qdow</v>
      </c>
      <c r="X23" s="81" t="s">
        <v>1183</v>
      </c>
      <c r="Y23" s="81">
        <v>0</v>
      </c>
      <c r="Z23" s="88">
        <v>41613.32177083333</v>
      </c>
      <c r="AA23" s="88">
        <v>41613.32177083333</v>
      </c>
      <c r="AB23" s="81"/>
      <c r="AC23" s="81"/>
      <c r="AD23" s="84" t="s">
        <v>1239</v>
      </c>
      <c r="AE23" s="82">
        <v>1</v>
      </c>
      <c r="AF23" s="83" t="str">
        <f>REPLACE(INDEX(GroupVertices[Group],MATCH(Edges[[#This Row],[Vertex 1]],GroupVertices[Vertex],0)),1,1,"")</f>
        <v>9</v>
      </c>
      <c r="AG23" s="83" t="str">
        <f>REPLACE(INDEX(GroupVertices[Group],MATCH(Edges[[#This Row],[Vertex 2]],GroupVertices[Vertex],0)),1,1,"")</f>
        <v>9</v>
      </c>
      <c r="AH23" s="111">
        <v>0</v>
      </c>
      <c r="AI23" s="112">
        <v>0</v>
      </c>
      <c r="AJ23" s="111">
        <v>0</v>
      </c>
      <c r="AK23" s="112">
        <v>0</v>
      </c>
      <c r="AL23" s="111">
        <v>0</v>
      </c>
      <c r="AM23" s="112">
        <v>0</v>
      </c>
      <c r="AN23" s="111">
        <v>19</v>
      </c>
      <c r="AO23" s="112">
        <v>100</v>
      </c>
      <c r="AP23" s="111">
        <v>19</v>
      </c>
    </row>
    <row r="24" spans="1:42" ht="15">
      <c r="A24" s="65" t="s">
        <v>358</v>
      </c>
      <c r="B24" s="65" t="s">
        <v>359</v>
      </c>
      <c r="C24" s="66" t="s">
        <v>2942</v>
      </c>
      <c r="D24" s="67">
        <v>3</v>
      </c>
      <c r="E24" s="68"/>
      <c r="F24" s="69">
        <v>40</v>
      </c>
      <c r="G24" s="66"/>
      <c r="H24" s="70"/>
      <c r="I24" s="71"/>
      <c r="J24" s="71"/>
      <c r="K24" s="35" t="s">
        <v>66</v>
      </c>
      <c r="L24" s="79">
        <v>24</v>
      </c>
      <c r="M24" s="79"/>
      <c r="N24" s="73"/>
      <c r="O24" s="81" t="s">
        <v>564</v>
      </c>
      <c r="P24" s="81" t="s">
        <v>566</v>
      </c>
      <c r="Q24" s="84" t="s">
        <v>587</v>
      </c>
      <c r="R24" s="81" t="s">
        <v>358</v>
      </c>
      <c r="S24" s="81" t="s">
        <v>871</v>
      </c>
      <c r="T24" s="86" t="str">
        <f>HYPERLINK("http://www.youtube.com/channel/UCo4986VKClJt42gAAOHqWtQ")</f>
        <v>http://www.youtube.com/channel/UCo4986VKClJt42gAAOHqWtQ</v>
      </c>
      <c r="U24" s="81" t="s">
        <v>1039</v>
      </c>
      <c r="V24" s="81" t="s">
        <v>1096</v>
      </c>
      <c r="W24" s="86" t="str">
        <f>HYPERLINK("https://www.youtube.com/watch?v=39yXz72qdow")</f>
        <v>https://www.youtube.com/watch?v=39yXz72qdow</v>
      </c>
      <c r="X24" s="81" t="s">
        <v>1183</v>
      </c>
      <c r="Y24" s="81">
        <v>0</v>
      </c>
      <c r="Z24" s="88">
        <v>42054.711331018516</v>
      </c>
      <c r="AA24" s="88">
        <v>42054.711331018516</v>
      </c>
      <c r="AB24" s="81"/>
      <c r="AC24" s="81"/>
      <c r="AD24" s="84" t="s">
        <v>1239</v>
      </c>
      <c r="AE24" s="82">
        <v>1</v>
      </c>
      <c r="AF24" s="83" t="str">
        <f>REPLACE(INDEX(GroupVertices[Group],MATCH(Edges[[#This Row],[Vertex 1]],GroupVertices[Vertex],0)),1,1,"")</f>
        <v>9</v>
      </c>
      <c r="AG24" s="83" t="str">
        <f>REPLACE(INDEX(GroupVertices[Group],MATCH(Edges[[#This Row],[Vertex 2]],GroupVertices[Vertex],0)),1,1,"")</f>
        <v>9</v>
      </c>
      <c r="AH24" s="111">
        <v>1</v>
      </c>
      <c r="AI24" s="112">
        <v>2.7777777777777777</v>
      </c>
      <c r="AJ24" s="111">
        <v>0</v>
      </c>
      <c r="AK24" s="112">
        <v>0</v>
      </c>
      <c r="AL24" s="111">
        <v>0</v>
      </c>
      <c r="AM24" s="112">
        <v>0</v>
      </c>
      <c r="AN24" s="111">
        <v>35</v>
      </c>
      <c r="AO24" s="112">
        <v>97.22222222222223</v>
      </c>
      <c r="AP24" s="111">
        <v>36</v>
      </c>
    </row>
    <row r="25" spans="1:42" ht="15">
      <c r="A25" s="65" t="s">
        <v>359</v>
      </c>
      <c r="B25" s="65" t="s">
        <v>358</v>
      </c>
      <c r="C25" s="66" t="s">
        <v>2942</v>
      </c>
      <c r="D25" s="67">
        <v>3</v>
      </c>
      <c r="E25" s="68"/>
      <c r="F25" s="69">
        <v>40</v>
      </c>
      <c r="G25" s="66"/>
      <c r="H25" s="70"/>
      <c r="I25" s="71"/>
      <c r="J25" s="71"/>
      <c r="K25" s="35" t="s">
        <v>66</v>
      </c>
      <c r="L25" s="79">
        <v>25</v>
      </c>
      <c r="M25" s="79"/>
      <c r="N25" s="73"/>
      <c r="O25" s="81" t="s">
        <v>563</v>
      </c>
      <c r="P25" s="81" t="s">
        <v>325</v>
      </c>
      <c r="Q25" s="84" t="s">
        <v>588</v>
      </c>
      <c r="R25" s="81" t="s">
        <v>359</v>
      </c>
      <c r="S25" s="81" t="s">
        <v>872</v>
      </c>
      <c r="T25" s="86" t="str">
        <f>HYPERLINK("http://www.youtube.com/channel/UC-jjpnxCagdT_bv8huLBmrA")</f>
        <v>http://www.youtube.com/channel/UC-jjpnxCagdT_bv8huLBmrA</v>
      </c>
      <c r="U25" s="81"/>
      <c r="V25" s="81" t="s">
        <v>1096</v>
      </c>
      <c r="W25" s="86" t="str">
        <f>HYPERLINK("https://www.youtube.com/watch?v=39yXz72qdow")</f>
        <v>https://www.youtube.com/watch?v=39yXz72qdow</v>
      </c>
      <c r="X25" s="81" t="s">
        <v>1183</v>
      </c>
      <c r="Y25" s="81">
        <v>0</v>
      </c>
      <c r="Z25" s="88">
        <v>42042.409525462965</v>
      </c>
      <c r="AA25" s="88">
        <v>42042.409525462965</v>
      </c>
      <c r="AB25" s="81"/>
      <c r="AC25" s="81"/>
      <c r="AD25" s="84" t="s">
        <v>1239</v>
      </c>
      <c r="AE25" s="82">
        <v>1</v>
      </c>
      <c r="AF25" s="83" t="str">
        <f>REPLACE(INDEX(GroupVertices[Group],MATCH(Edges[[#This Row],[Vertex 1]],GroupVertices[Vertex],0)),1,1,"")</f>
        <v>9</v>
      </c>
      <c r="AG25" s="83" t="str">
        <f>REPLACE(INDEX(GroupVertices[Group],MATCH(Edges[[#This Row],[Vertex 2]],GroupVertices[Vertex],0)),1,1,"")</f>
        <v>9</v>
      </c>
      <c r="AH25" s="111">
        <v>4</v>
      </c>
      <c r="AI25" s="112">
        <v>11.764705882352942</v>
      </c>
      <c r="AJ25" s="111">
        <v>0</v>
      </c>
      <c r="AK25" s="112">
        <v>0</v>
      </c>
      <c r="AL25" s="111">
        <v>0</v>
      </c>
      <c r="AM25" s="112">
        <v>0</v>
      </c>
      <c r="AN25" s="111">
        <v>30</v>
      </c>
      <c r="AO25" s="112">
        <v>88.23529411764706</v>
      </c>
      <c r="AP25" s="111">
        <v>34</v>
      </c>
    </row>
    <row r="26" spans="1:42" ht="15">
      <c r="A26" s="65" t="s">
        <v>360</v>
      </c>
      <c r="B26" s="65" t="s">
        <v>358</v>
      </c>
      <c r="C26" s="66" t="s">
        <v>2942</v>
      </c>
      <c r="D26" s="67">
        <v>3</v>
      </c>
      <c r="E26" s="68"/>
      <c r="F26" s="69">
        <v>40</v>
      </c>
      <c r="G26" s="66"/>
      <c r="H26" s="70"/>
      <c r="I26" s="71"/>
      <c r="J26" s="71"/>
      <c r="K26" s="35" t="s">
        <v>65</v>
      </c>
      <c r="L26" s="79">
        <v>26</v>
      </c>
      <c r="M26" s="79"/>
      <c r="N26" s="73"/>
      <c r="O26" s="81" t="s">
        <v>563</v>
      </c>
      <c r="P26" s="81" t="s">
        <v>325</v>
      </c>
      <c r="Q26" s="84" t="s">
        <v>589</v>
      </c>
      <c r="R26" s="81" t="s">
        <v>360</v>
      </c>
      <c r="S26" s="81" t="s">
        <v>873</v>
      </c>
      <c r="T26" s="86" t="str">
        <f>HYPERLINK("http://www.youtube.com/channel/UCYS7wFuePefGbkq9zjRt8sQ")</f>
        <v>http://www.youtube.com/channel/UCYS7wFuePefGbkq9zjRt8sQ</v>
      </c>
      <c r="U26" s="81"/>
      <c r="V26" s="81" t="s">
        <v>1096</v>
      </c>
      <c r="W26" s="86" t="str">
        <f>HYPERLINK("https://www.youtube.com/watch?v=39yXz72qdow")</f>
        <v>https://www.youtube.com/watch?v=39yXz72qdow</v>
      </c>
      <c r="X26" s="81" t="s">
        <v>1183</v>
      </c>
      <c r="Y26" s="81">
        <v>0</v>
      </c>
      <c r="Z26" s="88">
        <v>42286.4718287037</v>
      </c>
      <c r="AA26" s="88">
        <v>42286.4718287037</v>
      </c>
      <c r="AB26" s="81" t="s">
        <v>1187</v>
      </c>
      <c r="AC26" s="81" t="s">
        <v>1221</v>
      </c>
      <c r="AD26" s="84" t="s">
        <v>1239</v>
      </c>
      <c r="AE26" s="82">
        <v>1</v>
      </c>
      <c r="AF26" s="83" t="str">
        <f>REPLACE(INDEX(GroupVertices[Group],MATCH(Edges[[#This Row],[Vertex 1]],GroupVertices[Vertex],0)),1,1,"")</f>
        <v>9</v>
      </c>
      <c r="AG26" s="83" t="str">
        <f>REPLACE(INDEX(GroupVertices[Group],MATCH(Edges[[#This Row],[Vertex 2]],GroupVertices[Vertex],0)),1,1,"")</f>
        <v>9</v>
      </c>
      <c r="AH26" s="111">
        <v>0</v>
      </c>
      <c r="AI26" s="112">
        <v>0</v>
      </c>
      <c r="AJ26" s="111">
        <v>0</v>
      </c>
      <c r="AK26" s="112">
        <v>0</v>
      </c>
      <c r="AL26" s="111">
        <v>0</v>
      </c>
      <c r="AM26" s="112">
        <v>0</v>
      </c>
      <c r="AN26" s="111">
        <v>27</v>
      </c>
      <c r="AO26" s="112">
        <v>100</v>
      </c>
      <c r="AP26" s="111">
        <v>27</v>
      </c>
    </row>
    <row r="27" spans="1:42" ht="15">
      <c r="A27" s="65" t="s">
        <v>361</v>
      </c>
      <c r="B27" s="65" t="s">
        <v>358</v>
      </c>
      <c r="C27" s="66" t="s">
        <v>2942</v>
      </c>
      <c r="D27" s="67">
        <v>3</v>
      </c>
      <c r="E27" s="68"/>
      <c r="F27" s="69">
        <v>40</v>
      </c>
      <c r="G27" s="66"/>
      <c r="H27" s="70"/>
      <c r="I27" s="71"/>
      <c r="J27" s="71"/>
      <c r="K27" s="35" t="s">
        <v>65</v>
      </c>
      <c r="L27" s="79">
        <v>27</v>
      </c>
      <c r="M27" s="79"/>
      <c r="N27" s="73"/>
      <c r="O27" s="81" t="s">
        <v>563</v>
      </c>
      <c r="P27" s="81" t="s">
        <v>325</v>
      </c>
      <c r="Q27" s="84" t="s">
        <v>590</v>
      </c>
      <c r="R27" s="81" t="s">
        <v>361</v>
      </c>
      <c r="S27" s="81" t="s">
        <v>874</v>
      </c>
      <c r="T27" s="86" t="str">
        <f>HYPERLINK("http://www.youtube.com/channel/UCDCjHgdB_5n2ppVPI3Vt8Ew")</f>
        <v>http://www.youtube.com/channel/UCDCjHgdB_5n2ppVPI3Vt8Ew</v>
      </c>
      <c r="U27" s="81"/>
      <c r="V27" s="81" t="s">
        <v>1096</v>
      </c>
      <c r="W27" s="86" t="str">
        <f>HYPERLINK("https://www.youtube.com/watch?v=39yXz72qdow")</f>
        <v>https://www.youtube.com/watch?v=39yXz72qdow</v>
      </c>
      <c r="X27" s="81" t="s">
        <v>1183</v>
      </c>
      <c r="Y27" s="81">
        <v>0</v>
      </c>
      <c r="Z27" s="88">
        <v>42513.97956018519</v>
      </c>
      <c r="AA27" s="88">
        <v>42513.97956018519</v>
      </c>
      <c r="AB27" s="81"/>
      <c r="AC27" s="81"/>
      <c r="AD27" s="84" t="s">
        <v>1239</v>
      </c>
      <c r="AE27" s="82">
        <v>1</v>
      </c>
      <c r="AF27" s="83" t="str">
        <f>REPLACE(INDEX(GroupVertices[Group],MATCH(Edges[[#This Row],[Vertex 1]],GroupVertices[Vertex],0)),1,1,"")</f>
        <v>9</v>
      </c>
      <c r="AG27" s="83" t="str">
        <f>REPLACE(INDEX(GroupVertices[Group],MATCH(Edges[[#This Row],[Vertex 2]],GroupVertices[Vertex],0)),1,1,"")</f>
        <v>9</v>
      </c>
      <c r="AH27" s="111">
        <v>0</v>
      </c>
      <c r="AI27" s="112">
        <v>0</v>
      </c>
      <c r="AJ27" s="111">
        <v>0</v>
      </c>
      <c r="AK27" s="112">
        <v>0</v>
      </c>
      <c r="AL27" s="111">
        <v>0</v>
      </c>
      <c r="AM27" s="112">
        <v>0</v>
      </c>
      <c r="AN27" s="111">
        <v>21</v>
      </c>
      <c r="AO27" s="112">
        <v>100</v>
      </c>
      <c r="AP27" s="111">
        <v>21</v>
      </c>
    </row>
    <row r="28" spans="1:42" ht="15">
      <c r="A28" s="65" t="s">
        <v>362</v>
      </c>
      <c r="B28" s="65" t="s">
        <v>358</v>
      </c>
      <c r="C28" s="66" t="s">
        <v>2942</v>
      </c>
      <c r="D28" s="67">
        <v>3</v>
      </c>
      <c r="E28" s="68"/>
      <c r="F28" s="69">
        <v>40</v>
      </c>
      <c r="G28" s="66"/>
      <c r="H28" s="70"/>
      <c r="I28" s="71"/>
      <c r="J28" s="71"/>
      <c r="K28" s="35" t="s">
        <v>65</v>
      </c>
      <c r="L28" s="79">
        <v>28</v>
      </c>
      <c r="M28" s="79"/>
      <c r="N28" s="73"/>
      <c r="O28" s="81" t="s">
        <v>563</v>
      </c>
      <c r="P28" s="81" t="s">
        <v>325</v>
      </c>
      <c r="Q28" s="84" t="s">
        <v>591</v>
      </c>
      <c r="R28" s="81" t="s">
        <v>362</v>
      </c>
      <c r="S28" s="81" t="s">
        <v>875</v>
      </c>
      <c r="T28" s="86" t="str">
        <f>HYPERLINK("http://www.youtube.com/channel/UCYL-NgWVd0Ebir7pXVsMB2w")</f>
        <v>http://www.youtube.com/channel/UCYL-NgWVd0Ebir7pXVsMB2w</v>
      </c>
      <c r="U28" s="81"/>
      <c r="V28" s="81" t="s">
        <v>1096</v>
      </c>
      <c r="W28" s="86" t="str">
        <f>HYPERLINK("https://www.youtube.com/watch?v=39yXz72qdow")</f>
        <v>https://www.youtube.com/watch?v=39yXz72qdow</v>
      </c>
      <c r="X28" s="81" t="s">
        <v>1183</v>
      </c>
      <c r="Y28" s="81">
        <v>0</v>
      </c>
      <c r="Z28" s="88">
        <v>42590.445601851854</v>
      </c>
      <c r="AA28" s="88">
        <v>42590.445601851854</v>
      </c>
      <c r="AB28" s="81"/>
      <c r="AC28" s="81"/>
      <c r="AD28" s="84" t="s">
        <v>1239</v>
      </c>
      <c r="AE28" s="82">
        <v>1</v>
      </c>
      <c r="AF28" s="83" t="str">
        <f>REPLACE(INDEX(GroupVertices[Group],MATCH(Edges[[#This Row],[Vertex 1]],GroupVertices[Vertex],0)),1,1,"")</f>
        <v>9</v>
      </c>
      <c r="AG28" s="83" t="str">
        <f>REPLACE(INDEX(GroupVertices[Group],MATCH(Edges[[#This Row],[Vertex 2]],GroupVertices[Vertex],0)),1,1,"")</f>
        <v>9</v>
      </c>
      <c r="AH28" s="111">
        <v>0</v>
      </c>
      <c r="AI28" s="112">
        <v>0</v>
      </c>
      <c r="AJ28" s="111">
        <v>0</v>
      </c>
      <c r="AK28" s="112">
        <v>0</v>
      </c>
      <c r="AL28" s="111">
        <v>0</v>
      </c>
      <c r="AM28" s="112">
        <v>0</v>
      </c>
      <c r="AN28" s="111">
        <v>6</v>
      </c>
      <c r="AO28" s="112">
        <v>100</v>
      </c>
      <c r="AP28" s="111">
        <v>6</v>
      </c>
    </row>
    <row r="29" spans="1:42" ht="15">
      <c r="A29" s="65" t="s">
        <v>363</v>
      </c>
      <c r="B29" s="65" t="s">
        <v>364</v>
      </c>
      <c r="C29" s="66" t="s">
        <v>2942</v>
      </c>
      <c r="D29" s="67">
        <v>3</v>
      </c>
      <c r="E29" s="68"/>
      <c r="F29" s="69">
        <v>40</v>
      </c>
      <c r="G29" s="66"/>
      <c r="H29" s="70"/>
      <c r="I29" s="71"/>
      <c r="J29" s="71"/>
      <c r="K29" s="35" t="s">
        <v>65</v>
      </c>
      <c r="L29" s="79">
        <v>29</v>
      </c>
      <c r="M29" s="79"/>
      <c r="N29" s="73"/>
      <c r="O29" s="81" t="s">
        <v>564</v>
      </c>
      <c r="P29" s="81" t="s">
        <v>566</v>
      </c>
      <c r="Q29" s="84" t="s">
        <v>592</v>
      </c>
      <c r="R29" s="81" t="s">
        <v>363</v>
      </c>
      <c r="S29" s="81" t="s">
        <v>876</v>
      </c>
      <c r="T29" s="86" t="str">
        <f>HYPERLINK("http://www.youtube.com/channel/UCg66xuzMQIOjiGIT5PMHOcw")</f>
        <v>http://www.youtube.com/channel/UCg66xuzMQIOjiGIT5PMHOcw</v>
      </c>
      <c r="U29" s="81" t="s">
        <v>1040</v>
      </c>
      <c r="V29" s="81" t="s">
        <v>1096</v>
      </c>
      <c r="W29" s="86" t="str">
        <f>HYPERLINK("https://www.youtube.com/watch?v=39yXz72qdow")</f>
        <v>https://www.youtube.com/watch?v=39yXz72qdow</v>
      </c>
      <c r="X29" s="81" t="s">
        <v>1183</v>
      </c>
      <c r="Y29" s="81">
        <v>0</v>
      </c>
      <c r="Z29" s="88">
        <v>43324.952673611115</v>
      </c>
      <c r="AA29" s="88">
        <v>43324.952673611115</v>
      </c>
      <c r="AB29" s="81"/>
      <c r="AC29" s="81"/>
      <c r="AD29" s="84" t="s">
        <v>1239</v>
      </c>
      <c r="AE29" s="82">
        <v>1</v>
      </c>
      <c r="AF29" s="83" t="str">
        <f>REPLACE(INDEX(GroupVertices[Group],MATCH(Edges[[#This Row],[Vertex 1]],GroupVertices[Vertex],0)),1,1,"")</f>
        <v>9</v>
      </c>
      <c r="AG29" s="83" t="str">
        <f>REPLACE(INDEX(GroupVertices[Group],MATCH(Edges[[#This Row],[Vertex 2]],GroupVertices[Vertex],0)),1,1,"")</f>
        <v>9</v>
      </c>
      <c r="AH29" s="111">
        <v>0</v>
      </c>
      <c r="AI29" s="112">
        <v>0</v>
      </c>
      <c r="AJ29" s="111">
        <v>1</v>
      </c>
      <c r="AK29" s="112">
        <v>9.090909090909092</v>
      </c>
      <c r="AL29" s="111">
        <v>0</v>
      </c>
      <c r="AM29" s="112">
        <v>0</v>
      </c>
      <c r="AN29" s="111">
        <v>10</v>
      </c>
      <c r="AO29" s="112">
        <v>90.9090909090909</v>
      </c>
      <c r="AP29" s="111">
        <v>11</v>
      </c>
    </row>
    <row r="30" spans="1:42" ht="15">
      <c r="A30" s="65" t="s">
        <v>364</v>
      </c>
      <c r="B30" s="65" t="s">
        <v>358</v>
      </c>
      <c r="C30" s="66" t="s">
        <v>2942</v>
      </c>
      <c r="D30" s="67">
        <v>3</v>
      </c>
      <c r="E30" s="68"/>
      <c r="F30" s="69">
        <v>40</v>
      </c>
      <c r="G30" s="66"/>
      <c r="H30" s="70"/>
      <c r="I30" s="71"/>
      <c r="J30" s="71"/>
      <c r="K30" s="35" t="s">
        <v>65</v>
      </c>
      <c r="L30" s="79">
        <v>30</v>
      </c>
      <c r="M30" s="79"/>
      <c r="N30" s="73"/>
      <c r="O30" s="81" t="s">
        <v>563</v>
      </c>
      <c r="P30" s="81" t="s">
        <v>325</v>
      </c>
      <c r="Q30" s="84" t="s">
        <v>593</v>
      </c>
      <c r="R30" s="81" t="s">
        <v>364</v>
      </c>
      <c r="S30" s="81" t="s">
        <v>877</v>
      </c>
      <c r="T30" s="86" t="str">
        <f>HYPERLINK("http://www.youtube.com/channel/UCo6gG1_nUsjZvN4gMpjdGZA")</f>
        <v>http://www.youtube.com/channel/UCo6gG1_nUsjZvN4gMpjdGZA</v>
      </c>
      <c r="U30" s="81"/>
      <c r="V30" s="81" t="s">
        <v>1096</v>
      </c>
      <c r="W30" s="86" t="str">
        <f>HYPERLINK("https://www.youtube.com/watch?v=39yXz72qdow")</f>
        <v>https://www.youtube.com/watch?v=39yXz72qdow</v>
      </c>
      <c r="X30" s="81" t="s">
        <v>1183</v>
      </c>
      <c r="Y30" s="81">
        <v>0</v>
      </c>
      <c r="Z30" s="88">
        <v>42935.27025462963</v>
      </c>
      <c r="AA30" s="88">
        <v>42935.27125</v>
      </c>
      <c r="AB30" s="81"/>
      <c r="AC30" s="81"/>
      <c r="AD30" s="84" t="s">
        <v>1239</v>
      </c>
      <c r="AE30" s="82">
        <v>1</v>
      </c>
      <c r="AF30" s="83" t="str">
        <f>REPLACE(INDEX(GroupVertices[Group],MATCH(Edges[[#This Row],[Vertex 1]],GroupVertices[Vertex],0)),1,1,"")</f>
        <v>9</v>
      </c>
      <c r="AG30" s="83" t="str">
        <f>REPLACE(INDEX(GroupVertices[Group],MATCH(Edges[[#This Row],[Vertex 2]],GroupVertices[Vertex],0)),1,1,"")</f>
        <v>9</v>
      </c>
      <c r="AH30" s="111">
        <v>0</v>
      </c>
      <c r="AI30" s="112">
        <v>0</v>
      </c>
      <c r="AJ30" s="111">
        <v>2</v>
      </c>
      <c r="AK30" s="112">
        <v>4.444444444444445</v>
      </c>
      <c r="AL30" s="111">
        <v>0</v>
      </c>
      <c r="AM30" s="112">
        <v>0</v>
      </c>
      <c r="AN30" s="111">
        <v>43</v>
      </c>
      <c r="AO30" s="112">
        <v>95.55555555555556</v>
      </c>
      <c r="AP30" s="111">
        <v>45</v>
      </c>
    </row>
    <row r="31" spans="1:42" ht="15">
      <c r="A31" s="65" t="s">
        <v>365</v>
      </c>
      <c r="B31" s="65" t="s">
        <v>369</v>
      </c>
      <c r="C31" s="66" t="s">
        <v>2942</v>
      </c>
      <c r="D31" s="67">
        <v>3</v>
      </c>
      <c r="E31" s="68"/>
      <c r="F31" s="69">
        <v>40</v>
      </c>
      <c r="G31" s="66"/>
      <c r="H31" s="70"/>
      <c r="I31" s="71"/>
      <c r="J31" s="71"/>
      <c r="K31" s="35" t="s">
        <v>65</v>
      </c>
      <c r="L31" s="79">
        <v>31</v>
      </c>
      <c r="M31" s="79"/>
      <c r="N31" s="73"/>
      <c r="O31" s="81" t="s">
        <v>563</v>
      </c>
      <c r="P31" s="81" t="s">
        <v>325</v>
      </c>
      <c r="Q31" s="84" t="s">
        <v>594</v>
      </c>
      <c r="R31" s="81" t="s">
        <v>365</v>
      </c>
      <c r="S31" s="81" t="s">
        <v>878</v>
      </c>
      <c r="T31" s="86" t="str">
        <f>HYPERLINK("http://www.youtube.com/channel/UCJNdQJZz7IuBgHWIIoJBvJg")</f>
        <v>http://www.youtube.com/channel/UCJNdQJZz7IuBgHWIIoJBvJg</v>
      </c>
      <c r="U31" s="81"/>
      <c r="V31" s="81" t="s">
        <v>1097</v>
      </c>
      <c r="W31" s="86" t="str">
        <f>HYPERLINK("https://www.youtube.com/watch?v=vp7VXgvVAPg")</f>
        <v>https://www.youtube.com/watch?v=vp7VXgvVAPg</v>
      </c>
      <c r="X31" s="81" t="s">
        <v>1183</v>
      </c>
      <c r="Y31" s="81">
        <v>0</v>
      </c>
      <c r="Z31" s="88">
        <v>41319.4555787037</v>
      </c>
      <c r="AA31" s="88">
        <v>41319.4555787037</v>
      </c>
      <c r="AB31" s="81"/>
      <c r="AC31" s="81"/>
      <c r="AD31" s="84" t="s">
        <v>1239</v>
      </c>
      <c r="AE31" s="82">
        <v>1</v>
      </c>
      <c r="AF31" s="83" t="str">
        <f>REPLACE(INDEX(GroupVertices[Group],MATCH(Edges[[#This Row],[Vertex 1]],GroupVertices[Vertex],0)),1,1,"")</f>
        <v>1</v>
      </c>
      <c r="AG31" s="83" t="str">
        <f>REPLACE(INDEX(GroupVertices[Group],MATCH(Edges[[#This Row],[Vertex 2]],GroupVertices[Vertex],0)),1,1,"")</f>
        <v>1</v>
      </c>
      <c r="AH31" s="111">
        <v>5</v>
      </c>
      <c r="AI31" s="112">
        <v>10</v>
      </c>
      <c r="AJ31" s="111">
        <v>0</v>
      </c>
      <c r="AK31" s="112">
        <v>0</v>
      </c>
      <c r="AL31" s="111">
        <v>0</v>
      </c>
      <c r="AM31" s="112">
        <v>0</v>
      </c>
      <c r="AN31" s="111">
        <v>45</v>
      </c>
      <c r="AO31" s="112">
        <v>90</v>
      </c>
      <c r="AP31" s="111">
        <v>50</v>
      </c>
    </row>
    <row r="32" spans="1:42" ht="15">
      <c r="A32" s="65" t="s">
        <v>366</v>
      </c>
      <c r="B32" s="65" t="s">
        <v>367</v>
      </c>
      <c r="C32" s="66" t="s">
        <v>2942</v>
      </c>
      <c r="D32" s="67">
        <v>3</v>
      </c>
      <c r="E32" s="68"/>
      <c r="F32" s="69">
        <v>40</v>
      </c>
      <c r="G32" s="66"/>
      <c r="H32" s="70"/>
      <c r="I32" s="71"/>
      <c r="J32" s="71"/>
      <c r="K32" s="35" t="s">
        <v>65</v>
      </c>
      <c r="L32" s="79">
        <v>32</v>
      </c>
      <c r="M32" s="79"/>
      <c r="N32" s="73"/>
      <c r="O32" s="81" t="s">
        <v>564</v>
      </c>
      <c r="P32" s="81" t="s">
        <v>566</v>
      </c>
      <c r="Q32" s="84" t="s">
        <v>595</v>
      </c>
      <c r="R32" s="81" t="s">
        <v>366</v>
      </c>
      <c r="S32" s="81" t="s">
        <v>879</v>
      </c>
      <c r="T32" s="86" t="str">
        <f>HYPERLINK("http://www.youtube.com/channel/UCDmMHvluQEXqJgF4docP0yA")</f>
        <v>http://www.youtube.com/channel/UCDmMHvluQEXqJgF4docP0yA</v>
      </c>
      <c r="U32" s="81" t="s">
        <v>1041</v>
      </c>
      <c r="V32" s="81" t="s">
        <v>1097</v>
      </c>
      <c r="W32" s="86" t="str">
        <f>HYPERLINK("https://www.youtube.com/watch?v=vp7VXgvVAPg")</f>
        <v>https://www.youtube.com/watch?v=vp7VXgvVAPg</v>
      </c>
      <c r="X32" s="81" t="s">
        <v>1183</v>
      </c>
      <c r="Y32" s="81">
        <v>0</v>
      </c>
      <c r="Z32" s="88">
        <v>43027.72387731481</v>
      </c>
      <c r="AA32" s="88">
        <v>43027.72387731481</v>
      </c>
      <c r="AB32" s="81" t="s">
        <v>1188</v>
      </c>
      <c r="AC32" s="81" t="s">
        <v>1222</v>
      </c>
      <c r="AD32" s="84" t="s">
        <v>1239</v>
      </c>
      <c r="AE32" s="82">
        <v>1</v>
      </c>
      <c r="AF32" s="83" t="str">
        <f>REPLACE(INDEX(GroupVertices[Group],MATCH(Edges[[#This Row],[Vertex 1]],GroupVertices[Vertex],0)),1,1,"")</f>
        <v>22</v>
      </c>
      <c r="AG32" s="83" t="str">
        <f>REPLACE(INDEX(GroupVertices[Group],MATCH(Edges[[#This Row],[Vertex 2]],GroupVertices[Vertex],0)),1,1,"")</f>
        <v>22</v>
      </c>
      <c r="AH32" s="111">
        <v>1</v>
      </c>
      <c r="AI32" s="112">
        <v>1.098901098901099</v>
      </c>
      <c r="AJ32" s="111">
        <v>0</v>
      </c>
      <c r="AK32" s="112">
        <v>0</v>
      </c>
      <c r="AL32" s="111">
        <v>0</v>
      </c>
      <c r="AM32" s="112">
        <v>0</v>
      </c>
      <c r="AN32" s="111">
        <v>90</v>
      </c>
      <c r="AO32" s="112">
        <v>98.9010989010989</v>
      </c>
      <c r="AP32" s="111">
        <v>91</v>
      </c>
    </row>
    <row r="33" spans="1:42" ht="15">
      <c r="A33" s="65" t="s">
        <v>367</v>
      </c>
      <c r="B33" s="65" t="s">
        <v>369</v>
      </c>
      <c r="C33" s="66" t="s">
        <v>2942</v>
      </c>
      <c r="D33" s="67">
        <v>3</v>
      </c>
      <c r="E33" s="68"/>
      <c r="F33" s="69">
        <v>40</v>
      </c>
      <c r="G33" s="66"/>
      <c r="H33" s="70"/>
      <c r="I33" s="71"/>
      <c r="J33" s="71"/>
      <c r="K33" s="35" t="s">
        <v>65</v>
      </c>
      <c r="L33" s="79">
        <v>33</v>
      </c>
      <c r="M33" s="79"/>
      <c r="N33" s="73"/>
      <c r="O33" s="81" t="s">
        <v>563</v>
      </c>
      <c r="P33" s="81" t="s">
        <v>325</v>
      </c>
      <c r="Q33" s="84" t="s">
        <v>596</v>
      </c>
      <c r="R33" s="81" t="s">
        <v>367</v>
      </c>
      <c r="S33" s="81" t="s">
        <v>880</v>
      </c>
      <c r="T33" s="86" t="str">
        <f>HYPERLINK("http://www.youtube.com/channel/UC5J008IAlx4366lCisVipIg")</f>
        <v>http://www.youtube.com/channel/UC5J008IAlx4366lCisVipIg</v>
      </c>
      <c r="U33" s="81"/>
      <c r="V33" s="81" t="s">
        <v>1097</v>
      </c>
      <c r="W33" s="86" t="str">
        <f>HYPERLINK("https://www.youtube.com/watch?v=vp7VXgvVAPg")</f>
        <v>https://www.youtube.com/watch?v=vp7VXgvVAPg</v>
      </c>
      <c r="X33" s="81" t="s">
        <v>1183</v>
      </c>
      <c r="Y33" s="81">
        <v>0</v>
      </c>
      <c r="Z33" s="88">
        <v>41389.53047453704</v>
      </c>
      <c r="AA33" s="88">
        <v>41389.53047453704</v>
      </c>
      <c r="AB33" s="81"/>
      <c r="AC33" s="81"/>
      <c r="AD33" s="84" t="s">
        <v>1239</v>
      </c>
      <c r="AE33" s="82">
        <v>1</v>
      </c>
      <c r="AF33" s="83" t="str">
        <f>REPLACE(INDEX(GroupVertices[Group],MATCH(Edges[[#This Row],[Vertex 1]],GroupVertices[Vertex],0)),1,1,"")</f>
        <v>22</v>
      </c>
      <c r="AG33" s="83" t="str">
        <f>REPLACE(INDEX(GroupVertices[Group],MATCH(Edges[[#This Row],[Vertex 2]],GroupVertices[Vertex],0)),1,1,"")</f>
        <v>1</v>
      </c>
      <c r="AH33" s="111">
        <v>1</v>
      </c>
      <c r="AI33" s="112">
        <v>50</v>
      </c>
      <c r="AJ33" s="111">
        <v>0</v>
      </c>
      <c r="AK33" s="112">
        <v>0</v>
      </c>
      <c r="AL33" s="111">
        <v>0</v>
      </c>
      <c r="AM33" s="112">
        <v>0</v>
      </c>
      <c r="AN33" s="111">
        <v>1</v>
      </c>
      <c r="AO33" s="112">
        <v>50</v>
      </c>
      <c r="AP33" s="111">
        <v>2</v>
      </c>
    </row>
    <row r="34" spans="1:42" ht="15">
      <c r="A34" s="65" t="s">
        <v>368</v>
      </c>
      <c r="B34" s="65" t="s">
        <v>369</v>
      </c>
      <c r="C34" s="66" t="s">
        <v>2942</v>
      </c>
      <c r="D34" s="67">
        <v>3</v>
      </c>
      <c r="E34" s="68"/>
      <c r="F34" s="69">
        <v>40</v>
      </c>
      <c r="G34" s="66"/>
      <c r="H34" s="70"/>
      <c r="I34" s="71"/>
      <c r="J34" s="71"/>
      <c r="K34" s="35" t="s">
        <v>65</v>
      </c>
      <c r="L34" s="79">
        <v>34</v>
      </c>
      <c r="M34" s="79"/>
      <c r="N34" s="73"/>
      <c r="O34" s="81" t="s">
        <v>563</v>
      </c>
      <c r="P34" s="81" t="s">
        <v>325</v>
      </c>
      <c r="Q34" s="84" t="s">
        <v>597</v>
      </c>
      <c r="R34" s="81" t="s">
        <v>368</v>
      </c>
      <c r="S34" s="81" t="s">
        <v>881</v>
      </c>
      <c r="T34" s="86" t="str">
        <f>HYPERLINK("http://www.youtube.com/channel/UCPvgd5mNI79yGYL0hJAKReA")</f>
        <v>http://www.youtube.com/channel/UCPvgd5mNI79yGYL0hJAKReA</v>
      </c>
      <c r="U34" s="81"/>
      <c r="V34" s="81" t="s">
        <v>1097</v>
      </c>
      <c r="W34" s="86" t="str">
        <f>HYPERLINK("https://www.youtube.com/watch?v=vp7VXgvVAPg")</f>
        <v>https://www.youtube.com/watch?v=vp7VXgvVAPg</v>
      </c>
      <c r="X34" s="81" t="s">
        <v>1183</v>
      </c>
      <c r="Y34" s="81">
        <v>0</v>
      </c>
      <c r="Z34" s="88">
        <v>41418.98670138889</v>
      </c>
      <c r="AA34" s="88">
        <v>41418.98670138889</v>
      </c>
      <c r="AB34" s="81"/>
      <c r="AC34" s="81"/>
      <c r="AD34" s="84" t="s">
        <v>1239</v>
      </c>
      <c r="AE34" s="82">
        <v>1</v>
      </c>
      <c r="AF34" s="83" t="str">
        <f>REPLACE(INDEX(GroupVertices[Group],MATCH(Edges[[#This Row],[Vertex 1]],GroupVertices[Vertex],0)),1,1,"")</f>
        <v>1</v>
      </c>
      <c r="AG34" s="83" t="str">
        <f>REPLACE(INDEX(GroupVertices[Group],MATCH(Edges[[#This Row],[Vertex 2]],GroupVertices[Vertex],0)),1,1,"")</f>
        <v>1</v>
      </c>
      <c r="AH34" s="111">
        <v>2</v>
      </c>
      <c r="AI34" s="112">
        <v>8</v>
      </c>
      <c r="AJ34" s="111">
        <v>0</v>
      </c>
      <c r="AK34" s="112">
        <v>0</v>
      </c>
      <c r="AL34" s="111">
        <v>0</v>
      </c>
      <c r="AM34" s="112">
        <v>0</v>
      </c>
      <c r="AN34" s="111">
        <v>23</v>
      </c>
      <c r="AO34" s="112">
        <v>92</v>
      </c>
      <c r="AP34" s="111">
        <v>25</v>
      </c>
    </row>
    <row r="35" spans="1:42" ht="15">
      <c r="A35" s="65" t="s">
        <v>369</v>
      </c>
      <c r="B35" s="65" t="s">
        <v>370</v>
      </c>
      <c r="C35" s="66" t="s">
        <v>2943</v>
      </c>
      <c r="D35" s="67">
        <v>4.4</v>
      </c>
      <c r="E35" s="68"/>
      <c r="F35" s="69">
        <v>35</v>
      </c>
      <c r="G35" s="66"/>
      <c r="H35" s="70"/>
      <c r="I35" s="71"/>
      <c r="J35" s="71"/>
      <c r="K35" s="35" t="s">
        <v>66</v>
      </c>
      <c r="L35" s="79">
        <v>35</v>
      </c>
      <c r="M35" s="79"/>
      <c r="N35" s="73"/>
      <c r="O35" s="81" t="s">
        <v>564</v>
      </c>
      <c r="P35" s="81" t="s">
        <v>566</v>
      </c>
      <c r="Q35" s="84" t="s">
        <v>598</v>
      </c>
      <c r="R35" s="81" t="s">
        <v>369</v>
      </c>
      <c r="S35" s="81" t="s">
        <v>882</v>
      </c>
      <c r="T35" s="86" t="str">
        <f>HYPERLINK("http://www.youtube.com/channel/UCerAw4EfTOnYYxLLPZAzMxQ")</f>
        <v>http://www.youtube.com/channel/UCerAw4EfTOnYYxLLPZAzMxQ</v>
      </c>
      <c r="U35" s="81" t="s">
        <v>1042</v>
      </c>
      <c r="V35" s="81" t="s">
        <v>1097</v>
      </c>
      <c r="W35" s="86" t="str">
        <f>HYPERLINK("https://www.youtube.com/watch?v=vp7VXgvVAPg")</f>
        <v>https://www.youtube.com/watch?v=vp7VXgvVAPg</v>
      </c>
      <c r="X35" s="81" t="s">
        <v>1183</v>
      </c>
      <c r="Y35" s="81">
        <v>0</v>
      </c>
      <c r="Z35" s="88">
        <v>41620.59122685185</v>
      </c>
      <c r="AA35" s="88">
        <v>41620.59122685185</v>
      </c>
      <c r="AB35" s="81"/>
      <c r="AC35" s="81"/>
      <c r="AD35" s="84" t="s">
        <v>1239</v>
      </c>
      <c r="AE35" s="82">
        <v>2</v>
      </c>
      <c r="AF35" s="83" t="str">
        <f>REPLACE(INDEX(GroupVertices[Group],MATCH(Edges[[#This Row],[Vertex 1]],GroupVertices[Vertex],0)),1,1,"")</f>
        <v>1</v>
      </c>
      <c r="AG35" s="83" t="str">
        <f>REPLACE(INDEX(GroupVertices[Group],MATCH(Edges[[#This Row],[Vertex 2]],GroupVertices[Vertex],0)),1,1,"")</f>
        <v>1</v>
      </c>
      <c r="AH35" s="111">
        <v>1</v>
      </c>
      <c r="AI35" s="112">
        <v>2.9411764705882355</v>
      </c>
      <c r="AJ35" s="111">
        <v>0</v>
      </c>
      <c r="AK35" s="112">
        <v>0</v>
      </c>
      <c r="AL35" s="111">
        <v>0</v>
      </c>
      <c r="AM35" s="112">
        <v>0</v>
      </c>
      <c r="AN35" s="111">
        <v>33</v>
      </c>
      <c r="AO35" s="112">
        <v>97.05882352941177</v>
      </c>
      <c r="AP35" s="111">
        <v>34</v>
      </c>
    </row>
    <row r="36" spans="1:42" ht="15">
      <c r="A36" s="65" t="s">
        <v>370</v>
      </c>
      <c r="B36" s="65" t="s">
        <v>370</v>
      </c>
      <c r="C36" s="66" t="s">
        <v>2942</v>
      </c>
      <c r="D36" s="67">
        <v>3</v>
      </c>
      <c r="E36" s="68"/>
      <c r="F36" s="69">
        <v>40</v>
      </c>
      <c r="G36" s="66"/>
      <c r="H36" s="70"/>
      <c r="I36" s="71"/>
      <c r="J36" s="71"/>
      <c r="K36" s="35" t="s">
        <v>65</v>
      </c>
      <c r="L36" s="79">
        <v>36</v>
      </c>
      <c r="M36" s="79"/>
      <c r="N36" s="73"/>
      <c r="O36" s="81" t="s">
        <v>564</v>
      </c>
      <c r="P36" s="81" t="s">
        <v>566</v>
      </c>
      <c r="Q36" s="84" t="s">
        <v>599</v>
      </c>
      <c r="R36" s="81" t="s">
        <v>370</v>
      </c>
      <c r="S36" s="81" t="s">
        <v>883</v>
      </c>
      <c r="T36" s="86" t="str">
        <f>HYPERLINK("http://www.youtube.com/channel/UC8CPBnQ5vh85_8cwZ6gRFBQ")</f>
        <v>http://www.youtube.com/channel/UC8CPBnQ5vh85_8cwZ6gRFBQ</v>
      </c>
      <c r="U36" s="81" t="s">
        <v>1042</v>
      </c>
      <c r="V36" s="81" t="s">
        <v>1097</v>
      </c>
      <c r="W36" s="86" t="str">
        <f>HYPERLINK("https://www.youtube.com/watch?v=vp7VXgvVAPg")</f>
        <v>https://www.youtube.com/watch?v=vp7VXgvVAPg</v>
      </c>
      <c r="X36" s="81" t="s">
        <v>1183</v>
      </c>
      <c r="Y36" s="81">
        <v>0</v>
      </c>
      <c r="Z36" s="88">
        <v>41620.61599537037</v>
      </c>
      <c r="AA36" s="88">
        <v>41620.61599537037</v>
      </c>
      <c r="AB36" s="81"/>
      <c r="AC36" s="81"/>
      <c r="AD36" s="84" t="s">
        <v>1239</v>
      </c>
      <c r="AE36" s="82">
        <v>1</v>
      </c>
      <c r="AF36" s="83" t="str">
        <f>REPLACE(INDEX(GroupVertices[Group],MATCH(Edges[[#This Row],[Vertex 1]],GroupVertices[Vertex],0)),1,1,"")</f>
        <v>1</v>
      </c>
      <c r="AG36" s="83" t="str">
        <f>REPLACE(INDEX(GroupVertices[Group],MATCH(Edges[[#This Row],[Vertex 2]],GroupVertices[Vertex],0)),1,1,"")</f>
        <v>1</v>
      </c>
      <c r="AH36" s="111">
        <v>5</v>
      </c>
      <c r="AI36" s="112">
        <v>5.376344086021505</v>
      </c>
      <c r="AJ36" s="111">
        <v>0</v>
      </c>
      <c r="AK36" s="112">
        <v>0</v>
      </c>
      <c r="AL36" s="111">
        <v>0</v>
      </c>
      <c r="AM36" s="112">
        <v>0</v>
      </c>
      <c r="AN36" s="111">
        <v>88</v>
      </c>
      <c r="AO36" s="112">
        <v>94.6236559139785</v>
      </c>
      <c r="AP36" s="111">
        <v>93</v>
      </c>
    </row>
    <row r="37" spans="1:42" ht="15">
      <c r="A37" s="65" t="s">
        <v>369</v>
      </c>
      <c r="B37" s="65" t="s">
        <v>370</v>
      </c>
      <c r="C37" s="66" t="s">
        <v>2943</v>
      </c>
      <c r="D37" s="67">
        <v>4.4</v>
      </c>
      <c r="E37" s="68"/>
      <c r="F37" s="69">
        <v>35</v>
      </c>
      <c r="G37" s="66"/>
      <c r="H37" s="70"/>
      <c r="I37" s="71"/>
      <c r="J37" s="71"/>
      <c r="K37" s="35" t="s">
        <v>66</v>
      </c>
      <c r="L37" s="79">
        <v>37</v>
      </c>
      <c r="M37" s="79"/>
      <c r="N37" s="73"/>
      <c r="O37" s="81" t="s">
        <v>564</v>
      </c>
      <c r="P37" s="81" t="s">
        <v>566</v>
      </c>
      <c r="Q37" s="84" t="s">
        <v>600</v>
      </c>
      <c r="R37" s="81" t="s">
        <v>369</v>
      </c>
      <c r="S37" s="81" t="s">
        <v>882</v>
      </c>
      <c r="T37" s="86" t="str">
        <f>HYPERLINK("http://www.youtube.com/channel/UCerAw4EfTOnYYxLLPZAzMxQ")</f>
        <v>http://www.youtube.com/channel/UCerAw4EfTOnYYxLLPZAzMxQ</v>
      </c>
      <c r="U37" s="81" t="s">
        <v>1042</v>
      </c>
      <c r="V37" s="81" t="s">
        <v>1097</v>
      </c>
      <c r="W37" s="86" t="str">
        <f>HYPERLINK("https://www.youtube.com/watch?v=vp7VXgvVAPg")</f>
        <v>https://www.youtube.com/watch?v=vp7VXgvVAPg</v>
      </c>
      <c r="X37" s="81" t="s">
        <v>1183</v>
      </c>
      <c r="Y37" s="81">
        <v>0</v>
      </c>
      <c r="Z37" s="88">
        <v>41620.66725694444</v>
      </c>
      <c r="AA37" s="88">
        <v>41620.66725694444</v>
      </c>
      <c r="AB37" s="81"/>
      <c r="AC37" s="81"/>
      <c r="AD37" s="84" t="s">
        <v>1239</v>
      </c>
      <c r="AE37" s="82">
        <v>2</v>
      </c>
      <c r="AF37" s="83" t="str">
        <f>REPLACE(INDEX(GroupVertices[Group],MATCH(Edges[[#This Row],[Vertex 1]],GroupVertices[Vertex],0)),1,1,"")</f>
        <v>1</v>
      </c>
      <c r="AG37" s="83" t="str">
        <f>REPLACE(INDEX(GroupVertices[Group],MATCH(Edges[[#This Row],[Vertex 2]],GroupVertices[Vertex],0)),1,1,"")</f>
        <v>1</v>
      </c>
      <c r="AH37" s="111">
        <v>2</v>
      </c>
      <c r="AI37" s="112">
        <v>2.0618556701030926</v>
      </c>
      <c r="AJ37" s="111">
        <v>0</v>
      </c>
      <c r="AK37" s="112">
        <v>0</v>
      </c>
      <c r="AL37" s="111">
        <v>0</v>
      </c>
      <c r="AM37" s="112">
        <v>0</v>
      </c>
      <c r="AN37" s="111">
        <v>95</v>
      </c>
      <c r="AO37" s="112">
        <v>97.9381443298969</v>
      </c>
      <c r="AP37" s="111">
        <v>97</v>
      </c>
    </row>
    <row r="38" spans="1:42" ht="15">
      <c r="A38" s="65" t="s">
        <v>370</v>
      </c>
      <c r="B38" s="65" t="s">
        <v>369</v>
      </c>
      <c r="C38" s="66" t="s">
        <v>2942</v>
      </c>
      <c r="D38" s="67">
        <v>3</v>
      </c>
      <c r="E38" s="68"/>
      <c r="F38" s="69">
        <v>40</v>
      </c>
      <c r="G38" s="66"/>
      <c r="H38" s="70"/>
      <c r="I38" s="71"/>
      <c r="J38" s="71"/>
      <c r="K38" s="35" t="s">
        <v>66</v>
      </c>
      <c r="L38" s="79">
        <v>38</v>
      </c>
      <c r="M38" s="79"/>
      <c r="N38" s="73"/>
      <c r="O38" s="81" t="s">
        <v>563</v>
      </c>
      <c r="P38" s="81" t="s">
        <v>325</v>
      </c>
      <c r="Q38" s="84" t="s">
        <v>601</v>
      </c>
      <c r="R38" s="81" t="s">
        <v>370</v>
      </c>
      <c r="S38" s="81" t="s">
        <v>883</v>
      </c>
      <c r="T38" s="86" t="str">
        <f>HYPERLINK("http://www.youtube.com/channel/UC8CPBnQ5vh85_8cwZ6gRFBQ")</f>
        <v>http://www.youtube.com/channel/UC8CPBnQ5vh85_8cwZ6gRFBQ</v>
      </c>
      <c r="U38" s="81"/>
      <c r="V38" s="81" t="s">
        <v>1097</v>
      </c>
      <c r="W38" s="86" t="str">
        <f>HYPERLINK("https://www.youtube.com/watch?v=vp7VXgvVAPg")</f>
        <v>https://www.youtube.com/watch?v=vp7VXgvVAPg</v>
      </c>
      <c r="X38" s="81" t="s">
        <v>1183</v>
      </c>
      <c r="Y38" s="81">
        <v>0</v>
      </c>
      <c r="Z38" s="88">
        <v>41620.28258101852</v>
      </c>
      <c r="AA38" s="88">
        <v>41620.28258101852</v>
      </c>
      <c r="AB38" s="81"/>
      <c r="AC38" s="81"/>
      <c r="AD38" s="84" t="s">
        <v>1239</v>
      </c>
      <c r="AE38" s="82">
        <v>1</v>
      </c>
      <c r="AF38" s="83" t="str">
        <f>REPLACE(INDEX(GroupVertices[Group],MATCH(Edges[[#This Row],[Vertex 1]],GroupVertices[Vertex],0)),1,1,"")</f>
        <v>1</v>
      </c>
      <c r="AG38" s="83" t="str">
        <f>REPLACE(INDEX(GroupVertices[Group],MATCH(Edges[[#This Row],[Vertex 2]],GroupVertices[Vertex],0)),1,1,"")</f>
        <v>1</v>
      </c>
      <c r="AH38" s="111">
        <v>2</v>
      </c>
      <c r="AI38" s="112">
        <v>13.333333333333334</v>
      </c>
      <c r="AJ38" s="111">
        <v>0</v>
      </c>
      <c r="AK38" s="112">
        <v>0</v>
      </c>
      <c r="AL38" s="111">
        <v>0</v>
      </c>
      <c r="AM38" s="112">
        <v>0</v>
      </c>
      <c r="AN38" s="111">
        <v>13</v>
      </c>
      <c r="AO38" s="112">
        <v>86.66666666666667</v>
      </c>
      <c r="AP38" s="111">
        <v>15</v>
      </c>
    </row>
    <row r="39" spans="1:42" ht="15">
      <c r="A39" s="65" t="s">
        <v>371</v>
      </c>
      <c r="B39" s="65" t="s">
        <v>358</v>
      </c>
      <c r="C39" s="66" t="s">
        <v>2942</v>
      </c>
      <c r="D39" s="67">
        <v>3</v>
      </c>
      <c r="E39" s="68"/>
      <c r="F39" s="69">
        <v>40</v>
      </c>
      <c r="G39" s="66"/>
      <c r="H39" s="70"/>
      <c r="I39" s="71"/>
      <c r="J39" s="71"/>
      <c r="K39" s="35" t="s">
        <v>65</v>
      </c>
      <c r="L39" s="79">
        <v>39</v>
      </c>
      <c r="M39" s="79"/>
      <c r="N39" s="73"/>
      <c r="O39" s="81" t="s">
        <v>563</v>
      </c>
      <c r="P39" s="81" t="s">
        <v>325</v>
      </c>
      <c r="Q39" s="84" t="s">
        <v>602</v>
      </c>
      <c r="R39" s="81" t="s">
        <v>371</v>
      </c>
      <c r="S39" s="81" t="s">
        <v>884</v>
      </c>
      <c r="T39" s="86" t="str">
        <f>HYPERLINK("http://www.youtube.com/channel/UCqV3NeKeh8lNw8bLTheL24g")</f>
        <v>http://www.youtube.com/channel/UCqV3NeKeh8lNw8bLTheL24g</v>
      </c>
      <c r="U39" s="81"/>
      <c r="V39" s="81" t="s">
        <v>1096</v>
      </c>
      <c r="W39" s="86" t="str">
        <f>HYPERLINK("https://www.youtube.com/watch?v=39yXz72qdow")</f>
        <v>https://www.youtube.com/watch?v=39yXz72qdow</v>
      </c>
      <c r="X39" s="81" t="s">
        <v>1183</v>
      </c>
      <c r="Y39" s="81">
        <v>0</v>
      </c>
      <c r="Z39" s="88">
        <v>42613.513402777775</v>
      </c>
      <c r="AA39" s="88">
        <v>42613.513402777775</v>
      </c>
      <c r="AB39" s="81"/>
      <c r="AC39" s="81"/>
      <c r="AD39" s="84" t="s">
        <v>1239</v>
      </c>
      <c r="AE39" s="82">
        <v>1</v>
      </c>
      <c r="AF39" s="83" t="str">
        <f>REPLACE(INDEX(GroupVertices[Group],MATCH(Edges[[#This Row],[Vertex 1]],GroupVertices[Vertex],0)),1,1,"")</f>
        <v>9</v>
      </c>
      <c r="AG39" s="83" t="str">
        <f>REPLACE(INDEX(GroupVertices[Group],MATCH(Edges[[#This Row],[Vertex 2]],GroupVertices[Vertex],0)),1,1,"")</f>
        <v>9</v>
      </c>
      <c r="AH39" s="111">
        <v>2</v>
      </c>
      <c r="AI39" s="112">
        <v>3.7735849056603774</v>
      </c>
      <c r="AJ39" s="111">
        <v>0</v>
      </c>
      <c r="AK39" s="112">
        <v>0</v>
      </c>
      <c r="AL39" s="111">
        <v>0</v>
      </c>
      <c r="AM39" s="112">
        <v>0</v>
      </c>
      <c r="AN39" s="111">
        <v>51</v>
      </c>
      <c r="AO39" s="112">
        <v>96.22641509433963</v>
      </c>
      <c r="AP39" s="111">
        <v>53</v>
      </c>
    </row>
    <row r="40" spans="1:42" ht="15">
      <c r="A40" s="65" t="s">
        <v>371</v>
      </c>
      <c r="B40" s="65" t="s">
        <v>369</v>
      </c>
      <c r="C40" s="66" t="s">
        <v>2942</v>
      </c>
      <c r="D40" s="67">
        <v>3</v>
      </c>
      <c r="E40" s="68"/>
      <c r="F40" s="69">
        <v>40</v>
      </c>
      <c r="G40" s="66"/>
      <c r="H40" s="70"/>
      <c r="I40" s="71"/>
      <c r="J40" s="71"/>
      <c r="K40" s="35" t="s">
        <v>65</v>
      </c>
      <c r="L40" s="79">
        <v>40</v>
      </c>
      <c r="M40" s="79"/>
      <c r="N40" s="73"/>
      <c r="O40" s="81" t="s">
        <v>563</v>
      </c>
      <c r="P40" s="81" t="s">
        <v>325</v>
      </c>
      <c r="Q40" s="84" t="s">
        <v>603</v>
      </c>
      <c r="R40" s="81" t="s">
        <v>371</v>
      </c>
      <c r="S40" s="81" t="s">
        <v>884</v>
      </c>
      <c r="T40" s="86" t="str">
        <f>HYPERLINK("http://www.youtube.com/channel/UCqV3NeKeh8lNw8bLTheL24g")</f>
        <v>http://www.youtube.com/channel/UCqV3NeKeh8lNw8bLTheL24g</v>
      </c>
      <c r="U40" s="81"/>
      <c r="V40" s="81" t="s">
        <v>1097</v>
      </c>
      <c r="W40" s="86" t="str">
        <f>HYPERLINK("https://www.youtube.com/watch?v=vp7VXgvVAPg")</f>
        <v>https://www.youtube.com/watch?v=vp7VXgvVAPg</v>
      </c>
      <c r="X40" s="81" t="s">
        <v>1183</v>
      </c>
      <c r="Y40" s="81">
        <v>1</v>
      </c>
      <c r="Z40" s="88">
        <v>42613.514548611114</v>
      </c>
      <c r="AA40" s="88">
        <v>42613.514548611114</v>
      </c>
      <c r="AB40" s="81"/>
      <c r="AC40" s="81"/>
      <c r="AD40" s="84" t="s">
        <v>1239</v>
      </c>
      <c r="AE40" s="82">
        <v>1</v>
      </c>
      <c r="AF40" s="83" t="str">
        <f>REPLACE(INDEX(GroupVertices[Group],MATCH(Edges[[#This Row],[Vertex 1]],GroupVertices[Vertex],0)),1,1,"")</f>
        <v>9</v>
      </c>
      <c r="AG40" s="83" t="str">
        <f>REPLACE(INDEX(GroupVertices[Group],MATCH(Edges[[#This Row],[Vertex 2]],GroupVertices[Vertex],0)),1,1,"")</f>
        <v>1</v>
      </c>
      <c r="AH40" s="111">
        <v>2</v>
      </c>
      <c r="AI40" s="112">
        <v>3.6363636363636362</v>
      </c>
      <c r="AJ40" s="111">
        <v>0</v>
      </c>
      <c r="AK40" s="112">
        <v>0</v>
      </c>
      <c r="AL40" s="111">
        <v>0</v>
      </c>
      <c r="AM40" s="112">
        <v>0</v>
      </c>
      <c r="AN40" s="111">
        <v>53</v>
      </c>
      <c r="AO40" s="112">
        <v>96.36363636363636</v>
      </c>
      <c r="AP40" s="111">
        <v>55</v>
      </c>
    </row>
    <row r="41" spans="1:42" ht="15">
      <c r="A41" s="65" t="s">
        <v>369</v>
      </c>
      <c r="B41" s="65" t="s">
        <v>372</v>
      </c>
      <c r="C41" s="66" t="s">
        <v>2943</v>
      </c>
      <c r="D41" s="67">
        <v>4.4</v>
      </c>
      <c r="E41" s="68"/>
      <c r="F41" s="69">
        <v>35</v>
      </c>
      <c r="G41" s="66"/>
      <c r="H41" s="70"/>
      <c r="I41" s="71"/>
      <c r="J41" s="71"/>
      <c r="K41" s="35" t="s">
        <v>66</v>
      </c>
      <c r="L41" s="79">
        <v>41</v>
      </c>
      <c r="M41" s="79"/>
      <c r="N41" s="73"/>
      <c r="O41" s="81" t="s">
        <v>564</v>
      </c>
      <c r="P41" s="81" t="s">
        <v>566</v>
      </c>
      <c r="Q41" s="84" t="s">
        <v>604</v>
      </c>
      <c r="R41" s="81" t="s">
        <v>369</v>
      </c>
      <c r="S41" s="81" t="s">
        <v>882</v>
      </c>
      <c r="T41" s="86" t="str">
        <f>HYPERLINK("http://www.youtube.com/channel/UCerAw4EfTOnYYxLLPZAzMxQ")</f>
        <v>http://www.youtube.com/channel/UCerAw4EfTOnYYxLLPZAzMxQ</v>
      </c>
      <c r="U41" s="81" t="s">
        <v>1043</v>
      </c>
      <c r="V41" s="81" t="s">
        <v>1097</v>
      </c>
      <c r="W41" s="86" t="str">
        <f>HYPERLINK("https://www.youtube.com/watch?v=vp7VXgvVAPg")</f>
        <v>https://www.youtube.com/watch?v=vp7VXgvVAPg</v>
      </c>
      <c r="X41" s="81" t="s">
        <v>1183</v>
      </c>
      <c r="Y41" s="81">
        <v>0</v>
      </c>
      <c r="Z41" s="88">
        <v>43182.54949074074</v>
      </c>
      <c r="AA41" s="88">
        <v>43182.54949074074</v>
      </c>
      <c r="AB41" s="81"/>
      <c r="AC41" s="81"/>
      <c r="AD41" s="84" t="s">
        <v>1239</v>
      </c>
      <c r="AE41" s="82">
        <v>2</v>
      </c>
      <c r="AF41" s="83" t="str">
        <f>REPLACE(INDEX(GroupVertices[Group],MATCH(Edges[[#This Row],[Vertex 1]],GroupVertices[Vertex],0)),1,1,"")</f>
        <v>1</v>
      </c>
      <c r="AG41" s="83" t="str">
        <f>REPLACE(INDEX(GroupVertices[Group],MATCH(Edges[[#This Row],[Vertex 2]],GroupVertices[Vertex],0)),1,1,"")</f>
        <v>1</v>
      </c>
      <c r="AH41" s="111">
        <v>1</v>
      </c>
      <c r="AI41" s="112">
        <v>1.8181818181818181</v>
      </c>
      <c r="AJ41" s="111">
        <v>0</v>
      </c>
      <c r="AK41" s="112">
        <v>0</v>
      </c>
      <c r="AL41" s="111">
        <v>0</v>
      </c>
      <c r="AM41" s="112">
        <v>0</v>
      </c>
      <c r="AN41" s="111">
        <v>54</v>
      </c>
      <c r="AO41" s="112">
        <v>98.18181818181819</v>
      </c>
      <c r="AP41" s="111">
        <v>55</v>
      </c>
    </row>
    <row r="42" spans="1:42" ht="15">
      <c r="A42" s="65" t="s">
        <v>372</v>
      </c>
      <c r="B42" s="65" t="s">
        <v>372</v>
      </c>
      <c r="C42" s="66" t="s">
        <v>2943</v>
      </c>
      <c r="D42" s="67">
        <v>4.4</v>
      </c>
      <c r="E42" s="68"/>
      <c r="F42" s="69">
        <v>35</v>
      </c>
      <c r="G42" s="66"/>
      <c r="H42" s="70"/>
      <c r="I42" s="71"/>
      <c r="J42" s="71"/>
      <c r="K42" s="35" t="s">
        <v>65</v>
      </c>
      <c r="L42" s="79">
        <v>42</v>
      </c>
      <c r="M42" s="79"/>
      <c r="N42" s="73"/>
      <c r="O42" s="81" t="s">
        <v>564</v>
      </c>
      <c r="P42" s="81" t="s">
        <v>566</v>
      </c>
      <c r="Q42" s="84" t="s">
        <v>605</v>
      </c>
      <c r="R42" s="81" t="s">
        <v>372</v>
      </c>
      <c r="S42" s="81" t="s">
        <v>885</v>
      </c>
      <c r="T42" s="86" t="str">
        <f>HYPERLINK("http://www.youtube.com/channel/UCadohWhKjy8YKkiOeKLb_jA")</f>
        <v>http://www.youtube.com/channel/UCadohWhKjy8YKkiOeKLb_jA</v>
      </c>
      <c r="U42" s="81" t="s">
        <v>1043</v>
      </c>
      <c r="V42" s="81" t="s">
        <v>1097</v>
      </c>
      <c r="W42" s="86" t="str">
        <f>HYPERLINK("https://www.youtube.com/watch?v=vp7VXgvVAPg")</f>
        <v>https://www.youtube.com/watch?v=vp7VXgvVAPg</v>
      </c>
      <c r="X42" s="81" t="s">
        <v>1183</v>
      </c>
      <c r="Y42" s="81">
        <v>0</v>
      </c>
      <c r="Z42" s="88">
        <v>43182.7884837963</v>
      </c>
      <c r="AA42" s="88">
        <v>43182.7884837963</v>
      </c>
      <c r="AB42" s="81"/>
      <c r="AC42" s="81"/>
      <c r="AD42" s="84" t="s">
        <v>1239</v>
      </c>
      <c r="AE42" s="82">
        <v>2</v>
      </c>
      <c r="AF42" s="83" t="str">
        <f>REPLACE(INDEX(GroupVertices[Group],MATCH(Edges[[#This Row],[Vertex 1]],GroupVertices[Vertex],0)),1,1,"")</f>
        <v>1</v>
      </c>
      <c r="AG42" s="83" t="str">
        <f>REPLACE(INDEX(GroupVertices[Group],MATCH(Edges[[#This Row],[Vertex 2]],GroupVertices[Vertex],0)),1,1,"")</f>
        <v>1</v>
      </c>
      <c r="AH42" s="111">
        <v>1</v>
      </c>
      <c r="AI42" s="112">
        <v>1.0869565217391304</v>
      </c>
      <c r="AJ42" s="111">
        <v>1</v>
      </c>
      <c r="AK42" s="112">
        <v>1.0869565217391304</v>
      </c>
      <c r="AL42" s="111">
        <v>0</v>
      </c>
      <c r="AM42" s="112">
        <v>0</v>
      </c>
      <c r="AN42" s="111">
        <v>90</v>
      </c>
      <c r="AO42" s="112">
        <v>97.82608695652173</v>
      </c>
      <c r="AP42" s="111">
        <v>92</v>
      </c>
    </row>
    <row r="43" spans="1:42" ht="15">
      <c r="A43" s="65" t="s">
        <v>369</v>
      </c>
      <c r="B43" s="65" t="s">
        <v>372</v>
      </c>
      <c r="C43" s="66" t="s">
        <v>2943</v>
      </c>
      <c r="D43" s="67">
        <v>4.4</v>
      </c>
      <c r="E43" s="68"/>
      <c r="F43" s="69">
        <v>35</v>
      </c>
      <c r="G43" s="66"/>
      <c r="H43" s="70"/>
      <c r="I43" s="71"/>
      <c r="J43" s="71"/>
      <c r="K43" s="35" t="s">
        <v>66</v>
      </c>
      <c r="L43" s="79">
        <v>43</v>
      </c>
      <c r="M43" s="79"/>
      <c r="N43" s="73"/>
      <c r="O43" s="81" t="s">
        <v>564</v>
      </c>
      <c r="P43" s="81" t="s">
        <v>566</v>
      </c>
      <c r="Q43" s="84" t="s">
        <v>606</v>
      </c>
      <c r="R43" s="81" t="s">
        <v>369</v>
      </c>
      <c r="S43" s="81" t="s">
        <v>882</v>
      </c>
      <c r="T43" s="86" t="str">
        <f>HYPERLINK("http://www.youtube.com/channel/UCerAw4EfTOnYYxLLPZAzMxQ")</f>
        <v>http://www.youtube.com/channel/UCerAw4EfTOnYYxLLPZAzMxQ</v>
      </c>
      <c r="U43" s="81" t="s">
        <v>1043</v>
      </c>
      <c r="V43" s="81" t="s">
        <v>1097</v>
      </c>
      <c r="W43" s="86" t="str">
        <f>HYPERLINK("https://www.youtube.com/watch?v=vp7VXgvVAPg")</f>
        <v>https://www.youtube.com/watch?v=vp7VXgvVAPg</v>
      </c>
      <c r="X43" s="81" t="s">
        <v>1183</v>
      </c>
      <c r="Y43" s="81">
        <v>0</v>
      </c>
      <c r="Z43" s="88">
        <v>43185.01813657407</v>
      </c>
      <c r="AA43" s="88">
        <v>43185.01813657407</v>
      </c>
      <c r="AB43" s="81"/>
      <c r="AC43" s="81"/>
      <c r="AD43" s="84" t="s">
        <v>1239</v>
      </c>
      <c r="AE43" s="82">
        <v>2</v>
      </c>
      <c r="AF43" s="83" t="str">
        <f>REPLACE(INDEX(GroupVertices[Group],MATCH(Edges[[#This Row],[Vertex 1]],GroupVertices[Vertex],0)),1,1,"")</f>
        <v>1</v>
      </c>
      <c r="AG43" s="83" t="str">
        <f>REPLACE(INDEX(GroupVertices[Group],MATCH(Edges[[#This Row],[Vertex 2]],GroupVertices[Vertex],0)),1,1,"")</f>
        <v>1</v>
      </c>
      <c r="AH43" s="111">
        <v>1</v>
      </c>
      <c r="AI43" s="112">
        <v>3.8461538461538463</v>
      </c>
      <c r="AJ43" s="111">
        <v>1</v>
      </c>
      <c r="AK43" s="112">
        <v>3.8461538461538463</v>
      </c>
      <c r="AL43" s="111">
        <v>0</v>
      </c>
      <c r="AM43" s="112">
        <v>0</v>
      </c>
      <c r="AN43" s="111">
        <v>24</v>
      </c>
      <c r="AO43" s="112">
        <v>92.3076923076923</v>
      </c>
      <c r="AP43" s="111">
        <v>26</v>
      </c>
    </row>
    <row r="44" spans="1:42" ht="15">
      <c r="A44" s="65" t="s">
        <v>372</v>
      </c>
      <c r="B44" s="65" t="s">
        <v>372</v>
      </c>
      <c r="C44" s="66" t="s">
        <v>2943</v>
      </c>
      <c r="D44" s="67">
        <v>4.4</v>
      </c>
      <c r="E44" s="68"/>
      <c r="F44" s="69">
        <v>35</v>
      </c>
      <c r="G44" s="66"/>
      <c r="H44" s="70"/>
      <c r="I44" s="71"/>
      <c r="J44" s="71"/>
      <c r="K44" s="35" t="s">
        <v>65</v>
      </c>
      <c r="L44" s="79">
        <v>44</v>
      </c>
      <c r="M44" s="79"/>
      <c r="N44" s="73"/>
      <c r="O44" s="81" t="s">
        <v>564</v>
      </c>
      <c r="P44" s="81" t="s">
        <v>566</v>
      </c>
      <c r="Q44" s="84" t="s">
        <v>607</v>
      </c>
      <c r="R44" s="81" t="s">
        <v>372</v>
      </c>
      <c r="S44" s="81" t="s">
        <v>885</v>
      </c>
      <c r="T44" s="86" t="str">
        <f>HYPERLINK("http://www.youtube.com/channel/UCadohWhKjy8YKkiOeKLb_jA")</f>
        <v>http://www.youtube.com/channel/UCadohWhKjy8YKkiOeKLb_jA</v>
      </c>
      <c r="U44" s="81" t="s">
        <v>1043</v>
      </c>
      <c r="V44" s="81" t="s">
        <v>1097</v>
      </c>
      <c r="W44" s="86" t="str">
        <f>HYPERLINK("https://www.youtube.com/watch?v=vp7VXgvVAPg")</f>
        <v>https://www.youtube.com/watch?v=vp7VXgvVAPg</v>
      </c>
      <c r="X44" s="81" t="s">
        <v>1183</v>
      </c>
      <c r="Y44" s="81">
        <v>0</v>
      </c>
      <c r="Z44" s="88">
        <v>43186.86518518518</v>
      </c>
      <c r="AA44" s="88">
        <v>43186.86518518518</v>
      </c>
      <c r="AB44" s="81"/>
      <c r="AC44" s="81"/>
      <c r="AD44" s="84" t="s">
        <v>1239</v>
      </c>
      <c r="AE44" s="82">
        <v>2</v>
      </c>
      <c r="AF44" s="83" t="str">
        <f>REPLACE(INDEX(GroupVertices[Group],MATCH(Edges[[#This Row],[Vertex 1]],GroupVertices[Vertex],0)),1,1,"")</f>
        <v>1</v>
      </c>
      <c r="AG44" s="83" t="str">
        <f>REPLACE(INDEX(GroupVertices[Group],MATCH(Edges[[#This Row],[Vertex 2]],GroupVertices[Vertex],0)),1,1,"")</f>
        <v>1</v>
      </c>
      <c r="AH44" s="111">
        <v>0</v>
      </c>
      <c r="AI44" s="112">
        <v>0</v>
      </c>
      <c r="AJ44" s="111">
        <v>0</v>
      </c>
      <c r="AK44" s="112">
        <v>0</v>
      </c>
      <c r="AL44" s="111">
        <v>0</v>
      </c>
      <c r="AM44" s="112">
        <v>0</v>
      </c>
      <c r="AN44" s="111">
        <v>7</v>
      </c>
      <c r="AO44" s="112">
        <v>100</v>
      </c>
      <c r="AP44" s="111">
        <v>7</v>
      </c>
    </row>
    <row r="45" spans="1:42" ht="15">
      <c r="A45" s="65" t="s">
        <v>372</v>
      </c>
      <c r="B45" s="65" t="s">
        <v>369</v>
      </c>
      <c r="C45" s="66" t="s">
        <v>2942</v>
      </c>
      <c r="D45" s="67">
        <v>3</v>
      </c>
      <c r="E45" s="68"/>
      <c r="F45" s="69">
        <v>40</v>
      </c>
      <c r="G45" s="66"/>
      <c r="H45" s="70"/>
      <c r="I45" s="71"/>
      <c r="J45" s="71"/>
      <c r="K45" s="35" t="s">
        <v>66</v>
      </c>
      <c r="L45" s="79">
        <v>45</v>
      </c>
      <c r="M45" s="79"/>
      <c r="N45" s="73"/>
      <c r="O45" s="81" t="s">
        <v>563</v>
      </c>
      <c r="P45" s="81" t="s">
        <v>325</v>
      </c>
      <c r="Q45" s="84" t="s">
        <v>608</v>
      </c>
      <c r="R45" s="81" t="s">
        <v>372</v>
      </c>
      <c r="S45" s="81" t="s">
        <v>885</v>
      </c>
      <c r="T45" s="86" t="str">
        <f>HYPERLINK("http://www.youtube.com/channel/UCadohWhKjy8YKkiOeKLb_jA")</f>
        <v>http://www.youtube.com/channel/UCadohWhKjy8YKkiOeKLb_jA</v>
      </c>
      <c r="U45" s="81"/>
      <c r="V45" s="81" t="s">
        <v>1097</v>
      </c>
      <c r="W45" s="86" t="str">
        <f>HYPERLINK("https://www.youtube.com/watch?v=vp7VXgvVAPg")</f>
        <v>https://www.youtube.com/watch?v=vp7VXgvVAPg</v>
      </c>
      <c r="X45" s="81" t="s">
        <v>1183</v>
      </c>
      <c r="Y45" s="81">
        <v>0</v>
      </c>
      <c r="Z45" s="88">
        <v>43181.86540509259</v>
      </c>
      <c r="AA45" s="88">
        <v>43181.86540509259</v>
      </c>
      <c r="AB45" s="81"/>
      <c r="AC45" s="81"/>
      <c r="AD45" s="84" t="s">
        <v>1239</v>
      </c>
      <c r="AE45" s="82">
        <v>1</v>
      </c>
      <c r="AF45" s="83" t="str">
        <f>REPLACE(INDEX(GroupVertices[Group],MATCH(Edges[[#This Row],[Vertex 1]],GroupVertices[Vertex],0)),1,1,"")</f>
        <v>1</v>
      </c>
      <c r="AG45" s="83" t="str">
        <f>REPLACE(INDEX(GroupVertices[Group],MATCH(Edges[[#This Row],[Vertex 2]],GroupVertices[Vertex],0)),1,1,"")</f>
        <v>1</v>
      </c>
      <c r="AH45" s="111">
        <v>1</v>
      </c>
      <c r="AI45" s="112">
        <v>2.0408163265306123</v>
      </c>
      <c r="AJ45" s="111">
        <v>0</v>
      </c>
      <c r="AK45" s="112">
        <v>0</v>
      </c>
      <c r="AL45" s="111">
        <v>0</v>
      </c>
      <c r="AM45" s="112">
        <v>0</v>
      </c>
      <c r="AN45" s="111">
        <v>48</v>
      </c>
      <c r="AO45" s="112">
        <v>97.95918367346938</v>
      </c>
      <c r="AP45" s="111">
        <v>49</v>
      </c>
    </row>
    <row r="46" spans="1:42" ht="15">
      <c r="A46" s="65" t="s">
        <v>373</v>
      </c>
      <c r="B46" s="65" t="s">
        <v>536</v>
      </c>
      <c r="C46" s="66" t="s">
        <v>2942</v>
      </c>
      <c r="D46" s="67">
        <v>3</v>
      </c>
      <c r="E46" s="68"/>
      <c r="F46" s="69">
        <v>40</v>
      </c>
      <c r="G46" s="66"/>
      <c r="H46" s="70"/>
      <c r="I46" s="71"/>
      <c r="J46" s="71"/>
      <c r="K46" s="35" t="s">
        <v>65</v>
      </c>
      <c r="L46" s="79">
        <v>46</v>
      </c>
      <c r="M46" s="79"/>
      <c r="N46" s="73"/>
      <c r="O46" s="81" t="s">
        <v>563</v>
      </c>
      <c r="P46" s="81" t="s">
        <v>325</v>
      </c>
      <c r="Q46" s="84" t="s">
        <v>609</v>
      </c>
      <c r="R46" s="81" t="s">
        <v>373</v>
      </c>
      <c r="S46" s="81" t="s">
        <v>886</v>
      </c>
      <c r="T46" s="86" t="str">
        <f>HYPERLINK("http://www.youtube.com/channel/UCRplO5uLNC-QOf4ZxjI6OaA")</f>
        <v>http://www.youtube.com/channel/UCRplO5uLNC-QOf4ZxjI6OaA</v>
      </c>
      <c r="U46" s="81"/>
      <c r="V46" s="81" t="s">
        <v>1098</v>
      </c>
      <c r="W46" s="86" t="str">
        <f>HYPERLINK("https://www.youtube.com/watch?v=hVfI1U7uHR4")</f>
        <v>https://www.youtube.com/watch?v=hVfI1U7uHR4</v>
      </c>
      <c r="X46" s="81" t="s">
        <v>1183</v>
      </c>
      <c r="Y46" s="81">
        <v>0</v>
      </c>
      <c r="Z46" s="88">
        <v>43593.34545138889</v>
      </c>
      <c r="AA46" s="88">
        <v>43593.34545138889</v>
      </c>
      <c r="AB46" s="81"/>
      <c r="AC46" s="81"/>
      <c r="AD46" s="84" t="s">
        <v>1239</v>
      </c>
      <c r="AE46" s="82">
        <v>1</v>
      </c>
      <c r="AF46" s="83" t="str">
        <f>REPLACE(INDEX(GroupVertices[Group],MATCH(Edges[[#This Row],[Vertex 1]],GroupVertices[Vertex],0)),1,1,"")</f>
        <v>13</v>
      </c>
      <c r="AG46" s="83" t="str">
        <f>REPLACE(INDEX(GroupVertices[Group],MATCH(Edges[[#This Row],[Vertex 2]],GroupVertices[Vertex],0)),1,1,"")</f>
        <v>13</v>
      </c>
      <c r="AH46" s="111">
        <v>0</v>
      </c>
      <c r="AI46" s="112">
        <v>0</v>
      </c>
      <c r="AJ46" s="111">
        <v>0</v>
      </c>
      <c r="AK46" s="112">
        <v>0</v>
      </c>
      <c r="AL46" s="111">
        <v>0</v>
      </c>
      <c r="AM46" s="112">
        <v>0</v>
      </c>
      <c r="AN46" s="111">
        <v>7</v>
      </c>
      <c r="AO46" s="112">
        <v>100</v>
      </c>
      <c r="AP46" s="111">
        <v>7</v>
      </c>
    </row>
    <row r="47" spans="1:42" ht="15">
      <c r="A47" s="65" t="s">
        <v>374</v>
      </c>
      <c r="B47" s="65" t="s">
        <v>536</v>
      </c>
      <c r="C47" s="66" t="s">
        <v>2942</v>
      </c>
      <c r="D47" s="67">
        <v>3</v>
      </c>
      <c r="E47" s="68"/>
      <c r="F47" s="69">
        <v>40</v>
      </c>
      <c r="G47" s="66"/>
      <c r="H47" s="70"/>
      <c r="I47" s="71"/>
      <c r="J47" s="71"/>
      <c r="K47" s="35" t="s">
        <v>65</v>
      </c>
      <c r="L47" s="79">
        <v>47</v>
      </c>
      <c r="M47" s="79"/>
      <c r="N47" s="73"/>
      <c r="O47" s="81" t="s">
        <v>563</v>
      </c>
      <c r="P47" s="81" t="s">
        <v>325</v>
      </c>
      <c r="Q47" s="84" t="s">
        <v>610</v>
      </c>
      <c r="R47" s="81" t="s">
        <v>374</v>
      </c>
      <c r="S47" s="81" t="s">
        <v>887</v>
      </c>
      <c r="T47" s="86" t="str">
        <f>HYPERLINK("http://www.youtube.com/channel/UCRwYXX2La_JD4KoA6hZqIYw")</f>
        <v>http://www.youtube.com/channel/UCRwYXX2La_JD4KoA6hZqIYw</v>
      </c>
      <c r="U47" s="81"/>
      <c r="V47" s="81" t="s">
        <v>1098</v>
      </c>
      <c r="W47" s="86" t="str">
        <f>HYPERLINK("https://www.youtube.com/watch?v=hVfI1U7uHR4")</f>
        <v>https://www.youtube.com/watch?v=hVfI1U7uHR4</v>
      </c>
      <c r="X47" s="81" t="s">
        <v>1183</v>
      </c>
      <c r="Y47" s="81">
        <v>0</v>
      </c>
      <c r="Z47" s="88">
        <v>43759.2022337963</v>
      </c>
      <c r="AA47" s="88">
        <v>43759.2022337963</v>
      </c>
      <c r="AB47" s="81"/>
      <c r="AC47" s="81"/>
      <c r="AD47" s="84" t="s">
        <v>1239</v>
      </c>
      <c r="AE47" s="82">
        <v>1</v>
      </c>
      <c r="AF47" s="83" t="str">
        <f>REPLACE(INDEX(GroupVertices[Group],MATCH(Edges[[#This Row],[Vertex 1]],GroupVertices[Vertex],0)),1,1,"")</f>
        <v>13</v>
      </c>
      <c r="AG47" s="83" t="str">
        <f>REPLACE(INDEX(GroupVertices[Group],MATCH(Edges[[#This Row],[Vertex 2]],GroupVertices[Vertex],0)),1,1,"")</f>
        <v>13</v>
      </c>
      <c r="AH47" s="111">
        <v>0</v>
      </c>
      <c r="AI47" s="112">
        <v>0</v>
      </c>
      <c r="AJ47" s="111">
        <v>0</v>
      </c>
      <c r="AK47" s="112">
        <v>0</v>
      </c>
      <c r="AL47" s="111">
        <v>0</v>
      </c>
      <c r="AM47" s="112">
        <v>0</v>
      </c>
      <c r="AN47" s="111">
        <v>2</v>
      </c>
      <c r="AO47" s="112">
        <v>100</v>
      </c>
      <c r="AP47" s="111">
        <v>2</v>
      </c>
    </row>
    <row r="48" spans="1:42" ht="15">
      <c r="A48" s="65" t="s">
        <v>375</v>
      </c>
      <c r="B48" s="65" t="s">
        <v>536</v>
      </c>
      <c r="C48" s="66" t="s">
        <v>2942</v>
      </c>
      <c r="D48" s="67">
        <v>3</v>
      </c>
      <c r="E48" s="68"/>
      <c r="F48" s="69">
        <v>40</v>
      </c>
      <c r="G48" s="66"/>
      <c r="H48" s="70"/>
      <c r="I48" s="71"/>
      <c r="J48" s="71"/>
      <c r="K48" s="35" t="s">
        <v>65</v>
      </c>
      <c r="L48" s="79">
        <v>48</v>
      </c>
      <c r="M48" s="79"/>
      <c r="N48" s="73"/>
      <c r="O48" s="81" t="s">
        <v>563</v>
      </c>
      <c r="P48" s="81" t="s">
        <v>325</v>
      </c>
      <c r="Q48" s="84" t="s">
        <v>611</v>
      </c>
      <c r="R48" s="81" t="s">
        <v>375</v>
      </c>
      <c r="S48" s="81" t="s">
        <v>888</v>
      </c>
      <c r="T48" s="86" t="str">
        <f>HYPERLINK("http://www.youtube.com/channel/UCOosNpm4X6UrnhAUxCEKY8A")</f>
        <v>http://www.youtube.com/channel/UCOosNpm4X6UrnhAUxCEKY8A</v>
      </c>
      <c r="U48" s="81"/>
      <c r="V48" s="81" t="s">
        <v>1098</v>
      </c>
      <c r="W48" s="86" t="str">
        <f>HYPERLINK("https://www.youtube.com/watch?v=hVfI1U7uHR4")</f>
        <v>https://www.youtube.com/watch?v=hVfI1U7uHR4</v>
      </c>
      <c r="X48" s="81" t="s">
        <v>1183</v>
      </c>
      <c r="Y48" s="81">
        <v>1</v>
      </c>
      <c r="Z48" s="88">
        <v>44466.543287037035</v>
      </c>
      <c r="AA48" s="88">
        <v>44466.543287037035</v>
      </c>
      <c r="AB48" s="81"/>
      <c r="AC48" s="81"/>
      <c r="AD48" s="84" t="s">
        <v>1239</v>
      </c>
      <c r="AE48" s="82">
        <v>1</v>
      </c>
      <c r="AF48" s="83" t="str">
        <f>REPLACE(INDEX(GroupVertices[Group],MATCH(Edges[[#This Row],[Vertex 1]],GroupVertices[Vertex],0)),1,1,"")</f>
        <v>13</v>
      </c>
      <c r="AG48" s="83" t="str">
        <f>REPLACE(INDEX(GroupVertices[Group],MATCH(Edges[[#This Row],[Vertex 2]],GroupVertices[Vertex],0)),1,1,"")</f>
        <v>13</v>
      </c>
      <c r="AH48" s="111">
        <v>0</v>
      </c>
      <c r="AI48" s="112">
        <v>0</v>
      </c>
      <c r="AJ48" s="111">
        <v>0</v>
      </c>
      <c r="AK48" s="112">
        <v>0</v>
      </c>
      <c r="AL48" s="111">
        <v>0</v>
      </c>
      <c r="AM48" s="112">
        <v>0</v>
      </c>
      <c r="AN48" s="111">
        <v>9</v>
      </c>
      <c r="AO48" s="112">
        <v>100</v>
      </c>
      <c r="AP48" s="111">
        <v>9</v>
      </c>
    </row>
    <row r="49" spans="1:42" ht="15">
      <c r="A49" s="65" t="s">
        <v>376</v>
      </c>
      <c r="B49" s="65" t="s">
        <v>369</v>
      </c>
      <c r="C49" s="66" t="s">
        <v>2942</v>
      </c>
      <c r="D49" s="67">
        <v>3</v>
      </c>
      <c r="E49" s="68"/>
      <c r="F49" s="69">
        <v>40</v>
      </c>
      <c r="G49" s="66"/>
      <c r="H49" s="70"/>
      <c r="I49" s="71"/>
      <c r="J49" s="71"/>
      <c r="K49" s="35" t="s">
        <v>65</v>
      </c>
      <c r="L49" s="79">
        <v>49</v>
      </c>
      <c r="M49" s="79"/>
      <c r="N49" s="73"/>
      <c r="O49" s="81" t="s">
        <v>563</v>
      </c>
      <c r="P49" s="81" t="s">
        <v>325</v>
      </c>
      <c r="Q49" s="84" t="s">
        <v>612</v>
      </c>
      <c r="R49" s="81" t="s">
        <v>376</v>
      </c>
      <c r="S49" s="81" t="s">
        <v>889</v>
      </c>
      <c r="T49" s="86" t="str">
        <f>HYPERLINK("http://www.youtube.com/channel/UCLIhyce5kxvdas1PvQVkSkg")</f>
        <v>http://www.youtube.com/channel/UCLIhyce5kxvdas1PvQVkSkg</v>
      </c>
      <c r="U49" s="81"/>
      <c r="V49" s="81" t="s">
        <v>1099</v>
      </c>
      <c r="W49" s="86" t="str">
        <f>HYPERLINK("https://www.youtube.com/watch?v=bCENPBWjEaE")</f>
        <v>https://www.youtube.com/watch?v=bCENPBWjEaE</v>
      </c>
      <c r="X49" s="81" t="s">
        <v>1183</v>
      </c>
      <c r="Y49" s="81">
        <v>0</v>
      </c>
      <c r="Z49" s="88">
        <v>44311.663506944446</v>
      </c>
      <c r="AA49" s="88">
        <v>44311.663506944446</v>
      </c>
      <c r="AB49" s="81"/>
      <c r="AC49" s="81"/>
      <c r="AD49" s="84" t="s">
        <v>1239</v>
      </c>
      <c r="AE49" s="82">
        <v>1</v>
      </c>
      <c r="AF49" s="83" t="str">
        <f>REPLACE(INDEX(GroupVertices[Group],MATCH(Edges[[#This Row],[Vertex 1]],GroupVertices[Vertex],0)),1,1,"")</f>
        <v>1</v>
      </c>
      <c r="AG49" s="83" t="str">
        <f>REPLACE(INDEX(GroupVertices[Group],MATCH(Edges[[#This Row],[Vertex 2]],GroupVertices[Vertex],0)),1,1,"")</f>
        <v>1</v>
      </c>
      <c r="AH49" s="111">
        <v>3</v>
      </c>
      <c r="AI49" s="112">
        <v>4.054054054054054</v>
      </c>
      <c r="AJ49" s="111">
        <v>1</v>
      </c>
      <c r="AK49" s="112">
        <v>1.3513513513513513</v>
      </c>
      <c r="AL49" s="111">
        <v>0</v>
      </c>
      <c r="AM49" s="112">
        <v>0</v>
      </c>
      <c r="AN49" s="111">
        <v>70</v>
      </c>
      <c r="AO49" s="112">
        <v>94.5945945945946</v>
      </c>
      <c r="AP49" s="111">
        <v>74</v>
      </c>
    </row>
    <row r="50" spans="1:42" ht="15">
      <c r="A50" s="65" t="s">
        <v>377</v>
      </c>
      <c r="B50" s="65" t="s">
        <v>369</v>
      </c>
      <c r="C50" s="66" t="s">
        <v>2943</v>
      </c>
      <c r="D50" s="67">
        <v>4.4</v>
      </c>
      <c r="E50" s="68"/>
      <c r="F50" s="69">
        <v>35</v>
      </c>
      <c r="G50" s="66"/>
      <c r="H50" s="70"/>
      <c r="I50" s="71"/>
      <c r="J50" s="71"/>
      <c r="K50" s="35" t="s">
        <v>66</v>
      </c>
      <c r="L50" s="79">
        <v>50</v>
      </c>
      <c r="M50" s="79"/>
      <c r="N50" s="73"/>
      <c r="O50" s="81" t="s">
        <v>563</v>
      </c>
      <c r="P50" s="81" t="s">
        <v>325</v>
      </c>
      <c r="Q50" s="84" t="s">
        <v>613</v>
      </c>
      <c r="R50" s="81" t="s">
        <v>377</v>
      </c>
      <c r="S50" s="81" t="s">
        <v>890</v>
      </c>
      <c r="T50" s="86" t="str">
        <f>HYPERLINK("http://www.youtube.com/channel/UCOAzGG0Pm_MiO-SQ2Dc-Wdg")</f>
        <v>http://www.youtube.com/channel/UCOAzGG0Pm_MiO-SQ2Dc-Wdg</v>
      </c>
      <c r="U50" s="81"/>
      <c r="V50" s="81" t="s">
        <v>1099</v>
      </c>
      <c r="W50" s="86" t="str">
        <f>HYPERLINK("https://www.youtube.com/watch?v=bCENPBWjEaE")</f>
        <v>https://www.youtube.com/watch?v=bCENPBWjEaE</v>
      </c>
      <c r="X50" s="81" t="s">
        <v>1183</v>
      </c>
      <c r="Y50" s="81">
        <v>0</v>
      </c>
      <c r="Z50" s="88">
        <v>44322.91825231481</v>
      </c>
      <c r="AA50" s="88">
        <v>44322.91825231481</v>
      </c>
      <c r="AB50" s="81"/>
      <c r="AC50" s="81"/>
      <c r="AD50" s="84" t="s">
        <v>1239</v>
      </c>
      <c r="AE50" s="82">
        <v>2</v>
      </c>
      <c r="AF50" s="83" t="str">
        <f>REPLACE(INDEX(GroupVertices[Group],MATCH(Edges[[#This Row],[Vertex 1]],GroupVertices[Vertex],0)),1,1,"")</f>
        <v>1</v>
      </c>
      <c r="AG50" s="83" t="str">
        <f>REPLACE(INDEX(GroupVertices[Group],MATCH(Edges[[#This Row],[Vertex 2]],GroupVertices[Vertex],0)),1,1,"")</f>
        <v>1</v>
      </c>
      <c r="AH50" s="111">
        <v>1</v>
      </c>
      <c r="AI50" s="112">
        <v>3.5714285714285716</v>
      </c>
      <c r="AJ50" s="111">
        <v>0</v>
      </c>
      <c r="AK50" s="112">
        <v>0</v>
      </c>
      <c r="AL50" s="111">
        <v>0</v>
      </c>
      <c r="AM50" s="112">
        <v>0</v>
      </c>
      <c r="AN50" s="111">
        <v>27</v>
      </c>
      <c r="AO50" s="112">
        <v>96.42857142857143</v>
      </c>
      <c r="AP50" s="111">
        <v>28</v>
      </c>
    </row>
    <row r="51" spans="1:42" ht="15">
      <c r="A51" s="65" t="s">
        <v>369</v>
      </c>
      <c r="B51" s="65" t="s">
        <v>377</v>
      </c>
      <c r="C51" s="66" t="s">
        <v>2942</v>
      </c>
      <c r="D51" s="67">
        <v>3</v>
      </c>
      <c r="E51" s="68"/>
      <c r="F51" s="69">
        <v>40</v>
      </c>
      <c r="G51" s="66"/>
      <c r="H51" s="70"/>
      <c r="I51" s="71"/>
      <c r="J51" s="71"/>
      <c r="K51" s="35" t="s">
        <v>66</v>
      </c>
      <c r="L51" s="79">
        <v>51</v>
      </c>
      <c r="M51" s="79"/>
      <c r="N51" s="73"/>
      <c r="O51" s="81" t="s">
        <v>564</v>
      </c>
      <c r="P51" s="81" t="s">
        <v>566</v>
      </c>
      <c r="Q51" s="84" t="s">
        <v>614</v>
      </c>
      <c r="R51" s="81" t="s">
        <v>369</v>
      </c>
      <c r="S51" s="81" t="s">
        <v>882</v>
      </c>
      <c r="T51" s="86" t="str">
        <f>HYPERLINK("http://www.youtube.com/channel/UCerAw4EfTOnYYxLLPZAzMxQ")</f>
        <v>http://www.youtube.com/channel/UCerAw4EfTOnYYxLLPZAzMxQ</v>
      </c>
      <c r="U51" s="81" t="s">
        <v>1044</v>
      </c>
      <c r="V51" s="81" t="s">
        <v>1099</v>
      </c>
      <c r="W51" s="86" t="str">
        <f>HYPERLINK("https://www.youtube.com/watch?v=bCENPBWjEaE")</f>
        <v>https://www.youtube.com/watch?v=bCENPBWjEaE</v>
      </c>
      <c r="X51" s="81" t="s">
        <v>1183</v>
      </c>
      <c r="Y51" s="81">
        <v>0</v>
      </c>
      <c r="Z51" s="88">
        <v>44323.706400462965</v>
      </c>
      <c r="AA51" s="88">
        <v>44323.706400462965</v>
      </c>
      <c r="AB51" s="81" t="s">
        <v>1189</v>
      </c>
      <c r="AC51" s="81" t="s">
        <v>1223</v>
      </c>
      <c r="AD51" s="84" t="s">
        <v>1239</v>
      </c>
      <c r="AE51" s="82">
        <v>1</v>
      </c>
      <c r="AF51" s="83" t="str">
        <f>REPLACE(INDEX(GroupVertices[Group],MATCH(Edges[[#This Row],[Vertex 1]],GroupVertices[Vertex],0)),1,1,"")</f>
        <v>1</v>
      </c>
      <c r="AG51" s="83" t="str">
        <f>REPLACE(INDEX(GroupVertices[Group],MATCH(Edges[[#This Row],[Vertex 2]],GroupVertices[Vertex],0)),1,1,"")</f>
        <v>1</v>
      </c>
      <c r="AH51" s="111">
        <v>0</v>
      </c>
      <c r="AI51" s="112">
        <v>0</v>
      </c>
      <c r="AJ51" s="111">
        <v>0</v>
      </c>
      <c r="AK51" s="112">
        <v>0</v>
      </c>
      <c r="AL51" s="111">
        <v>0</v>
      </c>
      <c r="AM51" s="112">
        <v>0</v>
      </c>
      <c r="AN51" s="111">
        <v>23</v>
      </c>
      <c r="AO51" s="112">
        <v>100</v>
      </c>
      <c r="AP51" s="111">
        <v>23</v>
      </c>
    </row>
    <row r="52" spans="1:42" ht="15">
      <c r="A52" s="65" t="s">
        <v>377</v>
      </c>
      <c r="B52" s="65" t="s">
        <v>369</v>
      </c>
      <c r="C52" s="66" t="s">
        <v>2943</v>
      </c>
      <c r="D52" s="67">
        <v>4.4</v>
      </c>
      <c r="E52" s="68"/>
      <c r="F52" s="69">
        <v>35</v>
      </c>
      <c r="G52" s="66"/>
      <c r="H52" s="70"/>
      <c r="I52" s="71"/>
      <c r="J52" s="71"/>
      <c r="K52" s="35" t="s">
        <v>66</v>
      </c>
      <c r="L52" s="79">
        <v>52</v>
      </c>
      <c r="M52" s="79"/>
      <c r="N52" s="73"/>
      <c r="O52" s="81" t="s">
        <v>563</v>
      </c>
      <c r="P52" s="81" t="s">
        <v>325</v>
      </c>
      <c r="Q52" s="84" t="s">
        <v>613</v>
      </c>
      <c r="R52" s="81" t="s">
        <v>377</v>
      </c>
      <c r="S52" s="81" t="s">
        <v>890</v>
      </c>
      <c r="T52" s="86" t="str">
        <f>HYPERLINK("http://www.youtube.com/channel/UCOAzGG0Pm_MiO-SQ2Dc-Wdg")</f>
        <v>http://www.youtube.com/channel/UCOAzGG0Pm_MiO-SQ2Dc-Wdg</v>
      </c>
      <c r="U52" s="81"/>
      <c r="V52" s="81" t="s">
        <v>1099</v>
      </c>
      <c r="W52" s="86" t="str">
        <f>HYPERLINK("https://www.youtube.com/watch?v=bCENPBWjEaE")</f>
        <v>https://www.youtube.com/watch?v=bCENPBWjEaE</v>
      </c>
      <c r="X52" s="81" t="s">
        <v>1183</v>
      </c>
      <c r="Y52" s="81">
        <v>0</v>
      </c>
      <c r="Z52" s="88">
        <v>44322.91892361111</v>
      </c>
      <c r="AA52" s="88">
        <v>44322.91892361111</v>
      </c>
      <c r="AB52" s="81"/>
      <c r="AC52" s="81"/>
      <c r="AD52" s="84" t="s">
        <v>1239</v>
      </c>
      <c r="AE52" s="82">
        <v>2</v>
      </c>
      <c r="AF52" s="83" t="str">
        <f>REPLACE(INDEX(GroupVertices[Group],MATCH(Edges[[#This Row],[Vertex 1]],GroupVertices[Vertex],0)),1,1,"")</f>
        <v>1</v>
      </c>
      <c r="AG52" s="83" t="str">
        <f>REPLACE(INDEX(GroupVertices[Group],MATCH(Edges[[#This Row],[Vertex 2]],GroupVertices[Vertex],0)),1,1,"")</f>
        <v>1</v>
      </c>
      <c r="AH52" s="111">
        <v>1</v>
      </c>
      <c r="AI52" s="112">
        <v>3.5714285714285716</v>
      </c>
      <c r="AJ52" s="111">
        <v>0</v>
      </c>
      <c r="AK52" s="112">
        <v>0</v>
      </c>
      <c r="AL52" s="111">
        <v>0</v>
      </c>
      <c r="AM52" s="112">
        <v>0</v>
      </c>
      <c r="AN52" s="111">
        <v>27</v>
      </c>
      <c r="AO52" s="112">
        <v>96.42857142857143</v>
      </c>
      <c r="AP52" s="111">
        <v>28</v>
      </c>
    </row>
    <row r="53" spans="1:42" ht="15">
      <c r="A53" s="65" t="s">
        <v>378</v>
      </c>
      <c r="B53" s="65" t="s">
        <v>369</v>
      </c>
      <c r="C53" s="66" t="s">
        <v>2942</v>
      </c>
      <c r="D53" s="67">
        <v>3</v>
      </c>
      <c r="E53" s="68"/>
      <c r="F53" s="69">
        <v>40</v>
      </c>
      <c r="G53" s="66"/>
      <c r="H53" s="70"/>
      <c r="I53" s="71"/>
      <c r="J53" s="71"/>
      <c r="K53" s="35" t="s">
        <v>65</v>
      </c>
      <c r="L53" s="79">
        <v>53</v>
      </c>
      <c r="M53" s="79"/>
      <c r="N53" s="73"/>
      <c r="O53" s="81" t="s">
        <v>563</v>
      </c>
      <c r="P53" s="81" t="s">
        <v>325</v>
      </c>
      <c r="Q53" s="84" t="s">
        <v>615</v>
      </c>
      <c r="R53" s="81" t="s">
        <v>378</v>
      </c>
      <c r="S53" s="81" t="s">
        <v>891</v>
      </c>
      <c r="T53" s="86" t="str">
        <f>HYPERLINK("http://www.youtube.com/channel/UCuh2m_8m5pUxe9NMlGxQ1dQ")</f>
        <v>http://www.youtube.com/channel/UCuh2m_8m5pUxe9NMlGxQ1dQ</v>
      </c>
      <c r="U53" s="81"/>
      <c r="V53" s="81" t="s">
        <v>1099</v>
      </c>
      <c r="W53" s="86" t="str">
        <f>HYPERLINK("https://www.youtube.com/watch?v=bCENPBWjEaE")</f>
        <v>https://www.youtube.com/watch?v=bCENPBWjEaE</v>
      </c>
      <c r="X53" s="81" t="s">
        <v>1183</v>
      </c>
      <c r="Y53" s="81">
        <v>0</v>
      </c>
      <c r="Z53" s="88">
        <v>44347.91767361111</v>
      </c>
      <c r="AA53" s="88">
        <v>44347.91767361111</v>
      </c>
      <c r="AB53" s="81"/>
      <c r="AC53" s="81"/>
      <c r="AD53" s="84" t="s">
        <v>1239</v>
      </c>
      <c r="AE53" s="82">
        <v>1</v>
      </c>
      <c r="AF53" s="83" t="str">
        <f>REPLACE(INDEX(GroupVertices[Group],MATCH(Edges[[#This Row],[Vertex 1]],GroupVertices[Vertex],0)),1,1,"")</f>
        <v>1</v>
      </c>
      <c r="AG53" s="83" t="str">
        <f>REPLACE(INDEX(GroupVertices[Group],MATCH(Edges[[#This Row],[Vertex 2]],GroupVertices[Vertex],0)),1,1,"")</f>
        <v>1</v>
      </c>
      <c r="AH53" s="111">
        <v>2</v>
      </c>
      <c r="AI53" s="112">
        <v>16.666666666666668</v>
      </c>
      <c r="AJ53" s="111">
        <v>0</v>
      </c>
      <c r="AK53" s="112">
        <v>0</v>
      </c>
      <c r="AL53" s="111">
        <v>0</v>
      </c>
      <c r="AM53" s="112">
        <v>0</v>
      </c>
      <c r="AN53" s="111">
        <v>10</v>
      </c>
      <c r="AO53" s="112">
        <v>83.33333333333333</v>
      </c>
      <c r="AP53" s="111">
        <v>12</v>
      </c>
    </row>
    <row r="54" spans="1:42" ht="15">
      <c r="A54" s="65" t="s">
        <v>369</v>
      </c>
      <c r="B54" s="65" t="s">
        <v>379</v>
      </c>
      <c r="C54" s="66" t="s">
        <v>2942</v>
      </c>
      <c r="D54" s="67">
        <v>3</v>
      </c>
      <c r="E54" s="68"/>
      <c r="F54" s="69">
        <v>40</v>
      </c>
      <c r="G54" s="66"/>
      <c r="H54" s="70"/>
      <c r="I54" s="71"/>
      <c r="J54" s="71"/>
      <c r="K54" s="35" t="s">
        <v>66</v>
      </c>
      <c r="L54" s="79">
        <v>54</v>
      </c>
      <c r="M54" s="79"/>
      <c r="N54" s="73"/>
      <c r="O54" s="81" t="s">
        <v>564</v>
      </c>
      <c r="P54" s="81" t="s">
        <v>566</v>
      </c>
      <c r="Q54" s="84" t="s">
        <v>616</v>
      </c>
      <c r="R54" s="81" t="s">
        <v>369</v>
      </c>
      <c r="S54" s="81" t="s">
        <v>882</v>
      </c>
      <c r="T54" s="86" t="str">
        <f>HYPERLINK("http://www.youtube.com/channel/UCerAw4EfTOnYYxLLPZAzMxQ")</f>
        <v>http://www.youtube.com/channel/UCerAw4EfTOnYYxLLPZAzMxQ</v>
      </c>
      <c r="U54" s="81" t="s">
        <v>1045</v>
      </c>
      <c r="V54" s="81" t="s">
        <v>1099</v>
      </c>
      <c r="W54" s="86" t="str">
        <f>HYPERLINK("https://www.youtube.com/watch?v=bCENPBWjEaE")</f>
        <v>https://www.youtube.com/watch?v=bCENPBWjEaE</v>
      </c>
      <c r="X54" s="81" t="s">
        <v>1183</v>
      </c>
      <c r="Y54" s="81">
        <v>1</v>
      </c>
      <c r="Z54" s="88">
        <v>44522.57564814815</v>
      </c>
      <c r="AA54" s="88">
        <v>44522.57564814815</v>
      </c>
      <c r="AB54" s="81" t="s">
        <v>1190</v>
      </c>
      <c r="AC54" s="81" t="s">
        <v>1224</v>
      </c>
      <c r="AD54" s="84" t="s">
        <v>1239</v>
      </c>
      <c r="AE54" s="82">
        <v>1</v>
      </c>
      <c r="AF54" s="83" t="str">
        <f>REPLACE(INDEX(GroupVertices[Group],MATCH(Edges[[#This Row],[Vertex 1]],GroupVertices[Vertex],0)),1,1,"")</f>
        <v>1</v>
      </c>
      <c r="AG54" s="83" t="str">
        <f>REPLACE(INDEX(GroupVertices[Group],MATCH(Edges[[#This Row],[Vertex 2]],GroupVertices[Vertex],0)),1,1,"")</f>
        <v>1</v>
      </c>
      <c r="AH54" s="111">
        <v>4</v>
      </c>
      <c r="AI54" s="112">
        <v>3.053435114503817</v>
      </c>
      <c r="AJ54" s="111">
        <v>1</v>
      </c>
      <c r="AK54" s="112">
        <v>0.7633587786259542</v>
      </c>
      <c r="AL54" s="111">
        <v>0</v>
      </c>
      <c r="AM54" s="112">
        <v>0</v>
      </c>
      <c r="AN54" s="111">
        <v>126</v>
      </c>
      <c r="AO54" s="112">
        <v>96.18320610687023</v>
      </c>
      <c r="AP54" s="111">
        <v>131</v>
      </c>
    </row>
    <row r="55" spans="1:42" ht="15">
      <c r="A55" s="65" t="s">
        <v>379</v>
      </c>
      <c r="B55" s="65" t="s">
        <v>369</v>
      </c>
      <c r="C55" s="66" t="s">
        <v>2942</v>
      </c>
      <c r="D55" s="67">
        <v>3</v>
      </c>
      <c r="E55" s="68"/>
      <c r="F55" s="69">
        <v>40</v>
      </c>
      <c r="G55" s="66"/>
      <c r="H55" s="70"/>
      <c r="I55" s="71"/>
      <c r="J55" s="71"/>
      <c r="K55" s="35" t="s">
        <v>66</v>
      </c>
      <c r="L55" s="79">
        <v>55</v>
      </c>
      <c r="M55" s="79"/>
      <c r="N55" s="73"/>
      <c r="O55" s="81" t="s">
        <v>563</v>
      </c>
      <c r="P55" s="81" t="s">
        <v>325</v>
      </c>
      <c r="Q55" s="84" t="s">
        <v>617</v>
      </c>
      <c r="R55" s="81" t="s">
        <v>379</v>
      </c>
      <c r="S55" s="81" t="s">
        <v>892</v>
      </c>
      <c r="T55" s="86" t="str">
        <f>HYPERLINK("http://www.youtube.com/channel/UC9LLQRE_1OPkWUCda2b_kmg")</f>
        <v>http://www.youtube.com/channel/UC9LLQRE_1OPkWUCda2b_kmg</v>
      </c>
      <c r="U55" s="81"/>
      <c r="V55" s="81" t="s">
        <v>1099</v>
      </c>
      <c r="W55" s="86" t="str">
        <f>HYPERLINK("https://www.youtube.com/watch?v=bCENPBWjEaE")</f>
        <v>https://www.youtube.com/watch?v=bCENPBWjEaE</v>
      </c>
      <c r="X55" s="81" t="s">
        <v>1183</v>
      </c>
      <c r="Y55" s="81">
        <v>0</v>
      </c>
      <c r="Z55" s="88">
        <v>44521.056180555555</v>
      </c>
      <c r="AA55" s="88">
        <v>44521.056180555555</v>
      </c>
      <c r="AB55" s="81"/>
      <c r="AC55" s="81"/>
      <c r="AD55" s="84" t="s">
        <v>1239</v>
      </c>
      <c r="AE55" s="82">
        <v>1</v>
      </c>
      <c r="AF55" s="83" t="str">
        <f>REPLACE(INDEX(GroupVertices[Group],MATCH(Edges[[#This Row],[Vertex 1]],GroupVertices[Vertex],0)),1,1,"")</f>
        <v>1</v>
      </c>
      <c r="AG55" s="83" t="str">
        <f>REPLACE(INDEX(GroupVertices[Group],MATCH(Edges[[#This Row],[Vertex 2]],GroupVertices[Vertex],0)),1,1,"")</f>
        <v>1</v>
      </c>
      <c r="AH55" s="111">
        <v>1</v>
      </c>
      <c r="AI55" s="112">
        <v>1.3513513513513513</v>
      </c>
      <c r="AJ55" s="111">
        <v>8</v>
      </c>
      <c r="AK55" s="112">
        <v>10.81081081081081</v>
      </c>
      <c r="AL55" s="111">
        <v>0</v>
      </c>
      <c r="AM55" s="112">
        <v>0</v>
      </c>
      <c r="AN55" s="111">
        <v>65</v>
      </c>
      <c r="AO55" s="112">
        <v>87.83783783783784</v>
      </c>
      <c r="AP55" s="111">
        <v>74</v>
      </c>
    </row>
    <row r="56" spans="1:42" ht="15">
      <c r="A56" s="65" t="s">
        <v>380</v>
      </c>
      <c r="B56" s="65" t="s">
        <v>542</v>
      </c>
      <c r="C56" s="66" t="s">
        <v>2942</v>
      </c>
      <c r="D56" s="67">
        <v>3</v>
      </c>
      <c r="E56" s="68"/>
      <c r="F56" s="69">
        <v>40</v>
      </c>
      <c r="G56" s="66"/>
      <c r="H56" s="70"/>
      <c r="I56" s="71"/>
      <c r="J56" s="71"/>
      <c r="K56" s="35" t="s">
        <v>65</v>
      </c>
      <c r="L56" s="79">
        <v>56</v>
      </c>
      <c r="M56" s="79"/>
      <c r="N56" s="73"/>
      <c r="O56" s="81" t="s">
        <v>563</v>
      </c>
      <c r="P56" s="81" t="s">
        <v>325</v>
      </c>
      <c r="Q56" s="84" t="s">
        <v>618</v>
      </c>
      <c r="R56" s="81" t="s">
        <v>380</v>
      </c>
      <c r="S56" s="81" t="s">
        <v>893</v>
      </c>
      <c r="T56" s="86" t="str">
        <f>HYPERLINK("http://www.youtube.com/channel/UC2AjGU-bTVnwnKI40ucluew")</f>
        <v>http://www.youtube.com/channel/UC2AjGU-bTVnwnKI40ucluew</v>
      </c>
      <c r="U56" s="81"/>
      <c r="V56" s="81" t="s">
        <v>1100</v>
      </c>
      <c r="W56" s="86" t="str">
        <f>HYPERLINK("https://www.youtube.com/watch?v=x9IzmOWAlnA")</f>
        <v>https://www.youtube.com/watch?v=x9IzmOWAlnA</v>
      </c>
      <c r="X56" s="81" t="s">
        <v>1183</v>
      </c>
      <c r="Y56" s="81">
        <v>0</v>
      </c>
      <c r="Z56" s="88">
        <v>42796.66193287037</v>
      </c>
      <c r="AA56" s="88">
        <v>42796.66193287037</v>
      </c>
      <c r="AB56" s="81"/>
      <c r="AC56" s="81"/>
      <c r="AD56" s="84" t="s">
        <v>1239</v>
      </c>
      <c r="AE56" s="82">
        <v>1</v>
      </c>
      <c r="AF56" s="83" t="str">
        <f>REPLACE(INDEX(GroupVertices[Group],MATCH(Edges[[#This Row],[Vertex 1]],GroupVertices[Vertex],0)),1,1,"")</f>
        <v>21</v>
      </c>
      <c r="AG56" s="83" t="str">
        <f>REPLACE(INDEX(GroupVertices[Group],MATCH(Edges[[#This Row],[Vertex 2]],GroupVertices[Vertex],0)),1,1,"")</f>
        <v>21</v>
      </c>
      <c r="AH56" s="111">
        <v>0</v>
      </c>
      <c r="AI56" s="112">
        <v>0</v>
      </c>
      <c r="AJ56" s="111">
        <v>0</v>
      </c>
      <c r="AK56" s="112">
        <v>0</v>
      </c>
      <c r="AL56" s="111">
        <v>0</v>
      </c>
      <c r="AM56" s="112">
        <v>0</v>
      </c>
      <c r="AN56" s="111">
        <v>31</v>
      </c>
      <c r="AO56" s="112">
        <v>100</v>
      </c>
      <c r="AP56" s="111">
        <v>31</v>
      </c>
    </row>
    <row r="57" spans="1:42" ht="15">
      <c r="A57" s="65" t="s">
        <v>381</v>
      </c>
      <c r="B57" s="65" t="s">
        <v>382</v>
      </c>
      <c r="C57" s="66" t="s">
        <v>2942</v>
      </c>
      <c r="D57" s="67">
        <v>3</v>
      </c>
      <c r="E57" s="68"/>
      <c r="F57" s="69">
        <v>40</v>
      </c>
      <c r="G57" s="66"/>
      <c r="H57" s="70"/>
      <c r="I57" s="71"/>
      <c r="J57" s="71"/>
      <c r="K57" s="35" t="s">
        <v>65</v>
      </c>
      <c r="L57" s="79">
        <v>57</v>
      </c>
      <c r="M57" s="79"/>
      <c r="N57" s="73"/>
      <c r="O57" s="81" t="s">
        <v>564</v>
      </c>
      <c r="P57" s="81" t="s">
        <v>566</v>
      </c>
      <c r="Q57" s="84" t="s">
        <v>619</v>
      </c>
      <c r="R57" s="81" t="s">
        <v>381</v>
      </c>
      <c r="S57" s="81" t="s">
        <v>894</v>
      </c>
      <c r="T57" s="86" t="str">
        <f>HYPERLINK("http://www.youtube.com/channel/UCh5Vq5sKzfQftZkz3sqj8zQ")</f>
        <v>http://www.youtube.com/channel/UCh5Vq5sKzfQftZkz3sqj8zQ</v>
      </c>
      <c r="U57" s="81" t="s">
        <v>1046</v>
      </c>
      <c r="V57" s="81" t="s">
        <v>1101</v>
      </c>
      <c r="W57" s="86" t="str">
        <f>HYPERLINK("https://www.youtube.com/watch?v=WHociTCrX48")</f>
        <v>https://www.youtube.com/watch?v=WHociTCrX48</v>
      </c>
      <c r="X57" s="81" t="s">
        <v>1183</v>
      </c>
      <c r="Y57" s="81">
        <v>0</v>
      </c>
      <c r="Z57" s="88">
        <v>42784.878125</v>
      </c>
      <c r="AA57" s="88">
        <v>42784.878125</v>
      </c>
      <c r="AB57" s="81"/>
      <c r="AC57" s="81"/>
      <c r="AD57" s="84" t="s">
        <v>1239</v>
      </c>
      <c r="AE57" s="82">
        <v>1</v>
      </c>
      <c r="AF57" s="83" t="str">
        <f>REPLACE(INDEX(GroupVertices[Group],MATCH(Edges[[#This Row],[Vertex 1]],GroupVertices[Vertex],0)),1,1,"")</f>
        <v>8</v>
      </c>
      <c r="AG57" s="83" t="str">
        <f>REPLACE(INDEX(GroupVertices[Group],MATCH(Edges[[#This Row],[Vertex 2]],GroupVertices[Vertex],0)),1,1,"")</f>
        <v>8</v>
      </c>
      <c r="AH57" s="111">
        <v>0</v>
      </c>
      <c r="AI57" s="112">
        <v>0</v>
      </c>
      <c r="AJ57" s="111">
        <v>0</v>
      </c>
      <c r="AK57" s="112">
        <v>0</v>
      </c>
      <c r="AL57" s="111">
        <v>0</v>
      </c>
      <c r="AM57" s="112">
        <v>0</v>
      </c>
      <c r="AN57" s="111">
        <v>7</v>
      </c>
      <c r="AO57" s="112">
        <v>100</v>
      </c>
      <c r="AP57" s="111">
        <v>7</v>
      </c>
    </row>
    <row r="58" spans="1:42" ht="15">
      <c r="A58" s="65" t="s">
        <v>382</v>
      </c>
      <c r="B58" s="65" t="s">
        <v>543</v>
      </c>
      <c r="C58" s="66" t="s">
        <v>2942</v>
      </c>
      <c r="D58" s="67">
        <v>3</v>
      </c>
      <c r="E58" s="68"/>
      <c r="F58" s="69">
        <v>40</v>
      </c>
      <c r="G58" s="66"/>
      <c r="H58" s="70"/>
      <c r="I58" s="71"/>
      <c r="J58" s="71"/>
      <c r="K58" s="35" t="s">
        <v>65</v>
      </c>
      <c r="L58" s="79">
        <v>58</v>
      </c>
      <c r="M58" s="79"/>
      <c r="N58" s="73"/>
      <c r="O58" s="81" t="s">
        <v>563</v>
      </c>
      <c r="P58" s="81" t="s">
        <v>325</v>
      </c>
      <c r="Q58" s="84" t="s">
        <v>620</v>
      </c>
      <c r="R58" s="81" t="s">
        <v>382</v>
      </c>
      <c r="S58" s="81" t="s">
        <v>895</v>
      </c>
      <c r="T58" s="86" t="str">
        <f>HYPERLINK("http://www.youtube.com/channel/UCbtGUyX5iHwuOUqh6mKuEvw")</f>
        <v>http://www.youtube.com/channel/UCbtGUyX5iHwuOUqh6mKuEvw</v>
      </c>
      <c r="U58" s="81"/>
      <c r="V58" s="81" t="s">
        <v>1101</v>
      </c>
      <c r="W58" s="86" t="str">
        <f>HYPERLINK("https://www.youtube.com/watch?v=WHociTCrX48")</f>
        <v>https://www.youtube.com/watch?v=WHociTCrX48</v>
      </c>
      <c r="X58" s="81" t="s">
        <v>1183</v>
      </c>
      <c r="Y58" s="81">
        <v>1</v>
      </c>
      <c r="Z58" s="88">
        <v>41574.65736111111</v>
      </c>
      <c r="AA58" s="88">
        <v>41574.65736111111</v>
      </c>
      <c r="AB58" s="81"/>
      <c r="AC58" s="81"/>
      <c r="AD58" s="84" t="s">
        <v>1239</v>
      </c>
      <c r="AE58" s="82">
        <v>1</v>
      </c>
      <c r="AF58" s="83" t="str">
        <f>REPLACE(INDEX(GroupVertices[Group],MATCH(Edges[[#This Row],[Vertex 1]],GroupVertices[Vertex],0)),1,1,"")</f>
        <v>8</v>
      </c>
      <c r="AG58" s="83" t="str">
        <f>REPLACE(INDEX(GroupVertices[Group],MATCH(Edges[[#This Row],[Vertex 2]],GroupVertices[Vertex],0)),1,1,"")</f>
        <v>8</v>
      </c>
      <c r="AH58" s="111">
        <v>0</v>
      </c>
      <c r="AI58" s="112">
        <v>0</v>
      </c>
      <c r="AJ58" s="111">
        <v>0</v>
      </c>
      <c r="AK58" s="112">
        <v>0</v>
      </c>
      <c r="AL58" s="111">
        <v>0</v>
      </c>
      <c r="AM58" s="112">
        <v>0</v>
      </c>
      <c r="AN58" s="111">
        <v>6</v>
      </c>
      <c r="AO58" s="112">
        <v>100</v>
      </c>
      <c r="AP58" s="111">
        <v>6</v>
      </c>
    </row>
    <row r="59" spans="1:42" ht="15">
      <c r="A59" s="65" t="s">
        <v>381</v>
      </c>
      <c r="B59" s="65" t="s">
        <v>383</v>
      </c>
      <c r="C59" s="66" t="s">
        <v>2942</v>
      </c>
      <c r="D59" s="67">
        <v>3</v>
      </c>
      <c r="E59" s="68"/>
      <c r="F59" s="69">
        <v>40</v>
      </c>
      <c r="G59" s="66"/>
      <c r="H59" s="70"/>
      <c r="I59" s="71"/>
      <c r="J59" s="71"/>
      <c r="K59" s="35" t="s">
        <v>65</v>
      </c>
      <c r="L59" s="79">
        <v>59</v>
      </c>
      <c r="M59" s="79"/>
      <c r="N59" s="73"/>
      <c r="O59" s="81" t="s">
        <v>564</v>
      </c>
      <c r="P59" s="81" t="s">
        <v>566</v>
      </c>
      <c r="Q59" s="84" t="s">
        <v>619</v>
      </c>
      <c r="R59" s="81" t="s">
        <v>381</v>
      </c>
      <c r="S59" s="81" t="s">
        <v>894</v>
      </c>
      <c r="T59" s="86" t="str">
        <f>HYPERLINK("http://www.youtube.com/channel/UCh5Vq5sKzfQftZkz3sqj8zQ")</f>
        <v>http://www.youtube.com/channel/UCh5Vq5sKzfQftZkz3sqj8zQ</v>
      </c>
      <c r="U59" s="81" t="s">
        <v>1047</v>
      </c>
      <c r="V59" s="81" t="s">
        <v>1101</v>
      </c>
      <c r="W59" s="86" t="str">
        <f>HYPERLINK("https://www.youtube.com/watch?v=WHociTCrX48")</f>
        <v>https://www.youtube.com/watch?v=WHociTCrX48</v>
      </c>
      <c r="X59" s="81" t="s">
        <v>1183</v>
      </c>
      <c r="Y59" s="81">
        <v>0</v>
      </c>
      <c r="Z59" s="88">
        <v>42784.87805555556</v>
      </c>
      <c r="AA59" s="88">
        <v>42784.87805555556</v>
      </c>
      <c r="AB59" s="81"/>
      <c r="AC59" s="81"/>
      <c r="AD59" s="84" t="s">
        <v>1239</v>
      </c>
      <c r="AE59" s="82">
        <v>1</v>
      </c>
      <c r="AF59" s="83" t="str">
        <f>REPLACE(INDEX(GroupVertices[Group],MATCH(Edges[[#This Row],[Vertex 1]],GroupVertices[Vertex],0)),1,1,"")</f>
        <v>8</v>
      </c>
      <c r="AG59" s="83" t="str">
        <f>REPLACE(INDEX(GroupVertices[Group],MATCH(Edges[[#This Row],[Vertex 2]],GroupVertices[Vertex],0)),1,1,"")</f>
        <v>8</v>
      </c>
      <c r="AH59" s="111">
        <v>0</v>
      </c>
      <c r="AI59" s="112">
        <v>0</v>
      </c>
      <c r="AJ59" s="111">
        <v>0</v>
      </c>
      <c r="AK59" s="112">
        <v>0</v>
      </c>
      <c r="AL59" s="111">
        <v>0</v>
      </c>
      <c r="AM59" s="112">
        <v>0</v>
      </c>
      <c r="AN59" s="111">
        <v>7</v>
      </c>
      <c r="AO59" s="112">
        <v>100</v>
      </c>
      <c r="AP59" s="111">
        <v>7</v>
      </c>
    </row>
    <row r="60" spans="1:42" ht="15">
      <c r="A60" s="65" t="s">
        <v>383</v>
      </c>
      <c r="B60" s="65" t="s">
        <v>543</v>
      </c>
      <c r="C60" s="66" t="s">
        <v>2942</v>
      </c>
      <c r="D60" s="67">
        <v>3</v>
      </c>
      <c r="E60" s="68"/>
      <c r="F60" s="69">
        <v>40</v>
      </c>
      <c r="G60" s="66"/>
      <c r="H60" s="70"/>
      <c r="I60" s="71"/>
      <c r="J60" s="71"/>
      <c r="K60" s="35" t="s">
        <v>65</v>
      </c>
      <c r="L60" s="79">
        <v>60</v>
      </c>
      <c r="M60" s="79"/>
      <c r="N60" s="73"/>
      <c r="O60" s="81" t="s">
        <v>563</v>
      </c>
      <c r="P60" s="81" t="s">
        <v>325</v>
      </c>
      <c r="Q60" s="84" t="s">
        <v>621</v>
      </c>
      <c r="R60" s="81" t="s">
        <v>383</v>
      </c>
      <c r="S60" s="81" t="s">
        <v>896</v>
      </c>
      <c r="T60" s="86" t="str">
        <f>HYPERLINK("http://www.youtube.com/channel/UCz799FrP_bspgWNMBVRz5JQ")</f>
        <v>http://www.youtube.com/channel/UCz799FrP_bspgWNMBVRz5JQ</v>
      </c>
      <c r="U60" s="81"/>
      <c r="V60" s="81" t="s">
        <v>1101</v>
      </c>
      <c r="W60" s="86" t="str">
        <f>HYPERLINK("https://www.youtube.com/watch?v=WHociTCrX48")</f>
        <v>https://www.youtube.com/watch?v=WHociTCrX48</v>
      </c>
      <c r="X60" s="81" t="s">
        <v>1183</v>
      </c>
      <c r="Y60" s="81">
        <v>1</v>
      </c>
      <c r="Z60" s="88">
        <v>41872.21103009259</v>
      </c>
      <c r="AA60" s="88">
        <v>41872.21103009259</v>
      </c>
      <c r="AB60" s="81"/>
      <c r="AC60" s="81"/>
      <c r="AD60" s="84" t="s">
        <v>1239</v>
      </c>
      <c r="AE60" s="82">
        <v>1</v>
      </c>
      <c r="AF60" s="83" t="str">
        <f>REPLACE(INDEX(GroupVertices[Group],MATCH(Edges[[#This Row],[Vertex 1]],GroupVertices[Vertex],0)),1,1,"")</f>
        <v>8</v>
      </c>
      <c r="AG60" s="83" t="str">
        <f>REPLACE(INDEX(GroupVertices[Group],MATCH(Edges[[#This Row],[Vertex 2]],GroupVertices[Vertex],0)),1,1,"")</f>
        <v>8</v>
      </c>
      <c r="AH60" s="111">
        <v>0</v>
      </c>
      <c r="AI60" s="112">
        <v>0</v>
      </c>
      <c r="AJ60" s="111">
        <v>0</v>
      </c>
      <c r="AK60" s="112">
        <v>0</v>
      </c>
      <c r="AL60" s="111">
        <v>0</v>
      </c>
      <c r="AM60" s="112">
        <v>0</v>
      </c>
      <c r="AN60" s="111">
        <v>12</v>
      </c>
      <c r="AO60" s="112">
        <v>100</v>
      </c>
      <c r="AP60" s="111">
        <v>12</v>
      </c>
    </row>
    <row r="61" spans="1:42" ht="15">
      <c r="A61" s="65" t="s">
        <v>381</v>
      </c>
      <c r="B61" s="65" t="s">
        <v>384</v>
      </c>
      <c r="C61" s="66" t="s">
        <v>2942</v>
      </c>
      <c r="D61" s="67">
        <v>3</v>
      </c>
      <c r="E61" s="68"/>
      <c r="F61" s="69">
        <v>40</v>
      </c>
      <c r="G61" s="66"/>
      <c r="H61" s="70"/>
      <c r="I61" s="71"/>
      <c r="J61" s="71"/>
      <c r="K61" s="35" t="s">
        <v>65</v>
      </c>
      <c r="L61" s="79">
        <v>61</v>
      </c>
      <c r="M61" s="79"/>
      <c r="N61" s="73"/>
      <c r="O61" s="81" t="s">
        <v>564</v>
      </c>
      <c r="P61" s="81" t="s">
        <v>566</v>
      </c>
      <c r="Q61" s="84" t="s">
        <v>622</v>
      </c>
      <c r="R61" s="81" t="s">
        <v>381</v>
      </c>
      <c r="S61" s="81" t="s">
        <v>894</v>
      </c>
      <c r="T61" s="86" t="str">
        <f>HYPERLINK("http://www.youtube.com/channel/UCh5Vq5sKzfQftZkz3sqj8zQ")</f>
        <v>http://www.youtube.com/channel/UCh5Vq5sKzfQftZkz3sqj8zQ</v>
      </c>
      <c r="U61" s="81" t="s">
        <v>1048</v>
      </c>
      <c r="V61" s="81" t="s">
        <v>1101</v>
      </c>
      <c r="W61" s="86" t="str">
        <f>HYPERLINK("https://www.youtube.com/watch?v=WHociTCrX48")</f>
        <v>https://www.youtube.com/watch?v=WHociTCrX48</v>
      </c>
      <c r="X61" s="81" t="s">
        <v>1183</v>
      </c>
      <c r="Y61" s="81">
        <v>0</v>
      </c>
      <c r="Z61" s="88">
        <v>42784.87787037037</v>
      </c>
      <c r="AA61" s="88">
        <v>42784.87787037037</v>
      </c>
      <c r="AB61" s="81"/>
      <c r="AC61" s="81"/>
      <c r="AD61" s="84" t="s">
        <v>1239</v>
      </c>
      <c r="AE61" s="82">
        <v>1</v>
      </c>
      <c r="AF61" s="83" t="str">
        <f>REPLACE(INDEX(GroupVertices[Group],MATCH(Edges[[#This Row],[Vertex 1]],GroupVertices[Vertex],0)),1,1,"")</f>
        <v>8</v>
      </c>
      <c r="AG61" s="83" t="str">
        <f>REPLACE(INDEX(GroupVertices[Group],MATCH(Edges[[#This Row],[Vertex 2]],GroupVertices[Vertex],0)),1,1,"")</f>
        <v>8</v>
      </c>
      <c r="AH61" s="111">
        <v>0</v>
      </c>
      <c r="AI61" s="112">
        <v>0</v>
      </c>
      <c r="AJ61" s="111">
        <v>0</v>
      </c>
      <c r="AK61" s="112">
        <v>0</v>
      </c>
      <c r="AL61" s="111">
        <v>0</v>
      </c>
      <c r="AM61" s="112">
        <v>0</v>
      </c>
      <c r="AN61" s="111">
        <v>10</v>
      </c>
      <c r="AO61" s="112">
        <v>100</v>
      </c>
      <c r="AP61" s="111">
        <v>10</v>
      </c>
    </row>
    <row r="62" spans="1:42" ht="15">
      <c r="A62" s="65" t="s">
        <v>384</v>
      </c>
      <c r="B62" s="65" t="s">
        <v>543</v>
      </c>
      <c r="C62" s="66" t="s">
        <v>2942</v>
      </c>
      <c r="D62" s="67">
        <v>3</v>
      </c>
      <c r="E62" s="68"/>
      <c r="F62" s="69">
        <v>40</v>
      </c>
      <c r="G62" s="66"/>
      <c r="H62" s="70"/>
      <c r="I62" s="71"/>
      <c r="J62" s="71"/>
      <c r="K62" s="35" t="s">
        <v>65</v>
      </c>
      <c r="L62" s="79">
        <v>62</v>
      </c>
      <c r="M62" s="79"/>
      <c r="N62" s="73"/>
      <c r="O62" s="81" t="s">
        <v>563</v>
      </c>
      <c r="P62" s="81" t="s">
        <v>325</v>
      </c>
      <c r="Q62" s="84" t="s">
        <v>623</v>
      </c>
      <c r="R62" s="81" t="s">
        <v>384</v>
      </c>
      <c r="S62" s="81" t="s">
        <v>897</v>
      </c>
      <c r="T62" s="86" t="str">
        <f>HYPERLINK("http://www.youtube.com/channel/UC8VGjN2NAbDcGbnw8kcioqw")</f>
        <v>http://www.youtube.com/channel/UC8VGjN2NAbDcGbnw8kcioqw</v>
      </c>
      <c r="U62" s="81"/>
      <c r="V62" s="81" t="s">
        <v>1101</v>
      </c>
      <c r="W62" s="86" t="str">
        <f>HYPERLINK("https://www.youtube.com/watch?v=WHociTCrX48")</f>
        <v>https://www.youtube.com/watch?v=WHociTCrX48</v>
      </c>
      <c r="X62" s="81" t="s">
        <v>1183</v>
      </c>
      <c r="Y62" s="81">
        <v>1</v>
      </c>
      <c r="Z62" s="88">
        <v>42008.32332175926</v>
      </c>
      <c r="AA62" s="88">
        <v>42008.32332175926</v>
      </c>
      <c r="AB62" s="81"/>
      <c r="AC62" s="81"/>
      <c r="AD62" s="84" t="s">
        <v>1239</v>
      </c>
      <c r="AE62" s="82">
        <v>1</v>
      </c>
      <c r="AF62" s="83" t="str">
        <f>REPLACE(INDEX(GroupVertices[Group],MATCH(Edges[[#This Row],[Vertex 1]],GroupVertices[Vertex],0)),1,1,"")</f>
        <v>8</v>
      </c>
      <c r="AG62" s="83" t="str">
        <f>REPLACE(INDEX(GroupVertices[Group],MATCH(Edges[[#This Row],[Vertex 2]],GroupVertices[Vertex],0)),1,1,"")</f>
        <v>8</v>
      </c>
      <c r="AH62" s="111">
        <v>0</v>
      </c>
      <c r="AI62" s="112">
        <v>0</v>
      </c>
      <c r="AJ62" s="111">
        <v>0</v>
      </c>
      <c r="AK62" s="112">
        <v>0</v>
      </c>
      <c r="AL62" s="111">
        <v>0</v>
      </c>
      <c r="AM62" s="112">
        <v>0</v>
      </c>
      <c r="AN62" s="111">
        <v>30</v>
      </c>
      <c r="AO62" s="112">
        <v>100</v>
      </c>
      <c r="AP62" s="111">
        <v>30</v>
      </c>
    </row>
    <row r="63" spans="1:42" ht="15">
      <c r="A63" s="65" t="s">
        <v>385</v>
      </c>
      <c r="B63" s="65" t="s">
        <v>386</v>
      </c>
      <c r="C63" s="66" t="s">
        <v>2942</v>
      </c>
      <c r="D63" s="67">
        <v>3</v>
      </c>
      <c r="E63" s="68"/>
      <c r="F63" s="69">
        <v>40</v>
      </c>
      <c r="G63" s="66"/>
      <c r="H63" s="70"/>
      <c r="I63" s="71"/>
      <c r="J63" s="71"/>
      <c r="K63" s="35" t="s">
        <v>65</v>
      </c>
      <c r="L63" s="79">
        <v>63</v>
      </c>
      <c r="M63" s="79"/>
      <c r="N63" s="73"/>
      <c r="O63" s="81" t="s">
        <v>564</v>
      </c>
      <c r="P63" s="81" t="s">
        <v>566</v>
      </c>
      <c r="Q63" s="84" t="s">
        <v>624</v>
      </c>
      <c r="R63" s="81" t="s">
        <v>385</v>
      </c>
      <c r="S63" s="81" t="s">
        <v>898</v>
      </c>
      <c r="T63" s="86" t="str">
        <f>HYPERLINK("http://www.youtube.com/channel/UC3SVNW8fO0QB0VQgw-Cboeg")</f>
        <v>http://www.youtube.com/channel/UC3SVNW8fO0QB0VQgw-Cboeg</v>
      </c>
      <c r="U63" s="81" t="s">
        <v>1049</v>
      </c>
      <c r="V63" s="81" t="s">
        <v>1101</v>
      </c>
      <c r="W63" s="86" t="str">
        <f>HYPERLINK("https://www.youtube.com/watch?v=WHociTCrX48")</f>
        <v>https://www.youtube.com/watch?v=WHociTCrX48</v>
      </c>
      <c r="X63" s="81" t="s">
        <v>1183</v>
      </c>
      <c r="Y63" s="81">
        <v>1</v>
      </c>
      <c r="Z63" s="88">
        <v>42294.82548611111</v>
      </c>
      <c r="AA63" s="88">
        <v>42294.82548611111</v>
      </c>
      <c r="AB63" s="81"/>
      <c r="AC63" s="81"/>
      <c r="AD63" s="84" t="s">
        <v>1239</v>
      </c>
      <c r="AE63" s="82">
        <v>1</v>
      </c>
      <c r="AF63" s="83" t="str">
        <f>REPLACE(INDEX(GroupVertices[Group],MATCH(Edges[[#This Row],[Vertex 1]],GroupVertices[Vertex],0)),1,1,"")</f>
        <v>8</v>
      </c>
      <c r="AG63" s="83" t="str">
        <f>REPLACE(INDEX(GroupVertices[Group],MATCH(Edges[[#This Row],[Vertex 2]],GroupVertices[Vertex],0)),1,1,"")</f>
        <v>8</v>
      </c>
      <c r="AH63" s="111">
        <v>0</v>
      </c>
      <c r="AI63" s="112">
        <v>0</v>
      </c>
      <c r="AJ63" s="111">
        <v>0</v>
      </c>
      <c r="AK63" s="112">
        <v>0</v>
      </c>
      <c r="AL63" s="111">
        <v>0</v>
      </c>
      <c r="AM63" s="112">
        <v>0</v>
      </c>
      <c r="AN63" s="111">
        <v>24</v>
      </c>
      <c r="AO63" s="112">
        <v>100</v>
      </c>
      <c r="AP63" s="111">
        <v>24</v>
      </c>
    </row>
    <row r="64" spans="1:42" ht="15">
      <c r="A64" s="65" t="s">
        <v>381</v>
      </c>
      <c r="B64" s="65" t="s">
        <v>386</v>
      </c>
      <c r="C64" s="66" t="s">
        <v>2942</v>
      </c>
      <c r="D64" s="67">
        <v>3</v>
      </c>
      <c r="E64" s="68"/>
      <c r="F64" s="69">
        <v>40</v>
      </c>
      <c r="G64" s="66"/>
      <c r="H64" s="70"/>
      <c r="I64" s="71"/>
      <c r="J64" s="71"/>
      <c r="K64" s="35" t="s">
        <v>65</v>
      </c>
      <c r="L64" s="79">
        <v>64</v>
      </c>
      <c r="M64" s="79"/>
      <c r="N64" s="73"/>
      <c r="O64" s="81" t="s">
        <v>564</v>
      </c>
      <c r="P64" s="81" t="s">
        <v>566</v>
      </c>
      <c r="Q64" s="84" t="s">
        <v>625</v>
      </c>
      <c r="R64" s="81" t="s">
        <v>381</v>
      </c>
      <c r="S64" s="81" t="s">
        <v>894</v>
      </c>
      <c r="T64" s="86" t="str">
        <f>HYPERLINK("http://www.youtube.com/channel/UCh5Vq5sKzfQftZkz3sqj8zQ")</f>
        <v>http://www.youtube.com/channel/UCh5Vq5sKzfQftZkz3sqj8zQ</v>
      </c>
      <c r="U64" s="81" t="s">
        <v>1049</v>
      </c>
      <c r="V64" s="81" t="s">
        <v>1101</v>
      </c>
      <c r="W64" s="86" t="str">
        <f>HYPERLINK("https://www.youtube.com/watch?v=WHociTCrX48")</f>
        <v>https://www.youtube.com/watch?v=WHociTCrX48</v>
      </c>
      <c r="X64" s="81" t="s">
        <v>1183</v>
      </c>
      <c r="Y64" s="81">
        <v>0</v>
      </c>
      <c r="Z64" s="88">
        <v>42784.877650462964</v>
      </c>
      <c r="AA64" s="88">
        <v>42784.877650462964</v>
      </c>
      <c r="AB64" s="81" t="s">
        <v>1191</v>
      </c>
      <c r="AC64" s="81" t="s">
        <v>1225</v>
      </c>
      <c r="AD64" s="84" t="s">
        <v>1239</v>
      </c>
      <c r="AE64" s="82">
        <v>1</v>
      </c>
      <c r="AF64" s="83" t="str">
        <f>REPLACE(INDEX(GroupVertices[Group],MATCH(Edges[[#This Row],[Vertex 1]],GroupVertices[Vertex],0)),1,1,"")</f>
        <v>8</v>
      </c>
      <c r="AG64" s="83" t="str">
        <f>REPLACE(INDEX(GroupVertices[Group],MATCH(Edges[[#This Row],[Vertex 2]],GroupVertices[Vertex],0)),1,1,"")</f>
        <v>8</v>
      </c>
      <c r="AH64" s="111">
        <v>0</v>
      </c>
      <c r="AI64" s="112">
        <v>0</v>
      </c>
      <c r="AJ64" s="111">
        <v>0</v>
      </c>
      <c r="AK64" s="112">
        <v>0</v>
      </c>
      <c r="AL64" s="111">
        <v>0</v>
      </c>
      <c r="AM64" s="112">
        <v>0</v>
      </c>
      <c r="AN64" s="111">
        <v>31</v>
      </c>
      <c r="AO64" s="112">
        <v>100</v>
      </c>
      <c r="AP64" s="111">
        <v>31</v>
      </c>
    </row>
    <row r="65" spans="1:42" ht="15">
      <c r="A65" s="65" t="s">
        <v>386</v>
      </c>
      <c r="B65" s="65" t="s">
        <v>543</v>
      </c>
      <c r="C65" s="66" t="s">
        <v>2942</v>
      </c>
      <c r="D65" s="67">
        <v>3</v>
      </c>
      <c r="E65" s="68"/>
      <c r="F65" s="69">
        <v>40</v>
      </c>
      <c r="G65" s="66"/>
      <c r="H65" s="70"/>
      <c r="I65" s="71"/>
      <c r="J65" s="71"/>
      <c r="K65" s="35" t="s">
        <v>65</v>
      </c>
      <c r="L65" s="79">
        <v>65</v>
      </c>
      <c r="M65" s="79"/>
      <c r="N65" s="73"/>
      <c r="O65" s="81" t="s">
        <v>563</v>
      </c>
      <c r="P65" s="81" t="s">
        <v>325</v>
      </c>
      <c r="Q65" s="84" t="s">
        <v>626</v>
      </c>
      <c r="R65" s="81" t="s">
        <v>386</v>
      </c>
      <c r="S65" s="81" t="s">
        <v>899</v>
      </c>
      <c r="T65" s="86" t="str">
        <f>HYPERLINK("http://www.youtube.com/channel/UCB14GBHsqGQ0iUL121nwOKQ")</f>
        <v>http://www.youtube.com/channel/UCB14GBHsqGQ0iUL121nwOKQ</v>
      </c>
      <c r="U65" s="81"/>
      <c r="V65" s="81" t="s">
        <v>1101</v>
      </c>
      <c r="W65" s="86" t="str">
        <f>HYPERLINK("https://www.youtube.com/watch?v=WHociTCrX48")</f>
        <v>https://www.youtube.com/watch?v=WHociTCrX48</v>
      </c>
      <c r="X65" s="81" t="s">
        <v>1183</v>
      </c>
      <c r="Y65" s="81">
        <v>2</v>
      </c>
      <c r="Z65" s="88">
        <v>42102.74821759259</v>
      </c>
      <c r="AA65" s="88">
        <v>42102.74821759259</v>
      </c>
      <c r="AB65" s="81"/>
      <c r="AC65" s="81"/>
      <c r="AD65" s="84" t="s">
        <v>1239</v>
      </c>
      <c r="AE65" s="82">
        <v>1</v>
      </c>
      <c r="AF65" s="83" t="str">
        <f>REPLACE(INDEX(GroupVertices[Group],MATCH(Edges[[#This Row],[Vertex 1]],GroupVertices[Vertex],0)),1,1,"")</f>
        <v>8</v>
      </c>
      <c r="AG65" s="83" t="str">
        <f>REPLACE(INDEX(GroupVertices[Group],MATCH(Edges[[#This Row],[Vertex 2]],GroupVertices[Vertex],0)),1,1,"")</f>
        <v>8</v>
      </c>
      <c r="AH65" s="111">
        <v>0</v>
      </c>
      <c r="AI65" s="112">
        <v>0</v>
      </c>
      <c r="AJ65" s="111">
        <v>0</v>
      </c>
      <c r="AK65" s="112">
        <v>0</v>
      </c>
      <c r="AL65" s="111">
        <v>0</v>
      </c>
      <c r="AM65" s="112">
        <v>0</v>
      </c>
      <c r="AN65" s="111">
        <v>52</v>
      </c>
      <c r="AO65" s="112">
        <v>100</v>
      </c>
      <c r="AP65" s="111">
        <v>52</v>
      </c>
    </row>
    <row r="66" spans="1:42" ht="15">
      <c r="A66" s="65" t="s">
        <v>381</v>
      </c>
      <c r="B66" s="65" t="s">
        <v>387</v>
      </c>
      <c r="C66" s="66" t="s">
        <v>2942</v>
      </c>
      <c r="D66" s="67">
        <v>3</v>
      </c>
      <c r="E66" s="68"/>
      <c r="F66" s="69">
        <v>40</v>
      </c>
      <c r="G66" s="66"/>
      <c r="H66" s="70"/>
      <c r="I66" s="71"/>
      <c r="J66" s="71"/>
      <c r="K66" s="35" t="s">
        <v>65</v>
      </c>
      <c r="L66" s="79">
        <v>66</v>
      </c>
      <c r="M66" s="79"/>
      <c r="N66" s="73"/>
      <c r="O66" s="81" t="s">
        <v>564</v>
      </c>
      <c r="P66" s="81" t="s">
        <v>566</v>
      </c>
      <c r="Q66" s="84" t="s">
        <v>627</v>
      </c>
      <c r="R66" s="81" t="s">
        <v>381</v>
      </c>
      <c r="S66" s="81" t="s">
        <v>894</v>
      </c>
      <c r="T66" s="86" t="str">
        <f>HYPERLINK("http://www.youtube.com/channel/UCh5Vq5sKzfQftZkz3sqj8zQ")</f>
        <v>http://www.youtube.com/channel/UCh5Vq5sKzfQftZkz3sqj8zQ</v>
      </c>
      <c r="U66" s="81" t="s">
        <v>1050</v>
      </c>
      <c r="V66" s="81" t="s">
        <v>1101</v>
      </c>
      <c r="W66" s="86" t="str">
        <f>HYPERLINK("https://www.youtube.com/watch?v=WHociTCrX48")</f>
        <v>https://www.youtube.com/watch?v=WHociTCrX48</v>
      </c>
      <c r="X66" s="81" t="s">
        <v>1183</v>
      </c>
      <c r="Y66" s="81">
        <v>0</v>
      </c>
      <c r="Z66" s="88">
        <v>42784.877384259256</v>
      </c>
      <c r="AA66" s="88">
        <v>42784.877384259256</v>
      </c>
      <c r="AB66" s="81"/>
      <c r="AC66" s="81"/>
      <c r="AD66" s="84" t="s">
        <v>1239</v>
      </c>
      <c r="AE66" s="82">
        <v>1</v>
      </c>
      <c r="AF66" s="83" t="str">
        <f>REPLACE(INDEX(GroupVertices[Group],MATCH(Edges[[#This Row],[Vertex 1]],GroupVertices[Vertex],0)),1,1,"")</f>
        <v>8</v>
      </c>
      <c r="AG66" s="83" t="str">
        <f>REPLACE(INDEX(GroupVertices[Group],MATCH(Edges[[#This Row],[Vertex 2]],GroupVertices[Vertex],0)),1,1,"")</f>
        <v>8</v>
      </c>
      <c r="AH66" s="111">
        <v>1</v>
      </c>
      <c r="AI66" s="112">
        <v>3.7037037037037037</v>
      </c>
      <c r="AJ66" s="111">
        <v>0</v>
      </c>
      <c r="AK66" s="112">
        <v>0</v>
      </c>
      <c r="AL66" s="111">
        <v>0</v>
      </c>
      <c r="AM66" s="112">
        <v>0</v>
      </c>
      <c r="AN66" s="111">
        <v>26</v>
      </c>
      <c r="AO66" s="112">
        <v>96.29629629629629</v>
      </c>
      <c r="AP66" s="111">
        <v>27</v>
      </c>
    </row>
    <row r="67" spans="1:42" ht="15">
      <c r="A67" s="65" t="s">
        <v>387</v>
      </c>
      <c r="B67" s="65" t="s">
        <v>543</v>
      </c>
      <c r="C67" s="66" t="s">
        <v>2942</v>
      </c>
      <c r="D67" s="67">
        <v>3</v>
      </c>
      <c r="E67" s="68"/>
      <c r="F67" s="69">
        <v>40</v>
      </c>
      <c r="G67" s="66"/>
      <c r="H67" s="70"/>
      <c r="I67" s="71"/>
      <c r="J67" s="71"/>
      <c r="K67" s="35" t="s">
        <v>65</v>
      </c>
      <c r="L67" s="79">
        <v>67</v>
      </c>
      <c r="M67" s="79"/>
      <c r="N67" s="73"/>
      <c r="O67" s="81" t="s">
        <v>563</v>
      </c>
      <c r="P67" s="81" t="s">
        <v>325</v>
      </c>
      <c r="Q67" s="84" t="s">
        <v>628</v>
      </c>
      <c r="R67" s="81" t="s">
        <v>387</v>
      </c>
      <c r="S67" s="81" t="s">
        <v>900</v>
      </c>
      <c r="T67" s="86" t="str">
        <f>HYPERLINK("http://www.youtube.com/channel/UCXWqZlXgy_0lF0b_br8sk0A")</f>
        <v>http://www.youtube.com/channel/UCXWqZlXgy_0lF0b_br8sk0A</v>
      </c>
      <c r="U67" s="81"/>
      <c r="V67" s="81" t="s">
        <v>1101</v>
      </c>
      <c r="W67" s="86" t="str">
        <f>HYPERLINK("https://www.youtube.com/watch?v=WHociTCrX48")</f>
        <v>https://www.youtube.com/watch?v=WHociTCrX48</v>
      </c>
      <c r="X67" s="81" t="s">
        <v>1183</v>
      </c>
      <c r="Y67" s="81">
        <v>1</v>
      </c>
      <c r="Z67" s="88">
        <v>42754.813888888886</v>
      </c>
      <c r="AA67" s="88">
        <v>42754.813888888886</v>
      </c>
      <c r="AB67" s="81"/>
      <c r="AC67" s="81"/>
      <c r="AD67" s="84" t="s">
        <v>1239</v>
      </c>
      <c r="AE67" s="82">
        <v>1</v>
      </c>
      <c r="AF67" s="83" t="str">
        <f>REPLACE(INDEX(GroupVertices[Group],MATCH(Edges[[#This Row],[Vertex 1]],GroupVertices[Vertex],0)),1,1,"")</f>
        <v>8</v>
      </c>
      <c r="AG67" s="83" t="str">
        <f>REPLACE(INDEX(GroupVertices[Group],MATCH(Edges[[#This Row],[Vertex 2]],GroupVertices[Vertex],0)),1,1,"")</f>
        <v>8</v>
      </c>
      <c r="AH67" s="111">
        <v>0</v>
      </c>
      <c r="AI67" s="112">
        <v>0</v>
      </c>
      <c r="AJ67" s="111">
        <v>0</v>
      </c>
      <c r="AK67" s="112">
        <v>0</v>
      </c>
      <c r="AL67" s="111">
        <v>0</v>
      </c>
      <c r="AM67" s="112">
        <v>0</v>
      </c>
      <c r="AN67" s="111">
        <v>37</v>
      </c>
      <c r="AO67" s="112">
        <v>100</v>
      </c>
      <c r="AP67" s="111">
        <v>37</v>
      </c>
    </row>
    <row r="68" spans="1:42" ht="15">
      <c r="A68" s="65" t="s">
        <v>381</v>
      </c>
      <c r="B68" s="65" t="s">
        <v>543</v>
      </c>
      <c r="C68" s="66" t="s">
        <v>2942</v>
      </c>
      <c r="D68" s="67">
        <v>3</v>
      </c>
      <c r="E68" s="68"/>
      <c r="F68" s="69">
        <v>40</v>
      </c>
      <c r="G68" s="66"/>
      <c r="H68" s="70"/>
      <c r="I68" s="71"/>
      <c r="J68" s="71"/>
      <c r="K68" s="35" t="s">
        <v>65</v>
      </c>
      <c r="L68" s="79">
        <v>68</v>
      </c>
      <c r="M68" s="79"/>
      <c r="N68" s="73"/>
      <c r="O68" s="81" t="s">
        <v>563</v>
      </c>
      <c r="P68" s="81" t="s">
        <v>325</v>
      </c>
      <c r="Q68" s="84" t="s">
        <v>629</v>
      </c>
      <c r="R68" s="81" t="s">
        <v>381</v>
      </c>
      <c r="S68" s="81" t="s">
        <v>894</v>
      </c>
      <c r="T68" s="86" t="str">
        <f>HYPERLINK("http://www.youtube.com/channel/UCh5Vq5sKzfQftZkz3sqj8zQ")</f>
        <v>http://www.youtube.com/channel/UCh5Vq5sKzfQftZkz3sqj8zQ</v>
      </c>
      <c r="U68" s="81"/>
      <c r="V68" s="81" t="s">
        <v>1101</v>
      </c>
      <c r="W68" s="86" t="str">
        <f>HYPERLINK("https://www.youtube.com/watch?v=WHociTCrX48")</f>
        <v>https://www.youtube.com/watch?v=WHociTCrX48</v>
      </c>
      <c r="X68" s="81" t="s">
        <v>1183</v>
      </c>
      <c r="Y68" s="81">
        <v>1</v>
      </c>
      <c r="Z68" s="88">
        <v>41562.87017361111</v>
      </c>
      <c r="AA68" s="88">
        <v>41562.87017361111</v>
      </c>
      <c r="AB68" s="81"/>
      <c r="AC68" s="81"/>
      <c r="AD68" s="84" t="s">
        <v>1239</v>
      </c>
      <c r="AE68" s="82">
        <v>1</v>
      </c>
      <c r="AF68" s="83" t="str">
        <f>REPLACE(INDEX(GroupVertices[Group],MATCH(Edges[[#This Row],[Vertex 1]],GroupVertices[Vertex],0)),1,1,"")</f>
        <v>8</v>
      </c>
      <c r="AG68" s="83" t="str">
        <f>REPLACE(INDEX(GroupVertices[Group],MATCH(Edges[[#This Row],[Vertex 2]],GroupVertices[Vertex],0)),1,1,"")</f>
        <v>8</v>
      </c>
      <c r="AH68" s="111">
        <v>0</v>
      </c>
      <c r="AI68" s="112">
        <v>0</v>
      </c>
      <c r="AJ68" s="111">
        <v>0</v>
      </c>
      <c r="AK68" s="112">
        <v>0</v>
      </c>
      <c r="AL68" s="111">
        <v>0</v>
      </c>
      <c r="AM68" s="112">
        <v>0</v>
      </c>
      <c r="AN68" s="111">
        <v>14</v>
      </c>
      <c r="AO68" s="112">
        <v>100</v>
      </c>
      <c r="AP68" s="111">
        <v>14</v>
      </c>
    </row>
    <row r="69" spans="1:42" ht="15">
      <c r="A69" s="65" t="s">
        <v>381</v>
      </c>
      <c r="B69" s="65" t="s">
        <v>388</v>
      </c>
      <c r="C69" s="66" t="s">
        <v>2942</v>
      </c>
      <c r="D69" s="67">
        <v>3</v>
      </c>
      <c r="E69" s="68"/>
      <c r="F69" s="69">
        <v>40</v>
      </c>
      <c r="G69" s="66"/>
      <c r="H69" s="70"/>
      <c r="I69" s="71"/>
      <c r="J69" s="71"/>
      <c r="K69" s="35" t="s">
        <v>65</v>
      </c>
      <c r="L69" s="79">
        <v>69</v>
      </c>
      <c r="M69" s="79"/>
      <c r="N69" s="73"/>
      <c r="O69" s="81" t="s">
        <v>564</v>
      </c>
      <c r="P69" s="81" t="s">
        <v>566</v>
      </c>
      <c r="Q69" s="84" t="s">
        <v>630</v>
      </c>
      <c r="R69" s="81" t="s">
        <v>381</v>
      </c>
      <c r="S69" s="81" t="s">
        <v>894</v>
      </c>
      <c r="T69" s="86" t="str">
        <f>HYPERLINK("http://www.youtube.com/channel/UCh5Vq5sKzfQftZkz3sqj8zQ")</f>
        <v>http://www.youtube.com/channel/UCh5Vq5sKzfQftZkz3sqj8zQ</v>
      </c>
      <c r="U69" s="81" t="s">
        <v>1051</v>
      </c>
      <c r="V69" s="81" t="s">
        <v>1101</v>
      </c>
      <c r="W69" s="86" t="str">
        <f>HYPERLINK("https://www.youtube.com/watch?v=WHociTCrX48")</f>
        <v>https://www.youtube.com/watch?v=WHociTCrX48</v>
      </c>
      <c r="X69" s="81" t="s">
        <v>1183</v>
      </c>
      <c r="Y69" s="81">
        <v>0</v>
      </c>
      <c r="Z69" s="88">
        <v>42784.876863425925</v>
      </c>
      <c r="AA69" s="88">
        <v>42784.876863425925</v>
      </c>
      <c r="AB69" s="81"/>
      <c r="AC69" s="81"/>
      <c r="AD69" s="84" t="s">
        <v>1239</v>
      </c>
      <c r="AE69" s="82">
        <v>1</v>
      </c>
      <c r="AF69" s="83" t="str">
        <f>REPLACE(INDEX(GroupVertices[Group],MATCH(Edges[[#This Row],[Vertex 1]],GroupVertices[Vertex],0)),1,1,"")</f>
        <v>8</v>
      </c>
      <c r="AG69" s="83" t="str">
        <f>REPLACE(INDEX(GroupVertices[Group],MATCH(Edges[[#This Row],[Vertex 2]],GroupVertices[Vertex],0)),1,1,"")</f>
        <v>8</v>
      </c>
      <c r="AH69" s="111">
        <v>0</v>
      </c>
      <c r="AI69" s="112">
        <v>0</v>
      </c>
      <c r="AJ69" s="111">
        <v>0</v>
      </c>
      <c r="AK69" s="112">
        <v>0</v>
      </c>
      <c r="AL69" s="111">
        <v>0</v>
      </c>
      <c r="AM69" s="112">
        <v>0</v>
      </c>
      <c r="AN69" s="111">
        <v>30</v>
      </c>
      <c r="AO69" s="112">
        <v>100</v>
      </c>
      <c r="AP69" s="111">
        <v>30</v>
      </c>
    </row>
    <row r="70" spans="1:42" ht="15">
      <c r="A70" s="65" t="s">
        <v>388</v>
      </c>
      <c r="B70" s="65" t="s">
        <v>388</v>
      </c>
      <c r="C70" s="66" t="s">
        <v>2943</v>
      </c>
      <c r="D70" s="67">
        <v>4.4</v>
      </c>
      <c r="E70" s="68"/>
      <c r="F70" s="69">
        <v>35</v>
      </c>
      <c r="G70" s="66"/>
      <c r="H70" s="70"/>
      <c r="I70" s="71"/>
      <c r="J70" s="71"/>
      <c r="K70" s="35" t="s">
        <v>65</v>
      </c>
      <c r="L70" s="79">
        <v>70</v>
      </c>
      <c r="M70" s="79"/>
      <c r="N70" s="73"/>
      <c r="O70" s="81" t="s">
        <v>564</v>
      </c>
      <c r="P70" s="81" t="s">
        <v>566</v>
      </c>
      <c r="Q70" s="84" t="s">
        <v>631</v>
      </c>
      <c r="R70" s="81" t="s">
        <v>388</v>
      </c>
      <c r="S70" s="81" t="s">
        <v>901</v>
      </c>
      <c r="T70" s="86" t="str">
        <f>HYPERLINK("http://www.youtube.com/channel/UCG6UKWK21O1SGwcuG4SaH0A")</f>
        <v>http://www.youtube.com/channel/UCG6UKWK21O1SGwcuG4SaH0A</v>
      </c>
      <c r="U70" s="81" t="s">
        <v>1051</v>
      </c>
      <c r="V70" s="81" t="s">
        <v>1101</v>
      </c>
      <c r="W70" s="86" t="str">
        <f>HYPERLINK("https://www.youtube.com/watch?v=WHociTCrX48")</f>
        <v>https://www.youtube.com/watch?v=WHociTCrX48</v>
      </c>
      <c r="X70" s="81" t="s">
        <v>1183</v>
      </c>
      <c r="Y70" s="81">
        <v>0</v>
      </c>
      <c r="Z70" s="88">
        <v>42786.04975694444</v>
      </c>
      <c r="AA70" s="88">
        <v>42786.04975694444</v>
      </c>
      <c r="AB70" s="81"/>
      <c r="AC70" s="81"/>
      <c r="AD70" s="84" t="s">
        <v>1239</v>
      </c>
      <c r="AE70" s="82">
        <v>2</v>
      </c>
      <c r="AF70" s="83" t="str">
        <f>REPLACE(INDEX(GroupVertices[Group],MATCH(Edges[[#This Row],[Vertex 1]],GroupVertices[Vertex],0)),1,1,"")</f>
        <v>8</v>
      </c>
      <c r="AG70" s="83" t="str">
        <f>REPLACE(INDEX(GroupVertices[Group],MATCH(Edges[[#This Row],[Vertex 2]],GroupVertices[Vertex],0)),1,1,"")</f>
        <v>8</v>
      </c>
      <c r="AH70" s="111">
        <v>2</v>
      </c>
      <c r="AI70" s="112">
        <v>5</v>
      </c>
      <c r="AJ70" s="111">
        <v>0</v>
      </c>
      <c r="AK70" s="112">
        <v>0</v>
      </c>
      <c r="AL70" s="111">
        <v>0</v>
      </c>
      <c r="AM70" s="112">
        <v>0</v>
      </c>
      <c r="AN70" s="111">
        <v>38</v>
      </c>
      <c r="AO70" s="112">
        <v>95</v>
      </c>
      <c r="AP70" s="111">
        <v>40</v>
      </c>
    </row>
    <row r="71" spans="1:42" ht="15">
      <c r="A71" s="65" t="s">
        <v>388</v>
      </c>
      <c r="B71" s="65" t="s">
        <v>388</v>
      </c>
      <c r="C71" s="66" t="s">
        <v>2943</v>
      </c>
      <c r="D71" s="67">
        <v>4.4</v>
      </c>
      <c r="E71" s="68"/>
      <c r="F71" s="69">
        <v>35</v>
      </c>
      <c r="G71" s="66"/>
      <c r="H71" s="70"/>
      <c r="I71" s="71"/>
      <c r="J71" s="71"/>
      <c r="K71" s="35" t="s">
        <v>65</v>
      </c>
      <c r="L71" s="79">
        <v>71</v>
      </c>
      <c r="M71" s="79"/>
      <c r="N71" s="73"/>
      <c r="O71" s="81" t="s">
        <v>564</v>
      </c>
      <c r="P71" s="81" t="s">
        <v>566</v>
      </c>
      <c r="Q71" s="84" t="s">
        <v>632</v>
      </c>
      <c r="R71" s="81" t="s">
        <v>388</v>
      </c>
      <c r="S71" s="81" t="s">
        <v>901</v>
      </c>
      <c r="T71" s="86" t="str">
        <f>HYPERLINK("http://www.youtube.com/channel/UCG6UKWK21O1SGwcuG4SaH0A")</f>
        <v>http://www.youtube.com/channel/UCG6UKWK21O1SGwcuG4SaH0A</v>
      </c>
      <c r="U71" s="81" t="s">
        <v>1051</v>
      </c>
      <c r="V71" s="81" t="s">
        <v>1101</v>
      </c>
      <c r="W71" s="86" t="str">
        <f>HYPERLINK("https://www.youtube.com/watch?v=WHociTCrX48")</f>
        <v>https://www.youtube.com/watch?v=WHociTCrX48</v>
      </c>
      <c r="X71" s="81" t="s">
        <v>1183</v>
      </c>
      <c r="Y71" s="81">
        <v>0</v>
      </c>
      <c r="Z71" s="88">
        <v>42786.05118055556</v>
      </c>
      <c r="AA71" s="88">
        <v>42786.05118055556</v>
      </c>
      <c r="AB71" s="81"/>
      <c r="AC71" s="81"/>
      <c r="AD71" s="84" t="s">
        <v>1239</v>
      </c>
      <c r="AE71" s="82">
        <v>2</v>
      </c>
      <c r="AF71" s="83" t="str">
        <f>REPLACE(INDEX(GroupVertices[Group],MATCH(Edges[[#This Row],[Vertex 1]],GroupVertices[Vertex],0)),1,1,"")</f>
        <v>8</v>
      </c>
      <c r="AG71" s="83" t="str">
        <f>REPLACE(INDEX(GroupVertices[Group],MATCH(Edges[[#This Row],[Vertex 2]],GroupVertices[Vertex],0)),1,1,"")</f>
        <v>8</v>
      </c>
      <c r="AH71" s="111">
        <v>1</v>
      </c>
      <c r="AI71" s="112">
        <v>7.142857142857143</v>
      </c>
      <c r="AJ71" s="111">
        <v>0</v>
      </c>
      <c r="AK71" s="112">
        <v>0</v>
      </c>
      <c r="AL71" s="111">
        <v>0</v>
      </c>
      <c r="AM71" s="112">
        <v>0</v>
      </c>
      <c r="AN71" s="111">
        <v>13</v>
      </c>
      <c r="AO71" s="112">
        <v>92.85714285714286</v>
      </c>
      <c r="AP71" s="111">
        <v>14</v>
      </c>
    </row>
    <row r="72" spans="1:42" ht="15">
      <c r="A72" s="65" t="s">
        <v>388</v>
      </c>
      <c r="B72" s="65" t="s">
        <v>543</v>
      </c>
      <c r="C72" s="66" t="s">
        <v>2942</v>
      </c>
      <c r="D72" s="67">
        <v>3</v>
      </c>
      <c r="E72" s="68"/>
      <c r="F72" s="69">
        <v>40</v>
      </c>
      <c r="G72" s="66"/>
      <c r="H72" s="70"/>
      <c r="I72" s="71"/>
      <c r="J72" s="71"/>
      <c r="K72" s="35" t="s">
        <v>65</v>
      </c>
      <c r="L72" s="79">
        <v>72</v>
      </c>
      <c r="M72" s="79"/>
      <c r="N72" s="73"/>
      <c r="O72" s="81" t="s">
        <v>563</v>
      </c>
      <c r="P72" s="81" t="s">
        <v>325</v>
      </c>
      <c r="Q72" s="84" t="s">
        <v>633</v>
      </c>
      <c r="R72" s="81" t="s">
        <v>388</v>
      </c>
      <c r="S72" s="81" t="s">
        <v>901</v>
      </c>
      <c r="T72" s="86" t="str">
        <f>HYPERLINK("http://www.youtube.com/channel/UCG6UKWK21O1SGwcuG4SaH0A")</f>
        <v>http://www.youtube.com/channel/UCG6UKWK21O1SGwcuG4SaH0A</v>
      </c>
      <c r="U72" s="81"/>
      <c r="V72" s="81" t="s">
        <v>1101</v>
      </c>
      <c r="W72" s="86" t="str">
        <f>HYPERLINK("https://www.youtube.com/watch?v=WHociTCrX48")</f>
        <v>https://www.youtube.com/watch?v=WHociTCrX48</v>
      </c>
      <c r="X72" s="81" t="s">
        <v>1183</v>
      </c>
      <c r="Y72" s="81">
        <v>1</v>
      </c>
      <c r="Z72" s="88">
        <v>42778.94033564815</v>
      </c>
      <c r="AA72" s="88">
        <v>42778.94033564815</v>
      </c>
      <c r="AB72" s="81"/>
      <c r="AC72" s="81"/>
      <c r="AD72" s="84" t="s">
        <v>1239</v>
      </c>
      <c r="AE72" s="82">
        <v>1</v>
      </c>
      <c r="AF72" s="83" t="str">
        <f>REPLACE(INDEX(GroupVertices[Group],MATCH(Edges[[#This Row],[Vertex 1]],GroupVertices[Vertex],0)),1,1,"")</f>
        <v>8</v>
      </c>
      <c r="AG72" s="83" t="str">
        <f>REPLACE(INDEX(GroupVertices[Group],MATCH(Edges[[#This Row],[Vertex 2]],GroupVertices[Vertex],0)),1,1,"")</f>
        <v>8</v>
      </c>
      <c r="AH72" s="111">
        <v>0</v>
      </c>
      <c r="AI72" s="112">
        <v>0</v>
      </c>
      <c r="AJ72" s="111">
        <v>0</v>
      </c>
      <c r="AK72" s="112">
        <v>0</v>
      </c>
      <c r="AL72" s="111">
        <v>0</v>
      </c>
      <c r="AM72" s="112">
        <v>0</v>
      </c>
      <c r="AN72" s="111">
        <v>32</v>
      </c>
      <c r="AO72" s="112">
        <v>100</v>
      </c>
      <c r="AP72" s="111">
        <v>32</v>
      </c>
    </row>
    <row r="73" spans="1:42" ht="15">
      <c r="A73" s="65" t="s">
        <v>389</v>
      </c>
      <c r="B73" s="65" t="s">
        <v>543</v>
      </c>
      <c r="C73" s="66" t="s">
        <v>2942</v>
      </c>
      <c r="D73" s="67">
        <v>3</v>
      </c>
      <c r="E73" s="68"/>
      <c r="F73" s="69">
        <v>40</v>
      </c>
      <c r="G73" s="66"/>
      <c r="H73" s="70"/>
      <c r="I73" s="71"/>
      <c r="J73" s="71"/>
      <c r="K73" s="35" t="s">
        <v>65</v>
      </c>
      <c r="L73" s="79">
        <v>73</v>
      </c>
      <c r="M73" s="79"/>
      <c r="N73" s="73"/>
      <c r="O73" s="81" t="s">
        <v>563</v>
      </c>
      <c r="P73" s="81" t="s">
        <v>325</v>
      </c>
      <c r="Q73" s="84" t="s">
        <v>634</v>
      </c>
      <c r="R73" s="81" t="s">
        <v>389</v>
      </c>
      <c r="S73" s="81" t="s">
        <v>902</v>
      </c>
      <c r="T73" s="86" t="str">
        <f>HYPERLINK("http://www.youtube.com/channel/UCfgG-ovLKqB8k2KnSbx32Lw")</f>
        <v>http://www.youtube.com/channel/UCfgG-ovLKqB8k2KnSbx32Lw</v>
      </c>
      <c r="U73" s="81"/>
      <c r="V73" s="81" t="s">
        <v>1101</v>
      </c>
      <c r="W73" s="86" t="str">
        <f>HYPERLINK("https://www.youtube.com/watch?v=WHociTCrX48")</f>
        <v>https://www.youtube.com/watch?v=WHociTCrX48</v>
      </c>
      <c r="X73" s="81" t="s">
        <v>1183</v>
      </c>
      <c r="Y73" s="81">
        <v>1</v>
      </c>
      <c r="Z73" s="88">
        <v>43433.67141203704</v>
      </c>
      <c r="AA73" s="88">
        <v>43433.67141203704</v>
      </c>
      <c r="AB73" s="81"/>
      <c r="AC73" s="81"/>
      <c r="AD73" s="84" t="s">
        <v>1239</v>
      </c>
      <c r="AE73" s="82">
        <v>1</v>
      </c>
      <c r="AF73" s="83" t="str">
        <f>REPLACE(INDEX(GroupVertices[Group],MATCH(Edges[[#This Row],[Vertex 1]],GroupVertices[Vertex],0)),1,1,"")</f>
        <v>8</v>
      </c>
      <c r="AG73" s="83" t="str">
        <f>REPLACE(INDEX(GroupVertices[Group],MATCH(Edges[[#This Row],[Vertex 2]],GroupVertices[Vertex],0)),1,1,"")</f>
        <v>8</v>
      </c>
      <c r="AH73" s="111">
        <v>0</v>
      </c>
      <c r="AI73" s="112">
        <v>0</v>
      </c>
      <c r="AJ73" s="111">
        <v>0</v>
      </c>
      <c r="AK73" s="112">
        <v>0</v>
      </c>
      <c r="AL73" s="111">
        <v>0</v>
      </c>
      <c r="AM73" s="112">
        <v>0</v>
      </c>
      <c r="AN73" s="111">
        <v>2</v>
      </c>
      <c r="AO73" s="112">
        <v>100</v>
      </c>
      <c r="AP73" s="111">
        <v>2</v>
      </c>
    </row>
    <row r="74" spans="1:42" ht="15">
      <c r="A74" s="65" t="s">
        <v>390</v>
      </c>
      <c r="B74" s="65" t="s">
        <v>544</v>
      </c>
      <c r="C74" s="66" t="s">
        <v>2942</v>
      </c>
      <c r="D74" s="67">
        <v>3</v>
      </c>
      <c r="E74" s="68"/>
      <c r="F74" s="69">
        <v>40</v>
      </c>
      <c r="G74" s="66"/>
      <c r="H74" s="70"/>
      <c r="I74" s="71"/>
      <c r="J74" s="71"/>
      <c r="K74" s="35" t="s">
        <v>65</v>
      </c>
      <c r="L74" s="79">
        <v>74</v>
      </c>
      <c r="M74" s="79"/>
      <c r="N74" s="73"/>
      <c r="O74" s="81" t="s">
        <v>563</v>
      </c>
      <c r="P74" s="81" t="s">
        <v>325</v>
      </c>
      <c r="Q74" s="84" t="s">
        <v>635</v>
      </c>
      <c r="R74" s="81" t="s">
        <v>390</v>
      </c>
      <c r="S74" s="81" t="s">
        <v>903</v>
      </c>
      <c r="T74" s="86" t="str">
        <f>HYPERLINK("http://www.youtube.com/channel/UCqocO9ovci3JuSvsYKR36HA")</f>
        <v>http://www.youtube.com/channel/UCqocO9ovci3JuSvsYKR36HA</v>
      </c>
      <c r="U74" s="81"/>
      <c r="V74" s="81" t="s">
        <v>1102</v>
      </c>
      <c r="W74" s="86" t="str">
        <f>HYPERLINK("https://www.youtube.com/watch?v=aJuHtKjYySE")</f>
        <v>https://www.youtube.com/watch?v=aJuHtKjYySE</v>
      </c>
      <c r="X74" s="81" t="s">
        <v>1183</v>
      </c>
      <c r="Y74" s="81">
        <v>0</v>
      </c>
      <c r="Z74" s="88">
        <v>44694.41023148148</v>
      </c>
      <c r="AA74" s="88">
        <v>44694.41023148148</v>
      </c>
      <c r="AB74" s="81"/>
      <c r="AC74" s="81"/>
      <c r="AD74" s="84" t="s">
        <v>1239</v>
      </c>
      <c r="AE74" s="82">
        <v>1</v>
      </c>
      <c r="AF74" s="83" t="str">
        <f>REPLACE(INDEX(GroupVertices[Group],MATCH(Edges[[#This Row],[Vertex 1]],GroupVertices[Vertex],0)),1,1,"")</f>
        <v>20</v>
      </c>
      <c r="AG74" s="83" t="str">
        <f>REPLACE(INDEX(GroupVertices[Group],MATCH(Edges[[#This Row],[Vertex 2]],GroupVertices[Vertex],0)),1,1,"")</f>
        <v>20</v>
      </c>
      <c r="AH74" s="111">
        <v>0</v>
      </c>
      <c r="AI74" s="112">
        <v>0</v>
      </c>
      <c r="AJ74" s="111">
        <v>2</v>
      </c>
      <c r="AK74" s="112">
        <v>8.695652173913043</v>
      </c>
      <c r="AL74" s="111">
        <v>0</v>
      </c>
      <c r="AM74" s="112">
        <v>0</v>
      </c>
      <c r="AN74" s="111">
        <v>21</v>
      </c>
      <c r="AO74" s="112">
        <v>91.30434782608695</v>
      </c>
      <c r="AP74" s="111">
        <v>23</v>
      </c>
    </row>
    <row r="75" spans="1:42" ht="15">
      <c r="A75" s="65" t="s">
        <v>391</v>
      </c>
      <c r="B75" s="65" t="s">
        <v>546</v>
      </c>
      <c r="C75" s="66" t="s">
        <v>2942</v>
      </c>
      <c r="D75" s="67">
        <v>3</v>
      </c>
      <c r="E75" s="68"/>
      <c r="F75" s="69">
        <v>40</v>
      </c>
      <c r="G75" s="66"/>
      <c r="H75" s="70"/>
      <c r="I75" s="71"/>
      <c r="J75" s="71"/>
      <c r="K75" s="35" t="s">
        <v>65</v>
      </c>
      <c r="L75" s="79">
        <v>75</v>
      </c>
      <c r="M75" s="79"/>
      <c r="N75" s="73"/>
      <c r="O75" s="81" t="s">
        <v>563</v>
      </c>
      <c r="P75" s="81" t="s">
        <v>325</v>
      </c>
      <c r="Q75" s="84" t="s">
        <v>636</v>
      </c>
      <c r="R75" s="81" t="s">
        <v>391</v>
      </c>
      <c r="S75" s="81" t="s">
        <v>904</v>
      </c>
      <c r="T75" s="86" t="str">
        <f>HYPERLINK("http://www.youtube.com/channel/UCF7K5uOzm-xqTb96lpNt_Ow")</f>
        <v>http://www.youtube.com/channel/UCF7K5uOzm-xqTb96lpNt_Ow</v>
      </c>
      <c r="U75" s="81"/>
      <c r="V75" s="81" t="s">
        <v>1103</v>
      </c>
      <c r="W75" s="86" t="str">
        <f>HYPERLINK("https://www.youtube.com/watch?v=ZYLWHRa8Et4")</f>
        <v>https://www.youtube.com/watch?v=ZYLWHRa8Et4</v>
      </c>
      <c r="X75" s="81" t="s">
        <v>1183</v>
      </c>
      <c r="Y75" s="81">
        <v>0</v>
      </c>
      <c r="Z75" s="88">
        <v>40774.37510416667</v>
      </c>
      <c r="AA75" s="88">
        <v>40774.37510416667</v>
      </c>
      <c r="AB75" s="81"/>
      <c r="AC75" s="81"/>
      <c r="AD75" s="84" t="s">
        <v>1239</v>
      </c>
      <c r="AE75" s="82">
        <v>1</v>
      </c>
      <c r="AF75" s="83" t="str">
        <f>REPLACE(INDEX(GroupVertices[Group],MATCH(Edges[[#This Row],[Vertex 1]],GroupVertices[Vertex],0)),1,1,"")</f>
        <v>16</v>
      </c>
      <c r="AG75" s="83" t="str">
        <f>REPLACE(INDEX(GroupVertices[Group],MATCH(Edges[[#This Row],[Vertex 2]],GroupVertices[Vertex],0)),1,1,"")</f>
        <v>16</v>
      </c>
      <c r="AH75" s="111">
        <v>0</v>
      </c>
      <c r="AI75" s="112">
        <v>0</v>
      </c>
      <c r="AJ75" s="111">
        <v>0</v>
      </c>
      <c r="AK75" s="112">
        <v>0</v>
      </c>
      <c r="AL75" s="111">
        <v>0</v>
      </c>
      <c r="AM75" s="112">
        <v>0</v>
      </c>
      <c r="AN75" s="111">
        <v>17</v>
      </c>
      <c r="AO75" s="112">
        <v>100</v>
      </c>
      <c r="AP75" s="111">
        <v>17</v>
      </c>
    </row>
    <row r="76" spans="1:42" ht="15">
      <c r="A76" s="65" t="s">
        <v>392</v>
      </c>
      <c r="B76" s="65" t="s">
        <v>546</v>
      </c>
      <c r="C76" s="66" t="s">
        <v>2942</v>
      </c>
      <c r="D76" s="67">
        <v>3</v>
      </c>
      <c r="E76" s="68"/>
      <c r="F76" s="69">
        <v>40</v>
      </c>
      <c r="G76" s="66"/>
      <c r="H76" s="70"/>
      <c r="I76" s="71"/>
      <c r="J76" s="71"/>
      <c r="K76" s="35" t="s">
        <v>65</v>
      </c>
      <c r="L76" s="79">
        <v>76</v>
      </c>
      <c r="M76" s="79"/>
      <c r="N76" s="73"/>
      <c r="O76" s="81" t="s">
        <v>563</v>
      </c>
      <c r="P76" s="81" t="s">
        <v>325</v>
      </c>
      <c r="Q76" s="84" t="s">
        <v>637</v>
      </c>
      <c r="R76" s="81" t="s">
        <v>392</v>
      </c>
      <c r="S76" s="81" t="s">
        <v>905</v>
      </c>
      <c r="T76" s="86" t="str">
        <f>HYPERLINK("http://www.youtube.com/channel/UCXQR00oQ3fj5cTotWvRg0_Q")</f>
        <v>http://www.youtube.com/channel/UCXQR00oQ3fj5cTotWvRg0_Q</v>
      </c>
      <c r="U76" s="81"/>
      <c r="V76" s="81" t="s">
        <v>1103</v>
      </c>
      <c r="W76" s="86" t="str">
        <f>HYPERLINK("https://www.youtube.com/watch?v=ZYLWHRa8Et4")</f>
        <v>https://www.youtube.com/watch?v=ZYLWHRa8Et4</v>
      </c>
      <c r="X76" s="81" t="s">
        <v>1183</v>
      </c>
      <c r="Y76" s="81">
        <v>0</v>
      </c>
      <c r="Z76" s="88">
        <v>44108.264502314814</v>
      </c>
      <c r="AA76" s="88">
        <v>44108.264502314814</v>
      </c>
      <c r="AB76" s="81"/>
      <c r="AC76" s="81"/>
      <c r="AD76" s="84" t="s">
        <v>1239</v>
      </c>
      <c r="AE76" s="82">
        <v>1</v>
      </c>
      <c r="AF76" s="83" t="str">
        <f>REPLACE(INDEX(GroupVertices[Group],MATCH(Edges[[#This Row],[Vertex 1]],GroupVertices[Vertex],0)),1,1,"")</f>
        <v>16</v>
      </c>
      <c r="AG76" s="83" t="str">
        <f>REPLACE(INDEX(GroupVertices[Group],MATCH(Edges[[#This Row],[Vertex 2]],GroupVertices[Vertex],0)),1,1,"")</f>
        <v>16</v>
      </c>
      <c r="AH76" s="111">
        <v>0</v>
      </c>
      <c r="AI76" s="112">
        <v>0</v>
      </c>
      <c r="AJ76" s="111">
        <v>0</v>
      </c>
      <c r="AK76" s="112">
        <v>0</v>
      </c>
      <c r="AL76" s="111">
        <v>0</v>
      </c>
      <c r="AM76" s="112">
        <v>0</v>
      </c>
      <c r="AN76" s="111">
        <v>7</v>
      </c>
      <c r="AO76" s="112">
        <v>100</v>
      </c>
      <c r="AP76" s="111">
        <v>7</v>
      </c>
    </row>
    <row r="77" spans="1:42" ht="15">
      <c r="A77" s="65" t="s">
        <v>393</v>
      </c>
      <c r="B77" s="65" t="s">
        <v>548</v>
      </c>
      <c r="C77" s="66" t="s">
        <v>2942</v>
      </c>
      <c r="D77" s="67">
        <v>3</v>
      </c>
      <c r="E77" s="68"/>
      <c r="F77" s="69">
        <v>40</v>
      </c>
      <c r="G77" s="66"/>
      <c r="H77" s="70"/>
      <c r="I77" s="71"/>
      <c r="J77" s="71"/>
      <c r="K77" s="35" t="s">
        <v>65</v>
      </c>
      <c r="L77" s="79">
        <v>77</v>
      </c>
      <c r="M77" s="79"/>
      <c r="N77" s="73"/>
      <c r="O77" s="81" t="s">
        <v>563</v>
      </c>
      <c r="P77" s="81" t="s">
        <v>325</v>
      </c>
      <c r="Q77" s="84" t="s">
        <v>638</v>
      </c>
      <c r="R77" s="81" t="s">
        <v>393</v>
      </c>
      <c r="S77" s="81" t="s">
        <v>906</v>
      </c>
      <c r="T77" s="86" t="str">
        <f>HYPERLINK("http://www.youtube.com/channel/UCLwDXsPUfsO2ZTptCsSyXGg")</f>
        <v>http://www.youtube.com/channel/UCLwDXsPUfsO2ZTptCsSyXGg</v>
      </c>
      <c r="U77" s="81"/>
      <c r="V77" s="81" t="s">
        <v>1104</v>
      </c>
      <c r="W77" s="86" t="str">
        <f>HYPERLINK("https://www.youtube.com/watch?v=1VVN0ZlxXmI")</f>
        <v>https://www.youtube.com/watch?v=1VVN0ZlxXmI</v>
      </c>
      <c r="X77" s="81" t="s">
        <v>1183</v>
      </c>
      <c r="Y77" s="81">
        <v>0</v>
      </c>
      <c r="Z77" s="88">
        <v>42762.94252314815</v>
      </c>
      <c r="AA77" s="88">
        <v>42762.94252314815</v>
      </c>
      <c r="AB77" s="81"/>
      <c r="AC77" s="81"/>
      <c r="AD77" s="84" t="s">
        <v>1239</v>
      </c>
      <c r="AE77" s="82">
        <v>1</v>
      </c>
      <c r="AF77" s="83" t="str">
        <f>REPLACE(INDEX(GroupVertices[Group],MATCH(Edges[[#This Row],[Vertex 1]],GroupVertices[Vertex],0)),1,1,"")</f>
        <v>19</v>
      </c>
      <c r="AG77" s="83" t="str">
        <f>REPLACE(INDEX(GroupVertices[Group],MATCH(Edges[[#This Row],[Vertex 2]],GroupVertices[Vertex],0)),1,1,"")</f>
        <v>19</v>
      </c>
      <c r="AH77" s="111">
        <v>1</v>
      </c>
      <c r="AI77" s="112">
        <v>25</v>
      </c>
      <c r="AJ77" s="111">
        <v>0</v>
      </c>
      <c r="AK77" s="112">
        <v>0</v>
      </c>
      <c r="AL77" s="111">
        <v>0</v>
      </c>
      <c r="AM77" s="112">
        <v>0</v>
      </c>
      <c r="AN77" s="111">
        <v>3</v>
      </c>
      <c r="AO77" s="112">
        <v>75</v>
      </c>
      <c r="AP77" s="111">
        <v>4</v>
      </c>
    </row>
    <row r="78" spans="1:42" ht="15">
      <c r="A78" s="65" t="s">
        <v>394</v>
      </c>
      <c r="B78" s="65" t="s">
        <v>369</v>
      </c>
      <c r="C78" s="66" t="s">
        <v>2942</v>
      </c>
      <c r="D78" s="67">
        <v>3</v>
      </c>
      <c r="E78" s="68"/>
      <c r="F78" s="69">
        <v>40</v>
      </c>
      <c r="G78" s="66"/>
      <c r="H78" s="70"/>
      <c r="I78" s="71"/>
      <c r="J78" s="71"/>
      <c r="K78" s="35" t="s">
        <v>65</v>
      </c>
      <c r="L78" s="79">
        <v>78</v>
      </c>
      <c r="M78" s="79"/>
      <c r="N78" s="73"/>
      <c r="O78" s="81" t="s">
        <v>563</v>
      </c>
      <c r="P78" s="81" t="s">
        <v>325</v>
      </c>
      <c r="Q78" s="84" t="s">
        <v>639</v>
      </c>
      <c r="R78" s="81" t="s">
        <v>394</v>
      </c>
      <c r="S78" s="81" t="s">
        <v>907</v>
      </c>
      <c r="T78" s="86" t="str">
        <f>HYPERLINK("http://www.youtube.com/channel/UCpQ5U05w9q913jvPV-T8rlw")</f>
        <v>http://www.youtube.com/channel/UCpQ5U05w9q913jvPV-T8rlw</v>
      </c>
      <c r="U78" s="81"/>
      <c r="V78" s="81" t="s">
        <v>1105</v>
      </c>
      <c r="W78" s="86" t="str">
        <f>HYPERLINK("https://www.youtube.com/watch?v=lbb2lMCSg64")</f>
        <v>https://www.youtube.com/watch?v=lbb2lMCSg64</v>
      </c>
      <c r="X78" s="81" t="s">
        <v>1183</v>
      </c>
      <c r="Y78" s="81">
        <v>1</v>
      </c>
      <c r="Z78" s="88">
        <v>42434.59679398148</v>
      </c>
      <c r="AA78" s="88">
        <v>42434.59679398148</v>
      </c>
      <c r="AB78" s="81"/>
      <c r="AC78" s="81"/>
      <c r="AD78" s="84" t="s">
        <v>1239</v>
      </c>
      <c r="AE78" s="82">
        <v>1</v>
      </c>
      <c r="AF78" s="83" t="str">
        <f>REPLACE(INDEX(GroupVertices[Group],MATCH(Edges[[#This Row],[Vertex 1]],GroupVertices[Vertex],0)),1,1,"")</f>
        <v>1</v>
      </c>
      <c r="AG78" s="83" t="str">
        <f>REPLACE(INDEX(GroupVertices[Group],MATCH(Edges[[#This Row],[Vertex 2]],GroupVertices[Vertex],0)),1,1,"")</f>
        <v>1</v>
      </c>
      <c r="AH78" s="111">
        <v>0</v>
      </c>
      <c r="AI78" s="112">
        <v>0</v>
      </c>
      <c r="AJ78" s="111">
        <v>0</v>
      </c>
      <c r="AK78" s="112">
        <v>0</v>
      </c>
      <c r="AL78" s="111">
        <v>0</v>
      </c>
      <c r="AM78" s="112">
        <v>0</v>
      </c>
      <c r="AN78" s="111">
        <v>6</v>
      </c>
      <c r="AO78" s="112">
        <v>100</v>
      </c>
      <c r="AP78" s="111">
        <v>6</v>
      </c>
    </row>
    <row r="79" spans="1:42" ht="15">
      <c r="A79" s="65" t="s">
        <v>369</v>
      </c>
      <c r="B79" s="65" t="s">
        <v>395</v>
      </c>
      <c r="C79" s="66" t="s">
        <v>2942</v>
      </c>
      <c r="D79" s="67">
        <v>3</v>
      </c>
      <c r="E79" s="68"/>
      <c r="F79" s="69">
        <v>40</v>
      </c>
      <c r="G79" s="66"/>
      <c r="H79" s="70"/>
      <c r="I79" s="71"/>
      <c r="J79" s="71"/>
      <c r="K79" s="35" t="s">
        <v>66</v>
      </c>
      <c r="L79" s="79">
        <v>79</v>
      </c>
      <c r="M79" s="79"/>
      <c r="N79" s="73"/>
      <c r="O79" s="81" t="s">
        <v>564</v>
      </c>
      <c r="P79" s="81" t="s">
        <v>566</v>
      </c>
      <c r="Q79" s="84" t="s">
        <v>640</v>
      </c>
      <c r="R79" s="81" t="s">
        <v>369</v>
      </c>
      <c r="S79" s="81" t="s">
        <v>882</v>
      </c>
      <c r="T79" s="86" t="str">
        <f>HYPERLINK("http://www.youtube.com/channel/UCerAw4EfTOnYYxLLPZAzMxQ")</f>
        <v>http://www.youtube.com/channel/UCerAw4EfTOnYYxLLPZAzMxQ</v>
      </c>
      <c r="U79" s="81" t="s">
        <v>1052</v>
      </c>
      <c r="V79" s="81" t="s">
        <v>1105</v>
      </c>
      <c r="W79" s="86" t="str">
        <f>HYPERLINK("https://www.youtube.com/watch?v=lbb2lMCSg64")</f>
        <v>https://www.youtube.com/watch?v=lbb2lMCSg64</v>
      </c>
      <c r="X79" s="81" t="s">
        <v>1183</v>
      </c>
      <c r="Y79" s="81">
        <v>0</v>
      </c>
      <c r="Z79" s="88">
        <v>44343.57517361111</v>
      </c>
      <c r="AA79" s="88">
        <v>44343.57517361111</v>
      </c>
      <c r="AB79" s="81" t="s">
        <v>1192</v>
      </c>
      <c r="AC79" s="81" t="s">
        <v>1226</v>
      </c>
      <c r="AD79" s="84" t="s">
        <v>1239</v>
      </c>
      <c r="AE79" s="82">
        <v>1</v>
      </c>
      <c r="AF79" s="83" t="str">
        <f>REPLACE(INDEX(GroupVertices[Group],MATCH(Edges[[#This Row],[Vertex 1]],GroupVertices[Vertex],0)),1,1,"")</f>
        <v>1</v>
      </c>
      <c r="AG79" s="83" t="str">
        <f>REPLACE(INDEX(GroupVertices[Group],MATCH(Edges[[#This Row],[Vertex 2]],GroupVertices[Vertex],0)),1,1,"")</f>
        <v>1</v>
      </c>
      <c r="AH79" s="111">
        <v>0</v>
      </c>
      <c r="AI79" s="112">
        <v>0</v>
      </c>
      <c r="AJ79" s="111">
        <v>0</v>
      </c>
      <c r="AK79" s="112">
        <v>0</v>
      </c>
      <c r="AL79" s="111">
        <v>0</v>
      </c>
      <c r="AM79" s="112">
        <v>0</v>
      </c>
      <c r="AN79" s="111">
        <v>26</v>
      </c>
      <c r="AO79" s="112">
        <v>100</v>
      </c>
      <c r="AP79" s="111">
        <v>26</v>
      </c>
    </row>
    <row r="80" spans="1:42" ht="15">
      <c r="A80" s="65" t="s">
        <v>395</v>
      </c>
      <c r="B80" s="65" t="s">
        <v>369</v>
      </c>
      <c r="C80" s="66" t="s">
        <v>2942</v>
      </c>
      <c r="D80" s="67">
        <v>3</v>
      </c>
      <c r="E80" s="68"/>
      <c r="F80" s="69">
        <v>40</v>
      </c>
      <c r="G80" s="66"/>
      <c r="H80" s="70"/>
      <c r="I80" s="71"/>
      <c r="J80" s="71"/>
      <c r="K80" s="35" t="s">
        <v>66</v>
      </c>
      <c r="L80" s="79">
        <v>80</v>
      </c>
      <c r="M80" s="79"/>
      <c r="N80" s="73"/>
      <c r="O80" s="81" t="s">
        <v>563</v>
      </c>
      <c r="P80" s="81" t="s">
        <v>325</v>
      </c>
      <c r="Q80" s="84" t="s">
        <v>641</v>
      </c>
      <c r="R80" s="81" t="s">
        <v>395</v>
      </c>
      <c r="S80" s="81" t="s">
        <v>908</v>
      </c>
      <c r="T80" s="86" t="str">
        <f>HYPERLINK("http://www.youtube.com/channel/UC8qUxVyfs-OHn8fApXBqjaQ")</f>
        <v>http://www.youtube.com/channel/UC8qUxVyfs-OHn8fApXBqjaQ</v>
      </c>
      <c r="U80" s="81"/>
      <c r="V80" s="81" t="s">
        <v>1105</v>
      </c>
      <c r="W80" s="86" t="str">
        <f>HYPERLINK("https://www.youtube.com/watch?v=lbb2lMCSg64")</f>
        <v>https://www.youtube.com/watch?v=lbb2lMCSg64</v>
      </c>
      <c r="X80" s="81" t="s">
        <v>1183</v>
      </c>
      <c r="Y80" s="81">
        <v>0</v>
      </c>
      <c r="Z80" s="88">
        <v>44343.285787037035</v>
      </c>
      <c r="AA80" s="88">
        <v>44343.285787037035</v>
      </c>
      <c r="AB80" s="81"/>
      <c r="AC80" s="81"/>
      <c r="AD80" s="84" t="s">
        <v>1239</v>
      </c>
      <c r="AE80" s="82">
        <v>1</v>
      </c>
      <c r="AF80" s="83" t="str">
        <f>REPLACE(INDEX(GroupVertices[Group],MATCH(Edges[[#This Row],[Vertex 1]],GroupVertices[Vertex],0)),1,1,"")</f>
        <v>1</v>
      </c>
      <c r="AG80" s="83" t="str">
        <f>REPLACE(INDEX(GroupVertices[Group],MATCH(Edges[[#This Row],[Vertex 2]],GroupVertices[Vertex],0)),1,1,"")</f>
        <v>1</v>
      </c>
      <c r="AH80" s="111">
        <v>1</v>
      </c>
      <c r="AI80" s="112">
        <v>4.166666666666667</v>
      </c>
      <c r="AJ80" s="111">
        <v>0</v>
      </c>
      <c r="AK80" s="112">
        <v>0</v>
      </c>
      <c r="AL80" s="111">
        <v>0</v>
      </c>
      <c r="AM80" s="112">
        <v>0</v>
      </c>
      <c r="AN80" s="111">
        <v>23</v>
      </c>
      <c r="AO80" s="112">
        <v>95.83333333333333</v>
      </c>
      <c r="AP80" s="111">
        <v>24</v>
      </c>
    </row>
    <row r="81" spans="1:42" ht="15">
      <c r="A81" s="65" t="s">
        <v>369</v>
      </c>
      <c r="B81" s="65" t="s">
        <v>396</v>
      </c>
      <c r="C81" s="66" t="s">
        <v>2942</v>
      </c>
      <c r="D81" s="67">
        <v>3</v>
      </c>
      <c r="E81" s="68"/>
      <c r="F81" s="69">
        <v>40</v>
      </c>
      <c r="G81" s="66"/>
      <c r="H81" s="70"/>
      <c r="I81" s="71"/>
      <c r="J81" s="71"/>
      <c r="K81" s="35" t="s">
        <v>66</v>
      </c>
      <c r="L81" s="79">
        <v>81</v>
      </c>
      <c r="M81" s="79"/>
      <c r="N81" s="73"/>
      <c r="O81" s="81" t="s">
        <v>564</v>
      </c>
      <c r="P81" s="81" t="s">
        <v>566</v>
      </c>
      <c r="Q81" s="84" t="s">
        <v>642</v>
      </c>
      <c r="R81" s="81" t="s">
        <v>369</v>
      </c>
      <c r="S81" s="81" t="s">
        <v>882</v>
      </c>
      <c r="T81" s="86" t="str">
        <f>HYPERLINK("http://www.youtube.com/channel/UCerAw4EfTOnYYxLLPZAzMxQ")</f>
        <v>http://www.youtube.com/channel/UCerAw4EfTOnYYxLLPZAzMxQ</v>
      </c>
      <c r="U81" s="81" t="s">
        <v>1053</v>
      </c>
      <c r="V81" s="81" t="s">
        <v>1106</v>
      </c>
      <c r="W81" s="86" t="str">
        <f>HYPERLINK("https://www.youtube.com/watch?v=1yCjhTuLA1o")</f>
        <v>https://www.youtube.com/watch?v=1yCjhTuLA1o</v>
      </c>
      <c r="X81" s="81" t="s">
        <v>1183</v>
      </c>
      <c r="Y81" s="81">
        <v>0</v>
      </c>
      <c r="Z81" s="88">
        <v>42261.08634259259</v>
      </c>
      <c r="AA81" s="88">
        <v>42261.08634259259</v>
      </c>
      <c r="AB81" s="81"/>
      <c r="AC81" s="81"/>
      <c r="AD81" s="84" t="s">
        <v>1239</v>
      </c>
      <c r="AE81" s="82">
        <v>1</v>
      </c>
      <c r="AF81" s="83" t="str">
        <f>REPLACE(INDEX(GroupVertices[Group],MATCH(Edges[[#This Row],[Vertex 1]],GroupVertices[Vertex],0)),1,1,"")</f>
        <v>1</v>
      </c>
      <c r="AG81" s="83" t="str">
        <f>REPLACE(INDEX(GroupVertices[Group],MATCH(Edges[[#This Row],[Vertex 2]],GroupVertices[Vertex],0)),1,1,"")</f>
        <v>1</v>
      </c>
      <c r="AH81" s="111">
        <v>3</v>
      </c>
      <c r="AI81" s="112">
        <v>7.142857142857143</v>
      </c>
      <c r="AJ81" s="111">
        <v>1</v>
      </c>
      <c r="AK81" s="112">
        <v>2.380952380952381</v>
      </c>
      <c r="AL81" s="111">
        <v>0</v>
      </c>
      <c r="AM81" s="112">
        <v>0</v>
      </c>
      <c r="AN81" s="111">
        <v>38</v>
      </c>
      <c r="AO81" s="112">
        <v>90.47619047619048</v>
      </c>
      <c r="AP81" s="111">
        <v>42</v>
      </c>
    </row>
    <row r="82" spans="1:42" ht="15">
      <c r="A82" s="65" t="s">
        <v>396</v>
      </c>
      <c r="B82" s="65" t="s">
        <v>369</v>
      </c>
      <c r="C82" s="66" t="s">
        <v>2942</v>
      </c>
      <c r="D82" s="67">
        <v>3</v>
      </c>
      <c r="E82" s="68"/>
      <c r="F82" s="69">
        <v>40</v>
      </c>
      <c r="G82" s="66"/>
      <c r="H82" s="70"/>
      <c r="I82" s="71"/>
      <c r="J82" s="71"/>
      <c r="K82" s="35" t="s">
        <v>66</v>
      </c>
      <c r="L82" s="79">
        <v>82</v>
      </c>
      <c r="M82" s="79"/>
      <c r="N82" s="73"/>
      <c r="O82" s="81" t="s">
        <v>563</v>
      </c>
      <c r="P82" s="81" t="s">
        <v>325</v>
      </c>
      <c r="Q82" s="84" t="s">
        <v>643</v>
      </c>
      <c r="R82" s="81" t="s">
        <v>396</v>
      </c>
      <c r="S82" s="81" t="s">
        <v>909</v>
      </c>
      <c r="T82" s="86" t="str">
        <f>HYPERLINK("http://www.youtube.com/channel/UCC6RgeCUyUrLDxO1W6Rat-Q")</f>
        <v>http://www.youtube.com/channel/UCC6RgeCUyUrLDxO1W6Rat-Q</v>
      </c>
      <c r="U82" s="81"/>
      <c r="V82" s="81" t="s">
        <v>1106</v>
      </c>
      <c r="W82" s="86" t="str">
        <f>HYPERLINK("https://www.youtube.com/watch?v=1yCjhTuLA1o")</f>
        <v>https://www.youtube.com/watch?v=1yCjhTuLA1o</v>
      </c>
      <c r="X82" s="81" t="s">
        <v>1183</v>
      </c>
      <c r="Y82" s="81">
        <v>0</v>
      </c>
      <c r="Z82" s="88">
        <v>42082.94611111111</v>
      </c>
      <c r="AA82" s="88">
        <v>42082.94611111111</v>
      </c>
      <c r="AB82" s="81"/>
      <c r="AC82" s="81"/>
      <c r="AD82" s="84" t="s">
        <v>1239</v>
      </c>
      <c r="AE82" s="82">
        <v>1</v>
      </c>
      <c r="AF82" s="83" t="str">
        <f>REPLACE(INDEX(GroupVertices[Group],MATCH(Edges[[#This Row],[Vertex 1]],GroupVertices[Vertex],0)),1,1,"")</f>
        <v>1</v>
      </c>
      <c r="AG82" s="83" t="str">
        <f>REPLACE(INDEX(GroupVertices[Group],MATCH(Edges[[#This Row],[Vertex 2]],GroupVertices[Vertex],0)),1,1,"")</f>
        <v>1</v>
      </c>
      <c r="AH82" s="111">
        <v>0</v>
      </c>
      <c r="AI82" s="112">
        <v>0</v>
      </c>
      <c r="AJ82" s="111">
        <v>0</v>
      </c>
      <c r="AK82" s="112">
        <v>0</v>
      </c>
      <c r="AL82" s="111">
        <v>0</v>
      </c>
      <c r="AM82" s="112">
        <v>0</v>
      </c>
      <c r="AN82" s="111">
        <v>11</v>
      </c>
      <c r="AO82" s="112">
        <v>100</v>
      </c>
      <c r="AP82" s="111">
        <v>11</v>
      </c>
    </row>
    <row r="83" spans="1:42" ht="15">
      <c r="A83" s="65" t="s">
        <v>397</v>
      </c>
      <c r="B83" s="65" t="s">
        <v>398</v>
      </c>
      <c r="C83" s="66" t="s">
        <v>2944</v>
      </c>
      <c r="D83" s="67">
        <v>5.8</v>
      </c>
      <c r="E83" s="68"/>
      <c r="F83" s="69">
        <v>30</v>
      </c>
      <c r="G83" s="66"/>
      <c r="H83" s="70"/>
      <c r="I83" s="71"/>
      <c r="J83" s="71"/>
      <c r="K83" s="35" t="s">
        <v>65</v>
      </c>
      <c r="L83" s="79">
        <v>83</v>
      </c>
      <c r="M83" s="79"/>
      <c r="N83" s="73"/>
      <c r="O83" s="81" t="s">
        <v>564</v>
      </c>
      <c r="P83" s="81" t="s">
        <v>566</v>
      </c>
      <c r="Q83" s="84" t="s">
        <v>644</v>
      </c>
      <c r="R83" s="81" t="s">
        <v>397</v>
      </c>
      <c r="S83" s="81" t="s">
        <v>910</v>
      </c>
      <c r="T83" s="86" t="str">
        <f>HYPERLINK("http://www.youtube.com/channel/UCI8WWtGB9PmGhesq1QVChQg")</f>
        <v>http://www.youtube.com/channel/UCI8WWtGB9PmGhesq1QVChQg</v>
      </c>
      <c r="U83" s="81" t="s">
        <v>1054</v>
      </c>
      <c r="V83" s="81" t="s">
        <v>1106</v>
      </c>
      <c r="W83" s="86" t="str">
        <f>HYPERLINK("https://www.youtube.com/watch?v=")</f>
        <v>https://www.youtube.com/watch?v=</v>
      </c>
      <c r="X83" s="81" t="s">
        <v>1183</v>
      </c>
      <c r="Y83" s="81">
        <v>0</v>
      </c>
      <c r="Z83" s="88">
        <v>42322.559224537035</v>
      </c>
      <c r="AA83" s="88">
        <v>42322.559224537035</v>
      </c>
      <c r="AB83" s="81"/>
      <c r="AC83" s="81"/>
      <c r="AD83" s="84" t="s">
        <v>1239</v>
      </c>
      <c r="AE83" s="82">
        <v>3</v>
      </c>
      <c r="AF83" s="83" t="str">
        <f>REPLACE(INDEX(GroupVertices[Group],MATCH(Edges[[#This Row],[Vertex 1]],GroupVertices[Vertex],0)),1,1,"")</f>
        <v>18</v>
      </c>
      <c r="AG83" s="83" t="str">
        <f>REPLACE(INDEX(GroupVertices[Group],MATCH(Edges[[#This Row],[Vertex 2]],GroupVertices[Vertex],0)),1,1,"")</f>
        <v>18</v>
      </c>
      <c r="AH83" s="111">
        <v>1</v>
      </c>
      <c r="AI83" s="112">
        <v>4.545454545454546</v>
      </c>
      <c r="AJ83" s="111">
        <v>0</v>
      </c>
      <c r="AK83" s="112">
        <v>0</v>
      </c>
      <c r="AL83" s="111">
        <v>0</v>
      </c>
      <c r="AM83" s="112">
        <v>0</v>
      </c>
      <c r="AN83" s="111">
        <v>21</v>
      </c>
      <c r="AO83" s="112">
        <v>95.45454545454545</v>
      </c>
      <c r="AP83" s="111">
        <v>22</v>
      </c>
    </row>
    <row r="84" spans="1:42" ht="15">
      <c r="A84" s="65" t="s">
        <v>397</v>
      </c>
      <c r="B84" s="65" t="s">
        <v>398</v>
      </c>
      <c r="C84" s="66" t="s">
        <v>2944</v>
      </c>
      <c r="D84" s="67">
        <v>5.8</v>
      </c>
      <c r="E84" s="68"/>
      <c r="F84" s="69">
        <v>30</v>
      </c>
      <c r="G84" s="66"/>
      <c r="H84" s="70"/>
      <c r="I84" s="71"/>
      <c r="J84" s="71"/>
      <c r="K84" s="35" t="s">
        <v>65</v>
      </c>
      <c r="L84" s="79">
        <v>84</v>
      </c>
      <c r="M84" s="79"/>
      <c r="N84" s="73"/>
      <c r="O84" s="81" t="s">
        <v>564</v>
      </c>
      <c r="P84" s="81" t="s">
        <v>566</v>
      </c>
      <c r="Q84" s="84" t="s">
        <v>645</v>
      </c>
      <c r="R84" s="81" t="s">
        <v>397</v>
      </c>
      <c r="S84" s="81" t="s">
        <v>910</v>
      </c>
      <c r="T84" s="86" t="str">
        <f>HYPERLINK("http://www.youtube.com/channel/UCI8WWtGB9PmGhesq1QVChQg")</f>
        <v>http://www.youtube.com/channel/UCI8WWtGB9PmGhesq1QVChQg</v>
      </c>
      <c r="U84" s="81" t="s">
        <v>1054</v>
      </c>
      <c r="V84" s="81" t="s">
        <v>1106</v>
      </c>
      <c r="W84" s="86" t="str">
        <f>HYPERLINK("https://www.youtube.com/watch?v=")</f>
        <v>https://www.youtube.com/watch?v=</v>
      </c>
      <c r="X84" s="81" t="s">
        <v>1183</v>
      </c>
      <c r="Y84" s="81">
        <v>0</v>
      </c>
      <c r="Z84" s="88">
        <v>42322.608460648145</v>
      </c>
      <c r="AA84" s="88">
        <v>42322.608460648145</v>
      </c>
      <c r="AB84" s="81"/>
      <c r="AC84" s="81"/>
      <c r="AD84" s="84" t="s">
        <v>1239</v>
      </c>
      <c r="AE84" s="82">
        <v>3</v>
      </c>
      <c r="AF84" s="83" t="str">
        <f>REPLACE(INDEX(GroupVertices[Group],MATCH(Edges[[#This Row],[Vertex 1]],GroupVertices[Vertex],0)),1,1,"")</f>
        <v>18</v>
      </c>
      <c r="AG84" s="83" t="str">
        <f>REPLACE(INDEX(GroupVertices[Group],MATCH(Edges[[#This Row],[Vertex 2]],GroupVertices[Vertex],0)),1,1,"")</f>
        <v>18</v>
      </c>
      <c r="AH84" s="111">
        <v>0</v>
      </c>
      <c r="AI84" s="112">
        <v>0</v>
      </c>
      <c r="AJ84" s="111">
        <v>0</v>
      </c>
      <c r="AK84" s="112">
        <v>0</v>
      </c>
      <c r="AL84" s="111">
        <v>0</v>
      </c>
      <c r="AM84" s="112">
        <v>0</v>
      </c>
      <c r="AN84" s="111">
        <v>36</v>
      </c>
      <c r="AO84" s="112">
        <v>100</v>
      </c>
      <c r="AP84" s="111">
        <v>36</v>
      </c>
    </row>
    <row r="85" spans="1:42" ht="15">
      <c r="A85" s="65" t="s">
        <v>397</v>
      </c>
      <c r="B85" s="65" t="s">
        <v>398</v>
      </c>
      <c r="C85" s="66" t="s">
        <v>2944</v>
      </c>
      <c r="D85" s="67">
        <v>5.8</v>
      </c>
      <c r="E85" s="68"/>
      <c r="F85" s="69">
        <v>30</v>
      </c>
      <c r="G85" s="66"/>
      <c r="H85" s="70"/>
      <c r="I85" s="71"/>
      <c r="J85" s="71"/>
      <c r="K85" s="35" t="s">
        <v>65</v>
      </c>
      <c r="L85" s="79">
        <v>85</v>
      </c>
      <c r="M85" s="79"/>
      <c r="N85" s="73"/>
      <c r="O85" s="81" t="s">
        <v>564</v>
      </c>
      <c r="P85" s="81" t="s">
        <v>566</v>
      </c>
      <c r="Q85" s="84" t="s">
        <v>646</v>
      </c>
      <c r="R85" s="81" t="s">
        <v>397</v>
      </c>
      <c r="S85" s="81" t="s">
        <v>910</v>
      </c>
      <c r="T85" s="86" t="str">
        <f>HYPERLINK("http://www.youtube.com/channel/UCI8WWtGB9PmGhesq1QVChQg")</f>
        <v>http://www.youtube.com/channel/UCI8WWtGB9PmGhesq1QVChQg</v>
      </c>
      <c r="U85" s="81" t="s">
        <v>1054</v>
      </c>
      <c r="V85" s="81" t="s">
        <v>1106</v>
      </c>
      <c r="W85" s="86" t="str">
        <f>HYPERLINK("https://www.youtube.com/watch?v=")</f>
        <v>https://www.youtube.com/watch?v=</v>
      </c>
      <c r="X85" s="81" t="s">
        <v>1183</v>
      </c>
      <c r="Y85" s="81">
        <v>0</v>
      </c>
      <c r="Z85" s="88">
        <v>42322.685636574075</v>
      </c>
      <c r="AA85" s="88">
        <v>42322.685636574075</v>
      </c>
      <c r="AB85" s="81"/>
      <c r="AC85" s="81"/>
      <c r="AD85" s="84" t="s">
        <v>1239</v>
      </c>
      <c r="AE85" s="82">
        <v>3</v>
      </c>
      <c r="AF85" s="83" t="str">
        <f>REPLACE(INDEX(GroupVertices[Group],MATCH(Edges[[#This Row],[Vertex 1]],GroupVertices[Vertex],0)),1,1,"")</f>
        <v>18</v>
      </c>
      <c r="AG85" s="83" t="str">
        <f>REPLACE(INDEX(GroupVertices[Group],MATCH(Edges[[#This Row],[Vertex 2]],GroupVertices[Vertex],0)),1,1,"")</f>
        <v>18</v>
      </c>
      <c r="AH85" s="111">
        <v>1</v>
      </c>
      <c r="AI85" s="112">
        <v>7.142857142857143</v>
      </c>
      <c r="AJ85" s="111">
        <v>0</v>
      </c>
      <c r="AK85" s="112">
        <v>0</v>
      </c>
      <c r="AL85" s="111">
        <v>0</v>
      </c>
      <c r="AM85" s="112">
        <v>0</v>
      </c>
      <c r="AN85" s="111">
        <v>13</v>
      </c>
      <c r="AO85" s="112">
        <v>92.85714285714286</v>
      </c>
      <c r="AP85" s="111">
        <v>14</v>
      </c>
    </row>
    <row r="86" spans="1:42" ht="15">
      <c r="A86" s="65" t="s">
        <v>369</v>
      </c>
      <c r="B86" s="65" t="s">
        <v>398</v>
      </c>
      <c r="C86" s="66" t="s">
        <v>2945</v>
      </c>
      <c r="D86" s="67">
        <v>7.2</v>
      </c>
      <c r="E86" s="68"/>
      <c r="F86" s="69">
        <v>25</v>
      </c>
      <c r="G86" s="66"/>
      <c r="H86" s="70"/>
      <c r="I86" s="71"/>
      <c r="J86" s="71"/>
      <c r="K86" s="35" t="s">
        <v>66</v>
      </c>
      <c r="L86" s="79">
        <v>86</v>
      </c>
      <c r="M86" s="79"/>
      <c r="N86" s="73"/>
      <c r="O86" s="81" t="s">
        <v>564</v>
      </c>
      <c r="P86" s="81" t="s">
        <v>566</v>
      </c>
      <c r="Q86" s="84" t="s">
        <v>647</v>
      </c>
      <c r="R86" s="81" t="s">
        <v>369</v>
      </c>
      <c r="S86" s="81" t="s">
        <v>882</v>
      </c>
      <c r="T86" s="86" t="str">
        <f>HYPERLINK("http://www.youtube.com/channel/UCerAw4EfTOnYYxLLPZAzMxQ")</f>
        <v>http://www.youtube.com/channel/UCerAw4EfTOnYYxLLPZAzMxQ</v>
      </c>
      <c r="U86" s="81" t="s">
        <v>1054</v>
      </c>
      <c r="V86" s="81" t="s">
        <v>1106</v>
      </c>
      <c r="W86" s="86" t="str">
        <f>HYPERLINK("https://www.youtube.com/watch?v=")</f>
        <v>https://www.youtube.com/watch?v=</v>
      </c>
      <c r="X86" s="81" t="s">
        <v>1183</v>
      </c>
      <c r="Y86" s="81">
        <v>0</v>
      </c>
      <c r="Z86" s="88">
        <v>42288.14572916667</v>
      </c>
      <c r="AA86" s="88">
        <v>42288.14572916667</v>
      </c>
      <c r="AB86" s="81"/>
      <c r="AC86" s="81"/>
      <c r="AD86" s="84" t="s">
        <v>1239</v>
      </c>
      <c r="AE86" s="82">
        <v>4</v>
      </c>
      <c r="AF86" s="83" t="str">
        <f>REPLACE(INDEX(GroupVertices[Group],MATCH(Edges[[#This Row],[Vertex 1]],GroupVertices[Vertex],0)),1,1,"")</f>
        <v>1</v>
      </c>
      <c r="AG86" s="83" t="str">
        <f>REPLACE(INDEX(GroupVertices[Group],MATCH(Edges[[#This Row],[Vertex 2]],GroupVertices[Vertex],0)),1,1,"")</f>
        <v>18</v>
      </c>
      <c r="AH86" s="111">
        <v>2</v>
      </c>
      <c r="AI86" s="112">
        <v>8.333333333333334</v>
      </c>
      <c r="AJ86" s="111">
        <v>0</v>
      </c>
      <c r="AK86" s="112">
        <v>0</v>
      </c>
      <c r="AL86" s="111">
        <v>0</v>
      </c>
      <c r="AM86" s="112">
        <v>0</v>
      </c>
      <c r="AN86" s="111">
        <v>22</v>
      </c>
      <c r="AO86" s="112">
        <v>91.66666666666667</v>
      </c>
      <c r="AP86" s="111">
        <v>24</v>
      </c>
    </row>
    <row r="87" spans="1:42" ht="15">
      <c r="A87" s="65" t="s">
        <v>369</v>
      </c>
      <c r="B87" s="65" t="s">
        <v>398</v>
      </c>
      <c r="C87" s="66" t="s">
        <v>2945</v>
      </c>
      <c r="D87" s="67">
        <v>7.2</v>
      </c>
      <c r="E87" s="68"/>
      <c r="F87" s="69">
        <v>25</v>
      </c>
      <c r="G87" s="66"/>
      <c r="H87" s="70"/>
      <c r="I87" s="71"/>
      <c r="J87" s="71"/>
      <c r="K87" s="35" t="s">
        <v>66</v>
      </c>
      <c r="L87" s="79">
        <v>87</v>
      </c>
      <c r="M87" s="79"/>
      <c r="N87" s="73"/>
      <c r="O87" s="81" t="s">
        <v>564</v>
      </c>
      <c r="P87" s="81" t="s">
        <v>566</v>
      </c>
      <c r="Q87" s="84" t="s">
        <v>648</v>
      </c>
      <c r="R87" s="81" t="s">
        <v>369</v>
      </c>
      <c r="S87" s="81" t="s">
        <v>882</v>
      </c>
      <c r="T87" s="86" t="str">
        <f>HYPERLINK("http://www.youtube.com/channel/UCerAw4EfTOnYYxLLPZAzMxQ")</f>
        <v>http://www.youtube.com/channel/UCerAw4EfTOnYYxLLPZAzMxQ</v>
      </c>
      <c r="U87" s="81" t="s">
        <v>1054</v>
      </c>
      <c r="V87" s="81" t="s">
        <v>1106</v>
      </c>
      <c r="W87" s="86" t="str">
        <f>HYPERLINK("https://www.youtube.com/watch?v=")</f>
        <v>https://www.youtube.com/watch?v=</v>
      </c>
      <c r="X87" s="81" t="s">
        <v>1183</v>
      </c>
      <c r="Y87" s="81">
        <v>0</v>
      </c>
      <c r="Z87" s="88">
        <v>42322.57822916667</v>
      </c>
      <c r="AA87" s="88">
        <v>42322.57822916667</v>
      </c>
      <c r="AB87" s="81"/>
      <c r="AC87" s="81"/>
      <c r="AD87" s="84" t="s">
        <v>1239</v>
      </c>
      <c r="AE87" s="82">
        <v>4</v>
      </c>
      <c r="AF87" s="83" t="str">
        <f>REPLACE(INDEX(GroupVertices[Group],MATCH(Edges[[#This Row],[Vertex 1]],GroupVertices[Vertex],0)),1,1,"")</f>
        <v>1</v>
      </c>
      <c r="AG87" s="83" t="str">
        <f>REPLACE(INDEX(GroupVertices[Group],MATCH(Edges[[#This Row],[Vertex 2]],GroupVertices[Vertex],0)),1,1,"")</f>
        <v>18</v>
      </c>
      <c r="AH87" s="111">
        <v>1</v>
      </c>
      <c r="AI87" s="112">
        <v>2</v>
      </c>
      <c r="AJ87" s="111">
        <v>0</v>
      </c>
      <c r="AK87" s="112">
        <v>0</v>
      </c>
      <c r="AL87" s="111">
        <v>0</v>
      </c>
      <c r="AM87" s="112">
        <v>0</v>
      </c>
      <c r="AN87" s="111">
        <v>49</v>
      </c>
      <c r="AO87" s="112">
        <v>98</v>
      </c>
      <c r="AP87" s="111">
        <v>50</v>
      </c>
    </row>
    <row r="88" spans="1:42" ht="15">
      <c r="A88" s="65" t="s">
        <v>369</v>
      </c>
      <c r="B88" s="65" t="s">
        <v>398</v>
      </c>
      <c r="C88" s="66" t="s">
        <v>2945</v>
      </c>
      <c r="D88" s="67">
        <v>7.2</v>
      </c>
      <c r="E88" s="68"/>
      <c r="F88" s="69">
        <v>25</v>
      </c>
      <c r="G88" s="66"/>
      <c r="H88" s="70"/>
      <c r="I88" s="71"/>
      <c r="J88" s="71"/>
      <c r="K88" s="35" t="s">
        <v>66</v>
      </c>
      <c r="L88" s="79">
        <v>88</v>
      </c>
      <c r="M88" s="79"/>
      <c r="N88" s="73"/>
      <c r="O88" s="81" t="s">
        <v>564</v>
      </c>
      <c r="P88" s="81" t="s">
        <v>566</v>
      </c>
      <c r="Q88" s="84" t="s">
        <v>649</v>
      </c>
      <c r="R88" s="81" t="s">
        <v>369</v>
      </c>
      <c r="S88" s="81" t="s">
        <v>882</v>
      </c>
      <c r="T88" s="86" t="str">
        <f>HYPERLINK("http://www.youtube.com/channel/UCerAw4EfTOnYYxLLPZAzMxQ")</f>
        <v>http://www.youtube.com/channel/UCerAw4EfTOnYYxLLPZAzMxQ</v>
      </c>
      <c r="U88" s="81" t="s">
        <v>1054</v>
      </c>
      <c r="V88" s="81" t="s">
        <v>1106</v>
      </c>
      <c r="W88" s="86" t="str">
        <f>HYPERLINK("https://www.youtube.com/watch?v=")</f>
        <v>https://www.youtube.com/watch?v=</v>
      </c>
      <c r="X88" s="81" t="s">
        <v>1183</v>
      </c>
      <c r="Y88" s="81">
        <v>0</v>
      </c>
      <c r="Z88" s="88">
        <v>42322.622824074075</v>
      </c>
      <c r="AA88" s="88">
        <v>42322.622824074075</v>
      </c>
      <c r="AB88" s="81" t="s">
        <v>1193</v>
      </c>
      <c r="AC88" s="81" t="s">
        <v>1227</v>
      </c>
      <c r="AD88" s="84" t="s">
        <v>1239</v>
      </c>
      <c r="AE88" s="82">
        <v>4</v>
      </c>
      <c r="AF88" s="83" t="str">
        <f>REPLACE(INDEX(GroupVertices[Group],MATCH(Edges[[#This Row],[Vertex 1]],GroupVertices[Vertex],0)),1,1,"")</f>
        <v>1</v>
      </c>
      <c r="AG88" s="83" t="str">
        <f>REPLACE(INDEX(GroupVertices[Group],MATCH(Edges[[#This Row],[Vertex 2]],GroupVertices[Vertex],0)),1,1,"")</f>
        <v>18</v>
      </c>
      <c r="AH88" s="111">
        <v>7</v>
      </c>
      <c r="AI88" s="112">
        <v>3.4146341463414633</v>
      </c>
      <c r="AJ88" s="111">
        <v>3</v>
      </c>
      <c r="AK88" s="112">
        <v>1.4634146341463414</v>
      </c>
      <c r="AL88" s="111">
        <v>0</v>
      </c>
      <c r="AM88" s="112">
        <v>0</v>
      </c>
      <c r="AN88" s="111">
        <v>195</v>
      </c>
      <c r="AO88" s="112">
        <v>95.1219512195122</v>
      </c>
      <c r="AP88" s="111">
        <v>205</v>
      </c>
    </row>
    <row r="89" spans="1:42" ht="15">
      <c r="A89" s="65" t="s">
        <v>369</v>
      </c>
      <c r="B89" s="65" t="s">
        <v>398</v>
      </c>
      <c r="C89" s="66" t="s">
        <v>2945</v>
      </c>
      <c r="D89" s="67">
        <v>7.2</v>
      </c>
      <c r="E89" s="68"/>
      <c r="F89" s="69">
        <v>25</v>
      </c>
      <c r="G89" s="66"/>
      <c r="H89" s="70"/>
      <c r="I89" s="71"/>
      <c r="J89" s="71"/>
      <c r="K89" s="35" t="s">
        <v>66</v>
      </c>
      <c r="L89" s="79">
        <v>89</v>
      </c>
      <c r="M89" s="79"/>
      <c r="N89" s="73"/>
      <c r="O89" s="81" t="s">
        <v>564</v>
      </c>
      <c r="P89" s="81" t="s">
        <v>566</v>
      </c>
      <c r="Q89" s="84" t="s">
        <v>650</v>
      </c>
      <c r="R89" s="81" t="s">
        <v>369</v>
      </c>
      <c r="S89" s="81" t="s">
        <v>882</v>
      </c>
      <c r="T89" s="86" t="str">
        <f>HYPERLINK("http://www.youtube.com/channel/UCerAw4EfTOnYYxLLPZAzMxQ")</f>
        <v>http://www.youtube.com/channel/UCerAw4EfTOnYYxLLPZAzMxQ</v>
      </c>
      <c r="U89" s="81" t="s">
        <v>1054</v>
      </c>
      <c r="V89" s="81" t="s">
        <v>1106</v>
      </c>
      <c r="W89" s="86" t="str">
        <f>HYPERLINK("https://www.youtube.com/watch?v=")</f>
        <v>https://www.youtube.com/watch?v=</v>
      </c>
      <c r="X89" s="81" t="s">
        <v>1183</v>
      </c>
      <c r="Y89" s="81">
        <v>0</v>
      </c>
      <c r="Z89" s="88">
        <v>42322.63550925926</v>
      </c>
      <c r="AA89" s="88">
        <v>42322.63550925926</v>
      </c>
      <c r="AB89" s="81"/>
      <c r="AC89" s="81"/>
      <c r="AD89" s="84" t="s">
        <v>1239</v>
      </c>
      <c r="AE89" s="82">
        <v>4</v>
      </c>
      <c r="AF89" s="83" t="str">
        <f>REPLACE(INDEX(GroupVertices[Group],MATCH(Edges[[#This Row],[Vertex 1]],GroupVertices[Vertex],0)),1,1,"")</f>
        <v>1</v>
      </c>
      <c r="AG89" s="83" t="str">
        <f>REPLACE(INDEX(GroupVertices[Group],MATCH(Edges[[#This Row],[Vertex 2]],GroupVertices[Vertex],0)),1,1,"")</f>
        <v>18</v>
      </c>
      <c r="AH89" s="111">
        <v>1</v>
      </c>
      <c r="AI89" s="112">
        <v>3.4482758620689653</v>
      </c>
      <c r="AJ89" s="111">
        <v>0</v>
      </c>
      <c r="AK89" s="112">
        <v>0</v>
      </c>
      <c r="AL89" s="111">
        <v>0</v>
      </c>
      <c r="AM89" s="112">
        <v>0</v>
      </c>
      <c r="AN89" s="111">
        <v>28</v>
      </c>
      <c r="AO89" s="112">
        <v>96.55172413793103</v>
      </c>
      <c r="AP89" s="111">
        <v>29</v>
      </c>
    </row>
    <row r="90" spans="1:42" ht="15">
      <c r="A90" s="65" t="s">
        <v>398</v>
      </c>
      <c r="B90" s="65" t="s">
        <v>369</v>
      </c>
      <c r="C90" s="66" t="s">
        <v>2942</v>
      </c>
      <c r="D90" s="67">
        <v>3</v>
      </c>
      <c r="E90" s="68"/>
      <c r="F90" s="69">
        <v>40</v>
      </c>
      <c r="G90" s="66"/>
      <c r="H90" s="70"/>
      <c r="I90" s="71"/>
      <c r="J90" s="71"/>
      <c r="K90" s="35" t="s">
        <v>66</v>
      </c>
      <c r="L90" s="79">
        <v>90</v>
      </c>
      <c r="M90" s="79"/>
      <c r="N90" s="73"/>
      <c r="O90" s="81" t="s">
        <v>563</v>
      </c>
      <c r="P90" s="81" t="s">
        <v>325</v>
      </c>
      <c r="Q90" s="84" t="s">
        <v>651</v>
      </c>
      <c r="R90" s="81" t="s">
        <v>398</v>
      </c>
      <c r="S90" s="81" t="s">
        <v>911</v>
      </c>
      <c r="T90" s="86" t="str">
        <f>HYPERLINK("http://www.youtube.com/channel/UCUm577M0SQnlguRkdcfUa1Q")</f>
        <v>http://www.youtube.com/channel/UCUm577M0SQnlguRkdcfUa1Q</v>
      </c>
      <c r="U90" s="81"/>
      <c r="V90" s="81" t="s">
        <v>1106</v>
      </c>
      <c r="W90" s="86" t="str">
        <f>HYPERLINK("https://www.youtube.com/watch?v=1yCjhTuLA1o")</f>
        <v>https://www.youtube.com/watch?v=1yCjhTuLA1o</v>
      </c>
      <c r="X90" s="81" t="s">
        <v>1183</v>
      </c>
      <c r="Y90" s="81">
        <v>0</v>
      </c>
      <c r="Z90" s="88">
        <v>42288.07472222222</v>
      </c>
      <c r="AA90" s="88">
        <v>42288.07472222222</v>
      </c>
      <c r="AB90" s="81"/>
      <c r="AC90" s="81"/>
      <c r="AD90" s="84" t="s">
        <v>1239</v>
      </c>
      <c r="AE90" s="82">
        <v>1</v>
      </c>
      <c r="AF90" s="83" t="str">
        <f>REPLACE(INDEX(GroupVertices[Group],MATCH(Edges[[#This Row],[Vertex 1]],GroupVertices[Vertex],0)),1,1,"")</f>
        <v>18</v>
      </c>
      <c r="AG90" s="83" t="str">
        <f>REPLACE(INDEX(GroupVertices[Group],MATCH(Edges[[#This Row],[Vertex 2]],GroupVertices[Vertex],0)),1,1,"")</f>
        <v>1</v>
      </c>
      <c r="AH90" s="111">
        <v>0</v>
      </c>
      <c r="AI90" s="112">
        <v>0</v>
      </c>
      <c r="AJ90" s="111">
        <v>0</v>
      </c>
      <c r="AK90" s="112">
        <v>0</v>
      </c>
      <c r="AL90" s="111">
        <v>0</v>
      </c>
      <c r="AM90" s="112">
        <v>0</v>
      </c>
      <c r="AN90" s="111">
        <v>24</v>
      </c>
      <c r="AO90" s="112">
        <v>100</v>
      </c>
      <c r="AP90" s="111">
        <v>24</v>
      </c>
    </row>
    <row r="91" spans="1:42" ht="15">
      <c r="A91" s="65" t="s">
        <v>399</v>
      </c>
      <c r="B91" s="65" t="s">
        <v>369</v>
      </c>
      <c r="C91" s="66" t="s">
        <v>2942</v>
      </c>
      <c r="D91" s="67">
        <v>3</v>
      </c>
      <c r="E91" s="68"/>
      <c r="F91" s="69">
        <v>40</v>
      </c>
      <c r="G91" s="66"/>
      <c r="H91" s="70"/>
      <c r="I91" s="71"/>
      <c r="J91" s="71"/>
      <c r="K91" s="35" t="s">
        <v>65</v>
      </c>
      <c r="L91" s="79">
        <v>91</v>
      </c>
      <c r="M91" s="79"/>
      <c r="N91" s="73"/>
      <c r="O91" s="81" t="s">
        <v>563</v>
      </c>
      <c r="P91" s="81" t="s">
        <v>325</v>
      </c>
      <c r="Q91" s="84" t="s">
        <v>652</v>
      </c>
      <c r="R91" s="81" t="s">
        <v>399</v>
      </c>
      <c r="S91" s="81" t="s">
        <v>912</v>
      </c>
      <c r="T91" s="86" t="str">
        <f>HYPERLINK("http://www.youtube.com/channel/UCHBzTw6zFU-YYZ9ohpX9lKQ")</f>
        <v>http://www.youtube.com/channel/UCHBzTw6zFU-YYZ9ohpX9lKQ</v>
      </c>
      <c r="U91" s="81"/>
      <c r="V91" s="81" t="s">
        <v>1106</v>
      </c>
      <c r="W91" s="86" t="str">
        <f>HYPERLINK("https://www.youtube.com/watch?v=1yCjhTuLA1o")</f>
        <v>https://www.youtube.com/watch?v=1yCjhTuLA1o</v>
      </c>
      <c r="X91" s="81" t="s">
        <v>1183</v>
      </c>
      <c r="Y91" s="81">
        <v>0</v>
      </c>
      <c r="Z91" s="88">
        <v>42710.05001157407</v>
      </c>
      <c r="AA91" s="88">
        <v>42710.05001157407</v>
      </c>
      <c r="AB91" s="81"/>
      <c r="AC91" s="81"/>
      <c r="AD91" s="84" t="s">
        <v>1239</v>
      </c>
      <c r="AE91" s="82">
        <v>1</v>
      </c>
      <c r="AF91" s="83" t="str">
        <f>REPLACE(INDEX(GroupVertices[Group],MATCH(Edges[[#This Row],[Vertex 1]],GroupVertices[Vertex],0)),1,1,"")</f>
        <v>1</v>
      </c>
      <c r="AG91" s="83" t="str">
        <f>REPLACE(INDEX(GroupVertices[Group],MATCH(Edges[[#This Row],[Vertex 2]],GroupVertices[Vertex],0)),1,1,"")</f>
        <v>1</v>
      </c>
      <c r="AH91" s="111">
        <v>0</v>
      </c>
      <c r="AI91" s="112">
        <v>0</v>
      </c>
      <c r="AJ91" s="111">
        <v>1</v>
      </c>
      <c r="AK91" s="112">
        <v>5.555555555555555</v>
      </c>
      <c r="AL91" s="111">
        <v>0</v>
      </c>
      <c r="AM91" s="112">
        <v>0</v>
      </c>
      <c r="AN91" s="111">
        <v>17</v>
      </c>
      <c r="AO91" s="112">
        <v>94.44444444444444</v>
      </c>
      <c r="AP91" s="111">
        <v>18</v>
      </c>
    </row>
    <row r="92" spans="1:42" ht="15">
      <c r="A92" s="65" t="s">
        <v>400</v>
      </c>
      <c r="B92" s="65" t="s">
        <v>369</v>
      </c>
      <c r="C92" s="66" t="s">
        <v>2942</v>
      </c>
      <c r="D92" s="67">
        <v>3</v>
      </c>
      <c r="E92" s="68"/>
      <c r="F92" s="69">
        <v>40</v>
      </c>
      <c r="G92" s="66"/>
      <c r="H92" s="70"/>
      <c r="I92" s="71"/>
      <c r="J92" s="71"/>
      <c r="K92" s="35" t="s">
        <v>65</v>
      </c>
      <c r="L92" s="79">
        <v>92</v>
      </c>
      <c r="M92" s="79"/>
      <c r="N92" s="73"/>
      <c r="O92" s="81" t="s">
        <v>563</v>
      </c>
      <c r="P92" s="81" t="s">
        <v>325</v>
      </c>
      <c r="Q92" s="84" t="s">
        <v>653</v>
      </c>
      <c r="R92" s="81" t="s">
        <v>400</v>
      </c>
      <c r="S92" s="81" t="s">
        <v>913</v>
      </c>
      <c r="T92" s="86" t="str">
        <f>HYPERLINK("http://www.youtube.com/channel/UCoLCzvtVkU29FpAVVsAK-wg")</f>
        <v>http://www.youtube.com/channel/UCoLCzvtVkU29FpAVVsAK-wg</v>
      </c>
      <c r="U92" s="81"/>
      <c r="V92" s="81" t="s">
        <v>1107</v>
      </c>
      <c r="W92" s="86" t="str">
        <f>HYPERLINK("https://www.youtube.com/watch?v=AyMwPYpmYng")</f>
        <v>https://www.youtube.com/watch?v=AyMwPYpmYng</v>
      </c>
      <c r="X92" s="81" t="s">
        <v>1183</v>
      </c>
      <c r="Y92" s="81">
        <v>0</v>
      </c>
      <c r="Z92" s="88">
        <v>42500.84532407407</v>
      </c>
      <c r="AA92" s="88">
        <v>42500.84532407407</v>
      </c>
      <c r="AB92" s="81"/>
      <c r="AC92" s="81"/>
      <c r="AD92" s="84" t="s">
        <v>1239</v>
      </c>
      <c r="AE92" s="82">
        <v>1</v>
      </c>
      <c r="AF92" s="83" t="str">
        <f>REPLACE(INDEX(GroupVertices[Group],MATCH(Edges[[#This Row],[Vertex 1]],GroupVertices[Vertex],0)),1,1,"")</f>
        <v>1</v>
      </c>
      <c r="AG92" s="83" t="str">
        <f>REPLACE(INDEX(GroupVertices[Group],MATCH(Edges[[#This Row],[Vertex 2]],GroupVertices[Vertex],0)),1,1,"")</f>
        <v>1</v>
      </c>
      <c r="AH92" s="111">
        <v>1</v>
      </c>
      <c r="AI92" s="112">
        <v>7.6923076923076925</v>
      </c>
      <c r="AJ92" s="111">
        <v>1</v>
      </c>
      <c r="AK92" s="112">
        <v>7.6923076923076925</v>
      </c>
      <c r="AL92" s="111">
        <v>0</v>
      </c>
      <c r="AM92" s="112">
        <v>0</v>
      </c>
      <c r="AN92" s="111">
        <v>11</v>
      </c>
      <c r="AO92" s="112">
        <v>84.61538461538461</v>
      </c>
      <c r="AP92" s="111">
        <v>13</v>
      </c>
    </row>
    <row r="93" spans="1:42" ht="15">
      <c r="A93" s="65" t="s">
        <v>401</v>
      </c>
      <c r="B93" s="65" t="s">
        <v>369</v>
      </c>
      <c r="C93" s="66" t="s">
        <v>2942</v>
      </c>
      <c r="D93" s="67">
        <v>3</v>
      </c>
      <c r="E93" s="68"/>
      <c r="F93" s="69">
        <v>40</v>
      </c>
      <c r="G93" s="66"/>
      <c r="H93" s="70"/>
      <c r="I93" s="71"/>
      <c r="J93" s="71"/>
      <c r="K93" s="35" t="s">
        <v>65</v>
      </c>
      <c r="L93" s="79">
        <v>93</v>
      </c>
      <c r="M93" s="79"/>
      <c r="N93" s="73"/>
      <c r="O93" s="81" t="s">
        <v>563</v>
      </c>
      <c r="P93" s="81" t="s">
        <v>325</v>
      </c>
      <c r="Q93" s="84" t="s">
        <v>654</v>
      </c>
      <c r="R93" s="81" t="s">
        <v>401</v>
      </c>
      <c r="S93" s="81" t="s">
        <v>914</v>
      </c>
      <c r="T93" s="86" t="str">
        <f>HYPERLINK("http://www.youtube.com/channel/UC52SPb7BsvpH0HWbkSk8Jdg")</f>
        <v>http://www.youtube.com/channel/UC52SPb7BsvpH0HWbkSk8Jdg</v>
      </c>
      <c r="U93" s="81"/>
      <c r="V93" s="81" t="s">
        <v>1107</v>
      </c>
      <c r="W93" s="86" t="str">
        <f>HYPERLINK("https://www.youtube.com/watch?v=AyMwPYpmYng")</f>
        <v>https://www.youtube.com/watch?v=AyMwPYpmYng</v>
      </c>
      <c r="X93" s="81" t="s">
        <v>1183</v>
      </c>
      <c r="Y93" s="81">
        <v>0</v>
      </c>
      <c r="Z93" s="88">
        <v>42880.882523148146</v>
      </c>
      <c r="AA93" s="88">
        <v>42880.882523148146</v>
      </c>
      <c r="AB93" s="81"/>
      <c r="AC93" s="81"/>
      <c r="AD93" s="84" t="s">
        <v>1239</v>
      </c>
      <c r="AE93" s="82">
        <v>1</v>
      </c>
      <c r="AF93" s="83" t="str">
        <f>REPLACE(INDEX(GroupVertices[Group],MATCH(Edges[[#This Row],[Vertex 1]],GroupVertices[Vertex],0)),1,1,"")</f>
        <v>1</v>
      </c>
      <c r="AG93" s="83" t="str">
        <f>REPLACE(INDEX(GroupVertices[Group],MATCH(Edges[[#This Row],[Vertex 2]],GroupVertices[Vertex],0)),1,1,"")</f>
        <v>1</v>
      </c>
      <c r="AH93" s="111">
        <v>1</v>
      </c>
      <c r="AI93" s="112">
        <v>33.333333333333336</v>
      </c>
      <c r="AJ93" s="111">
        <v>0</v>
      </c>
      <c r="AK93" s="112">
        <v>0</v>
      </c>
      <c r="AL93" s="111">
        <v>0</v>
      </c>
      <c r="AM93" s="112">
        <v>0</v>
      </c>
      <c r="AN93" s="111">
        <v>2</v>
      </c>
      <c r="AO93" s="112">
        <v>66.66666666666667</v>
      </c>
      <c r="AP93" s="111">
        <v>3</v>
      </c>
    </row>
    <row r="94" spans="1:42" ht="15">
      <c r="A94" s="65" t="s">
        <v>402</v>
      </c>
      <c r="B94" s="65" t="s">
        <v>369</v>
      </c>
      <c r="C94" s="66" t="s">
        <v>2942</v>
      </c>
      <c r="D94" s="67">
        <v>3</v>
      </c>
      <c r="E94" s="68"/>
      <c r="F94" s="69">
        <v>40</v>
      </c>
      <c r="G94" s="66"/>
      <c r="H94" s="70"/>
      <c r="I94" s="71"/>
      <c r="J94" s="71"/>
      <c r="K94" s="35" t="s">
        <v>65</v>
      </c>
      <c r="L94" s="79">
        <v>94</v>
      </c>
      <c r="M94" s="79"/>
      <c r="N94" s="73"/>
      <c r="O94" s="81" t="s">
        <v>563</v>
      </c>
      <c r="P94" s="81" t="s">
        <v>325</v>
      </c>
      <c r="Q94" s="84" t="s">
        <v>655</v>
      </c>
      <c r="R94" s="81" t="s">
        <v>402</v>
      </c>
      <c r="S94" s="81" t="s">
        <v>915</v>
      </c>
      <c r="T94" s="86" t="str">
        <f>HYPERLINK("http://www.youtube.com/channel/UCbldxxrB86AYD-2LJsgqpOA")</f>
        <v>http://www.youtube.com/channel/UCbldxxrB86AYD-2LJsgqpOA</v>
      </c>
      <c r="U94" s="81"/>
      <c r="V94" s="81" t="s">
        <v>1107</v>
      </c>
      <c r="W94" s="86" t="str">
        <f>HYPERLINK("https://www.youtube.com/watch?v=AyMwPYpmYng")</f>
        <v>https://www.youtube.com/watch?v=AyMwPYpmYng</v>
      </c>
      <c r="X94" s="81" t="s">
        <v>1183</v>
      </c>
      <c r="Y94" s="81">
        <v>0</v>
      </c>
      <c r="Z94" s="88">
        <v>43132.59974537037</v>
      </c>
      <c r="AA94" s="88">
        <v>43132.59974537037</v>
      </c>
      <c r="AB94" s="81"/>
      <c r="AC94" s="81"/>
      <c r="AD94" s="84" t="s">
        <v>1239</v>
      </c>
      <c r="AE94" s="82">
        <v>1</v>
      </c>
      <c r="AF94" s="83" t="str">
        <f>REPLACE(INDEX(GroupVertices[Group],MATCH(Edges[[#This Row],[Vertex 1]],GroupVertices[Vertex],0)),1,1,"")</f>
        <v>1</v>
      </c>
      <c r="AG94" s="83" t="str">
        <f>REPLACE(INDEX(GroupVertices[Group],MATCH(Edges[[#This Row],[Vertex 2]],GroupVertices[Vertex],0)),1,1,"")</f>
        <v>1</v>
      </c>
      <c r="AH94" s="111">
        <v>1</v>
      </c>
      <c r="AI94" s="112">
        <v>2.857142857142857</v>
      </c>
      <c r="AJ94" s="111">
        <v>0</v>
      </c>
      <c r="AK94" s="112">
        <v>0</v>
      </c>
      <c r="AL94" s="111">
        <v>0</v>
      </c>
      <c r="AM94" s="112">
        <v>0</v>
      </c>
      <c r="AN94" s="111">
        <v>34</v>
      </c>
      <c r="AO94" s="112">
        <v>97.14285714285714</v>
      </c>
      <c r="AP94" s="111">
        <v>35</v>
      </c>
    </row>
    <row r="95" spans="1:42" ht="15">
      <c r="A95" s="65" t="s">
        <v>403</v>
      </c>
      <c r="B95" s="65" t="s">
        <v>550</v>
      </c>
      <c r="C95" s="66" t="s">
        <v>2942</v>
      </c>
      <c r="D95" s="67">
        <v>3</v>
      </c>
      <c r="E95" s="68"/>
      <c r="F95" s="69">
        <v>40</v>
      </c>
      <c r="G95" s="66"/>
      <c r="H95" s="70"/>
      <c r="I95" s="71"/>
      <c r="J95" s="71"/>
      <c r="K95" s="35" t="s">
        <v>65</v>
      </c>
      <c r="L95" s="79">
        <v>95</v>
      </c>
      <c r="M95" s="79"/>
      <c r="N95" s="73"/>
      <c r="O95" s="81" t="s">
        <v>563</v>
      </c>
      <c r="P95" s="81" t="s">
        <v>325</v>
      </c>
      <c r="Q95" s="84" t="s">
        <v>656</v>
      </c>
      <c r="R95" s="81" t="s">
        <v>403</v>
      </c>
      <c r="S95" s="81" t="s">
        <v>916</v>
      </c>
      <c r="T95" s="86" t="str">
        <f>HYPERLINK("http://www.youtube.com/channel/UC0qJaSE8JW7BoCYedij1fPg")</f>
        <v>http://www.youtube.com/channel/UC0qJaSE8JW7BoCYedij1fPg</v>
      </c>
      <c r="U95" s="81"/>
      <c r="V95" s="81" t="s">
        <v>1108</v>
      </c>
      <c r="W95" s="86" t="str">
        <f>HYPERLINK("https://www.youtube.com/watch?v=tzkLBf9t7MY")</f>
        <v>https://www.youtube.com/watch?v=tzkLBf9t7MY</v>
      </c>
      <c r="X95" s="81" t="s">
        <v>1183</v>
      </c>
      <c r="Y95" s="81">
        <v>0</v>
      </c>
      <c r="Z95" s="88">
        <v>42096.5484375</v>
      </c>
      <c r="AA95" s="88">
        <v>42096.5484375</v>
      </c>
      <c r="AB95" s="81"/>
      <c r="AC95" s="81"/>
      <c r="AD95" s="84" t="s">
        <v>1239</v>
      </c>
      <c r="AE95" s="82">
        <v>1</v>
      </c>
      <c r="AF95" s="83" t="str">
        <f>REPLACE(INDEX(GroupVertices[Group],MATCH(Edges[[#This Row],[Vertex 1]],GroupVertices[Vertex],0)),1,1,"")</f>
        <v>10</v>
      </c>
      <c r="AG95" s="83" t="str">
        <f>REPLACE(INDEX(GroupVertices[Group],MATCH(Edges[[#This Row],[Vertex 2]],GroupVertices[Vertex],0)),1,1,"")</f>
        <v>10</v>
      </c>
      <c r="AH95" s="111">
        <v>2</v>
      </c>
      <c r="AI95" s="112">
        <v>12.5</v>
      </c>
      <c r="AJ95" s="111">
        <v>0</v>
      </c>
      <c r="AK95" s="112">
        <v>0</v>
      </c>
      <c r="AL95" s="111">
        <v>0</v>
      </c>
      <c r="AM95" s="112">
        <v>0</v>
      </c>
      <c r="AN95" s="111">
        <v>14</v>
      </c>
      <c r="AO95" s="112">
        <v>87.5</v>
      </c>
      <c r="AP95" s="111">
        <v>16</v>
      </c>
    </row>
    <row r="96" spans="1:42" ht="15">
      <c r="A96" s="65" t="s">
        <v>404</v>
      </c>
      <c r="B96" s="65" t="s">
        <v>550</v>
      </c>
      <c r="C96" s="66" t="s">
        <v>2942</v>
      </c>
      <c r="D96" s="67">
        <v>3</v>
      </c>
      <c r="E96" s="68"/>
      <c r="F96" s="69">
        <v>40</v>
      </c>
      <c r="G96" s="66"/>
      <c r="H96" s="70"/>
      <c r="I96" s="71"/>
      <c r="J96" s="71"/>
      <c r="K96" s="35" t="s">
        <v>65</v>
      </c>
      <c r="L96" s="79">
        <v>96</v>
      </c>
      <c r="M96" s="79"/>
      <c r="N96" s="73"/>
      <c r="O96" s="81" t="s">
        <v>563</v>
      </c>
      <c r="P96" s="81" t="s">
        <v>325</v>
      </c>
      <c r="Q96" s="84" t="s">
        <v>657</v>
      </c>
      <c r="R96" s="81" t="s">
        <v>404</v>
      </c>
      <c r="S96" s="81" t="s">
        <v>917</v>
      </c>
      <c r="T96" s="86" t="str">
        <f>HYPERLINK("http://www.youtube.com/channel/UCXFOCi3E8fm4KWk7KA1v-FA")</f>
        <v>http://www.youtube.com/channel/UCXFOCi3E8fm4KWk7KA1v-FA</v>
      </c>
      <c r="U96" s="81"/>
      <c r="V96" s="81" t="s">
        <v>1108</v>
      </c>
      <c r="W96" s="86" t="str">
        <f>HYPERLINK("https://www.youtube.com/watch?v=tzkLBf9t7MY")</f>
        <v>https://www.youtube.com/watch?v=tzkLBf9t7MY</v>
      </c>
      <c r="X96" s="81" t="s">
        <v>1183</v>
      </c>
      <c r="Y96" s="81">
        <v>0</v>
      </c>
      <c r="Z96" s="88">
        <v>42542.594502314816</v>
      </c>
      <c r="AA96" s="88">
        <v>42542.594502314816</v>
      </c>
      <c r="AB96" s="81"/>
      <c r="AC96" s="81"/>
      <c r="AD96" s="84" t="s">
        <v>1239</v>
      </c>
      <c r="AE96" s="82">
        <v>1</v>
      </c>
      <c r="AF96" s="83" t="str">
        <f>REPLACE(INDEX(GroupVertices[Group],MATCH(Edges[[#This Row],[Vertex 1]],GroupVertices[Vertex],0)),1,1,"")</f>
        <v>10</v>
      </c>
      <c r="AG96" s="83" t="str">
        <f>REPLACE(INDEX(GroupVertices[Group],MATCH(Edges[[#This Row],[Vertex 2]],GroupVertices[Vertex],0)),1,1,"")</f>
        <v>10</v>
      </c>
      <c r="AH96" s="111">
        <v>2</v>
      </c>
      <c r="AI96" s="112">
        <v>16.666666666666668</v>
      </c>
      <c r="AJ96" s="111">
        <v>0</v>
      </c>
      <c r="AK96" s="112">
        <v>0</v>
      </c>
      <c r="AL96" s="111">
        <v>0</v>
      </c>
      <c r="AM96" s="112">
        <v>0</v>
      </c>
      <c r="AN96" s="111">
        <v>10</v>
      </c>
      <c r="AO96" s="112">
        <v>83.33333333333333</v>
      </c>
      <c r="AP96" s="111">
        <v>12</v>
      </c>
    </row>
    <row r="97" spans="1:42" ht="15">
      <c r="A97" s="65" t="s">
        <v>405</v>
      </c>
      <c r="B97" s="65" t="s">
        <v>550</v>
      </c>
      <c r="C97" s="66" t="s">
        <v>2942</v>
      </c>
      <c r="D97" s="67">
        <v>3</v>
      </c>
      <c r="E97" s="68"/>
      <c r="F97" s="69">
        <v>40</v>
      </c>
      <c r="G97" s="66"/>
      <c r="H97" s="70"/>
      <c r="I97" s="71"/>
      <c r="J97" s="71"/>
      <c r="K97" s="35" t="s">
        <v>65</v>
      </c>
      <c r="L97" s="79">
        <v>97</v>
      </c>
      <c r="M97" s="79"/>
      <c r="N97" s="73"/>
      <c r="O97" s="81" t="s">
        <v>563</v>
      </c>
      <c r="P97" s="81" t="s">
        <v>325</v>
      </c>
      <c r="Q97" s="84" t="s">
        <v>658</v>
      </c>
      <c r="R97" s="81" t="s">
        <v>405</v>
      </c>
      <c r="S97" s="81" t="s">
        <v>918</v>
      </c>
      <c r="T97" s="86" t="str">
        <f>HYPERLINK("http://www.youtube.com/channel/UCywWdXzN6JZzrDM3WWtIcdA")</f>
        <v>http://www.youtube.com/channel/UCywWdXzN6JZzrDM3WWtIcdA</v>
      </c>
      <c r="U97" s="81"/>
      <c r="V97" s="81" t="s">
        <v>1108</v>
      </c>
      <c r="W97" s="86" t="str">
        <f>HYPERLINK("https://www.youtube.com/watch?v=tzkLBf9t7MY")</f>
        <v>https://www.youtube.com/watch?v=tzkLBf9t7MY</v>
      </c>
      <c r="X97" s="81" t="s">
        <v>1183</v>
      </c>
      <c r="Y97" s="81">
        <v>0</v>
      </c>
      <c r="Z97" s="88">
        <v>42905.611863425926</v>
      </c>
      <c r="AA97" s="88">
        <v>42905.611863425926</v>
      </c>
      <c r="AB97" s="81"/>
      <c r="AC97" s="81"/>
      <c r="AD97" s="84" t="s">
        <v>1239</v>
      </c>
      <c r="AE97" s="82">
        <v>1</v>
      </c>
      <c r="AF97" s="83" t="str">
        <f>REPLACE(INDEX(GroupVertices[Group],MATCH(Edges[[#This Row],[Vertex 1]],GroupVertices[Vertex],0)),1,1,"")</f>
        <v>10</v>
      </c>
      <c r="AG97" s="83" t="str">
        <f>REPLACE(INDEX(GroupVertices[Group],MATCH(Edges[[#This Row],[Vertex 2]],GroupVertices[Vertex],0)),1,1,"")</f>
        <v>10</v>
      </c>
      <c r="AH97" s="111">
        <v>1</v>
      </c>
      <c r="AI97" s="112">
        <v>5.555555555555555</v>
      </c>
      <c r="AJ97" s="111">
        <v>0</v>
      </c>
      <c r="AK97" s="112">
        <v>0</v>
      </c>
      <c r="AL97" s="111">
        <v>0</v>
      </c>
      <c r="AM97" s="112">
        <v>0</v>
      </c>
      <c r="AN97" s="111">
        <v>17</v>
      </c>
      <c r="AO97" s="112">
        <v>94.44444444444444</v>
      </c>
      <c r="AP97" s="111">
        <v>18</v>
      </c>
    </row>
    <row r="98" spans="1:42" ht="15">
      <c r="A98" s="65" t="s">
        <v>406</v>
      </c>
      <c r="B98" s="65" t="s">
        <v>550</v>
      </c>
      <c r="C98" s="66" t="s">
        <v>2942</v>
      </c>
      <c r="D98" s="67">
        <v>3</v>
      </c>
      <c r="E98" s="68"/>
      <c r="F98" s="69">
        <v>40</v>
      </c>
      <c r="G98" s="66"/>
      <c r="H98" s="70"/>
      <c r="I98" s="71"/>
      <c r="J98" s="71"/>
      <c r="K98" s="35" t="s">
        <v>65</v>
      </c>
      <c r="L98" s="79">
        <v>98</v>
      </c>
      <c r="M98" s="79"/>
      <c r="N98" s="73"/>
      <c r="O98" s="81" t="s">
        <v>563</v>
      </c>
      <c r="P98" s="81" t="s">
        <v>325</v>
      </c>
      <c r="Q98" s="84" t="s">
        <v>659</v>
      </c>
      <c r="R98" s="81" t="s">
        <v>406</v>
      </c>
      <c r="S98" s="81" t="s">
        <v>919</v>
      </c>
      <c r="T98" s="86" t="str">
        <f>HYPERLINK("http://www.youtube.com/channel/UCIz82_qILaDCMBLYsqErOOw")</f>
        <v>http://www.youtube.com/channel/UCIz82_qILaDCMBLYsqErOOw</v>
      </c>
      <c r="U98" s="81"/>
      <c r="V98" s="81" t="s">
        <v>1108</v>
      </c>
      <c r="W98" s="86" t="str">
        <f>HYPERLINK("https://www.youtube.com/watch?v=tzkLBf9t7MY")</f>
        <v>https://www.youtube.com/watch?v=tzkLBf9t7MY</v>
      </c>
      <c r="X98" s="81" t="s">
        <v>1183</v>
      </c>
      <c r="Y98" s="81">
        <v>0</v>
      </c>
      <c r="Z98" s="88">
        <v>43061.2003587963</v>
      </c>
      <c r="AA98" s="88">
        <v>43061.2003587963</v>
      </c>
      <c r="AB98" s="81"/>
      <c r="AC98" s="81"/>
      <c r="AD98" s="84" t="s">
        <v>1239</v>
      </c>
      <c r="AE98" s="82">
        <v>1</v>
      </c>
      <c r="AF98" s="83" t="str">
        <f>REPLACE(INDEX(GroupVertices[Group],MATCH(Edges[[#This Row],[Vertex 1]],GroupVertices[Vertex],0)),1,1,"")</f>
        <v>10</v>
      </c>
      <c r="AG98" s="83" t="str">
        <f>REPLACE(INDEX(GroupVertices[Group],MATCH(Edges[[#This Row],[Vertex 2]],GroupVertices[Vertex],0)),1,1,"")</f>
        <v>10</v>
      </c>
      <c r="AH98" s="111">
        <v>1</v>
      </c>
      <c r="AI98" s="112">
        <v>4</v>
      </c>
      <c r="AJ98" s="111">
        <v>0</v>
      </c>
      <c r="AK98" s="112">
        <v>0</v>
      </c>
      <c r="AL98" s="111">
        <v>0</v>
      </c>
      <c r="AM98" s="112">
        <v>0</v>
      </c>
      <c r="AN98" s="111">
        <v>24</v>
      </c>
      <c r="AO98" s="112">
        <v>96</v>
      </c>
      <c r="AP98" s="111">
        <v>25</v>
      </c>
    </row>
    <row r="99" spans="1:42" ht="15">
      <c r="A99" s="65" t="s">
        <v>407</v>
      </c>
      <c r="B99" s="65" t="s">
        <v>550</v>
      </c>
      <c r="C99" s="66" t="s">
        <v>2942</v>
      </c>
      <c r="D99" s="67">
        <v>3</v>
      </c>
      <c r="E99" s="68"/>
      <c r="F99" s="69">
        <v>40</v>
      </c>
      <c r="G99" s="66"/>
      <c r="H99" s="70"/>
      <c r="I99" s="71"/>
      <c r="J99" s="71"/>
      <c r="K99" s="35" t="s">
        <v>65</v>
      </c>
      <c r="L99" s="79">
        <v>99</v>
      </c>
      <c r="M99" s="79"/>
      <c r="N99" s="73"/>
      <c r="O99" s="81" t="s">
        <v>563</v>
      </c>
      <c r="P99" s="81" t="s">
        <v>325</v>
      </c>
      <c r="Q99" s="84" t="s">
        <v>660</v>
      </c>
      <c r="R99" s="81" t="s">
        <v>407</v>
      </c>
      <c r="S99" s="81" t="s">
        <v>920</v>
      </c>
      <c r="T99" s="86" t="str">
        <f>HYPERLINK("http://www.youtube.com/channel/UC1G7AZFqSOf2CIZBzfBNmVQ")</f>
        <v>http://www.youtube.com/channel/UC1G7AZFqSOf2CIZBzfBNmVQ</v>
      </c>
      <c r="U99" s="81"/>
      <c r="V99" s="81" t="s">
        <v>1108</v>
      </c>
      <c r="W99" s="86" t="str">
        <f>HYPERLINK("https://www.youtube.com/watch?v=tzkLBf9t7MY")</f>
        <v>https://www.youtube.com/watch?v=tzkLBf9t7MY</v>
      </c>
      <c r="X99" s="81" t="s">
        <v>1183</v>
      </c>
      <c r="Y99" s="81">
        <v>0</v>
      </c>
      <c r="Z99" s="88">
        <v>43289.931863425925</v>
      </c>
      <c r="AA99" s="88">
        <v>43289.931863425925</v>
      </c>
      <c r="AB99" s="81" t="s">
        <v>1194</v>
      </c>
      <c r="AC99" s="81" t="s">
        <v>1228</v>
      </c>
      <c r="AD99" s="84" t="s">
        <v>1239</v>
      </c>
      <c r="AE99" s="82">
        <v>1</v>
      </c>
      <c r="AF99" s="83" t="str">
        <f>REPLACE(INDEX(GroupVertices[Group],MATCH(Edges[[#This Row],[Vertex 1]],GroupVertices[Vertex],0)),1,1,"")</f>
        <v>10</v>
      </c>
      <c r="AG99" s="83" t="str">
        <f>REPLACE(INDEX(GroupVertices[Group],MATCH(Edges[[#This Row],[Vertex 2]],GroupVertices[Vertex],0)),1,1,"")</f>
        <v>10</v>
      </c>
      <c r="AH99" s="111">
        <v>1</v>
      </c>
      <c r="AI99" s="112">
        <v>1.4705882352941178</v>
      </c>
      <c r="AJ99" s="111">
        <v>0</v>
      </c>
      <c r="AK99" s="112">
        <v>0</v>
      </c>
      <c r="AL99" s="111">
        <v>0</v>
      </c>
      <c r="AM99" s="112">
        <v>0</v>
      </c>
      <c r="AN99" s="111">
        <v>67</v>
      </c>
      <c r="AO99" s="112">
        <v>98.52941176470588</v>
      </c>
      <c r="AP99" s="111">
        <v>68</v>
      </c>
    </row>
    <row r="100" spans="1:42" ht="15">
      <c r="A100" s="65" t="s">
        <v>408</v>
      </c>
      <c r="B100" s="65" t="s">
        <v>550</v>
      </c>
      <c r="C100" s="66" t="s">
        <v>2942</v>
      </c>
      <c r="D100" s="67">
        <v>3</v>
      </c>
      <c r="E100" s="68"/>
      <c r="F100" s="69">
        <v>40</v>
      </c>
      <c r="G100" s="66"/>
      <c r="H100" s="70"/>
      <c r="I100" s="71"/>
      <c r="J100" s="71"/>
      <c r="K100" s="35" t="s">
        <v>65</v>
      </c>
      <c r="L100" s="79">
        <v>100</v>
      </c>
      <c r="M100" s="79"/>
      <c r="N100" s="73"/>
      <c r="O100" s="81" t="s">
        <v>563</v>
      </c>
      <c r="P100" s="81" t="s">
        <v>325</v>
      </c>
      <c r="Q100" s="84" t="s">
        <v>661</v>
      </c>
      <c r="R100" s="81" t="s">
        <v>408</v>
      </c>
      <c r="S100" s="81" t="s">
        <v>921</v>
      </c>
      <c r="T100" s="86" t="str">
        <f>HYPERLINK("http://www.youtube.com/channel/UChA9cIhy_R5-REFhn28MQOw")</f>
        <v>http://www.youtube.com/channel/UChA9cIhy_R5-REFhn28MQOw</v>
      </c>
      <c r="U100" s="81"/>
      <c r="V100" s="81" t="s">
        <v>1108</v>
      </c>
      <c r="W100" s="86" t="str">
        <f>HYPERLINK("https://www.youtube.com/watch?v=tzkLBf9t7MY")</f>
        <v>https://www.youtube.com/watch?v=tzkLBf9t7MY</v>
      </c>
      <c r="X100" s="81" t="s">
        <v>1183</v>
      </c>
      <c r="Y100" s="81">
        <v>0</v>
      </c>
      <c r="Z100" s="88">
        <v>43676.00077546296</v>
      </c>
      <c r="AA100" s="88">
        <v>43676.00077546296</v>
      </c>
      <c r="AB100" s="81"/>
      <c r="AC100" s="81"/>
      <c r="AD100" s="84" t="s">
        <v>1239</v>
      </c>
      <c r="AE100" s="82">
        <v>1</v>
      </c>
      <c r="AF100" s="83" t="str">
        <f>REPLACE(INDEX(GroupVertices[Group],MATCH(Edges[[#This Row],[Vertex 1]],GroupVertices[Vertex],0)),1,1,"")</f>
        <v>10</v>
      </c>
      <c r="AG100" s="83" t="str">
        <f>REPLACE(INDEX(GroupVertices[Group],MATCH(Edges[[#This Row],[Vertex 2]],GroupVertices[Vertex],0)),1,1,"")</f>
        <v>10</v>
      </c>
      <c r="AH100" s="111">
        <v>0</v>
      </c>
      <c r="AI100" s="112">
        <v>0</v>
      </c>
      <c r="AJ100" s="111">
        <v>0</v>
      </c>
      <c r="AK100" s="112">
        <v>0</v>
      </c>
      <c r="AL100" s="111">
        <v>0</v>
      </c>
      <c r="AM100" s="112">
        <v>0</v>
      </c>
      <c r="AN100" s="111">
        <v>31</v>
      </c>
      <c r="AO100" s="112">
        <v>100</v>
      </c>
      <c r="AP100" s="111">
        <v>31</v>
      </c>
    </row>
    <row r="101" spans="1:42" ht="15">
      <c r="A101" s="65" t="s">
        <v>409</v>
      </c>
      <c r="B101" s="65" t="s">
        <v>561</v>
      </c>
      <c r="C101" s="66" t="s">
        <v>2942</v>
      </c>
      <c r="D101" s="67">
        <v>3</v>
      </c>
      <c r="E101" s="68"/>
      <c r="F101" s="69">
        <v>40</v>
      </c>
      <c r="G101" s="66"/>
      <c r="H101" s="70"/>
      <c r="I101" s="71"/>
      <c r="J101" s="71"/>
      <c r="K101" s="35" t="s">
        <v>65</v>
      </c>
      <c r="L101" s="79">
        <v>101</v>
      </c>
      <c r="M101" s="79"/>
      <c r="N101" s="73"/>
      <c r="O101" s="81" t="s">
        <v>563</v>
      </c>
      <c r="P101" s="81" t="s">
        <v>325</v>
      </c>
      <c r="Q101" s="84" t="s">
        <v>662</v>
      </c>
      <c r="R101" s="81" t="s">
        <v>409</v>
      </c>
      <c r="S101" s="81" t="s">
        <v>922</v>
      </c>
      <c r="T101" s="86" t="str">
        <f>HYPERLINK("http://www.youtube.com/channel/UCWmEXXyyg4CeL3TS4ba8iUg")</f>
        <v>http://www.youtube.com/channel/UCWmEXXyyg4CeL3TS4ba8iUg</v>
      </c>
      <c r="U101" s="81"/>
      <c r="V101" s="81" t="s">
        <v>1109</v>
      </c>
      <c r="W101" s="86" t="str">
        <f>HYPERLINK("https://www.youtube.com/watch?v=zMlwGOki4Yg")</f>
        <v>https://www.youtube.com/watch?v=zMlwGOki4Yg</v>
      </c>
      <c r="X101" s="81" t="s">
        <v>1183</v>
      </c>
      <c r="Y101" s="81">
        <v>0</v>
      </c>
      <c r="Z101" s="88">
        <v>42297.23268518518</v>
      </c>
      <c r="AA101" s="88">
        <v>42297.23268518518</v>
      </c>
      <c r="AB101" s="81"/>
      <c r="AC101" s="81"/>
      <c r="AD101" s="84" t="s">
        <v>1239</v>
      </c>
      <c r="AE101" s="82">
        <v>1</v>
      </c>
      <c r="AF101" s="83" t="str">
        <f>REPLACE(INDEX(GroupVertices[Group],MATCH(Edges[[#This Row],[Vertex 1]],GroupVertices[Vertex],0)),1,1,"")</f>
        <v>3</v>
      </c>
      <c r="AG101" s="83" t="str">
        <f>REPLACE(INDEX(GroupVertices[Group],MATCH(Edges[[#This Row],[Vertex 2]],GroupVertices[Vertex],0)),1,1,"")</f>
        <v>3</v>
      </c>
      <c r="AH101" s="111">
        <v>2</v>
      </c>
      <c r="AI101" s="112">
        <v>28.571428571428573</v>
      </c>
      <c r="AJ101" s="111">
        <v>0</v>
      </c>
      <c r="AK101" s="112">
        <v>0</v>
      </c>
      <c r="AL101" s="111">
        <v>0</v>
      </c>
      <c r="AM101" s="112">
        <v>0</v>
      </c>
      <c r="AN101" s="111">
        <v>5</v>
      </c>
      <c r="AO101" s="112">
        <v>71.42857142857143</v>
      </c>
      <c r="AP101" s="111">
        <v>7</v>
      </c>
    </row>
    <row r="102" spans="1:42" ht="15">
      <c r="A102" s="65" t="s">
        <v>410</v>
      </c>
      <c r="B102" s="65" t="s">
        <v>561</v>
      </c>
      <c r="C102" s="66" t="s">
        <v>2942</v>
      </c>
      <c r="D102" s="67">
        <v>3</v>
      </c>
      <c r="E102" s="68"/>
      <c r="F102" s="69">
        <v>40</v>
      </c>
      <c r="G102" s="66"/>
      <c r="H102" s="70"/>
      <c r="I102" s="71"/>
      <c r="J102" s="71"/>
      <c r="K102" s="35" t="s">
        <v>65</v>
      </c>
      <c r="L102" s="79">
        <v>102</v>
      </c>
      <c r="M102" s="79"/>
      <c r="N102" s="73"/>
      <c r="O102" s="81" t="s">
        <v>563</v>
      </c>
      <c r="P102" s="81" t="s">
        <v>325</v>
      </c>
      <c r="Q102" s="84" t="s">
        <v>663</v>
      </c>
      <c r="R102" s="81" t="s">
        <v>410</v>
      </c>
      <c r="S102" s="81" t="s">
        <v>923</v>
      </c>
      <c r="T102" s="86" t="str">
        <f>HYPERLINK("http://www.youtube.com/channel/UChlTB5NW6iUzi67TzRxRcTg")</f>
        <v>http://www.youtube.com/channel/UChlTB5NW6iUzi67TzRxRcTg</v>
      </c>
      <c r="U102" s="81"/>
      <c r="V102" s="81" t="s">
        <v>1109</v>
      </c>
      <c r="W102" s="86" t="str">
        <f>HYPERLINK("https://www.youtube.com/watch?v=zMlwGOki4Yg")</f>
        <v>https://www.youtube.com/watch?v=zMlwGOki4Yg</v>
      </c>
      <c r="X102" s="81" t="s">
        <v>1183</v>
      </c>
      <c r="Y102" s="81">
        <v>0</v>
      </c>
      <c r="Z102" s="88">
        <v>43538.64540509259</v>
      </c>
      <c r="AA102" s="88">
        <v>43538.64540509259</v>
      </c>
      <c r="AB102" s="81"/>
      <c r="AC102" s="81"/>
      <c r="AD102" s="84" t="s">
        <v>1239</v>
      </c>
      <c r="AE102" s="82">
        <v>1</v>
      </c>
      <c r="AF102" s="83" t="str">
        <f>REPLACE(INDEX(GroupVertices[Group],MATCH(Edges[[#This Row],[Vertex 1]],GroupVertices[Vertex],0)),1,1,"")</f>
        <v>3</v>
      </c>
      <c r="AG102" s="83" t="str">
        <f>REPLACE(INDEX(GroupVertices[Group],MATCH(Edges[[#This Row],[Vertex 2]],GroupVertices[Vertex],0)),1,1,"")</f>
        <v>3</v>
      </c>
      <c r="AH102" s="111">
        <v>1</v>
      </c>
      <c r="AI102" s="112">
        <v>25</v>
      </c>
      <c r="AJ102" s="111">
        <v>0</v>
      </c>
      <c r="AK102" s="112">
        <v>0</v>
      </c>
      <c r="AL102" s="111">
        <v>0</v>
      </c>
      <c r="AM102" s="112">
        <v>0</v>
      </c>
      <c r="AN102" s="111">
        <v>3</v>
      </c>
      <c r="AO102" s="112">
        <v>75</v>
      </c>
      <c r="AP102" s="111">
        <v>4</v>
      </c>
    </row>
    <row r="103" spans="1:42" ht="15">
      <c r="A103" s="65" t="s">
        <v>411</v>
      </c>
      <c r="B103" s="65" t="s">
        <v>561</v>
      </c>
      <c r="C103" s="66" t="s">
        <v>2942</v>
      </c>
      <c r="D103" s="67">
        <v>3</v>
      </c>
      <c r="E103" s="68"/>
      <c r="F103" s="69">
        <v>40</v>
      </c>
      <c r="G103" s="66"/>
      <c r="H103" s="70"/>
      <c r="I103" s="71"/>
      <c r="J103" s="71"/>
      <c r="K103" s="35" t="s">
        <v>65</v>
      </c>
      <c r="L103" s="79">
        <v>103</v>
      </c>
      <c r="M103" s="79"/>
      <c r="N103" s="73"/>
      <c r="O103" s="81" t="s">
        <v>563</v>
      </c>
      <c r="P103" s="81" t="s">
        <v>325</v>
      </c>
      <c r="Q103" s="84" t="s">
        <v>664</v>
      </c>
      <c r="R103" s="81" t="s">
        <v>411</v>
      </c>
      <c r="S103" s="81" t="s">
        <v>924</v>
      </c>
      <c r="T103" s="86" t="str">
        <f>HYPERLINK("http://www.youtube.com/channel/UCEkBJ8bqPbMoZwqFrKmPqSA")</f>
        <v>http://www.youtube.com/channel/UCEkBJ8bqPbMoZwqFrKmPqSA</v>
      </c>
      <c r="U103" s="81"/>
      <c r="V103" s="81" t="s">
        <v>1109</v>
      </c>
      <c r="W103" s="86" t="str">
        <f>HYPERLINK("https://www.youtube.com/watch?v=zMlwGOki4Yg")</f>
        <v>https://www.youtube.com/watch?v=zMlwGOki4Yg</v>
      </c>
      <c r="X103" s="81" t="s">
        <v>1183</v>
      </c>
      <c r="Y103" s="81">
        <v>0</v>
      </c>
      <c r="Z103" s="88">
        <v>44575.67810185185</v>
      </c>
      <c r="AA103" s="88">
        <v>44575.67810185185</v>
      </c>
      <c r="AB103" s="81"/>
      <c r="AC103" s="81"/>
      <c r="AD103" s="84" t="s">
        <v>1239</v>
      </c>
      <c r="AE103" s="82">
        <v>1</v>
      </c>
      <c r="AF103" s="83" t="str">
        <f>REPLACE(INDEX(GroupVertices[Group],MATCH(Edges[[#This Row],[Vertex 1]],GroupVertices[Vertex],0)),1,1,"")</f>
        <v>3</v>
      </c>
      <c r="AG103" s="83" t="str">
        <f>REPLACE(INDEX(GroupVertices[Group],MATCH(Edges[[#This Row],[Vertex 2]],GroupVertices[Vertex],0)),1,1,"")</f>
        <v>3</v>
      </c>
      <c r="AH103" s="111">
        <v>2</v>
      </c>
      <c r="AI103" s="112">
        <v>22.22222222222222</v>
      </c>
      <c r="AJ103" s="111">
        <v>0</v>
      </c>
      <c r="AK103" s="112">
        <v>0</v>
      </c>
      <c r="AL103" s="111">
        <v>0</v>
      </c>
      <c r="AM103" s="112">
        <v>0</v>
      </c>
      <c r="AN103" s="111">
        <v>7</v>
      </c>
      <c r="AO103" s="112">
        <v>77.77777777777777</v>
      </c>
      <c r="AP103" s="111">
        <v>9</v>
      </c>
    </row>
    <row r="104" spans="1:42" ht="15">
      <c r="A104" s="65" t="s">
        <v>412</v>
      </c>
      <c r="B104" s="65" t="s">
        <v>413</v>
      </c>
      <c r="C104" s="66" t="s">
        <v>2942</v>
      </c>
      <c r="D104" s="67">
        <v>3</v>
      </c>
      <c r="E104" s="68"/>
      <c r="F104" s="69">
        <v>40</v>
      </c>
      <c r="G104" s="66"/>
      <c r="H104" s="70"/>
      <c r="I104" s="71"/>
      <c r="J104" s="71"/>
      <c r="K104" s="35" t="s">
        <v>65</v>
      </c>
      <c r="L104" s="79">
        <v>104</v>
      </c>
      <c r="M104" s="79"/>
      <c r="N104" s="73"/>
      <c r="O104" s="81" t="s">
        <v>564</v>
      </c>
      <c r="P104" s="81" t="s">
        <v>566</v>
      </c>
      <c r="Q104" s="84" t="s">
        <v>665</v>
      </c>
      <c r="R104" s="81" t="s">
        <v>412</v>
      </c>
      <c r="S104" s="81" t="s">
        <v>925</v>
      </c>
      <c r="T104" s="86" t="str">
        <f>HYPERLINK("http://www.youtube.com/channel/UCVoF08vw5_TGZoAo2JKf0MA")</f>
        <v>http://www.youtube.com/channel/UCVoF08vw5_TGZoAo2JKf0MA</v>
      </c>
      <c r="U104" s="81" t="s">
        <v>1055</v>
      </c>
      <c r="V104" s="81" t="s">
        <v>1110</v>
      </c>
      <c r="W104" s="86" t="str">
        <f>HYPERLINK("https://www.youtube.com/watch?v=GYSgH1g_YQI")</f>
        <v>https://www.youtube.com/watch?v=GYSgH1g_YQI</v>
      </c>
      <c r="X104" s="81" t="s">
        <v>1183</v>
      </c>
      <c r="Y104" s="81">
        <v>0</v>
      </c>
      <c r="Z104" s="88">
        <v>43799.65560185185</v>
      </c>
      <c r="AA104" s="88">
        <v>43799.65560185185</v>
      </c>
      <c r="AB104" s="81"/>
      <c r="AC104" s="81"/>
      <c r="AD104" s="84" t="s">
        <v>1239</v>
      </c>
      <c r="AE104" s="82">
        <v>1</v>
      </c>
      <c r="AF104" s="83" t="str">
        <f>REPLACE(INDEX(GroupVertices[Group],MATCH(Edges[[#This Row],[Vertex 1]],GroupVertices[Vertex],0)),1,1,"")</f>
        <v>5</v>
      </c>
      <c r="AG104" s="83" t="str">
        <f>REPLACE(INDEX(GroupVertices[Group],MATCH(Edges[[#This Row],[Vertex 2]],GroupVertices[Vertex],0)),1,1,"")</f>
        <v>5</v>
      </c>
      <c r="AH104" s="111">
        <v>0</v>
      </c>
      <c r="AI104" s="112">
        <v>0</v>
      </c>
      <c r="AJ104" s="111">
        <v>0</v>
      </c>
      <c r="AK104" s="112">
        <v>0</v>
      </c>
      <c r="AL104" s="111">
        <v>0</v>
      </c>
      <c r="AM104" s="112">
        <v>0</v>
      </c>
      <c r="AN104" s="111">
        <v>25</v>
      </c>
      <c r="AO104" s="112">
        <v>100</v>
      </c>
      <c r="AP104" s="111">
        <v>25</v>
      </c>
    </row>
    <row r="105" spans="1:42" ht="15">
      <c r="A105" s="65" t="s">
        <v>413</v>
      </c>
      <c r="B105" s="65" t="s">
        <v>551</v>
      </c>
      <c r="C105" s="66" t="s">
        <v>2942</v>
      </c>
      <c r="D105" s="67">
        <v>3</v>
      </c>
      <c r="E105" s="68"/>
      <c r="F105" s="69">
        <v>40</v>
      </c>
      <c r="G105" s="66"/>
      <c r="H105" s="70"/>
      <c r="I105" s="71"/>
      <c r="J105" s="71"/>
      <c r="K105" s="35" t="s">
        <v>65</v>
      </c>
      <c r="L105" s="79">
        <v>105</v>
      </c>
      <c r="M105" s="79"/>
      <c r="N105" s="73"/>
      <c r="O105" s="81" t="s">
        <v>563</v>
      </c>
      <c r="P105" s="81" t="s">
        <v>325</v>
      </c>
      <c r="Q105" s="84" t="s">
        <v>666</v>
      </c>
      <c r="R105" s="81" t="s">
        <v>413</v>
      </c>
      <c r="S105" s="81" t="s">
        <v>926</v>
      </c>
      <c r="T105" s="86" t="str">
        <f>HYPERLINK("http://www.youtube.com/channel/UCVJfW61X3yS0PH-25gIjpNA")</f>
        <v>http://www.youtube.com/channel/UCVJfW61X3yS0PH-25gIjpNA</v>
      </c>
      <c r="U105" s="81"/>
      <c r="V105" s="81" t="s">
        <v>1110</v>
      </c>
      <c r="W105" s="86" t="str">
        <f>HYPERLINK("https://www.youtube.com/watch?v=GYSgH1g_YQI")</f>
        <v>https://www.youtube.com/watch?v=GYSgH1g_YQI</v>
      </c>
      <c r="X105" s="81" t="s">
        <v>1183</v>
      </c>
      <c r="Y105" s="81">
        <v>1</v>
      </c>
      <c r="Z105" s="88">
        <v>43041.86840277778</v>
      </c>
      <c r="AA105" s="88">
        <v>43041.86840277778</v>
      </c>
      <c r="AB105" s="81"/>
      <c r="AC105" s="81"/>
      <c r="AD105" s="84" t="s">
        <v>1239</v>
      </c>
      <c r="AE105" s="82">
        <v>1</v>
      </c>
      <c r="AF105" s="83" t="str">
        <f>REPLACE(INDEX(GroupVertices[Group],MATCH(Edges[[#This Row],[Vertex 1]],GroupVertices[Vertex],0)),1,1,"")</f>
        <v>5</v>
      </c>
      <c r="AG105" s="83" t="str">
        <f>REPLACE(INDEX(GroupVertices[Group],MATCH(Edges[[#This Row],[Vertex 2]],GroupVertices[Vertex],0)),1,1,"")</f>
        <v>5</v>
      </c>
      <c r="AH105" s="111">
        <v>0</v>
      </c>
      <c r="AI105" s="112">
        <v>0</v>
      </c>
      <c r="AJ105" s="111">
        <v>0</v>
      </c>
      <c r="AK105" s="112">
        <v>0</v>
      </c>
      <c r="AL105" s="111">
        <v>0</v>
      </c>
      <c r="AM105" s="112">
        <v>0</v>
      </c>
      <c r="AN105" s="111">
        <v>15</v>
      </c>
      <c r="AO105" s="112">
        <v>100</v>
      </c>
      <c r="AP105" s="111">
        <v>15</v>
      </c>
    </row>
    <row r="106" spans="1:42" ht="15">
      <c r="A106" s="65" t="s">
        <v>414</v>
      </c>
      <c r="B106" s="65" t="s">
        <v>551</v>
      </c>
      <c r="C106" s="66" t="s">
        <v>2942</v>
      </c>
      <c r="D106" s="67">
        <v>3</v>
      </c>
      <c r="E106" s="68"/>
      <c r="F106" s="69">
        <v>40</v>
      </c>
      <c r="G106" s="66"/>
      <c r="H106" s="70"/>
      <c r="I106" s="71"/>
      <c r="J106" s="71"/>
      <c r="K106" s="35" t="s">
        <v>65</v>
      </c>
      <c r="L106" s="79">
        <v>106</v>
      </c>
      <c r="M106" s="79"/>
      <c r="N106" s="73"/>
      <c r="O106" s="81" t="s">
        <v>563</v>
      </c>
      <c r="P106" s="81" t="s">
        <v>325</v>
      </c>
      <c r="Q106" s="84" t="s">
        <v>667</v>
      </c>
      <c r="R106" s="81" t="s">
        <v>414</v>
      </c>
      <c r="S106" s="81" t="s">
        <v>927</v>
      </c>
      <c r="T106" s="86" t="str">
        <f>HYPERLINK("http://www.youtube.com/channel/UC3ZPFGJ9YYuozcr4cSnBJ2A")</f>
        <v>http://www.youtube.com/channel/UC3ZPFGJ9YYuozcr4cSnBJ2A</v>
      </c>
      <c r="U106" s="81"/>
      <c r="V106" s="81" t="s">
        <v>1110</v>
      </c>
      <c r="W106" s="86" t="str">
        <f>HYPERLINK("https://www.youtube.com/watch?v=GYSgH1g_YQI")</f>
        <v>https://www.youtube.com/watch?v=GYSgH1g_YQI</v>
      </c>
      <c r="X106" s="81" t="s">
        <v>1183</v>
      </c>
      <c r="Y106" s="81">
        <v>0</v>
      </c>
      <c r="Z106" s="88">
        <v>43125.79871527778</v>
      </c>
      <c r="AA106" s="88">
        <v>43125.79871527778</v>
      </c>
      <c r="AB106" s="81"/>
      <c r="AC106" s="81"/>
      <c r="AD106" s="84" t="s">
        <v>1239</v>
      </c>
      <c r="AE106" s="82">
        <v>1</v>
      </c>
      <c r="AF106" s="83" t="str">
        <f>REPLACE(INDEX(GroupVertices[Group],MATCH(Edges[[#This Row],[Vertex 1]],GroupVertices[Vertex],0)),1,1,"")</f>
        <v>5</v>
      </c>
      <c r="AG106" s="83" t="str">
        <f>REPLACE(INDEX(GroupVertices[Group],MATCH(Edges[[#This Row],[Vertex 2]],GroupVertices[Vertex],0)),1,1,"")</f>
        <v>5</v>
      </c>
      <c r="AH106" s="111">
        <v>0</v>
      </c>
      <c r="AI106" s="112">
        <v>0</v>
      </c>
      <c r="AJ106" s="111">
        <v>0</v>
      </c>
      <c r="AK106" s="112">
        <v>0</v>
      </c>
      <c r="AL106" s="111">
        <v>0</v>
      </c>
      <c r="AM106" s="112">
        <v>0</v>
      </c>
      <c r="AN106" s="111">
        <v>6</v>
      </c>
      <c r="AO106" s="112">
        <v>100</v>
      </c>
      <c r="AP106" s="111">
        <v>6</v>
      </c>
    </row>
    <row r="107" spans="1:42" ht="15">
      <c r="A107" s="65" t="s">
        <v>415</v>
      </c>
      <c r="B107" s="65" t="s">
        <v>417</v>
      </c>
      <c r="C107" s="66" t="s">
        <v>2942</v>
      </c>
      <c r="D107" s="67">
        <v>3</v>
      </c>
      <c r="E107" s="68"/>
      <c r="F107" s="69">
        <v>40</v>
      </c>
      <c r="G107" s="66"/>
      <c r="H107" s="70"/>
      <c r="I107" s="71"/>
      <c r="J107" s="71"/>
      <c r="K107" s="35" t="s">
        <v>65</v>
      </c>
      <c r="L107" s="79">
        <v>107</v>
      </c>
      <c r="M107" s="79"/>
      <c r="N107" s="73"/>
      <c r="O107" s="81" t="s">
        <v>564</v>
      </c>
      <c r="P107" s="81" t="s">
        <v>566</v>
      </c>
      <c r="Q107" s="84" t="s">
        <v>668</v>
      </c>
      <c r="R107" s="81" t="s">
        <v>415</v>
      </c>
      <c r="S107" s="81" t="s">
        <v>928</v>
      </c>
      <c r="T107" s="86" t="str">
        <f>HYPERLINK("http://www.youtube.com/channel/UCgHRnRM04bqxuFsbmaogYoQ")</f>
        <v>http://www.youtube.com/channel/UCgHRnRM04bqxuFsbmaogYoQ</v>
      </c>
      <c r="U107" s="81" t="s">
        <v>1056</v>
      </c>
      <c r="V107" s="81" t="s">
        <v>1110</v>
      </c>
      <c r="W107" s="86" t="str">
        <f>HYPERLINK("https://www.youtube.com/watch?v=GYSgH1g_YQI")</f>
        <v>https://www.youtube.com/watch?v=GYSgH1g_YQI</v>
      </c>
      <c r="X107" s="81" t="s">
        <v>1183</v>
      </c>
      <c r="Y107" s="81">
        <v>0</v>
      </c>
      <c r="Z107" s="88">
        <v>43468.86344907407</v>
      </c>
      <c r="AA107" s="88">
        <v>43468.86344907407</v>
      </c>
      <c r="AB107" s="81"/>
      <c r="AC107" s="81"/>
      <c r="AD107" s="84" t="s">
        <v>1239</v>
      </c>
      <c r="AE107" s="82">
        <v>1</v>
      </c>
      <c r="AF107" s="83" t="str">
        <f>REPLACE(INDEX(GroupVertices[Group],MATCH(Edges[[#This Row],[Vertex 1]],GroupVertices[Vertex],0)),1,1,"")</f>
        <v>5</v>
      </c>
      <c r="AG107" s="83" t="str">
        <f>REPLACE(INDEX(GroupVertices[Group],MATCH(Edges[[#This Row],[Vertex 2]],GroupVertices[Vertex],0)),1,1,"")</f>
        <v>5</v>
      </c>
      <c r="AH107" s="111">
        <v>0</v>
      </c>
      <c r="AI107" s="112">
        <v>0</v>
      </c>
      <c r="AJ107" s="111">
        <v>0</v>
      </c>
      <c r="AK107" s="112">
        <v>0</v>
      </c>
      <c r="AL107" s="111">
        <v>0</v>
      </c>
      <c r="AM107" s="112">
        <v>0</v>
      </c>
      <c r="AN107" s="111">
        <v>8</v>
      </c>
      <c r="AO107" s="112">
        <v>100</v>
      </c>
      <c r="AP107" s="111">
        <v>8</v>
      </c>
    </row>
    <row r="108" spans="1:42" ht="15">
      <c r="A108" s="65" t="s">
        <v>416</v>
      </c>
      <c r="B108" s="65" t="s">
        <v>417</v>
      </c>
      <c r="C108" s="66" t="s">
        <v>2942</v>
      </c>
      <c r="D108" s="67">
        <v>3</v>
      </c>
      <c r="E108" s="68"/>
      <c r="F108" s="69">
        <v>40</v>
      </c>
      <c r="G108" s="66"/>
      <c r="H108" s="70"/>
      <c r="I108" s="71"/>
      <c r="J108" s="71"/>
      <c r="K108" s="35" t="s">
        <v>65</v>
      </c>
      <c r="L108" s="79">
        <v>108</v>
      </c>
      <c r="M108" s="79"/>
      <c r="N108" s="73"/>
      <c r="O108" s="81" t="s">
        <v>564</v>
      </c>
      <c r="P108" s="81" t="s">
        <v>566</v>
      </c>
      <c r="Q108" s="84" t="s">
        <v>669</v>
      </c>
      <c r="R108" s="81" t="s">
        <v>416</v>
      </c>
      <c r="S108" s="81" t="s">
        <v>929</v>
      </c>
      <c r="T108" s="86" t="str">
        <f>HYPERLINK("http://www.youtube.com/channel/UCNqum2PJcIKJNqgdpJT_BAQ")</f>
        <v>http://www.youtube.com/channel/UCNqum2PJcIKJNqgdpJT_BAQ</v>
      </c>
      <c r="U108" s="81" t="s">
        <v>1056</v>
      </c>
      <c r="V108" s="81" t="s">
        <v>1110</v>
      </c>
      <c r="W108" s="86" t="str">
        <f>HYPERLINK("https://www.youtube.com/watch?v=GYSgH1g_YQI")</f>
        <v>https://www.youtube.com/watch?v=GYSgH1g_YQI</v>
      </c>
      <c r="X108" s="81" t="s">
        <v>1183</v>
      </c>
      <c r="Y108" s="81">
        <v>0</v>
      </c>
      <c r="Z108" s="88">
        <v>43945.56465277778</v>
      </c>
      <c r="AA108" s="88">
        <v>43945.56465277778</v>
      </c>
      <c r="AB108" s="81" t="s">
        <v>1195</v>
      </c>
      <c r="AC108" s="81" t="s">
        <v>1227</v>
      </c>
      <c r="AD108" s="84" t="s">
        <v>1239</v>
      </c>
      <c r="AE108" s="82">
        <v>1</v>
      </c>
      <c r="AF108" s="83" t="str">
        <f>REPLACE(INDEX(GroupVertices[Group],MATCH(Edges[[#This Row],[Vertex 1]],GroupVertices[Vertex],0)),1,1,"")</f>
        <v>5</v>
      </c>
      <c r="AG108" s="83" t="str">
        <f>REPLACE(INDEX(GroupVertices[Group],MATCH(Edges[[#This Row],[Vertex 2]],GroupVertices[Vertex],0)),1,1,"")</f>
        <v>5</v>
      </c>
      <c r="AH108" s="111">
        <v>0</v>
      </c>
      <c r="AI108" s="112">
        <v>0</v>
      </c>
      <c r="AJ108" s="111">
        <v>0</v>
      </c>
      <c r="AK108" s="112">
        <v>0</v>
      </c>
      <c r="AL108" s="111">
        <v>0</v>
      </c>
      <c r="AM108" s="112">
        <v>0</v>
      </c>
      <c r="AN108" s="111">
        <v>21</v>
      </c>
      <c r="AO108" s="112">
        <v>100</v>
      </c>
      <c r="AP108" s="111">
        <v>21</v>
      </c>
    </row>
    <row r="109" spans="1:42" ht="15">
      <c r="A109" s="65" t="s">
        <v>417</v>
      </c>
      <c r="B109" s="65" t="s">
        <v>417</v>
      </c>
      <c r="C109" s="66" t="s">
        <v>2942</v>
      </c>
      <c r="D109" s="67">
        <v>3</v>
      </c>
      <c r="E109" s="68"/>
      <c r="F109" s="69">
        <v>40</v>
      </c>
      <c r="G109" s="66"/>
      <c r="H109" s="70"/>
      <c r="I109" s="71"/>
      <c r="J109" s="71"/>
      <c r="K109" s="35" t="s">
        <v>65</v>
      </c>
      <c r="L109" s="79">
        <v>109</v>
      </c>
      <c r="M109" s="79"/>
      <c r="N109" s="73"/>
      <c r="O109" s="81" t="s">
        <v>564</v>
      </c>
      <c r="P109" s="81" t="s">
        <v>566</v>
      </c>
      <c r="Q109" s="84" t="s">
        <v>670</v>
      </c>
      <c r="R109" s="81" t="s">
        <v>417</v>
      </c>
      <c r="S109" s="81" t="s">
        <v>930</v>
      </c>
      <c r="T109" s="86" t="str">
        <f>HYPERLINK("http://www.youtube.com/channel/UCk1fFx94xROs0rc-0X9B5xQ")</f>
        <v>http://www.youtube.com/channel/UCk1fFx94xROs0rc-0X9B5xQ</v>
      </c>
      <c r="U109" s="81" t="s">
        <v>1056</v>
      </c>
      <c r="V109" s="81" t="s">
        <v>1110</v>
      </c>
      <c r="W109" s="86" t="str">
        <f>HYPERLINK("https://www.youtube.com/watch?v=GYSgH1g_YQI")</f>
        <v>https://www.youtube.com/watch?v=GYSgH1g_YQI</v>
      </c>
      <c r="X109" s="81" t="s">
        <v>1183</v>
      </c>
      <c r="Y109" s="81">
        <v>0</v>
      </c>
      <c r="Z109" s="88">
        <v>43140.62809027778</v>
      </c>
      <c r="AA109" s="88">
        <v>43140.62809027778</v>
      </c>
      <c r="AB109" s="81"/>
      <c r="AC109" s="81"/>
      <c r="AD109" s="84" t="s">
        <v>1239</v>
      </c>
      <c r="AE109" s="82">
        <v>1</v>
      </c>
      <c r="AF109" s="83" t="str">
        <f>REPLACE(INDEX(GroupVertices[Group],MATCH(Edges[[#This Row],[Vertex 1]],GroupVertices[Vertex],0)),1,1,"")</f>
        <v>5</v>
      </c>
      <c r="AG109" s="83" t="str">
        <f>REPLACE(INDEX(GroupVertices[Group],MATCH(Edges[[#This Row],[Vertex 2]],GroupVertices[Vertex],0)),1,1,"")</f>
        <v>5</v>
      </c>
      <c r="AH109" s="111">
        <v>0</v>
      </c>
      <c r="AI109" s="112">
        <v>0</v>
      </c>
      <c r="AJ109" s="111">
        <v>0</v>
      </c>
      <c r="AK109" s="112">
        <v>0</v>
      </c>
      <c r="AL109" s="111">
        <v>0</v>
      </c>
      <c r="AM109" s="112">
        <v>0</v>
      </c>
      <c r="AN109" s="111">
        <v>31</v>
      </c>
      <c r="AO109" s="112">
        <v>100</v>
      </c>
      <c r="AP109" s="111">
        <v>31</v>
      </c>
    </row>
    <row r="110" spans="1:42" ht="15">
      <c r="A110" s="65" t="s">
        <v>417</v>
      </c>
      <c r="B110" s="65" t="s">
        <v>551</v>
      </c>
      <c r="C110" s="66" t="s">
        <v>2942</v>
      </c>
      <c r="D110" s="67">
        <v>3</v>
      </c>
      <c r="E110" s="68"/>
      <c r="F110" s="69">
        <v>40</v>
      </c>
      <c r="G110" s="66"/>
      <c r="H110" s="70"/>
      <c r="I110" s="71"/>
      <c r="J110" s="71"/>
      <c r="K110" s="35" t="s">
        <v>65</v>
      </c>
      <c r="L110" s="79">
        <v>110</v>
      </c>
      <c r="M110" s="79"/>
      <c r="N110" s="73"/>
      <c r="O110" s="81" t="s">
        <v>563</v>
      </c>
      <c r="P110" s="81" t="s">
        <v>325</v>
      </c>
      <c r="Q110" s="84" t="s">
        <v>671</v>
      </c>
      <c r="R110" s="81" t="s">
        <v>417</v>
      </c>
      <c r="S110" s="81" t="s">
        <v>930</v>
      </c>
      <c r="T110" s="86" t="str">
        <f>HYPERLINK("http://www.youtube.com/channel/UCk1fFx94xROs0rc-0X9B5xQ")</f>
        <v>http://www.youtube.com/channel/UCk1fFx94xROs0rc-0X9B5xQ</v>
      </c>
      <c r="U110" s="81"/>
      <c r="V110" s="81" t="s">
        <v>1110</v>
      </c>
      <c r="W110" s="86" t="str">
        <f>HYPERLINK("https://www.youtube.com/watch?v=GYSgH1g_YQI")</f>
        <v>https://www.youtube.com/watch?v=GYSgH1g_YQI</v>
      </c>
      <c r="X110" s="81" t="s">
        <v>1183</v>
      </c>
      <c r="Y110" s="81">
        <v>0</v>
      </c>
      <c r="Z110" s="88">
        <v>43140.50171296296</v>
      </c>
      <c r="AA110" s="88">
        <v>43140.50171296296</v>
      </c>
      <c r="AB110" s="81" t="s">
        <v>1196</v>
      </c>
      <c r="AC110" s="81" t="s">
        <v>1229</v>
      </c>
      <c r="AD110" s="84" t="s">
        <v>1239</v>
      </c>
      <c r="AE110" s="82">
        <v>1</v>
      </c>
      <c r="AF110" s="83" t="str">
        <f>REPLACE(INDEX(GroupVertices[Group],MATCH(Edges[[#This Row],[Vertex 1]],GroupVertices[Vertex],0)),1,1,"")</f>
        <v>5</v>
      </c>
      <c r="AG110" s="83" t="str">
        <f>REPLACE(INDEX(GroupVertices[Group],MATCH(Edges[[#This Row],[Vertex 2]],GroupVertices[Vertex],0)),1,1,"")</f>
        <v>5</v>
      </c>
      <c r="AH110" s="111">
        <v>1</v>
      </c>
      <c r="AI110" s="112">
        <v>1.3513513513513513</v>
      </c>
      <c r="AJ110" s="111">
        <v>0</v>
      </c>
      <c r="AK110" s="112">
        <v>0</v>
      </c>
      <c r="AL110" s="111">
        <v>0</v>
      </c>
      <c r="AM110" s="112">
        <v>0</v>
      </c>
      <c r="AN110" s="111">
        <v>73</v>
      </c>
      <c r="AO110" s="112">
        <v>98.64864864864865</v>
      </c>
      <c r="AP110" s="111">
        <v>74</v>
      </c>
    </row>
    <row r="111" spans="1:42" ht="15">
      <c r="A111" s="65" t="s">
        <v>418</v>
      </c>
      <c r="B111" s="65" t="s">
        <v>419</v>
      </c>
      <c r="C111" s="66" t="s">
        <v>2942</v>
      </c>
      <c r="D111" s="67">
        <v>3</v>
      </c>
      <c r="E111" s="68"/>
      <c r="F111" s="69">
        <v>40</v>
      </c>
      <c r="G111" s="66"/>
      <c r="H111" s="70"/>
      <c r="I111" s="71"/>
      <c r="J111" s="71"/>
      <c r="K111" s="35" t="s">
        <v>65</v>
      </c>
      <c r="L111" s="79">
        <v>111</v>
      </c>
      <c r="M111" s="79"/>
      <c r="N111" s="73"/>
      <c r="O111" s="81" t="s">
        <v>564</v>
      </c>
      <c r="P111" s="81" t="s">
        <v>566</v>
      </c>
      <c r="Q111" s="84" t="s">
        <v>672</v>
      </c>
      <c r="R111" s="81" t="s">
        <v>418</v>
      </c>
      <c r="S111" s="81" t="s">
        <v>931</v>
      </c>
      <c r="T111" s="86" t="str">
        <f>HYPERLINK("http://www.youtube.com/channel/UCaHhU-OK1Vac5L2ghUiDtfw")</f>
        <v>http://www.youtube.com/channel/UCaHhU-OK1Vac5L2ghUiDtfw</v>
      </c>
      <c r="U111" s="81" t="s">
        <v>1057</v>
      </c>
      <c r="V111" s="81" t="s">
        <v>1110</v>
      </c>
      <c r="W111" s="86" t="str">
        <f>HYPERLINK("https://www.youtube.com/watch?v=")</f>
        <v>https://www.youtube.com/watch?v=</v>
      </c>
      <c r="X111" s="81" t="s">
        <v>1183</v>
      </c>
      <c r="Y111" s="81">
        <v>0</v>
      </c>
      <c r="Z111" s="88">
        <v>44153.603321759256</v>
      </c>
      <c r="AA111" s="88">
        <v>44153.603321759256</v>
      </c>
      <c r="AB111" s="81"/>
      <c r="AC111" s="81"/>
      <c r="AD111" s="84" t="s">
        <v>1239</v>
      </c>
      <c r="AE111" s="82">
        <v>1</v>
      </c>
      <c r="AF111" s="83" t="str">
        <f>REPLACE(INDEX(GroupVertices[Group],MATCH(Edges[[#This Row],[Vertex 1]],GroupVertices[Vertex],0)),1,1,"")</f>
        <v>5</v>
      </c>
      <c r="AG111" s="83" t="str">
        <f>REPLACE(INDEX(GroupVertices[Group],MATCH(Edges[[#This Row],[Vertex 2]],GroupVertices[Vertex],0)),1,1,"")</f>
        <v>5</v>
      </c>
      <c r="AH111" s="111">
        <v>0</v>
      </c>
      <c r="AI111" s="112">
        <v>0</v>
      </c>
      <c r="AJ111" s="111">
        <v>0</v>
      </c>
      <c r="AK111" s="112">
        <v>0</v>
      </c>
      <c r="AL111" s="111">
        <v>0</v>
      </c>
      <c r="AM111" s="112">
        <v>0</v>
      </c>
      <c r="AN111" s="111">
        <v>14</v>
      </c>
      <c r="AO111" s="112">
        <v>100</v>
      </c>
      <c r="AP111" s="111">
        <v>14</v>
      </c>
    </row>
    <row r="112" spans="1:42" ht="15">
      <c r="A112" s="65" t="s">
        <v>419</v>
      </c>
      <c r="B112" s="65" t="s">
        <v>551</v>
      </c>
      <c r="C112" s="66" t="s">
        <v>2942</v>
      </c>
      <c r="D112" s="67">
        <v>3</v>
      </c>
      <c r="E112" s="68"/>
      <c r="F112" s="69">
        <v>40</v>
      </c>
      <c r="G112" s="66"/>
      <c r="H112" s="70"/>
      <c r="I112" s="71"/>
      <c r="J112" s="71"/>
      <c r="K112" s="35" t="s">
        <v>65</v>
      </c>
      <c r="L112" s="79">
        <v>112</v>
      </c>
      <c r="M112" s="79"/>
      <c r="N112" s="73"/>
      <c r="O112" s="81" t="s">
        <v>563</v>
      </c>
      <c r="P112" s="81" t="s">
        <v>325</v>
      </c>
      <c r="Q112" s="84" t="s">
        <v>673</v>
      </c>
      <c r="R112" s="81" t="s">
        <v>419</v>
      </c>
      <c r="S112" s="81" t="s">
        <v>932</v>
      </c>
      <c r="T112" s="86" t="str">
        <f>HYPERLINK("http://www.youtube.com/channel/UC9WOPcj0UJiSLURpeHpTLGg")</f>
        <v>http://www.youtube.com/channel/UC9WOPcj0UJiSLURpeHpTLGg</v>
      </c>
      <c r="U112" s="81"/>
      <c r="V112" s="81" t="s">
        <v>1110</v>
      </c>
      <c r="W112" s="86" t="str">
        <f>HYPERLINK("https://www.youtube.com/watch?v=GYSgH1g_YQI")</f>
        <v>https://www.youtube.com/watch?v=GYSgH1g_YQI</v>
      </c>
      <c r="X112" s="81" t="s">
        <v>1183</v>
      </c>
      <c r="Y112" s="81">
        <v>0</v>
      </c>
      <c r="Z112" s="88">
        <v>44152.93481481481</v>
      </c>
      <c r="AA112" s="88">
        <v>44152.93481481481</v>
      </c>
      <c r="AB112" s="81" t="s">
        <v>1197</v>
      </c>
      <c r="AC112" s="81" t="s">
        <v>1221</v>
      </c>
      <c r="AD112" s="84" t="s">
        <v>1239</v>
      </c>
      <c r="AE112" s="82">
        <v>1</v>
      </c>
      <c r="AF112" s="83" t="str">
        <f>REPLACE(INDEX(GroupVertices[Group],MATCH(Edges[[#This Row],[Vertex 1]],GroupVertices[Vertex],0)),1,1,"")</f>
        <v>5</v>
      </c>
      <c r="AG112" s="83" t="str">
        <f>REPLACE(INDEX(GroupVertices[Group],MATCH(Edges[[#This Row],[Vertex 2]],GroupVertices[Vertex],0)),1,1,"")</f>
        <v>5</v>
      </c>
      <c r="AH112" s="111">
        <v>0</v>
      </c>
      <c r="AI112" s="112">
        <v>0</v>
      </c>
      <c r="AJ112" s="111">
        <v>0</v>
      </c>
      <c r="AK112" s="112">
        <v>0</v>
      </c>
      <c r="AL112" s="111">
        <v>0</v>
      </c>
      <c r="AM112" s="112">
        <v>0</v>
      </c>
      <c r="AN112" s="111">
        <v>45</v>
      </c>
      <c r="AO112" s="112">
        <v>100</v>
      </c>
      <c r="AP112" s="111">
        <v>45</v>
      </c>
    </row>
    <row r="113" spans="1:42" ht="15">
      <c r="A113" s="65" t="s">
        <v>420</v>
      </c>
      <c r="B113" s="65" t="s">
        <v>369</v>
      </c>
      <c r="C113" s="66" t="s">
        <v>2942</v>
      </c>
      <c r="D113" s="67">
        <v>3</v>
      </c>
      <c r="E113" s="68"/>
      <c r="F113" s="69">
        <v>40</v>
      </c>
      <c r="G113" s="66"/>
      <c r="H113" s="70"/>
      <c r="I113" s="71"/>
      <c r="J113" s="71"/>
      <c r="K113" s="35" t="s">
        <v>65</v>
      </c>
      <c r="L113" s="79">
        <v>113</v>
      </c>
      <c r="M113" s="79"/>
      <c r="N113" s="73"/>
      <c r="O113" s="81" t="s">
        <v>563</v>
      </c>
      <c r="P113" s="81" t="s">
        <v>325</v>
      </c>
      <c r="Q113" s="84" t="s">
        <v>674</v>
      </c>
      <c r="R113" s="81" t="s">
        <v>420</v>
      </c>
      <c r="S113" s="81" t="s">
        <v>933</v>
      </c>
      <c r="T113" s="86" t="str">
        <f>HYPERLINK("http://www.youtube.com/channel/UCJIZkb4wSJWKnDl2y3zC5Fg")</f>
        <v>http://www.youtube.com/channel/UCJIZkb4wSJWKnDl2y3zC5Fg</v>
      </c>
      <c r="U113" s="81"/>
      <c r="V113" s="81" t="s">
        <v>1111</v>
      </c>
      <c r="W113" s="86" t="str">
        <f>HYPERLINK("https://www.youtube.com/watch?v=_ci5QaUkAfw")</f>
        <v>https://www.youtube.com/watch?v=_ci5QaUkAfw</v>
      </c>
      <c r="X113" s="81" t="s">
        <v>1183</v>
      </c>
      <c r="Y113" s="81">
        <v>0</v>
      </c>
      <c r="Z113" s="88">
        <v>42217.035520833335</v>
      </c>
      <c r="AA113" s="88">
        <v>42217.035520833335</v>
      </c>
      <c r="AB113" s="81"/>
      <c r="AC113" s="81"/>
      <c r="AD113" s="84" t="s">
        <v>1239</v>
      </c>
      <c r="AE113" s="82">
        <v>1</v>
      </c>
      <c r="AF113" s="83" t="str">
        <f>REPLACE(INDEX(GroupVertices[Group],MATCH(Edges[[#This Row],[Vertex 1]],GroupVertices[Vertex],0)),1,1,"")</f>
        <v>1</v>
      </c>
      <c r="AG113" s="83" t="str">
        <f>REPLACE(INDEX(GroupVertices[Group],MATCH(Edges[[#This Row],[Vertex 2]],GroupVertices[Vertex],0)),1,1,"")</f>
        <v>1</v>
      </c>
      <c r="AH113" s="111">
        <v>0</v>
      </c>
      <c r="AI113" s="112">
        <v>0</v>
      </c>
      <c r="AJ113" s="111">
        <v>1</v>
      </c>
      <c r="AK113" s="112">
        <v>1.9230769230769231</v>
      </c>
      <c r="AL113" s="111">
        <v>0</v>
      </c>
      <c r="AM113" s="112">
        <v>0</v>
      </c>
      <c r="AN113" s="111">
        <v>51</v>
      </c>
      <c r="AO113" s="112">
        <v>98.07692307692308</v>
      </c>
      <c r="AP113" s="111">
        <v>52</v>
      </c>
    </row>
    <row r="114" spans="1:42" ht="15">
      <c r="A114" s="65" t="s">
        <v>421</v>
      </c>
      <c r="B114" s="65" t="s">
        <v>430</v>
      </c>
      <c r="C114" s="66" t="s">
        <v>2942</v>
      </c>
      <c r="D114" s="67">
        <v>3</v>
      </c>
      <c r="E114" s="68"/>
      <c r="F114" s="69">
        <v>40</v>
      </c>
      <c r="G114" s="66"/>
      <c r="H114" s="70"/>
      <c r="I114" s="71"/>
      <c r="J114" s="71"/>
      <c r="K114" s="35" t="s">
        <v>65</v>
      </c>
      <c r="L114" s="79">
        <v>114</v>
      </c>
      <c r="M114" s="79"/>
      <c r="N114" s="73"/>
      <c r="O114" s="81" t="s">
        <v>563</v>
      </c>
      <c r="P114" s="81" t="s">
        <v>325</v>
      </c>
      <c r="Q114" s="84" t="s">
        <v>675</v>
      </c>
      <c r="R114" s="81" t="s">
        <v>421</v>
      </c>
      <c r="S114" s="81" t="s">
        <v>934</v>
      </c>
      <c r="T114" s="86" t="str">
        <f>HYPERLINK("http://www.youtube.com/channel/UCdroRJc0_ZpOqXd_5Gp1UEA")</f>
        <v>http://www.youtube.com/channel/UCdroRJc0_ZpOqXd_5Gp1UEA</v>
      </c>
      <c r="U114" s="81"/>
      <c r="V114" s="81" t="s">
        <v>1112</v>
      </c>
      <c r="W114" s="86" t="str">
        <f>HYPERLINK("https://www.youtube.com/watch?v=yknqOhpUtzQ")</f>
        <v>https://www.youtube.com/watch?v=yknqOhpUtzQ</v>
      </c>
      <c r="X114" s="81" t="s">
        <v>1183</v>
      </c>
      <c r="Y114" s="81">
        <v>0</v>
      </c>
      <c r="Z114" s="88">
        <v>42155.941875</v>
      </c>
      <c r="AA114" s="88">
        <v>42155.941875</v>
      </c>
      <c r="AB114" s="81"/>
      <c r="AC114" s="81"/>
      <c r="AD114" s="84" t="s">
        <v>1239</v>
      </c>
      <c r="AE114" s="82">
        <v>1</v>
      </c>
      <c r="AF114" s="83" t="str">
        <f>REPLACE(INDEX(GroupVertices[Group],MATCH(Edges[[#This Row],[Vertex 1]],GroupVertices[Vertex],0)),1,1,"")</f>
        <v>7</v>
      </c>
      <c r="AG114" s="83" t="str">
        <f>REPLACE(INDEX(GroupVertices[Group],MATCH(Edges[[#This Row],[Vertex 2]],GroupVertices[Vertex],0)),1,1,"")</f>
        <v>7</v>
      </c>
      <c r="AH114" s="111">
        <v>0</v>
      </c>
      <c r="AI114" s="112">
        <v>0</v>
      </c>
      <c r="AJ114" s="111">
        <v>0</v>
      </c>
      <c r="AK114" s="112">
        <v>0</v>
      </c>
      <c r="AL114" s="111">
        <v>0</v>
      </c>
      <c r="AM114" s="112">
        <v>0</v>
      </c>
      <c r="AN114" s="111">
        <v>5</v>
      </c>
      <c r="AO114" s="112">
        <v>100</v>
      </c>
      <c r="AP114" s="111">
        <v>5</v>
      </c>
    </row>
    <row r="115" spans="1:42" ht="15">
      <c r="A115" s="65" t="s">
        <v>422</v>
      </c>
      <c r="B115" s="65" t="s">
        <v>430</v>
      </c>
      <c r="C115" s="66" t="s">
        <v>2942</v>
      </c>
      <c r="D115" s="67">
        <v>3</v>
      </c>
      <c r="E115" s="68"/>
      <c r="F115" s="69">
        <v>40</v>
      </c>
      <c r="G115" s="66"/>
      <c r="H115" s="70"/>
      <c r="I115" s="71"/>
      <c r="J115" s="71"/>
      <c r="K115" s="35" t="s">
        <v>65</v>
      </c>
      <c r="L115" s="79">
        <v>115</v>
      </c>
      <c r="M115" s="79"/>
      <c r="N115" s="73"/>
      <c r="O115" s="81" t="s">
        <v>563</v>
      </c>
      <c r="P115" s="81" t="s">
        <v>325</v>
      </c>
      <c r="Q115" s="84" t="s">
        <v>676</v>
      </c>
      <c r="R115" s="81" t="s">
        <v>422</v>
      </c>
      <c r="S115" s="81" t="s">
        <v>935</v>
      </c>
      <c r="T115" s="86" t="str">
        <f>HYPERLINK("http://www.youtube.com/channel/UCh3yYzeRVs-FINrguoLPzjA")</f>
        <v>http://www.youtube.com/channel/UCh3yYzeRVs-FINrguoLPzjA</v>
      </c>
      <c r="U115" s="81"/>
      <c r="V115" s="81" t="s">
        <v>1112</v>
      </c>
      <c r="W115" s="86" t="str">
        <f>HYPERLINK("https://www.youtube.com/watch?v=yknqOhpUtzQ")</f>
        <v>https://www.youtube.com/watch?v=yknqOhpUtzQ</v>
      </c>
      <c r="X115" s="81" t="s">
        <v>1183</v>
      </c>
      <c r="Y115" s="81">
        <v>0</v>
      </c>
      <c r="Z115" s="88">
        <v>42341.83746527778</v>
      </c>
      <c r="AA115" s="88">
        <v>42341.83746527778</v>
      </c>
      <c r="AB115" s="81"/>
      <c r="AC115" s="81"/>
      <c r="AD115" s="84" t="s">
        <v>1239</v>
      </c>
      <c r="AE115" s="82">
        <v>1</v>
      </c>
      <c r="AF115" s="83" t="str">
        <f>REPLACE(INDEX(GroupVertices[Group],MATCH(Edges[[#This Row],[Vertex 1]],GroupVertices[Vertex],0)),1,1,"")</f>
        <v>7</v>
      </c>
      <c r="AG115" s="83" t="str">
        <f>REPLACE(INDEX(GroupVertices[Group],MATCH(Edges[[#This Row],[Vertex 2]],GroupVertices[Vertex],0)),1,1,"")</f>
        <v>7</v>
      </c>
      <c r="AH115" s="111">
        <v>0</v>
      </c>
      <c r="AI115" s="112">
        <v>0</v>
      </c>
      <c r="AJ115" s="111">
        <v>0</v>
      </c>
      <c r="AK115" s="112">
        <v>0</v>
      </c>
      <c r="AL115" s="111">
        <v>0</v>
      </c>
      <c r="AM115" s="112">
        <v>0</v>
      </c>
      <c r="AN115" s="111">
        <v>12</v>
      </c>
      <c r="AO115" s="112">
        <v>100</v>
      </c>
      <c r="AP115" s="111">
        <v>12</v>
      </c>
    </row>
    <row r="116" spans="1:42" ht="15">
      <c r="A116" s="65" t="s">
        <v>423</v>
      </c>
      <c r="B116" s="65" t="s">
        <v>430</v>
      </c>
      <c r="C116" s="66" t="s">
        <v>2942</v>
      </c>
      <c r="D116" s="67">
        <v>3</v>
      </c>
      <c r="E116" s="68"/>
      <c r="F116" s="69">
        <v>40</v>
      </c>
      <c r="G116" s="66"/>
      <c r="H116" s="70"/>
      <c r="I116" s="71"/>
      <c r="J116" s="71"/>
      <c r="K116" s="35" t="s">
        <v>65</v>
      </c>
      <c r="L116" s="79">
        <v>116</v>
      </c>
      <c r="M116" s="79"/>
      <c r="N116" s="73"/>
      <c r="O116" s="81" t="s">
        <v>563</v>
      </c>
      <c r="P116" s="81" t="s">
        <v>325</v>
      </c>
      <c r="Q116" s="84" t="s">
        <v>677</v>
      </c>
      <c r="R116" s="81" t="s">
        <v>423</v>
      </c>
      <c r="S116" s="81" t="s">
        <v>936</v>
      </c>
      <c r="T116" s="86" t="str">
        <f>HYPERLINK("http://www.youtube.com/channel/UCixxAbFxgX_ukjZQmAnkSPw")</f>
        <v>http://www.youtube.com/channel/UCixxAbFxgX_ukjZQmAnkSPw</v>
      </c>
      <c r="U116" s="81"/>
      <c r="V116" s="81" t="s">
        <v>1112</v>
      </c>
      <c r="W116" s="86" t="str">
        <f>HYPERLINK("https://www.youtube.com/watch?v=yknqOhpUtzQ")</f>
        <v>https://www.youtube.com/watch?v=yknqOhpUtzQ</v>
      </c>
      <c r="X116" s="81" t="s">
        <v>1183</v>
      </c>
      <c r="Y116" s="81">
        <v>0</v>
      </c>
      <c r="Z116" s="88">
        <v>42425.804247685184</v>
      </c>
      <c r="AA116" s="88">
        <v>42425.804247685184</v>
      </c>
      <c r="AB116" s="81"/>
      <c r="AC116" s="81"/>
      <c r="AD116" s="84" t="s">
        <v>1239</v>
      </c>
      <c r="AE116" s="82">
        <v>1</v>
      </c>
      <c r="AF116" s="83" t="str">
        <f>REPLACE(INDEX(GroupVertices[Group],MATCH(Edges[[#This Row],[Vertex 1]],GroupVertices[Vertex],0)),1,1,"")</f>
        <v>7</v>
      </c>
      <c r="AG116" s="83" t="str">
        <f>REPLACE(INDEX(GroupVertices[Group],MATCH(Edges[[#This Row],[Vertex 2]],GroupVertices[Vertex],0)),1,1,"")</f>
        <v>7</v>
      </c>
      <c r="AH116" s="111">
        <v>0</v>
      </c>
      <c r="AI116" s="112">
        <v>0</v>
      </c>
      <c r="AJ116" s="111">
        <v>0</v>
      </c>
      <c r="AK116" s="112">
        <v>0</v>
      </c>
      <c r="AL116" s="111">
        <v>0</v>
      </c>
      <c r="AM116" s="112">
        <v>0</v>
      </c>
      <c r="AN116" s="111">
        <v>12</v>
      </c>
      <c r="AO116" s="112">
        <v>100</v>
      </c>
      <c r="AP116" s="111">
        <v>12</v>
      </c>
    </row>
    <row r="117" spans="1:42" ht="15">
      <c r="A117" s="65" t="s">
        <v>424</v>
      </c>
      <c r="B117" s="65" t="s">
        <v>430</v>
      </c>
      <c r="C117" s="66" t="s">
        <v>2942</v>
      </c>
      <c r="D117" s="67">
        <v>3</v>
      </c>
      <c r="E117" s="68"/>
      <c r="F117" s="69">
        <v>40</v>
      </c>
      <c r="G117" s="66"/>
      <c r="H117" s="70"/>
      <c r="I117" s="71"/>
      <c r="J117" s="71"/>
      <c r="K117" s="35" t="s">
        <v>65</v>
      </c>
      <c r="L117" s="79">
        <v>117</v>
      </c>
      <c r="M117" s="79"/>
      <c r="N117" s="73"/>
      <c r="O117" s="81" t="s">
        <v>563</v>
      </c>
      <c r="P117" s="81" t="s">
        <v>325</v>
      </c>
      <c r="Q117" s="84" t="s">
        <v>678</v>
      </c>
      <c r="R117" s="81" t="s">
        <v>424</v>
      </c>
      <c r="S117" s="81" t="s">
        <v>937</v>
      </c>
      <c r="T117" s="86" t="str">
        <f>HYPERLINK("http://www.youtube.com/channel/UCI9yBt6c5JsNA4ojCmidRiQ")</f>
        <v>http://www.youtube.com/channel/UCI9yBt6c5JsNA4ojCmidRiQ</v>
      </c>
      <c r="U117" s="81"/>
      <c r="V117" s="81" t="s">
        <v>1112</v>
      </c>
      <c r="W117" s="86" t="str">
        <f>HYPERLINK("https://www.youtube.com/watch?v=yknqOhpUtzQ")</f>
        <v>https://www.youtube.com/watch?v=yknqOhpUtzQ</v>
      </c>
      <c r="X117" s="81" t="s">
        <v>1183</v>
      </c>
      <c r="Y117" s="81">
        <v>0</v>
      </c>
      <c r="Z117" s="88">
        <v>42696.801666666666</v>
      </c>
      <c r="AA117" s="88">
        <v>42696.803773148145</v>
      </c>
      <c r="AB117" s="81"/>
      <c r="AC117" s="81"/>
      <c r="AD117" s="84" t="s">
        <v>1239</v>
      </c>
      <c r="AE117" s="82">
        <v>1</v>
      </c>
      <c r="AF117" s="83" t="str">
        <f>REPLACE(INDEX(GroupVertices[Group],MATCH(Edges[[#This Row],[Vertex 1]],GroupVertices[Vertex],0)),1,1,"")</f>
        <v>7</v>
      </c>
      <c r="AG117" s="83" t="str">
        <f>REPLACE(INDEX(GroupVertices[Group],MATCH(Edges[[#This Row],[Vertex 2]],GroupVertices[Vertex],0)),1,1,"")</f>
        <v>7</v>
      </c>
      <c r="AH117" s="111">
        <v>2</v>
      </c>
      <c r="AI117" s="112">
        <v>28.571428571428573</v>
      </c>
      <c r="AJ117" s="111">
        <v>0</v>
      </c>
      <c r="AK117" s="112">
        <v>0</v>
      </c>
      <c r="AL117" s="111">
        <v>0</v>
      </c>
      <c r="AM117" s="112">
        <v>0</v>
      </c>
      <c r="AN117" s="111">
        <v>5</v>
      </c>
      <c r="AO117" s="112">
        <v>71.42857142857143</v>
      </c>
      <c r="AP117" s="111">
        <v>7</v>
      </c>
    </row>
    <row r="118" spans="1:42" ht="15">
      <c r="A118" s="65" t="s">
        <v>425</v>
      </c>
      <c r="B118" s="65" t="s">
        <v>430</v>
      </c>
      <c r="C118" s="66" t="s">
        <v>2942</v>
      </c>
      <c r="D118" s="67">
        <v>3</v>
      </c>
      <c r="E118" s="68"/>
      <c r="F118" s="69">
        <v>40</v>
      </c>
      <c r="G118" s="66"/>
      <c r="H118" s="70"/>
      <c r="I118" s="71"/>
      <c r="J118" s="71"/>
      <c r="K118" s="35" t="s">
        <v>65</v>
      </c>
      <c r="L118" s="79">
        <v>118</v>
      </c>
      <c r="M118" s="79"/>
      <c r="N118" s="73"/>
      <c r="O118" s="81" t="s">
        <v>563</v>
      </c>
      <c r="P118" s="81" t="s">
        <v>325</v>
      </c>
      <c r="Q118" s="84" t="s">
        <v>679</v>
      </c>
      <c r="R118" s="81" t="s">
        <v>425</v>
      </c>
      <c r="S118" s="81" t="s">
        <v>938</v>
      </c>
      <c r="T118" s="86" t="str">
        <f>HYPERLINK("http://www.youtube.com/channel/UCKuZZ1l9Em5c5WYrPKvLJWg")</f>
        <v>http://www.youtube.com/channel/UCKuZZ1l9Em5c5WYrPKvLJWg</v>
      </c>
      <c r="U118" s="81"/>
      <c r="V118" s="81" t="s">
        <v>1112</v>
      </c>
      <c r="W118" s="86" t="str">
        <f>HYPERLINK("https://www.youtube.com/watch?v=yknqOhpUtzQ")</f>
        <v>https://www.youtube.com/watch?v=yknqOhpUtzQ</v>
      </c>
      <c r="X118" s="81" t="s">
        <v>1183</v>
      </c>
      <c r="Y118" s="81">
        <v>0</v>
      </c>
      <c r="Z118" s="88">
        <v>42998.17070601852</v>
      </c>
      <c r="AA118" s="88">
        <v>42998.17070601852</v>
      </c>
      <c r="AB118" s="81"/>
      <c r="AC118" s="81"/>
      <c r="AD118" s="84" t="s">
        <v>1239</v>
      </c>
      <c r="AE118" s="82">
        <v>1</v>
      </c>
      <c r="AF118" s="83" t="str">
        <f>REPLACE(INDEX(GroupVertices[Group],MATCH(Edges[[#This Row],[Vertex 1]],GroupVertices[Vertex],0)),1,1,"")</f>
        <v>7</v>
      </c>
      <c r="AG118" s="83" t="str">
        <f>REPLACE(INDEX(GroupVertices[Group],MATCH(Edges[[#This Row],[Vertex 2]],GroupVertices[Vertex],0)),1,1,"")</f>
        <v>7</v>
      </c>
      <c r="AH118" s="111">
        <v>2</v>
      </c>
      <c r="AI118" s="112">
        <v>50</v>
      </c>
      <c r="AJ118" s="111">
        <v>0</v>
      </c>
      <c r="AK118" s="112">
        <v>0</v>
      </c>
      <c r="AL118" s="111">
        <v>0</v>
      </c>
      <c r="AM118" s="112">
        <v>0</v>
      </c>
      <c r="AN118" s="111">
        <v>2</v>
      </c>
      <c r="AO118" s="112">
        <v>50</v>
      </c>
      <c r="AP118" s="111">
        <v>4</v>
      </c>
    </row>
    <row r="119" spans="1:42" ht="15">
      <c r="A119" s="65" t="s">
        <v>426</v>
      </c>
      <c r="B119" s="65" t="s">
        <v>552</v>
      </c>
      <c r="C119" s="66" t="s">
        <v>2942</v>
      </c>
      <c r="D119" s="67">
        <v>3</v>
      </c>
      <c r="E119" s="68"/>
      <c r="F119" s="69">
        <v>40</v>
      </c>
      <c r="G119" s="66"/>
      <c r="H119" s="70"/>
      <c r="I119" s="71"/>
      <c r="J119" s="71"/>
      <c r="K119" s="35" t="s">
        <v>65</v>
      </c>
      <c r="L119" s="79">
        <v>119</v>
      </c>
      <c r="M119" s="79"/>
      <c r="N119" s="73"/>
      <c r="O119" s="81" t="s">
        <v>563</v>
      </c>
      <c r="P119" s="81" t="s">
        <v>325</v>
      </c>
      <c r="Q119" s="84" t="s">
        <v>680</v>
      </c>
      <c r="R119" s="81" t="s">
        <v>426</v>
      </c>
      <c r="S119" s="81" t="s">
        <v>939</v>
      </c>
      <c r="T119" s="86" t="str">
        <f>HYPERLINK("http://www.youtube.com/channel/UC5lFWTaAy8fFiZpMxEhN98A")</f>
        <v>http://www.youtube.com/channel/UC5lFWTaAy8fFiZpMxEhN98A</v>
      </c>
      <c r="U119" s="81"/>
      <c r="V119" s="81" t="s">
        <v>1113</v>
      </c>
      <c r="W119" s="86" t="str">
        <f>HYPERLINK("https://www.youtube.com/watch?v=TrCcbMEkJM0")</f>
        <v>https://www.youtube.com/watch?v=TrCcbMEkJM0</v>
      </c>
      <c r="X119" s="81" t="s">
        <v>1183</v>
      </c>
      <c r="Y119" s="81">
        <v>0</v>
      </c>
      <c r="Z119" s="88">
        <v>44472.120092592595</v>
      </c>
      <c r="AA119" s="88">
        <v>44472.120092592595</v>
      </c>
      <c r="AB119" s="81"/>
      <c r="AC119" s="81"/>
      <c r="AD119" s="84" t="s">
        <v>1239</v>
      </c>
      <c r="AE119" s="82">
        <v>1</v>
      </c>
      <c r="AF119" s="83" t="str">
        <f>REPLACE(INDEX(GroupVertices[Group],MATCH(Edges[[#This Row],[Vertex 1]],GroupVertices[Vertex],0)),1,1,"")</f>
        <v>15</v>
      </c>
      <c r="AG119" s="83" t="str">
        <f>REPLACE(INDEX(GroupVertices[Group],MATCH(Edges[[#This Row],[Vertex 2]],GroupVertices[Vertex],0)),1,1,"")</f>
        <v>15</v>
      </c>
      <c r="AH119" s="111">
        <v>0</v>
      </c>
      <c r="AI119" s="112">
        <v>0</v>
      </c>
      <c r="AJ119" s="111">
        <v>1</v>
      </c>
      <c r="AK119" s="112">
        <v>12.5</v>
      </c>
      <c r="AL119" s="111">
        <v>0</v>
      </c>
      <c r="AM119" s="112">
        <v>0</v>
      </c>
      <c r="AN119" s="111">
        <v>7</v>
      </c>
      <c r="AO119" s="112">
        <v>87.5</v>
      </c>
      <c r="AP119" s="111">
        <v>8</v>
      </c>
    </row>
    <row r="120" spans="1:42" ht="15">
      <c r="A120" s="65" t="s">
        <v>427</v>
      </c>
      <c r="B120" s="65" t="s">
        <v>552</v>
      </c>
      <c r="C120" s="66" t="s">
        <v>2942</v>
      </c>
      <c r="D120" s="67">
        <v>3</v>
      </c>
      <c r="E120" s="68"/>
      <c r="F120" s="69">
        <v>40</v>
      </c>
      <c r="G120" s="66"/>
      <c r="H120" s="70"/>
      <c r="I120" s="71"/>
      <c r="J120" s="71"/>
      <c r="K120" s="35" t="s">
        <v>65</v>
      </c>
      <c r="L120" s="79">
        <v>120</v>
      </c>
      <c r="M120" s="79"/>
      <c r="N120" s="73"/>
      <c r="O120" s="81" t="s">
        <v>563</v>
      </c>
      <c r="P120" s="81" t="s">
        <v>325</v>
      </c>
      <c r="Q120" s="84" t="s">
        <v>681</v>
      </c>
      <c r="R120" s="81" t="s">
        <v>427</v>
      </c>
      <c r="S120" s="81" t="s">
        <v>940</v>
      </c>
      <c r="T120" s="86" t="str">
        <f>HYPERLINK("http://www.youtube.com/channel/UCJL0AOQJZ0BewrdqUoIoqRw")</f>
        <v>http://www.youtube.com/channel/UCJL0AOQJZ0BewrdqUoIoqRw</v>
      </c>
      <c r="U120" s="81"/>
      <c r="V120" s="81" t="s">
        <v>1113</v>
      </c>
      <c r="W120" s="86" t="str">
        <f>HYPERLINK("https://www.youtube.com/watch?v=TrCcbMEkJM0")</f>
        <v>https://www.youtube.com/watch?v=TrCcbMEkJM0</v>
      </c>
      <c r="X120" s="81" t="s">
        <v>1183</v>
      </c>
      <c r="Y120" s="81">
        <v>0</v>
      </c>
      <c r="Z120" s="88">
        <v>44646.289502314816</v>
      </c>
      <c r="AA120" s="88">
        <v>44646.289502314816</v>
      </c>
      <c r="AB120" s="81"/>
      <c r="AC120" s="81"/>
      <c r="AD120" s="84" t="s">
        <v>1239</v>
      </c>
      <c r="AE120" s="82">
        <v>1</v>
      </c>
      <c r="AF120" s="83" t="str">
        <f>REPLACE(INDEX(GroupVertices[Group],MATCH(Edges[[#This Row],[Vertex 1]],GroupVertices[Vertex],0)),1,1,"")</f>
        <v>15</v>
      </c>
      <c r="AG120" s="83" t="str">
        <f>REPLACE(INDEX(GroupVertices[Group],MATCH(Edges[[#This Row],[Vertex 2]],GroupVertices[Vertex],0)),1,1,"")</f>
        <v>15</v>
      </c>
      <c r="AH120" s="111">
        <v>1</v>
      </c>
      <c r="AI120" s="112">
        <v>25</v>
      </c>
      <c r="AJ120" s="111">
        <v>0</v>
      </c>
      <c r="AK120" s="112">
        <v>0</v>
      </c>
      <c r="AL120" s="111">
        <v>0</v>
      </c>
      <c r="AM120" s="112">
        <v>0</v>
      </c>
      <c r="AN120" s="111">
        <v>3</v>
      </c>
      <c r="AO120" s="112">
        <v>75</v>
      </c>
      <c r="AP120" s="111">
        <v>4</v>
      </c>
    </row>
    <row r="121" spans="1:42" ht="15">
      <c r="A121" s="65" t="s">
        <v>428</v>
      </c>
      <c r="B121" s="65" t="s">
        <v>430</v>
      </c>
      <c r="C121" s="66" t="s">
        <v>2942</v>
      </c>
      <c r="D121" s="67">
        <v>3</v>
      </c>
      <c r="E121" s="68"/>
      <c r="F121" s="69">
        <v>40</v>
      </c>
      <c r="G121" s="66"/>
      <c r="H121" s="70"/>
      <c r="I121" s="71"/>
      <c r="J121" s="71"/>
      <c r="K121" s="35" t="s">
        <v>65</v>
      </c>
      <c r="L121" s="79">
        <v>121</v>
      </c>
      <c r="M121" s="79"/>
      <c r="N121" s="73"/>
      <c r="O121" s="81" t="s">
        <v>563</v>
      </c>
      <c r="P121" s="81" t="s">
        <v>325</v>
      </c>
      <c r="Q121" s="84" t="s">
        <v>682</v>
      </c>
      <c r="R121" s="81" t="s">
        <v>428</v>
      </c>
      <c r="S121" s="81" t="s">
        <v>941</v>
      </c>
      <c r="T121" s="86" t="str">
        <f>HYPERLINK("http://www.youtube.com/channel/UCOTJh6zzR3-NAPJBNKaqOgw")</f>
        <v>http://www.youtube.com/channel/UCOTJh6zzR3-NAPJBNKaqOgw</v>
      </c>
      <c r="U121" s="81"/>
      <c r="V121" s="81" t="s">
        <v>1114</v>
      </c>
      <c r="W121" s="86" t="str">
        <f>HYPERLINK("https://www.youtube.com/watch?v=0snyC8fNhXo")</f>
        <v>https://www.youtube.com/watch?v=0snyC8fNhXo</v>
      </c>
      <c r="X121" s="81" t="s">
        <v>1183</v>
      </c>
      <c r="Y121" s="81">
        <v>1</v>
      </c>
      <c r="Z121" s="88">
        <v>42441.126180555555</v>
      </c>
      <c r="AA121" s="88">
        <v>42441.126180555555</v>
      </c>
      <c r="AB121" s="81"/>
      <c r="AC121" s="81"/>
      <c r="AD121" s="84" t="s">
        <v>1239</v>
      </c>
      <c r="AE121" s="82">
        <v>1</v>
      </c>
      <c r="AF121" s="83" t="str">
        <f>REPLACE(INDEX(GroupVertices[Group],MATCH(Edges[[#This Row],[Vertex 1]],GroupVertices[Vertex],0)),1,1,"")</f>
        <v>7</v>
      </c>
      <c r="AG121" s="83" t="str">
        <f>REPLACE(INDEX(GroupVertices[Group],MATCH(Edges[[#This Row],[Vertex 2]],GroupVertices[Vertex],0)),1,1,"")</f>
        <v>7</v>
      </c>
      <c r="AH121" s="111">
        <v>2</v>
      </c>
      <c r="AI121" s="112">
        <v>50</v>
      </c>
      <c r="AJ121" s="111">
        <v>0</v>
      </c>
      <c r="AK121" s="112">
        <v>0</v>
      </c>
      <c r="AL121" s="111">
        <v>0</v>
      </c>
      <c r="AM121" s="112">
        <v>0</v>
      </c>
      <c r="AN121" s="111">
        <v>2</v>
      </c>
      <c r="AO121" s="112">
        <v>50</v>
      </c>
      <c r="AP121" s="111">
        <v>4</v>
      </c>
    </row>
    <row r="122" spans="1:42" ht="15">
      <c r="A122" s="65" t="s">
        <v>429</v>
      </c>
      <c r="B122" s="65" t="s">
        <v>431</v>
      </c>
      <c r="C122" s="66" t="s">
        <v>2942</v>
      </c>
      <c r="D122" s="67">
        <v>3</v>
      </c>
      <c r="E122" s="68"/>
      <c r="F122" s="69">
        <v>40</v>
      </c>
      <c r="G122" s="66"/>
      <c r="H122" s="70"/>
      <c r="I122" s="71"/>
      <c r="J122" s="71"/>
      <c r="K122" s="35" t="s">
        <v>65</v>
      </c>
      <c r="L122" s="79">
        <v>122</v>
      </c>
      <c r="M122" s="79"/>
      <c r="N122" s="73"/>
      <c r="O122" s="81" t="s">
        <v>564</v>
      </c>
      <c r="P122" s="81" t="s">
        <v>566</v>
      </c>
      <c r="Q122" s="84" t="s">
        <v>683</v>
      </c>
      <c r="R122" s="81" t="s">
        <v>429</v>
      </c>
      <c r="S122" s="81" t="s">
        <v>942</v>
      </c>
      <c r="T122" s="86" t="str">
        <f>HYPERLINK("http://www.youtube.com/channel/UC0UMID05DoGXImC7u-VQ8cA")</f>
        <v>http://www.youtube.com/channel/UC0UMID05DoGXImC7u-VQ8cA</v>
      </c>
      <c r="U122" s="81" t="s">
        <v>1058</v>
      </c>
      <c r="V122" s="81" t="s">
        <v>1114</v>
      </c>
      <c r="W122" s="86" t="str">
        <f>HYPERLINK("https://www.youtube.com/watch?v=0snyC8fNhXo")</f>
        <v>https://www.youtube.com/watch?v=0snyC8fNhXo</v>
      </c>
      <c r="X122" s="81" t="s">
        <v>1183</v>
      </c>
      <c r="Y122" s="81">
        <v>0</v>
      </c>
      <c r="Z122" s="88">
        <v>42658.55972222222</v>
      </c>
      <c r="AA122" s="88">
        <v>42658.55972222222</v>
      </c>
      <c r="AB122" s="81"/>
      <c r="AC122" s="81"/>
      <c r="AD122" s="84" t="s">
        <v>1239</v>
      </c>
      <c r="AE122" s="82">
        <v>1</v>
      </c>
      <c r="AF122" s="83" t="str">
        <f>REPLACE(INDEX(GroupVertices[Group],MATCH(Edges[[#This Row],[Vertex 1]],GroupVertices[Vertex],0)),1,1,"")</f>
        <v>7</v>
      </c>
      <c r="AG122" s="83" t="str">
        <f>REPLACE(INDEX(GroupVertices[Group],MATCH(Edges[[#This Row],[Vertex 2]],GroupVertices[Vertex],0)),1,1,"")</f>
        <v>7</v>
      </c>
      <c r="AH122" s="111">
        <v>1</v>
      </c>
      <c r="AI122" s="112">
        <v>3.5714285714285716</v>
      </c>
      <c r="AJ122" s="111">
        <v>0</v>
      </c>
      <c r="AK122" s="112">
        <v>0</v>
      </c>
      <c r="AL122" s="111">
        <v>0</v>
      </c>
      <c r="AM122" s="112">
        <v>0</v>
      </c>
      <c r="AN122" s="111">
        <v>27</v>
      </c>
      <c r="AO122" s="112">
        <v>96.42857142857143</v>
      </c>
      <c r="AP122" s="111">
        <v>28</v>
      </c>
    </row>
    <row r="123" spans="1:42" ht="15">
      <c r="A123" s="65" t="s">
        <v>430</v>
      </c>
      <c r="B123" s="65" t="s">
        <v>431</v>
      </c>
      <c r="C123" s="66" t="s">
        <v>2942</v>
      </c>
      <c r="D123" s="67">
        <v>3</v>
      </c>
      <c r="E123" s="68"/>
      <c r="F123" s="69">
        <v>40</v>
      </c>
      <c r="G123" s="66"/>
      <c r="H123" s="70"/>
      <c r="I123" s="71"/>
      <c r="J123" s="71"/>
      <c r="K123" s="35" t="s">
        <v>66</v>
      </c>
      <c r="L123" s="79">
        <v>123</v>
      </c>
      <c r="M123" s="79"/>
      <c r="N123" s="73"/>
      <c r="O123" s="81" t="s">
        <v>564</v>
      </c>
      <c r="P123" s="81" t="s">
        <v>566</v>
      </c>
      <c r="Q123" s="84" t="s">
        <v>684</v>
      </c>
      <c r="R123" s="81" t="s">
        <v>430</v>
      </c>
      <c r="S123" s="81" t="s">
        <v>943</v>
      </c>
      <c r="T123" s="86" t="str">
        <f>HYPERLINK("http://www.youtube.com/channel/UC4B0PCHbdzSSzlHORDsaYjQ")</f>
        <v>http://www.youtube.com/channel/UC4B0PCHbdzSSzlHORDsaYjQ</v>
      </c>
      <c r="U123" s="81" t="s">
        <v>1058</v>
      </c>
      <c r="V123" s="81" t="s">
        <v>1114</v>
      </c>
      <c r="W123" s="86" t="str">
        <f>HYPERLINK("https://www.youtube.com/watch?v=0snyC8fNhXo")</f>
        <v>https://www.youtube.com/watch?v=0snyC8fNhXo</v>
      </c>
      <c r="X123" s="81" t="s">
        <v>1183</v>
      </c>
      <c r="Y123" s="81">
        <v>0</v>
      </c>
      <c r="Z123" s="88">
        <v>42556.95118055555</v>
      </c>
      <c r="AA123" s="88">
        <v>42556.95118055555</v>
      </c>
      <c r="AB123" s="81"/>
      <c r="AC123" s="81"/>
      <c r="AD123" s="84" t="s">
        <v>1239</v>
      </c>
      <c r="AE123" s="82">
        <v>1</v>
      </c>
      <c r="AF123" s="83" t="str">
        <f>REPLACE(INDEX(GroupVertices[Group],MATCH(Edges[[#This Row],[Vertex 1]],GroupVertices[Vertex],0)),1,1,"")</f>
        <v>7</v>
      </c>
      <c r="AG123" s="83" t="str">
        <f>REPLACE(INDEX(GroupVertices[Group],MATCH(Edges[[#This Row],[Vertex 2]],GroupVertices[Vertex],0)),1,1,"")</f>
        <v>7</v>
      </c>
      <c r="AH123" s="111">
        <v>0</v>
      </c>
      <c r="AI123" s="112">
        <v>0</v>
      </c>
      <c r="AJ123" s="111">
        <v>0</v>
      </c>
      <c r="AK123" s="112">
        <v>0</v>
      </c>
      <c r="AL123" s="111">
        <v>0</v>
      </c>
      <c r="AM123" s="112">
        <v>0</v>
      </c>
      <c r="AN123" s="111">
        <v>14</v>
      </c>
      <c r="AO123" s="112">
        <v>100</v>
      </c>
      <c r="AP123" s="111">
        <v>14</v>
      </c>
    </row>
    <row r="124" spans="1:42" ht="15">
      <c r="A124" s="65" t="s">
        <v>431</v>
      </c>
      <c r="B124" s="65" t="s">
        <v>430</v>
      </c>
      <c r="C124" s="66" t="s">
        <v>2942</v>
      </c>
      <c r="D124" s="67">
        <v>3</v>
      </c>
      <c r="E124" s="68"/>
      <c r="F124" s="69">
        <v>40</v>
      </c>
      <c r="G124" s="66"/>
      <c r="H124" s="70"/>
      <c r="I124" s="71"/>
      <c r="J124" s="71"/>
      <c r="K124" s="35" t="s">
        <v>66</v>
      </c>
      <c r="L124" s="79">
        <v>124</v>
      </c>
      <c r="M124" s="79"/>
      <c r="N124" s="73"/>
      <c r="O124" s="81" t="s">
        <v>563</v>
      </c>
      <c r="P124" s="81" t="s">
        <v>325</v>
      </c>
      <c r="Q124" s="84" t="s">
        <v>685</v>
      </c>
      <c r="R124" s="81" t="s">
        <v>431</v>
      </c>
      <c r="S124" s="81" t="s">
        <v>944</v>
      </c>
      <c r="T124" s="86" t="str">
        <f>HYPERLINK("http://www.youtube.com/channel/UCwya1YV0VVcNVA1ALPpaZ5g")</f>
        <v>http://www.youtube.com/channel/UCwya1YV0VVcNVA1ALPpaZ5g</v>
      </c>
      <c r="U124" s="81"/>
      <c r="V124" s="81" t="s">
        <v>1114</v>
      </c>
      <c r="W124" s="86" t="str">
        <f>HYPERLINK("https://www.youtube.com/watch?v=0snyC8fNhXo")</f>
        <v>https://www.youtube.com/watch?v=0snyC8fNhXo</v>
      </c>
      <c r="X124" s="81" t="s">
        <v>1183</v>
      </c>
      <c r="Y124" s="81">
        <v>0</v>
      </c>
      <c r="Z124" s="88">
        <v>42555.69800925926</v>
      </c>
      <c r="AA124" s="88">
        <v>42555.69800925926</v>
      </c>
      <c r="AB124" s="81"/>
      <c r="AC124" s="81"/>
      <c r="AD124" s="84" t="s">
        <v>1239</v>
      </c>
      <c r="AE124" s="82">
        <v>1</v>
      </c>
      <c r="AF124" s="83" t="str">
        <f>REPLACE(INDEX(GroupVertices[Group],MATCH(Edges[[#This Row],[Vertex 1]],GroupVertices[Vertex],0)),1,1,"")</f>
        <v>7</v>
      </c>
      <c r="AG124" s="83" t="str">
        <f>REPLACE(INDEX(GroupVertices[Group],MATCH(Edges[[#This Row],[Vertex 2]],GroupVertices[Vertex],0)),1,1,"")</f>
        <v>7</v>
      </c>
      <c r="AH124" s="111">
        <v>0</v>
      </c>
      <c r="AI124" s="112">
        <v>0</v>
      </c>
      <c r="AJ124" s="111">
        <v>0</v>
      </c>
      <c r="AK124" s="112">
        <v>0</v>
      </c>
      <c r="AL124" s="111">
        <v>0</v>
      </c>
      <c r="AM124" s="112">
        <v>0</v>
      </c>
      <c r="AN124" s="111">
        <v>10</v>
      </c>
      <c r="AO124" s="112">
        <v>100</v>
      </c>
      <c r="AP124" s="111">
        <v>10</v>
      </c>
    </row>
    <row r="125" spans="1:42" ht="15">
      <c r="A125" s="65" t="s">
        <v>369</v>
      </c>
      <c r="B125" s="65" t="s">
        <v>432</v>
      </c>
      <c r="C125" s="66" t="s">
        <v>2942</v>
      </c>
      <c r="D125" s="67">
        <v>3</v>
      </c>
      <c r="E125" s="68"/>
      <c r="F125" s="69">
        <v>40</v>
      </c>
      <c r="G125" s="66"/>
      <c r="H125" s="70"/>
      <c r="I125" s="71"/>
      <c r="J125" s="71"/>
      <c r="K125" s="35" t="s">
        <v>66</v>
      </c>
      <c r="L125" s="79">
        <v>125</v>
      </c>
      <c r="M125" s="79"/>
      <c r="N125" s="73"/>
      <c r="O125" s="81" t="s">
        <v>564</v>
      </c>
      <c r="P125" s="81" t="s">
        <v>566</v>
      </c>
      <c r="Q125" s="84" t="s">
        <v>686</v>
      </c>
      <c r="R125" s="81" t="s">
        <v>369</v>
      </c>
      <c r="S125" s="81" t="s">
        <v>882</v>
      </c>
      <c r="T125" s="86" t="str">
        <f>HYPERLINK("http://www.youtube.com/channel/UCerAw4EfTOnYYxLLPZAzMxQ")</f>
        <v>http://www.youtube.com/channel/UCerAw4EfTOnYYxLLPZAzMxQ</v>
      </c>
      <c r="U125" s="81" t="s">
        <v>1059</v>
      </c>
      <c r="V125" s="81" t="s">
        <v>1115</v>
      </c>
      <c r="W125" s="86" t="str">
        <f>HYPERLINK("https://www.youtube.com/watch?v=CwQ8IrHZDgA")</f>
        <v>https://www.youtube.com/watch?v=CwQ8IrHZDgA</v>
      </c>
      <c r="X125" s="81" t="s">
        <v>1183</v>
      </c>
      <c r="Y125" s="81">
        <v>0</v>
      </c>
      <c r="Z125" s="88">
        <v>42741.84515046296</v>
      </c>
      <c r="AA125" s="88">
        <v>42741.84515046296</v>
      </c>
      <c r="AB125" s="81"/>
      <c r="AC125" s="81"/>
      <c r="AD125" s="84" t="s">
        <v>1239</v>
      </c>
      <c r="AE125" s="82">
        <v>1</v>
      </c>
      <c r="AF125" s="83" t="str">
        <f>REPLACE(INDEX(GroupVertices[Group],MATCH(Edges[[#This Row],[Vertex 1]],GroupVertices[Vertex],0)),1,1,"")</f>
        <v>1</v>
      </c>
      <c r="AG125" s="83" t="str">
        <f>REPLACE(INDEX(GroupVertices[Group],MATCH(Edges[[#This Row],[Vertex 2]],GroupVertices[Vertex],0)),1,1,"")</f>
        <v>1</v>
      </c>
      <c r="AH125" s="111">
        <v>5</v>
      </c>
      <c r="AI125" s="112">
        <v>7.8125</v>
      </c>
      <c r="AJ125" s="111">
        <v>0</v>
      </c>
      <c r="AK125" s="112">
        <v>0</v>
      </c>
      <c r="AL125" s="111">
        <v>0</v>
      </c>
      <c r="AM125" s="112">
        <v>0</v>
      </c>
      <c r="AN125" s="111">
        <v>59</v>
      </c>
      <c r="AO125" s="112">
        <v>92.1875</v>
      </c>
      <c r="AP125" s="111">
        <v>64</v>
      </c>
    </row>
    <row r="126" spans="1:42" ht="15">
      <c r="A126" s="65" t="s">
        <v>432</v>
      </c>
      <c r="B126" s="65" t="s">
        <v>432</v>
      </c>
      <c r="C126" s="66" t="s">
        <v>2942</v>
      </c>
      <c r="D126" s="67">
        <v>3</v>
      </c>
      <c r="E126" s="68"/>
      <c r="F126" s="69">
        <v>40</v>
      </c>
      <c r="G126" s="66"/>
      <c r="H126" s="70"/>
      <c r="I126" s="71"/>
      <c r="J126" s="71"/>
      <c r="K126" s="35" t="s">
        <v>65</v>
      </c>
      <c r="L126" s="79">
        <v>126</v>
      </c>
      <c r="M126" s="79"/>
      <c r="N126" s="73"/>
      <c r="O126" s="81" t="s">
        <v>564</v>
      </c>
      <c r="P126" s="81" t="s">
        <v>566</v>
      </c>
      <c r="Q126" s="84" t="s">
        <v>687</v>
      </c>
      <c r="R126" s="81" t="s">
        <v>432</v>
      </c>
      <c r="S126" s="81" t="s">
        <v>945</v>
      </c>
      <c r="T126" s="86" t="str">
        <f>HYPERLINK("http://www.youtube.com/channel/UCuPfgSrWOc2EmNcS-dnRC8A")</f>
        <v>http://www.youtube.com/channel/UCuPfgSrWOc2EmNcS-dnRC8A</v>
      </c>
      <c r="U126" s="81" t="s">
        <v>1059</v>
      </c>
      <c r="V126" s="81" t="s">
        <v>1115</v>
      </c>
      <c r="W126" s="86" t="str">
        <f>HYPERLINK("https://www.youtube.com/watch?v=CwQ8IrHZDgA")</f>
        <v>https://www.youtube.com/watch?v=CwQ8IrHZDgA</v>
      </c>
      <c r="X126" s="81" t="s">
        <v>1183</v>
      </c>
      <c r="Y126" s="81">
        <v>0</v>
      </c>
      <c r="Z126" s="88">
        <v>42742.3041087963</v>
      </c>
      <c r="AA126" s="88">
        <v>42742.3041087963</v>
      </c>
      <c r="AB126" s="81"/>
      <c r="AC126" s="81"/>
      <c r="AD126" s="84" t="s">
        <v>1239</v>
      </c>
      <c r="AE126" s="82">
        <v>1</v>
      </c>
      <c r="AF126" s="83" t="str">
        <f>REPLACE(INDEX(GroupVertices[Group],MATCH(Edges[[#This Row],[Vertex 1]],GroupVertices[Vertex],0)),1,1,"")</f>
        <v>1</v>
      </c>
      <c r="AG126" s="83" t="str">
        <f>REPLACE(INDEX(GroupVertices[Group],MATCH(Edges[[#This Row],[Vertex 2]],GroupVertices[Vertex],0)),1,1,"")</f>
        <v>1</v>
      </c>
      <c r="AH126" s="111">
        <v>2</v>
      </c>
      <c r="AI126" s="112">
        <v>33.333333333333336</v>
      </c>
      <c r="AJ126" s="111">
        <v>0</v>
      </c>
      <c r="AK126" s="112">
        <v>0</v>
      </c>
      <c r="AL126" s="111">
        <v>0</v>
      </c>
      <c r="AM126" s="112">
        <v>0</v>
      </c>
      <c r="AN126" s="111">
        <v>4</v>
      </c>
      <c r="AO126" s="112">
        <v>66.66666666666667</v>
      </c>
      <c r="AP126" s="111">
        <v>6</v>
      </c>
    </row>
    <row r="127" spans="1:42" ht="15">
      <c r="A127" s="65" t="s">
        <v>432</v>
      </c>
      <c r="B127" s="65" t="s">
        <v>369</v>
      </c>
      <c r="C127" s="66" t="s">
        <v>2942</v>
      </c>
      <c r="D127" s="67">
        <v>3</v>
      </c>
      <c r="E127" s="68"/>
      <c r="F127" s="69">
        <v>40</v>
      </c>
      <c r="G127" s="66"/>
      <c r="H127" s="70"/>
      <c r="I127" s="71"/>
      <c r="J127" s="71"/>
      <c r="K127" s="35" t="s">
        <v>66</v>
      </c>
      <c r="L127" s="79">
        <v>127</v>
      </c>
      <c r="M127" s="79"/>
      <c r="N127" s="73"/>
      <c r="O127" s="81" t="s">
        <v>563</v>
      </c>
      <c r="P127" s="81" t="s">
        <v>325</v>
      </c>
      <c r="Q127" s="84" t="s">
        <v>688</v>
      </c>
      <c r="R127" s="81" t="s">
        <v>432</v>
      </c>
      <c r="S127" s="81" t="s">
        <v>945</v>
      </c>
      <c r="T127" s="86" t="str">
        <f>HYPERLINK("http://www.youtube.com/channel/UCuPfgSrWOc2EmNcS-dnRC8A")</f>
        <v>http://www.youtube.com/channel/UCuPfgSrWOc2EmNcS-dnRC8A</v>
      </c>
      <c r="U127" s="81"/>
      <c r="V127" s="81" t="s">
        <v>1115</v>
      </c>
      <c r="W127" s="86" t="str">
        <f>HYPERLINK("https://www.youtube.com/watch?v=CwQ8IrHZDgA")</f>
        <v>https://www.youtube.com/watch?v=CwQ8IrHZDgA</v>
      </c>
      <c r="X127" s="81" t="s">
        <v>1183</v>
      </c>
      <c r="Y127" s="81">
        <v>0</v>
      </c>
      <c r="Z127" s="88">
        <v>42741.77894675926</v>
      </c>
      <c r="AA127" s="88">
        <v>42741.77894675926</v>
      </c>
      <c r="AB127" s="81"/>
      <c r="AC127" s="81"/>
      <c r="AD127" s="84" t="s">
        <v>1239</v>
      </c>
      <c r="AE127" s="82">
        <v>1</v>
      </c>
      <c r="AF127" s="83" t="str">
        <f>REPLACE(INDEX(GroupVertices[Group],MATCH(Edges[[#This Row],[Vertex 1]],GroupVertices[Vertex],0)),1,1,"")</f>
        <v>1</v>
      </c>
      <c r="AG127" s="83" t="str">
        <f>REPLACE(INDEX(GroupVertices[Group],MATCH(Edges[[#This Row],[Vertex 2]],GroupVertices[Vertex],0)),1,1,"")</f>
        <v>1</v>
      </c>
      <c r="AH127" s="111">
        <v>2</v>
      </c>
      <c r="AI127" s="112">
        <v>3.389830508474576</v>
      </c>
      <c r="AJ127" s="111">
        <v>0</v>
      </c>
      <c r="AK127" s="112">
        <v>0</v>
      </c>
      <c r="AL127" s="111">
        <v>0</v>
      </c>
      <c r="AM127" s="112">
        <v>0</v>
      </c>
      <c r="AN127" s="111">
        <v>57</v>
      </c>
      <c r="AO127" s="112">
        <v>96.61016949152543</v>
      </c>
      <c r="AP127" s="111">
        <v>59</v>
      </c>
    </row>
    <row r="128" spans="1:42" ht="15">
      <c r="A128" s="65" t="s">
        <v>433</v>
      </c>
      <c r="B128" s="65" t="s">
        <v>369</v>
      </c>
      <c r="C128" s="66" t="s">
        <v>2942</v>
      </c>
      <c r="D128" s="67">
        <v>3</v>
      </c>
      <c r="E128" s="68"/>
      <c r="F128" s="69">
        <v>40</v>
      </c>
      <c r="G128" s="66"/>
      <c r="H128" s="70"/>
      <c r="I128" s="71"/>
      <c r="J128" s="71"/>
      <c r="K128" s="35" t="s">
        <v>65</v>
      </c>
      <c r="L128" s="79">
        <v>128</v>
      </c>
      <c r="M128" s="79"/>
      <c r="N128" s="73"/>
      <c r="O128" s="81" t="s">
        <v>563</v>
      </c>
      <c r="P128" s="81" t="s">
        <v>325</v>
      </c>
      <c r="Q128" s="84" t="s">
        <v>689</v>
      </c>
      <c r="R128" s="81" t="s">
        <v>433</v>
      </c>
      <c r="S128" s="81" t="s">
        <v>946</v>
      </c>
      <c r="T128" s="86" t="str">
        <f>HYPERLINK("http://www.youtube.com/channel/UCdtcABJ52mOHCXSIzO6SpGA")</f>
        <v>http://www.youtube.com/channel/UCdtcABJ52mOHCXSIzO6SpGA</v>
      </c>
      <c r="U128" s="81"/>
      <c r="V128" s="81" t="s">
        <v>1116</v>
      </c>
      <c r="W128" s="86" t="str">
        <f>HYPERLINK("https://www.youtube.com/watch?v=t8YHRVf60BU")</f>
        <v>https://www.youtube.com/watch?v=t8YHRVf60BU</v>
      </c>
      <c r="X128" s="81" t="s">
        <v>1183</v>
      </c>
      <c r="Y128" s="81">
        <v>0</v>
      </c>
      <c r="Z128" s="88">
        <v>41773.90170138889</v>
      </c>
      <c r="AA128" s="88">
        <v>41773.90170138889</v>
      </c>
      <c r="AB128" s="81"/>
      <c r="AC128" s="81"/>
      <c r="AD128" s="84" t="s">
        <v>1239</v>
      </c>
      <c r="AE128" s="82">
        <v>1</v>
      </c>
      <c r="AF128" s="83" t="str">
        <f>REPLACE(INDEX(GroupVertices[Group],MATCH(Edges[[#This Row],[Vertex 1]],GroupVertices[Vertex],0)),1,1,"")</f>
        <v>1</v>
      </c>
      <c r="AG128" s="83" t="str">
        <f>REPLACE(INDEX(GroupVertices[Group],MATCH(Edges[[#This Row],[Vertex 2]],GroupVertices[Vertex],0)),1,1,"")</f>
        <v>1</v>
      </c>
      <c r="AH128" s="111">
        <v>1</v>
      </c>
      <c r="AI128" s="112">
        <v>50</v>
      </c>
      <c r="AJ128" s="111">
        <v>0</v>
      </c>
      <c r="AK128" s="112">
        <v>0</v>
      </c>
      <c r="AL128" s="111">
        <v>0</v>
      </c>
      <c r="AM128" s="112">
        <v>0</v>
      </c>
      <c r="AN128" s="111">
        <v>1</v>
      </c>
      <c r="AO128" s="112">
        <v>50</v>
      </c>
      <c r="AP128" s="111">
        <v>2</v>
      </c>
    </row>
    <row r="129" spans="1:42" ht="15">
      <c r="A129" s="65" t="s">
        <v>434</v>
      </c>
      <c r="B129" s="65" t="s">
        <v>369</v>
      </c>
      <c r="C129" s="66" t="s">
        <v>2942</v>
      </c>
      <c r="D129" s="67">
        <v>3</v>
      </c>
      <c r="E129" s="68"/>
      <c r="F129" s="69">
        <v>40</v>
      </c>
      <c r="G129" s="66"/>
      <c r="H129" s="70"/>
      <c r="I129" s="71"/>
      <c r="J129" s="71"/>
      <c r="K129" s="35" t="s">
        <v>65</v>
      </c>
      <c r="L129" s="79">
        <v>129</v>
      </c>
      <c r="M129" s="79"/>
      <c r="N129" s="73"/>
      <c r="O129" s="81" t="s">
        <v>563</v>
      </c>
      <c r="P129" s="81" t="s">
        <v>325</v>
      </c>
      <c r="Q129" s="84" t="s">
        <v>690</v>
      </c>
      <c r="R129" s="81" t="s">
        <v>434</v>
      </c>
      <c r="S129" s="81" t="s">
        <v>947</v>
      </c>
      <c r="T129" s="86" t="str">
        <f>HYPERLINK("http://www.youtube.com/channel/UC9cKkmwkK5RE3Yon6NglcwA")</f>
        <v>http://www.youtube.com/channel/UC9cKkmwkK5RE3Yon6NglcwA</v>
      </c>
      <c r="U129" s="81"/>
      <c r="V129" s="81" t="s">
        <v>1116</v>
      </c>
      <c r="W129" s="86" t="str">
        <f>HYPERLINK("https://www.youtube.com/watch?v=t8YHRVf60BU")</f>
        <v>https://www.youtube.com/watch?v=t8YHRVf60BU</v>
      </c>
      <c r="X129" s="81" t="s">
        <v>1183</v>
      </c>
      <c r="Y129" s="81">
        <v>0</v>
      </c>
      <c r="Z129" s="88">
        <v>42227.68712962963</v>
      </c>
      <c r="AA129" s="88">
        <v>42227.68712962963</v>
      </c>
      <c r="AB129" s="81"/>
      <c r="AC129" s="81"/>
      <c r="AD129" s="84" t="s">
        <v>1239</v>
      </c>
      <c r="AE129" s="82">
        <v>1</v>
      </c>
      <c r="AF129" s="83" t="str">
        <f>REPLACE(INDEX(GroupVertices[Group],MATCH(Edges[[#This Row],[Vertex 1]],GroupVertices[Vertex],0)),1,1,"")</f>
        <v>1</v>
      </c>
      <c r="AG129" s="83" t="str">
        <f>REPLACE(INDEX(GroupVertices[Group],MATCH(Edges[[#This Row],[Vertex 2]],GroupVertices[Vertex],0)),1,1,"")</f>
        <v>1</v>
      </c>
      <c r="AH129" s="111">
        <v>2</v>
      </c>
      <c r="AI129" s="112">
        <v>66.66666666666667</v>
      </c>
      <c r="AJ129" s="111">
        <v>0</v>
      </c>
      <c r="AK129" s="112">
        <v>0</v>
      </c>
      <c r="AL129" s="111">
        <v>0</v>
      </c>
      <c r="AM129" s="112">
        <v>0</v>
      </c>
      <c r="AN129" s="111">
        <v>1</v>
      </c>
      <c r="AO129" s="112">
        <v>33.333333333333336</v>
      </c>
      <c r="AP129" s="111">
        <v>3</v>
      </c>
    </row>
    <row r="130" spans="1:42" ht="15">
      <c r="A130" s="65" t="s">
        <v>435</v>
      </c>
      <c r="B130" s="65" t="s">
        <v>561</v>
      </c>
      <c r="C130" s="66" t="s">
        <v>2942</v>
      </c>
      <c r="D130" s="67">
        <v>3</v>
      </c>
      <c r="E130" s="68"/>
      <c r="F130" s="69">
        <v>40</v>
      </c>
      <c r="G130" s="66"/>
      <c r="H130" s="70"/>
      <c r="I130" s="71"/>
      <c r="J130" s="71"/>
      <c r="K130" s="35" t="s">
        <v>65</v>
      </c>
      <c r="L130" s="79">
        <v>130</v>
      </c>
      <c r="M130" s="79"/>
      <c r="N130" s="73"/>
      <c r="O130" s="81" t="s">
        <v>563</v>
      </c>
      <c r="P130" s="81" t="s">
        <v>325</v>
      </c>
      <c r="Q130" s="84" t="s">
        <v>691</v>
      </c>
      <c r="R130" s="81" t="s">
        <v>435</v>
      </c>
      <c r="S130" s="81" t="s">
        <v>948</v>
      </c>
      <c r="T130" s="86" t="str">
        <f>HYPERLINK("http://www.youtube.com/channel/UC6OBGTpqEY5Pn4-4xWg8QhQ")</f>
        <v>http://www.youtube.com/channel/UC6OBGTpqEY5Pn4-4xWg8QhQ</v>
      </c>
      <c r="U130" s="81"/>
      <c r="V130" s="81" t="s">
        <v>1117</v>
      </c>
      <c r="W130" s="86" t="str">
        <f>HYPERLINK("https://www.youtube.com/watch?v=owl9we4ldFI")</f>
        <v>https://www.youtube.com/watch?v=owl9we4ldFI</v>
      </c>
      <c r="X130" s="81" t="s">
        <v>1183</v>
      </c>
      <c r="Y130" s="81">
        <v>0</v>
      </c>
      <c r="Z130" s="88">
        <v>43609.72491898148</v>
      </c>
      <c r="AA130" s="88">
        <v>43609.72491898148</v>
      </c>
      <c r="AB130" s="81"/>
      <c r="AC130" s="81"/>
      <c r="AD130" s="84" t="s">
        <v>1239</v>
      </c>
      <c r="AE130" s="82">
        <v>1</v>
      </c>
      <c r="AF130" s="83" t="str">
        <f>REPLACE(INDEX(GroupVertices[Group],MATCH(Edges[[#This Row],[Vertex 1]],GroupVertices[Vertex],0)),1,1,"")</f>
        <v>3</v>
      </c>
      <c r="AG130" s="83" t="str">
        <f>REPLACE(INDEX(GroupVertices[Group],MATCH(Edges[[#This Row],[Vertex 2]],GroupVertices[Vertex],0)),1,1,"")</f>
        <v>3</v>
      </c>
      <c r="AH130" s="111">
        <v>3</v>
      </c>
      <c r="AI130" s="112">
        <v>10</v>
      </c>
      <c r="AJ130" s="111">
        <v>0</v>
      </c>
      <c r="AK130" s="112">
        <v>0</v>
      </c>
      <c r="AL130" s="111">
        <v>0</v>
      </c>
      <c r="AM130" s="112">
        <v>0</v>
      </c>
      <c r="AN130" s="111">
        <v>27</v>
      </c>
      <c r="AO130" s="112">
        <v>90</v>
      </c>
      <c r="AP130" s="111">
        <v>30</v>
      </c>
    </row>
    <row r="131" spans="1:42" ht="15">
      <c r="A131" s="65" t="s">
        <v>436</v>
      </c>
      <c r="B131" s="65" t="s">
        <v>561</v>
      </c>
      <c r="C131" s="66" t="s">
        <v>2942</v>
      </c>
      <c r="D131" s="67">
        <v>3</v>
      </c>
      <c r="E131" s="68"/>
      <c r="F131" s="69">
        <v>40</v>
      </c>
      <c r="G131" s="66"/>
      <c r="H131" s="70"/>
      <c r="I131" s="71"/>
      <c r="J131" s="71"/>
      <c r="K131" s="35" t="s">
        <v>65</v>
      </c>
      <c r="L131" s="79">
        <v>131</v>
      </c>
      <c r="M131" s="79"/>
      <c r="N131" s="73"/>
      <c r="O131" s="81" t="s">
        <v>563</v>
      </c>
      <c r="P131" s="81" t="s">
        <v>325</v>
      </c>
      <c r="Q131" s="84" t="s">
        <v>692</v>
      </c>
      <c r="R131" s="81" t="s">
        <v>436</v>
      </c>
      <c r="S131" s="81" t="s">
        <v>949</v>
      </c>
      <c r="T131" s="86" t="str">
        <f>HYPERLINK("http://www.youtube.com/channel/UCCwmutQCZD-xOlzyKKl5fag")</f>
        <v>http://www.youtube.com/channel/UCCwmutQCZD-xOlzyKKl5fag</v>
      </c>
      <c r="U131" s="81"/>
      <c r="V131" s="81" t="s">
        <v>1117</v>
      </c>
      <c r="W131" s="86" t="str">
        <f>HYPERLINK("https://www.youtube.com/watch?v=owl9we4ldFI")</f>
        <v>https://www.youtube.com/watch?v=owl9we4ldFI</v>
      </c>
      <c r="X131" s="81" t="s">
        <v>1183</v>
      </c>
      <c r="Y131" s="81">
        <v>2</v>
      </c>
      <c r="Z131" s="88">
        <v>43693.67827546296</v>
      </c>
      <c r="AA131" s="88">
        <v>43693.67827546296</v>
      </c>
      <c r="AB131" s="81"/>
      <c r="AC131" s="81"/>
      <c r="AD131" s="84" t="s">
        <v>1239</v>
      </c>
      <c r="AE131" s="82">
        <v>1</v>
      </c>
      <c r="AF131" s="83" t="str">
        <f>REPLACE(INDEX(GroupVertices[Group],MATCH(Edges[[#This Row],[Vertex 1]],GroupVertices[Vertex],0)),1,1,"")</f>
        <v>3</v>
      </c>
      <c r="AG131" s="83" t="str">
        <f>REPLACE(INDEX(GroupVertices[Group],MATCH(Edges[[#This Row],[Vertex 2]],GroupVertices[Vertex],0)),1,1,"")</f>
        <v>3</v>
      </c>
      <c r="AH131" s="111">
        <v>2</v>
      </c>
      <c r="AI131" s="112">
        <v>6.896551724137931</v>
      </c>
      <c r="AJ131" s="111">
        <v>1</v>
      </c>
      <c r="AK131" s="112">
        <v>3.4482758620689653</v>
      </c>
      <c r="AL131" s="111">
        <v>0</v>
      </c>
      <c r="AM131" s="112">
        <v>0</v>
      </c>
      <c r="AN131" s="111">
        <v>26</v>
      </c>
      <c r="AO131" s="112">
        <v>89.65517241379311</v>
      </c>
      <c r="AP131" s="111">
        <v>29</v>
      </c>
    </row>
    <row r="132" spans="1:42" ht="15">
      <c r="A132" s="65" t="s">
        <v>437</v>
      </c>
      <c r="B132" s="65" t="s">
        <v>560</v>
      </c>
      <c r="C132" s="66" t="s">
        <v>2942</v>
      </c>
      <c r="D132" s="67">
        <v>3</v>
      </c>
      <c r="E132" s="68"/>
      <c r="F132" s="69">
        <v>40</v>
      </c>
      <c r="G132" s="66"/>
      <c r="H132" s="70"/>
      <c r="I132" s="71"/>
      <c r="J132" s="71"/>
      <c r="K132" s="35" t="s">
        <v>65</v>
      </c>
      <c r="L132" s="79">
        <v>132</v>
      </c>
      <c r="M132" s="79"/>
      <c r="N132" s="73"/>
      <c r="O132" s="81" t="s">
        <v>563</v>
      </c>
      <c r="P132" s="81" t="s">
        <v>325</v>
      </c>
      <c r="Q132" s="84" t="s">
        <v>693</v>
      </c>
      <c r="R132" s="81" t="s">
        <v>437</v>
      </c>
      <c r="S132" s="81" t="s">
        <v>950</v>
      </c>
      <c r="T132" s="86" t="str">
        <f>HYPERLINK("http://www.youtube.com/channel/UChPvILLGvBiP_SiUg9srazw")</f>
        <v>http://www.youtube.com/channel/UChPvILLGvBiP_SiUg9srazw</v>
      </c>
      <c r="U132" s="81"/>
      <c r="V132" s="81" t="s">
        <v>1118</v>
      </c>
      <c r="W132" s="86" t="str">
        <f>HYPERLINK("https://www.youtube.com/watch?v=mjAq8eA7uOM")</f>
        <v>https://www.youtube.com/watch?v=mjAq8eA7uOM</v>
      </c>
      <c r="X132" s="81" t="s">
        <v>1183</v>
      </c>
      <c r="Y132" s="81">
        <v>0</v>
      </c>
      <c r="Z132" s="88">
        <v>44536.607615740744</v>
      </c>
      <c r="AA132" s="88">
        <v>44536.607615740744</v>
      </c>
      <c r="AB132" s="81"/>
      <c r="AC132" s="81"/>
      <c r="AD132" s="84" t="s">
        <v>1239</v>
      </c>
      <c r="AE132" s="82">
        <v>1</v>
      </c>
      <c r="AF132" s="83" t="str">
        <f>REPLACE(INDEX(GroupVertices[Group],MATCH(Edges[[#This Row],[Vertex 1]],GroupVertices[Vertex],0)),1,1,"")</f>
        <v>4</v>
      </c>
      <c r="AG132" s="83" t="str">
        <f>REPLACE(INDEX(GroupVertices[Group],MATCH(Edges[[#This Row],[Vertex 2]],GroupVertices[Vertex],0)),1,1,"")</f>
        <v>4</v>
      </c>
      <c r="AH132" s="111">
        <v>0</v>
      </c>
      <c r="AI132" s="112">
        <v>0</v>
      </c>
      <c r="AJ132" s="111">
        <v>0</v>
      </c>
      <c r="AK132" s="112">
        <v>0</v>
      </c>
      <c r="AL132" s="111">
        <v>0</v>
      </c>
      <c r="AM132" s="112">
        <v>0</v>
      </c>
      <c r="AN132" s="111">
        <v>2</v>
      </c>
      <c r="AO132" s="112">
        <v>100</v>
      </c>
      <c r="AP132" s="111">
        <v>2</v>
      </c>
    </row>
    <row r="133" spans="1:42" ht="15">
      <c r="A133" s="65" t="s">
        <v>438</v>
      </c>
      <c r="B133" s="65" t="s">
        <v>555</v>
      </c>
      <c r="C133" s="66" t="s">
        <v>2942</v>
      </c>
      <c r="D133" s="67">
        <v>3</v>
      </c>
      <c r="E133" s="68"/>
      <c r="F133" s="69">
        <v>40</v>
      </c>
      <c r="G133" s="66"/>
      <c r="H133" s="70"/>
      <c r="I133" s="71"/>
      <c r="J133" s="71"/>
      <c r="K133" s="35" t="s">
        <v>65</v>
      </c>
      <c r="L133" s="79">
        <v>133</v>
      </c>
      <c r="M133" s="79"/>
      <c r="N133" s="73"/>
      <c r="O133" s="81" t="s">
        <v>563</v>
      </c>
      <c r="P133" s="81" t="s">
        <v>325</v>
      </c>
      <c r="Q133" s="84" t="s">
        <v>694</v>
      </c>
      <c r="R133" s="81" t="s">
        <v>438</v>
      </c>
      <c r="S133" s="81" t="s">
        <v>951</v>
      </c>
      <c r="T133" s="86" t="str">
        <f>HYPERLINK("http://www.youtube.com/channel/UCkNEkfKxEtYneNKzdgiefWg")</f>
        <v>http://www.youtube.com/channel/UCkNEkfKxEtYneNKzdgiefWg</v>
      </c>
      <c r="U133" s="81"/>
      <c r="V133" s="81" t="s">
        <v>1119</v>
      </c>
      <c r="W133" s="86" t="str">
        <f>HYPERLINK("https://www.youtube.com/watch?v=leNjC1CQiow")</f>
        <v>https://www.youtube.com/watch?v=leNjC1CQiow</v>
      </c>
      <c r="X133" s="81" t="s">
        <v>1183</v>
      </c>
      <c r="Y133" s="81">
        <v>3</v>
      </c>
      <c r="Z133" s="88">
        <v>43568.94461805555</v>
      </c>
      <c r="AA133" s="88">
        <v>43568.94461805555</v>
      </c>
      <c r="AB133" s="81"/>
      <c r="AC133" s="81"/>
      <c r="AD133" s="84" t="s">
        <v>1239</v>
      </c>
      <c r="AE133" s="82">
        <v>1</v>
      </c>
      <c r="AF133" s="83" t="str">
        <f>REPLACE(INDEX(GroupVertices[Group],MATCH(Edges[[#This Row],[Vertex 1]],GroupVertices[Vertex],0)),1,1,"")</f>
        <v>4</v>
      </c>
      <c r="AG133" s="83" t="str">
        <f>REPLACE(INDEX(GroupVertices[Group],MATCH(Edges[[#This Row],[Vertex 2]],GroupVertices[Vertex],0)),1,1,"")</f>
        <v>4</v>
      </c>
      <c r="AH133" s="111">
        <v>1</v>
      </c>
      <c r="AI133" s="112">
        <v>10</v>
      </c>
      <c r="AJ133" s="111">
        <v>0</v>
      </c>
      <c r="AK133" s="112">
        <v>0</v>
      </c>
      <c r="AL133" s="111">
        <v>0</v>
      </c>
      <c r="AM133" s="112">
        <v>0</v>
      </c>
      <c r="AN133" s="111">
        <v>9</v>
      </c>
      <c r="AO133" s="112">
        <v>90</v>
      </c>
      <c r="AP133" s="111">
        <v>10</v>
      </c>
    </row>
    <row r="134" spans="1:42" ht="15">
      <c r="A134" s="65" t="s">
        <v>439</v>
      </c>
      <c r="B134" s="65" t="s">
        <v>440</v>
      </c>
      <c r="C134" s="66" t="s">
        <v>2942</v>
      </c>
      <c r="D134" s="67">
        <v>3</v>
      </c>
      <c r="E134" s="68"/>
      <c r="F134" s="69">
        <v>40</v>
      </c>
      <c r="G134" s="66"/>
      <c r="H134" s="70"/>
      <c r="I134" s="71"/>
      <c r="J134" s="71"/>
      <c r="K134" s="35" t="s">
        <v>65</v>
      </c>
      <c r="L134" s="79">
        <v>134</v>
      </c>
      <c r="M134" s="79"/>
      <c r="N134" s="73"/>
      <c r="O134" s="81" t="s">
        <v>564</v>
      </c>
      <c r="P134" s="81" t="s">
        <v>566</v>
      </c>
      <c r="Q134" s="84" t="s">
        <v>695</v>
      </c>
      <c r="R134" s="81" t="s">
        <v>439</v>
      </c>
      <c r="S134" s="81" t="s">
        <v>952</v>
      </c>
      <c r="T134" s="86" t="str">
        <f>HYPERLINK("http://www.youtube.com/channel/UC-abaNhleZ9l8u2eiQgIHXA")</f>
        <v>http://www.youtube.com/channel/UC-abaNhleZ9l8u2eiQgIHXA</v>
      </c>
      <c r="U134" s="81" t="s">
        <v>1060</v>
      </c>
      <c r="V134" s="81" t="s">
        <v>1120</v>
      </c>
      <c r="W134" s="86" t="str">
        <f>HYPERLINK("https://www.youtube.com/watch?v=-dB0rwt6_U8")</f>
        <v>https://www.youtube.com/watch?v=-dB0rwt6_U8</v>
      </c>
      <c r="X134" s="81" t="s">
        <v>1183</v>
      </c>
      <c r="Y134" s="81">
        <v>0</v>
      </c>
      <c r="Z134" s="88">
        <v>44153.51086805556</v>
      </c>
      <c r="AA134" s="88">
        <v>44153.51086805556</v>
      </c>
      <c r="AB134" s="81"/>
      <c r="AC134" s="81"/>
      <c r="AD134" s="84" t="s">
        <v>1239</v>
      </c>
      <c r="AE134" s="82">
        <v>1</v>
      </c>
      <c r="AF134" s="83" t="str">
        <f>REPLACE(INDEX(GroupVertices[Group],MATCH(Edges[[#This Row],[Vertex 1]],GroupVertices[Vertex],0)),1,1,"")</f>
        <v>5</v>
      </c>
      <c r="AG134" s="83" t="str">
        <f>REPLACE(INDEX(GroupVertices[Group],MATCH(Edges[[#This Row],[Vertex 2]],GroupVertices[Vertex],0)),1,1,"")</f>
        <v>5</v>
      </c>
      <c r="AH134" s="111">
        <v>0</v>
      </c>
      <c r="AI134" s="112">
        <v>0</v>
      </c>
      <c r="AJ134" s="111">
        <v>0</v>
      </c>
      <c r="AK134" s="112">
        <v>0</v>
      </c>
      <c r="AL134" s="111">
        <v>0</v>
      </c>
      <c r="AM134" s="112">
        <v>0</v>
      </c>
      <c r="AN134" s="111">
        <v>32</v>
      </c>
      <c r="AO134" s="112">
        <v>100</v>
      </c>
      <c r="AP134" s="111">
        <v>32</v>
      </c>
    </row>
    <row r="135" spans="1:42" ht="15">
      <c r="A135" s="65" t="s">
        <v>440</v>
      </c>
      <c r="B135" s="65" t="s">
        <v>441</v>
      </c>
      <c r="C135" s="66" t="s">
        <v>2942</v>
      </c>
      <c r="D135" s="67">
        <v>3</v>
      </c>
      <c r="E135" s="68"/>
      <c r="F135" s="69">
        <v>40</v>
      </c>
      <c r="G135" s="66"/>
      <c r="H135" s="70"/>
      <c r="I135" s="71"/>
      <c r="J135" s="71"/>
      <c r="K135" s="35" t="s">
        <v>65</v>
      </c>
      <c r="L135" s="79">
        <v>135</v>
      </c>
      <c r="M135" s="79"/>
      <c r="N135" s="73"/>
      <c r="O135" s="81" t="s">
        <v>563</v>
      </c>
      <c r="P135" s="81" t="s">
        <v>325</v>
      </c>
      <c r="Q135" s="84" t="s">
        <v>696</v>
      </c>
      <c r="R135" s="81" t="s">
        <v>440</v>
      </c>
      <c r="S135" s="81" t="s">
        <v>953</v>
      </c>
      <c r="T135" s="86" t="str">
        <f>HYPERLINK("http://www.youtube.com/channel/UCmB6rgL4vwKdmtRwoK6hNRA")</f>
        <v>http://www.youtube.com/channel/UCmB6rgL4vwKdmtRwoK6hNRA</v>
      </c>
      <c r="U135" s="81"/>
      <c r="V135" s="81" t="s">
        <v>1120</v>
      </c>
      <c r="W135" s="86" t="str">
        <f>HYPERLINK("https://www.youtube.com/watch?v=-dB0rwt6_U8")</f>
        <v>https://www.youtube.com/watch?v=-dB0rwt6_U8</v>
      </c>
      <c r="X135" s="81" t="s">
        <v>1183</v>
      </c>
      <c r="Y135" s="81">
        <v>0</v>
      </c>
      <c r="Z135" s="88">
        <v>43897.726168981484</v>
      </c>
      <c r="AA135" s="88">
        <v>43897.726168981484</v>
      </c>
      <c r="AB135" s="81"/>
      <c r="AC135" s="81"/>
      <c r="AD135" s="84" t="s">
        <v>1239</v>
      </c>
      <c r="AE135" s="82">
        <v>1</v>
      </c>
      <c r="AF135" s="83" t="str">
        <f>REPLACE(INDEX(GroupVertices[Group],MATCH(Edges[[#This Row],[Vertex 1]],GroupVertices[Vertex],0)),1,1,"")</f>
        <v>5</v>
      </c>
      <c r="AG135" s="83" t="str">
        <f>REPLACE(INDEX(GroupVertices[Group],MATCH(Edges[[#This Row],[Vertex 2]],GroupVertices[Vertex],0)),1,1,"")</f>
        <v>5</v>
      </c>
      <c r="AH135" s="111">
        <v>0</v>
      </c>
      <c r="AI135" s="112">
        <v>0</v>
      </c>
      <c r="AJ135" s="111">
        <v>0</v>
      </c>
      <c r="AK135" s="112">
        <v>0</v>
      </c>
      <c r="AL135" s="111">
        <v>0</v>
      </c>
      <c r="AM135" s="112">
        <v>0</v>
      </c>
      <c r="AN135" s="111">
        <v>22</v>
      </c>
      <c r="AO135" s="112">
        <v>100</v>
      </c>
      <c r="AP135" s="111">
        <v>22</v>
      </c>
    </row>
    <row r="136" spans="1:42" ht="15">
      <c r="A136" s="65" t="s">
        <v>441</v>
      </c>
      <c r="B136" s="65" t="s">
        <v>442</v>
      </c>
      <c r="C136" s="66" t="s">
        <v>2942</v>
      </c>
      <c r="D136" s="67">
        <v>3</v>
      </c>
      <c r="E136" s="68"/>
      <c r="F136" s="69">
        <v>40</v>
      </c>
      <c r="G136" s="66"/>
      <c r="H136" s="70"/>
      <c r="I136" s="71"/>
      <c r="J136" s="71"/>
      <c r="K136" s="35" t="s">
        <v>66</v>
      </c>
      <c r="L136" s="79">
        <v>136</v>
      </c>
      <c r="M136" s="79"/>
      <c r="N136" s="73"/>
      <c r="O136" s="81" t="s">
        <v>564</v>
      </c>
      <c r="P136" s="81" t="s">
        <v>566</v>
      </c>
      <c r="Q136" s="84" t="s">
        <v>697</v>
      </c>
      <c r="R136" s="81" t="s">
        <v>441</v>
      </c>
      <c r="S136" s="81" t="s">
        <v>954</v>
      </c>
      <c r="T136" s="86" t="str">
        <f>HYPERLINK("http://www.youtube.com/channel/UCaz5lJl4O-DlZ0Ype11GGDQ")</f>
        <v>http://www.youtube.com/channel/UCaz5lJl4O-DlZ0Ype11GGDQ</v>
      </c>
      <c r="U136" s="81" t="s">
        <v>1061</v>
      </c>
      <c r="V136" s="81" t="s">
        <v>1120</v>
      </c>
      <c r="W136" s="86" t="str">
        <f>HYPERLINK("https://www.youtube.com/watch?v=-dB0rwt6_U8")</f>
        <v>https://www.youtube.com/watch?v=-dB0rwt6_U8</v>
      </c>
      <c r="X136" s="81" t="s">
        <v>1183</v>
      </c>
      <c r="Y136" s="81">
        <v>0</v>
      </c>
      <c r="Z136" s="88">
        <v>44200.974803240744</v>
      </c>
      <c r="AA136" s="88">
        <v>44200.974803240744</v>
      </c>
      <c r="AB136" s="81"/>
      <c r="AC136" s="81"/>
      <c r="AD136" s="84" t="s">
        <v>1239</v>
      </c>
      <c r="AE136" s="82">
        <v>1</v>
      </c>
      <c r="AF136" s="83" t="str">
        <f>REPLACE(INDEX(GroupVertices[Group],MATCH(Edges[[#This Row],[Vertex 1]],GroupVertices[Vertex],0)),1,1,"")</f>
        <v>5</v>
      </c>
      <c r="AG136" s="83" t="str">
        <f>REPLACE(INDEX(GroupVertices[Group],MATCH(Edges[[#This Row],[Vertex 2]],GroupVertices[Vertex],0)),1,1,"")</f>
        <v>5</v>
      </c>
      <c r="AH136" s="111">
        <v>0</v>
      </c>
      <c r="AI136" s="112">
        <v>0</v>
      </c>
      <c r="AJ136" s="111">
        <v>0</v>
      </c>
      <c r="AK136" s="112">
        <v>0</v>
      </c>
      <c r="AL136" s="111">
        <v>0</v>
      </c>
      <c r="AM136" s="112">
        <v>0</v>
      </c>
      <c r="AN136" s="111">
        <v>21</v>
      </c>
      <c r="AO136" s="112">
        <v>100</v>
      </c>
      <c r="AP136" s="111">
        <v>21</v>
      </c>
    </row>
    <row r="137" spans="1:42" ht="15">
      <c r="A137" s="65" t="s">
        <v>442</v>
      </c>
      <c r="B137" s="65" t="s">
        <v>441</v>
      </c>
      <c r="C137" s="66" t="s">
        <v>2942</v>
      </c>
      <c r="D137" s="67">
        <v>3</v>
      </c>
      <c r="E137" s="68"/>
      <c r="F137" s="69">
        <v>40</v>
      </c>
      <c r="G137" s="66"/>
      <c r="H137" s="70"/>
      <c r="I137" s="71"/>
      <c r="J137" s="71"/>
      <c r="K137" s="35" t="s">
        <v>66</v>
      </c>
      <c r="L137" s="79">
        <v>137</v>
      </c>
      <c r="M137" s="79"/>
      <c r="N137" s="73"/>
      <c r="O137" s="81" t="s">
        <v>563</v>
      </c>
      <c r="P137" s="81" t="s">
        <v>325</v>
      </c>
      <c r="Q137" s="84" t="s">
        <v>698</v>
      </c>
      <c r="R137" s="81" t="s">
        <v>442</v>
      </c>
      <c r="S137" s="81" t="s">
        <v>955</v>
      </c>
      <c r="T137" s="86" t="str">
        <f>HYPERLINK("http://www.youtube.com/channel/UCiFbxhlcapLxvMvBOJfgiAQ")</f>
        <v>http://www.youtube.com/channel/UCiFbxhlcapLxvMvBOJfgiAQ</v>
      </c>
      <c r="U137" s="81"/>
      <c r="V137" s="81" t="s">
        <v>1120</v>
      </c>
      <c r="W137" s="86" t="str">
        <f>HYPERLINK("https://www.youtube.com/watch?v=-dB0rwt6_U8")</f>
        <v>https://www.youtube.com/watch?v=-dB0rwt6_U8</v>
      </c>
      <c r="X137" s="81" t="s">
        <v>1183</v>
      </c>
      <c r="Y137" s="81">
        <v>1</v>
      </c>
      <c r="Z137" s="88">
        <v>44186.82519675926</v>
      </c>
      <c r="AA137" s="88">
        <v>44186.82519675926</v>
      </c>
      <c r="AB137" s="81"/>
      <c r="AC137" s="81"/>
      <c r="AD137" s="84" t="s">
        <v>1239</v>
      </c>
      <c r="AE137" s="82">
        <v>1</v>
      </c>
      <c r="AF137" s="83" t="str">
        <f>REPLACE(INDEX(GroupVertices[Group],MATCH(Edges[[#This Row],[Vertex 1]],GroupVertices[Vertex],0)),1,1,"")</f>
        <v>5</v>
      </c>
      <c r="AG137" s="83" t="str">
        <f>REPLACE(INDEX(GroupVertices[Group],MATCH(Edges[[#This Row],[Vertex 2]],GroupVertices[Vertex],0)),1,1,"")</f>
        <v>5</v>
      </c>
      <c r="AH137" s="111">
        <v>0</v>
      </c>
      <c r="AI137" s="112">
        <v>0</v>
      </c>
      <c r="AJ137" s="111">
        <v>0</v>
      </c>
      <c r="AK137" s="112">
        <v>0</v>
      </c>
      <c r="AL137" s="111">
        <v>0</v>
      </c>
      <c r="AM137" s="112">
        <v>0</v>
      </c>
      <c r="AN137" s="111">
        <v>8</v>
      </c>
      <c r="AO137" s="112">
        <v>100</v>
      </c>
      <c r="AP137" s="111">
        <v>8</v>
      </c>
    </row>
    <row r="138" spans="1:42" ht="15">
      <c r="A138" s="65" t="s">
        <v>443</v>
      </c>
      <c r="B138" s="65" t="s">
        <v>441</v>
      </c>
      <c r="C138" s="66" t="s">
        <v>2942</v>
      </c>
      <c r="D138" s="67">
        <v>3</v>
      </c>
      <c r="E138" s="68"/>
      <c r="F138" s="69">
        <v>40</v>
      </c>
      <c r="G138" s="66"/>
      <c r="H138" s="70"/>
      <c r="I138" s="71"/>
      <c r="J138" s="71"/>
      <c r="K138" s="35" t="s">
        <v>65</v>
      </c>
      <c r="L138" s="79">
        <v>138</v>
      </c>
      <c r="M138" s="79"/>
      <c r="N138" s="73"/>
      <c r="O138" s="81" t="s">
        <v>563</v>
      </c>
      <c r="P138" s="81" t="s">
        <v>325</v>
      </c>
      <c r="Q138" s="84" t="s">
        <v>699</v>
      </c>
      <c r="R138" s="81" t="s">
        <v>443</v>
      </c>
      <c r="S138" s="81" t="s">
        <v>956</v>
      </c>
      <c r="T138" s="86" t="str">
        <f>HYPERLINK("http://www.youtube.com/channel/UC500ecg6iu4_fZI7ppnH5xg")</f>
        <v>http://www.youtube.com/channel/UC500ecg6iu4_fZI7ppnH5xg</v>
      </c>
      <c r="U138" s="81"/>
      <c r="V138" s="81" t="s">
        <v>1120</v>
      </c>
      <c r="W138" s="86" t="str">
        <f>HYPERLINK("https://www.youtube.com/watch?v=-dB0rwt6_U8")</f>
        <v>https://www.youtube.com/watch?v=-dB0rwt6_U8</v>
      </c>
      <c r="X138" s="81" t="s">
        <v>1183</v>
      </c>
      <c r="Y138" s="81">
        <v>0</v>
      </c>
      <c r="Z138" s="88">
        <v>44251.948275462964</v>
      </c>
      <c r="AA138" s="88">
        <v>44251.948275462964</v>
      </c>
      <c r="AB138" s="81"/>
      <c r="AC138" s="81"/>
      <c r="AD138" s="84" t="s">
        <v>1239</v>
      </c>
      <c r="AE138" s="82">
        <v>1</v>
      </c>
      <c r="AF138" s="83" t="str">
        <f>REPLACE(INDEX(GroupVertices[Group],MATCH(Edges[[#This Row],[Vertex 1]],GroupVertices[Vertex],0)),1,1,"")</f>
        <v>5</v>
      </c>
      <c r="AG138" s="83" t="str">
        <f>REPLACE(INDEX(GroupVertices[Group],MATCH(Edges[[#This Row],[Vertex 2]],GroupVertices[Vertex],0)),1,1,"")</f>
        <v>5</v>
      </c>
      <c r="AH138" s="111">
        <v>0</v>
      </c>
      <c r="AI138" s="112">
        <v>0</v>
      </c>
      <c r="AJ138" s="111">
        <v>0</v>
      </c>
      <c r="AK138" s="112">
        <v>0</v>
      </c>
      <c r="AL138" s="111">
        <v>0</v>
      </c>
      <c r="AM138" s="112">
        <v>0</v>
      </c>
      <c r="AN138" s="111">
        <v>6</v>
      </c>
      <c r="AO138" s="112">
        <v>100</v>
      </c>
      <c r="AP138" s="111">
        <v>6</v>
      </c>
    </row>
    <row r="139" spans="1:42" ht="15">
      <c r="A139" s="65" t="s">
        <v>444</v>
      </c>
      <c r="B139" s="65" t="s">
        <v>551</v>
      </c>
      <c r="C139" s="66" t="s">
        <v>2942</v>
      </c>
      <c r="D139" s="67">
        <v>3</v>
      </c>
      <c r="E139" s="68"/>
      <c r="F139" s="69">
        <v>40</v>
      </c>
      <c r="G139" s="66"/>
      <c r="H139" s="70"/>
      <c r="I139" s="71"/>
      <c r="J139" s="71"/>
      <c r="K139" s="35" t="s">
        <v>65</v>
      </c>
      <c r="L139" s="79">
        <v>139</v>
      </c>
      <c r="M139" s="79"/>
      <c r="N139" s="73"/>
      <c r="O139" s="81" t="s">
        <v>563</v>
      </c>
      <c r="P139" s="81" t="s">
        <v>325</v>
      </c>
      <c r="Q139" s="84" t="s">
        <v>700</v>
      </c>
      <c r="R139" s="81" t="s">
        <v>444</v>
      </c>
      <c r="S139" s="81" t="s">
        <v>957</v>
      </c>
      <c r="T139" s="86" t="str">
        <f>HYPERLINK("http://www.youtube.com/channel/UCyKVToG2bdyFm9Zr7487GbQ")</f>
        <v>http://www.youtube.com/channel/UCyKVToG2bdyFm9Zr7487GbQ</v>
      </c>
      <c r="U139" s="81"/>
      <c r="V139" s="81" t="s">
        <v>1110</v>
      </c>
      <c r="W139" s="86" t="str">
        <f>HYPERLINK("https://www.youtube.com/watch?v=GYSgH1g_YQI")</f>
        <v>https://www.youtube.com/watch?v=GYSgH1g_YQI</v>
      </c>
      <c r="X139" s="81" t="s">
        <v>1183</v>
      </c>
      <c r="Y139" s="81">
        <v>0</v>
      </c>
      <c r="Z139" s="88">
        <v>44575.92402777778</v>
      </c>
      <c r="AA139" s="88">
        <v>44575.92402777778</v>
      </c>
      <c r="AB139" s="81"/>
      <c r="AC139" s="81"/>
      <c r="AD139" s="84" t="s">
        <v>1239</v>
      </c>
      <c r="AE139" s="82">
        <v>1</v>
      </c>
      <c r="AF139" s="83" t="str">
        <f>REPLACE(INDEX(GroupVertices[Group],MATCH(Edges[[#This Row],[Vertex 1]],GroupVertices[Vertex],0)),1,1,"")</f>
        <v>5</v>
      </c>
      <c r="AG139" s="83" t="str">
        <f>REPLACE(INDEX(GroupVertices[Group],MATCH(Edges[[#This Row],[Vertex 2]],GroupVertices[Vertex],0)),1,1,"")</f>
        <v>5</v>
      </c>
      <c r="AH139" s="111">
        <v>0</v>
      </c>
      <c r="AI139" s="112">
        <v>0</v>
      </c>
      <c r="AJ139" s="111">
        <v>0</v>
      </c>
      <c r="AK139" s="112">
        <v>0</v>
      </c>
      <c r="AL139" s="111">
        <v>0</v>
      </c>
      <c r="AM139" s="112">
        <v>0</v>
      </c>
      <c r="AN139" s="111">
        <v>11</v>
      </c>
      <c r="AO139" s="112">
        <v>100</v>
      </c>
      <c r="AP139" s="111">
        <v>11</v>
      </c>
    </row>
    <row r="140" spans="1:42" ht="15">
      <c r="A140" s="65" t="s">
        <v>444</v>
      </c>
      <c r="B140" s="65" t="s">
        <v>441</v>
      </c>
      <c r="C140" s="66" t="s">
        <v>2942</v>
      </c>
      <c r="D140" s="67">
        <v>3</v>
      </c>
      <c r="E140" s="68"/>
      <c r="F140" s="69">
        <v>40</v>
      </c>
      <c r="G140" s="66"/>
      <c r="H140" s="70"/>
      <c r="I140" s="71"/>
      <c r="J140" s="71"/>
      <c r="K140" s="35" t="s">
        <v>65</v>
      </c>
      <c r="L140" s="79">
        <v>140</v>
      </c>
      <c r="M140" s="79"/>
      <c r="N140" s="73"/>
      <c r="O140" s="81" t="s">
        <v>563</v>
      </c>
      <c r="P140" s="81" t="s">
        <v>325</v>
      </c>
      <c r="Q140" s="84" t="s">
        <v>701</v>
      </c>
      <c r="R140" s="81" t="s">
        <v>444</v>
      </c>
      <c r="S140" s="81" t="s">
        <v>957</v>
      </c>
      <c r="T140" s="86" t="str">
        <f>HYPERLINK("http://www.youtube.com/channel/UCyKVToG2bdyFm9Zr7487GbQ")</f>
        <v>http://www.youtube.com/channel/UCyKVToG2bdyFm9Zr7487GbQ</v>
      </c>
      <c r="U140" s="81"/>
      <c r="V140" s="81" t="s">
        <v>1120</v>
      </c>
      <c r="W140" s="86" t="str">
        <f>HYPERLINK("https://www.youtube.com/watch?v=-dB0rwt6_U8")</f>
        <v>https://www.youtube.com/watch?v=-dB0rwt6_U8</v>
      </c>
      <c r="X140" s="81" t="s">
        <v>1183</v>
      </c>
      <c r="Y140" s="81">
        <v>0</v>
      </c>
      <c r="Z140" s="88">
        <v>44575.85430555556</v>
      </c>
      <c r="AA140" s="88">
        <v>44575.85430555556</v>
      </c>
      <c r="AB140" s="81"/>
      <c r="AC140" s="81"/>
      <c r="AD140" s="84" t="s">
        <v>1239</v>
      </c>
      <c r="AE140" s="82">
        <v>1</v>
      </c>
      <c r="AF140" s="83" t="str">
        <f>REPLACE(INDEX(GroupVertices[Group],MATCH(Edges[[#This Row],[Vertex 1]],GroupVertices[Vertex],0)),1,1,"")</f>
        <v>5</v>
      </c>
      <c r="AG140" s="83" t="str">
        <f>REPLACE(INDEX(GroupVertices[Group],MATCH(Edges[[#This Row],[Vertex 2]],GroupVertices[Vertex],0)),1,1,"")</f>
        <v>5</v>
      </c>
      <c r="AH140" s="111">
        <v>0</v>
      </c>
      <c r="AI140" s="112">
        <v>0</v>
      </c>
      <c r="AJ140" s="111">
        <v>0</v>
      </c>
      <c r="AK140" s="112">
        <v>0</v>
      </c>
      <c r="AL140" s="111">
        <v>0</v>
      </c>
      <c r="AM140" s="112">
        <v>0</v>
      </c>
      <c r="AN140" s="111">
        <v>6</v>
      </c>
      <c r="AO140" s="112">
        <v>100</v>
      </c>
      <c r="AP140" s="111">
        <v>6</v>
      </c>
    </row>
    <row r="141" spans="1:42" ht="15">
      <c r="A141" s="65" t="s">
        <v>445</v>
      </c>
      <c r="B141" s="65" t="s">
        <v>446</v>
      </c>
      <c r="C141" s="66" t="s">
        <v>2942</v>
      </c>
      <c r="D141" s="67">
        <v>3</v>
      </c>
      <c r="E141" s="68"/>
      <c r="F141" s="69">
        <v>40</v>
      </c>
      <c r="G141" s="66"/>
      <c r="H141" s="70"/>
      <c r="I141" s="71"/>
      <c r="J141" s="71"/>
      <c r="K141" s="35" t="s">
        <v>65</v>
      </c>
      <c r="L141" s="79">
        <v>141</v>
      </c>
      <c r="M141" s="79"/>
      <c r="N141" s="73"/>
      <c r="O141" s="81" t="s">
        <v>564</v>
      </c>
      <c r="P141" s="81" t="s">
        <v>566</v>
      </c>
      <c r="Q141" s="84" t="s">
        <v>702</v>
      </c>
      <c r="R141" s="81" t="s">
        <v>445</v>
      </c>
      <c r="S141" s="81" t="s">
        <v>958</v>
      </c>
      <c r="T141" s="86" t="str">
        <f>HYPERLINK("http://www.youtube.com/channel/UCTpiluusEpdQER2ESjtp0dQ")</f>
        <v>http://www.youtube.com/channel/UCTpiluusEpdQER2ESjtp0dQ</v>
      </c>
      <c r="U141" s="81" t="s">
        <v>1062</v>
      </c>
      <c r="V141" s="81" t="s">
        <v>1121</v>
      </c>
      <c r="W141" s="86" t="str">
        <f>HYPERLINK("https://www.youtube.com/watch?v=xKhYGRpbwOc")</f>
        <v>https://www.youtube.com/watch?v=xKhYGRpbwOc</v>
      </c>
      <c r="X141" s="81" t="s">
        <v>1183</v>
      </c>
      <c r="Y141" s="81">
        <v>0</v>
      </c>
      <c r="Z141" s="88">
        <v>43535.95891203704</v>
      </c>
      <c r="AA141" s="88">
        <v>43535.95891203704</v>
      </c>
      <c r="AB141" s="81"/>
      <c r="AC141" s="81"/>
      <c r="AD141" s="84" t="s">
        <v>1239</v>
      </c>
      <c r="AE141" s="82">
        <v>1</v>
      </c>
      <c r="AF141" s="83" t="str">
        <f>REPLACE(INDEX(GroupVertices[Group],MATCH(Edges[[#This Row],[Vertex 1]],GroupVertices[Vertex],0)),1,1,"")</f>
        <v>6</v>
      </c>
      <c r="AG141" s="83" t="str">
        <f>REPLACE(INDEX(GroupVertices[Group],MATCH(Edges[[#This Row],[Vertex 2]],GroupVertices[Vertex],0)),1,1,"")</f>
        <v>6</v>
      </c>
      <c r="AH141" s="111">
        <v>1</v>
      </c>
      <c r="AI141" s="112">
        <v>12.5</v>
      </c>
      <c r="AJ141" s="111">
        <v>2</v>
      </c>
      <c r="AK141" s="112">
        <v>25</v>
      </c>
      <c r="AL141" s="111">
        <v>0</v>
      </c>
      <c r="AM141" s="112">
        <v>0</v>
      </c>
      <c r="AN141" s="111">
        <v>5</v>
      </c>
      <c r="AO141" s="112">
        <v>62.5</v>
      </c>
      <c r="AP141" s="111">
        <v>8</v>
      </c>
    </row>
    <row r="142" spans="1:42" ht="15">
      <c r="A142" s="65" t="s">
        <v>446</v>
      </c>
      <c r="B142" s="65" t="s">
        <v>450</v>
      </c>
      <c r="C142" s="66" t="s">
        <v>2942</v>
      </c>
      <c r="D142" s="67">
        <v>3</v>
      </c>
      <c r="E142" s="68"/>
      <c r="F142" s="69">
        <v>40</v>
      </c>
      <c r="G142" s="66"/>
      <c r="H142" s="70"/>
      <c r="I142" s="71"/>
      <c r="J142" s="71"/>
      <c r="K142" s="35" t="s">
        <v>65</v>
      </c>
      <c r="L142" s="79">
        <v>142</v>
      </c>
      <c r="M142" s="79"/>
      <c r="N142" s="73"/>
      <c r="O142" s="81" t="s">
        <v>563</v>
      </c>
      <c r="P142" s="81" t="s">
        <v>325</v>
      </c>
      <c r="Q142" s="84" t="s">
        <v>703</v>
      </c>
      <c r="R142" s="81" t="s">
        <v>446</v>
      </c>
      <c r="S142" s="81" t="s">
        <v>959</v>
      </c>
      <c r="T142" s="86" t="str">
        <f>HYPERLINK("http://www.youtube.com/channel/UCntzGT7YKCWZXmfs7yCRbnw")</f>
        <v>http://www.youtube.com/channel/UCntzGT7YKCWZXmfs7yCRbnw</v>
      </c>
      <c r="U142" s="81"/>
      <c r="V142" s="81" t="s">
        <v>1121</v>
      </c>
      <c r="W142" s="86" t="str">
        <f>HYPERLINK("https://www.youtube.com/watch?v=xKhYGRpbwOc")</f>
        <v>https://www.youtube.com/watch?v=xKhYGRpbwOc</v>
      </c>
      <c r="X142" s="81" t="s">
        <v>1183</v>
      </c>
      <c r="Y142" s="81">
        <v>2</v>
      </c>
      <c r="Z142" s="88">
        <v>41350.179131944446</v>
      </c>
      <c r="AA142" s="88">
        <v>41350.179131944446</v>
      </c>
      <c r="AB142" s="81"/>
      <c r="AC142" s="81"/>
      <c r="AD142" s="84" t="s">
        <v>1239</v>
      </c>
      <c r="AE142" s="82">
        <v>1</v>
      </c>
      <c r="AF142" s="83" t="str">
        <f>REPLACE(INDEX(GroupVertices[Group],MATCH(Edges[[#This Row],[Vertex 1]],GroupVertices[Vertex],0)),1,1,"")</f>
        <v>6</v>
      </c>
      <c r="AG142" s="83" t="str">
        <f>REPLACE(INDEX(GroupVertices[Group],MATCH(Edges[[#This Row],[Vertex 2]],GroupVertices[Vertex],0)),1,1,"")</f>
        <v>6</v>
      </c>
      <c r="AH142" s="111">
        <v>0</v>
      </c>
      <c r="AI142" s="112">
        <v>0</v>
      </c>
      <c r="AJ142" s="111">
        <v>0</v>
      </c>
      <c r="AK142" s="112">
        <v>0</v>
      </c>
      <c r="AL142" s="111">
        <v>0</v>
      </c>
      <c r="AM142" s="112">
        <v>0</v>
      </c>
      <c r="AN142" s="111">
        <v>8</v>
      </c>
      <c r="AO142" s="112">
        <v>100</v>
      </c>
      <c r="AP142" s="111">
        <v>8</v>
      </c>
    </row>
    <row r="143" spans="1:42" ht="15">
      <c r="A143" s="65" t="s">
        <v>447</v>
      </c>
      <c r="B143" s="65" t="s">
        <v>450</v>
      </c>
      <c r="C143" s="66" t="s">
        <v>2942</v>
      </c>
      <c r="D143" s="67">
        <v>3</v>
      </c>
      <c r="E143" s="68"/>
      <c r="F143" s="69">
        <v>40</v>
      </c>
      <c r="G143" s="66"/>
      <c r="H143" s="70"/>
      <c r="I143" s="71"/>
      <c r="J143" s="71"/>
      <c r="K143" s="35" t="s">
        <v>65</v>
      </c>
      <c r="L143" s="79">
        <v>143</v>
      </c>
      <c r="M143" s="79"/>
      <c r="N143" s="73"/>
      <c r="O143" s="81" t="s">
        <v>563</v>
      </c>
      <c r="P143" s="81" t="s">
        <v>325</v>
      </c>
      <c r="Q143" s="84" t="s">
        <v>704</v>
      </c>
      <c r="R143" s="81" t="s">
        <v>447</v>
      </c>
      <c r="S143" s="81" t="s">
        <v>960</v>
      </c>
      <c r="T143" s="86" t="str">
        <f>HYPERLINK("http://www.youtube.com/channel/UCvGUF5crGKWgcjNfy69om-w")</f>
        <v>http://www.youtube.com/channel/UCvGUF5crGKWgcjNfy69om-w</v>
      </c>
      <c r="U143" s="81"/>
      <c r="V143" s="81" t="s">
        <v>1121</v>
      </c>
      <c r="W143" s="86" t="str">
        <f>HYPERLINK("https://www.youtube.com/watch?v=xKhYGRpbwOc")</f>
        <v>https://www.youtube.com/watch?v=xKhYGRpbwOc</v>
      </c>
      <c r="X143" s="81" t="s">
        <v>1183</v>
      </c>
      <c r="Y143" s="81">
        <v>1</v>
      </c>
      <c r="Z143" s="88">
        <v>41376.31752314815</v>
      </c>
      <c r="AA143" s="88">
        <v>41376.31752314815</v>
      </c>
      <c r="AB143" s="81"/>
      <c r="AC143" s="81"/>
      <c r="AD143" s="84" t="s">
        <v>1239</v>
      </c>
      <c r="AE143" s="82">
        <v>1</v>
      </c>
      <c r="AF143" s="83" t="str">
        <f>REPLACE(INDEX(GroupVertices[Group],MATCH(Edges[[#This Row],[Vertex 1]],GroupVertices[Vertex],0)),1,1,"")</f>
        <v>6</v>
      </c>
      <c r="AG143" s="83" t="str">
        <f>REPLACE(INDEX(GroupVertices[Group],MATCH(Edges[[#This Row],[Vertex 2]],GroupVertices[Vertex],0)),1,1,"")</f>
        <v>6</v>
      </c>
      <c r="AH143" s="111">
        <v>0</v>
      </c>
      <c r="AI143" s="112">
        <v>0</v>
      </c>
      <c r="AJ143" s="111">
        <v>0</v>
      </c>
      <c r="AK143" s="112">
        <v>0</v>
      </c>
      <c r="AL143" s="111">
        <v>0</v>
      </c>
      <c r="AM143" s="112">
        <v>0</v>
      </c>
      <c r="AN143" s="111">
        <v>7</v>
      </c>
      <c r="AO143" s="112">
        <v>100</v>
      </c>
      <c r="AP143" s="111">
        <v>7</v>
      </c>
    </row>
    <row r="144" spans="1:42" ht="15">
      <c r="A144" s="65" t="s">
        <v>448</v>
      </c>
      <c r="B144" s="65" t="s">
        <v>450</v>
      </c>
      <c r="C144" s="66" t="s">
        <v>2942</v>
      </c>
      <c r="D144" s="67">
        <v>3</v>
      </c>
      <c r="E144" s="68"/>
      <c r="F144" s="69">
        <v>40</v>
      </c>
      <c r="G144" s="66"/>
      <c r="H144" s="70"/>
      <c r="I144" s="71"/>
      <c r="J144" s="71"/>
      <c r="K144" s="35" t="s">
        <v>65</v>
      </c>
      <c r="L144" s="79">
        <v>144</v>
      </c>
      <c r="M144" s="79"/>
      <c r="N144" s="73"/>
      <c r="O144" s="81" t="s">
        <v>563</v>
      </c>
      <c r="P144" s="81" t="s">
        <v>325</v>
      </c>
      <c r="Q144" s="84" t="s">
        <v>705</v>
      </c>
      <c r="R144" s="81" t="s">
        <v>448</v>
      </c>
      <c r="S144" s="81" t="s">
        <v>961</v>
      </c>
      <c r="T144" s="86" t="str">
        <f>HYPERLINK("http://www.youtube.com/channel/UCkC3h3DJjv33UNvnAUmP8QA")</f>
        <v>http://www.youtube.com/channel/UCkC3h3DJjv33UNvnAUmP8QA</v>
      </c>
      <c r="U144" s="81"/>
      <c r="V144" s="81" t="s">
        <v>1121</v>
      </c>
      <c r="W144" s="86" t="str">
        <f>HYPERLINK("https://www.youtube.com/watch?v=xKhYGRpbwOc")</f>
        <v>https://www.youtube.com/watch?v=xKhYGRpbwOc</v>
      </c>
      <c r="X144" s="81" t="s">
        <v>1183</v>
      </c>
      <c r="Y144" s="81">
        <v>0</v>
      </c>
      <c r="Z144" s="88">
        <v>41769.99725694444</v>
      </c>
      <c r="AA144" s="88">
        <v>41769.99725694444</v>
      </c>
      <c r="AB144" s="81"/>
      <c r="AC144" s="81"/>
      <c r="AD144" s="84" t="s">
        <v>1239</v>
      </c>
      <c r="AE144" s="82">
        <v>1</v>
      </c>
      <c r="AF144" s="83" t="str">
        <f>REPLACE(INDEX(GroupVertices[Group],MATCH(Edges[[#This Row],[Vertex 1]],GroupVertices[Vertex],0)),1,1,"")</f>
        <v>6</v>
      </c>
      <c r="AG144" s="83" t="str">
        <f>REPLACE(INDEX(GroupVertices[Group],MATCH(Edges[[#This Row],[Vertex 2]],GroupVertices[Vertex],0)),1,1,"")</f>
        <v>6</v>
      </c>
      <c r="AH144" s="111">
        <v>1</v>
      </c>
      <c r="AI144" s="112">
        <v>8.333333333333334</v>
      </c>
      <c r="AJ144" s="111">
        <v>0</v>
      </c>
      <c r="AK144" s="112">
        <v>0</v>
      </c>
      <c r="AL144" s="111">
        <v>0</v>
      </c>
      <c r="AM144" s="112">
        <v>0</v>
      </c>
      <c r="AN144" s="111">
        <v>11</v>
      </c>
      <c r="AO144" s="112">
        <v>91.66666666666667</v>
      </c>
      <c r="AP144" s="111">
        <v>12</v>
      </c>
    </row>
    <row r="145" spans="1:42" ht="15">
      <c r="A145" s="65" t="s">
        <v>449</v>
      </c>
      <c r="B145" s="65" t="s">
        <v>450</v>
      </c>
      <c r="C145" s="66" t="s">
        <v>2942</v>
      </c>
      <c r="D145" s="67">
        <v>3</v>
      </c>
      <c r="E145" s="68"/>
      <c r="F145" s="69">
        <v>40</v>
      </c>
      <c r="G145" s="66"/>
      <c r="H145" s="70"/>
      <c r="I145" s="71"/>
      <c r="J145" s="71"/>
      <c r="K145" s="35" t="s">
        <v>65</v>
      </c>
      <c r="L145" s="79">
        <v>145</v>
      </c>
      <c r="M145" s="79"/>
      <c r="N145" s="73"/>
      <c r="O145" s="81" t="s">
        <v>563</v>
      </c>
      <c r="P145" s="81" t="s">
        <v>325</v>
      </c>
      <c r="Q145" s="84" t="s">
        <v>706</v>
      </c>
      <c r="R145" s="81" t="s">
        <v>449</v>
      </c>
      <c r="S145" s="81" t="s">
        <v>962</v>
      </c>
      <c r="T145" s="86" t="str">
        <f>HYPERLINK("http://www.youtube.com/channel/UCs_w8C3KKuchf7tTDjLH6EQ")</f>
        <v>http://www.youtube.com/channel/UCs_w8C3KKuchf7tTDjLH6EQ</v>
      </c>
      <c r="U145" s="81"/>
      <c r="V145" s="81" t="s">
        <v>1121</v>
      </c>
      <c r="W145" s="86" t="str">
        <f>HYPERLINK("https://www.youtube.com/watch?v=xKhYGRpbwOc")</f>
        <v>https://www.youtube.com/watch?v=xKhYGRpbwOc</v>
      </c>
      <c r="X145" s="81" t="s">
        <v>1183</v>
      </c>
      <c r="Y145" s="81">
        <v>0</v>
      </c>
      <c r="Z145" s="88">
        <v>44207.104375</v>
      </c>
      <c r="AA145" s="88">
        <v>44207.104375</v>
      </c>
      <c r="AB145" s="81"/>
      <c r="AC145" s="81"/>
      <c r="AD145" s="84" t="s">
        <v>1239</v>
      </c>
      <c r="AE145" s="82">
        <v>1</v>
      </c>
      <c r="AF145" s="83" t="str">
        <f>REPLACE(INDEX(GroupVertices[Group],MATCH(Edges[[#This Row],[Vertex 1]],GroupVertices[Vertex],0)),1,1,"")</f>
        <v>6</v>
      </c>
      <c r="AG145" s="83" t="str">
        <f>REPLACE(INDEX(GroupVertices[Group],MATCH(Edges[[#This Row],[Vertex 2]],GroupVertices[Vertex],0)),1,1,"")</f>
        <v>6</v>
      </c>
      <c r="AH145" s="111">
        <v>0</v>
      </c>
      <c r="AI145" s="112">
        <v>0</v>
      </c>
      <c r="AJ145" s="111">
        <v>0</v>
      </c>
      <c r="AK145" s="112">
        <v>0</v>
      </c>
      <c r="AL145" s="111">
        <v>0</v>
      </c>
      <c r="AM145" s="112">
        <v>0</v>
      </c>
      <c r="AN145" s="111">
        <v>4</v>
      </c>
      <c r="AO145" s="112">
        <v>100</v>
      </c>
      <c r="AP145" s="111">
        <v>4</v>
      </c>
    </row>
    <row r="146" spans="1:42" ht="15">
      <c r="A146" s="65" t="s">
        <v>450</v>
      </c>
      <c r="B146" s="65" t="s">
        <v>451</v>
      </c>
      <c r="C146" s="66" t="s">
        <v>2942</v>
      </c>
      <c r="D146" s="67">
        <v>3</v>
      </c>
      <c r="E146" s="68"/>
      <c r="F146" s="69">
        <v>40</v>
      </c>
      <c r="G146" s="66"/>
      <c r="H146" s="70"/>
      <c r="I146" s="71"/>
      <c r="J146" s="71"/>
      <c r="K146" s="35" t="s">
        <v>66</v>
      </c>
      <c r="L146" s="79">
        <v>146</v>
      </c>
      <c r="M146" s="79"/>
      <c r="N146" s="73"/>
      <c r="O146" s="81" t="s">
        <v>564</v>
      </c>
      <c r="P146" s="81" t="s">
        <v>566</v>
      </c>
      <c r="Q146" s="84" t="s">
        <v>707</v>
      </c>
      <c r="R146" s="81" t="s">
        <v>450</v>
      </c>
      <c r="S146" s="81" t="s">
        <v>963</v>
      </c>
      <c r="T146" s="86" t="str">
        <f>HYPERLINK("http://www.youtube.com/channel/UCOQy7XDYjkjhb0QwVMwf-7A")</f>
        <v>http://www.youtube.com/channel/UCOQy7XDYjkjhb0QwVMwf-7A</v>
      </c>
      <c r="U146" s="81" t="s">
        <v>1063</v>
      </c>
      <c r="V146" s="81" t="s">
        <v>1121</v>
      </c>
      <c r="W146" s="86" t="str">
        <f>HYPERLINK("https://www.youtube.com/watch?v=xKhYGRpbwOc")</f>
        <v>https://www.youtube.com/watch?v=xKhYGRpbwOc</v>
      </c>
      <c r="X146" s="81" t="s">
        <v>1183</v>
      </c>
      <c r="Y146" s="81">
        <v>0</v>
      </c>
      <c r="Z146" s="88">
        <v>44474.15046296296</v>
      </c>
      <c r="AA146" s="88">
        <v>44474.15046296296</v>
      </c>
      <c r="AB146" s="81"/>
      <c r="AC146" s="81"/>
      <c r="AD146" s="84" t="s">
        <v>1239</v>
      </c>
      <c r="AE146" s="82">
        <v>1</v>
      </c>
      <c r="AF146" s="83" t="str">
        <f>REPLACE(INDEX(GroupVertices[Group],MATCH(Edges[[#This Row],[Vertex 1]],GroupVertices[Vertex],0)),1,1,"")</f>
        <v>6</v>
      </c>
      <c r="AG146" s="83" t="str">
        <f>REPLACE(INDEX(GroupVertices[Group],MATCH(Edges[[#This Row],[Vertex 2]],GroupVertices[Vertex],0)),1,1,"")</f>
        <v>6</v>
      </c>
      <c r="AH146" s="111">
        <v>0</v>
      </c>
      <c r="AI146" s="112">
        <v>0</v>
      </c>
      <c r="AJ146" s="111">
        <v>0</v>
      </c>
      <c r="AK146" s="112">
        <v>0</v>
      </c>
      <c r="AL146" s="111">
        <v>0</v>
      </c>
      <c r="AM146" s="112">
        <v>0</v>
      </c>
      <c r="AN146" s="111">
        <v>16</v>
      </c>
      <c r="AO146" s="112">
        <v>100</v>
      </c>
      <c r="AP146" s="111">
        <v>16</v>
      </c>
    </row>
    <row r="147" spans="1:42" ht="15">
      <c r="A147" s="65" t="s">
        <v>451</v>
      </c>
      <c r="B147" s="65" t="s">
        <v>450</v>
      </c>
      <c r="C147" s="66" t="s">
        <v>2942</v>
      </c>
      <c r="D147" s="67">
        <v>3</v>
      </c>
      <c r="E147" s="68"/>
      <c r="F147" s="69">
        <v>40</v>
      </c>
      <c r="G147" s="66"/>
      <c r="H147" s="70"/>
      <c r="I147" s="71"/>
      <c r="J147" s="71"/>
      <c r="K147" s="35" t="s">
        <v>66</v>
      </c>
      <c r="L147" s="79">
        <v>147</v>
      </c>
      <c r="M147" s="79"/>
      <c r="N147" s="73"/>
      <c r="O147" s="81" t="s">
        <v>563</v>
      </c>
      <c r="P147" s="81" t="s">
        <v>325</v>
      </c>
      <c r="Q147" s="84" t="s">
        <v>708</v>
      </c>
      <c r="R147" s="81" t="s">
        <v>451</v>
      </c>
      <c r="S147" s="81" t="s">
        <v>964</v>
      </c>
      <c r="T147" s="86" t="str">
        <f>HYPERLINK("http://www.youtube.com/channel/UC33YvdKdCbETlDVRz_I42sw")</f>
        <v>http://www.youtube.com/channel/UC33YvdKdCbETlDVRz_I42sw</v>
      </c>
      <c r="U147" s="81"/>
      <c r="V147" s="81" t="s">
        <v>1121</v>
      </c>
      <c r="W147" s="86" t="str">
        <f>HYPERLINK("https://www.youtube.com/watch?v=xKhYGRpbwOc")</f>
        <v>https://www.youtube.com/watch?v=xKhYGRpbwOc</v>
      </c>
      <c r="X147" s="81" t="s">
        <v>1183</v>
      </c>
      <c r="Y147" s="81">
        <v>0</v>
      </c>
      <c r="Z147" s="88">
        <v>44474.14766203704</v>
      </c>
      <c r="AA147" s="88">
        <v>44474.14766203704</v>
      </c>
      <c r="AB147" s="81"/>
      <c r="AC147" s="81"/>
      <c r="AD147" s="84" t="s">
        <v>1239</v>
      </c>
      <c r="AE147" s="82">
        <v>1</v>
      </c>
      <c r="AF147" s="83" t="str">
        <f>REPLACE(INDEX(GroupVertices[Group],MATCH(Edges[[#This Row],[Vertex 1]],GroupVertices[Vertex],0)),1,1,"")</f>
        <v>6</v>
      </c>
      <c r="AG147" s="83" t="str">
        <f>REPLACE(INDEX(GroupVertices[Group],MATCH(Edges[[#This Row],[Vertex 2]],GroupVertices[Vertex],0)),1,1,"")</f>
        <v>6</v>
      </c>
      <c r="AH147" s="111">
        <v>0</v>
      </c>
      <c r="AI147" s="112">
        <v>0</v>
      </c>
      <c r="AJ147" s="111">
        <v>0</v>
      </c>
      <c r="AK147" s="112">
        <v>0</v>
      </c>
      <c r="AL147" s="111">
        <v>0</v>
      </c>
      <c r="AM147" s="112">
        <v>0</v>
      </c>
      <c r="AN147" s="111">
        <v>10</v>
      </c>
      <c r="AO147" s="112">
        <v>100</v>
      </c>
      <c r="AP147" s="111">
        <v>10</v>
      </c>
    </row>
    <row r="148" spans="1:42" ht="15">
      <c r="A148" s="65" t="s">
        <v>452</v>
      </c>
      <c r="B148" s="65" t="s">
        <v>560</v>
      </c>
      <c r="C148" s="66" t="s">
        <v>2942</v>
      </c>
      <c r="D148" s="67">
        <v>3</v>
      </c>
      <c r="E148" s="68"/>
      <c r="F148" s="69">
        <v>40</v>
      </c>
      <c r="G148" s="66"/>
      <c r="H148" s="70"/>
      <c r="I148" s="71"/>
      <c r="J148" s="71"/>
      <c r="K148" s="35" t="s">
        <v>65</v>
      </c>
      <c r="L148" s="79">
        <v>148</v>
      </c>
      <c r="M148" s="79"/>
      <c r="N148" s="73"/>
      <c r="O148" s="81" t="s">
        <v>563</v>
      </c>
      <c r="P148" s="81" t="s">
        <v>325</v>
      </c>
      <c r="Q148" s="84" t="s">
        <v>709</v>
      </c>
      <c r="R148" s="81" t="s">
        <v>452</v>
      </c>
      <c r="S148" s="81" t="s">
        <v>965</v>
      </c>
      <c r="T148" s="86" t="str">
        <f>HYPERLINK("http://www.youtube.com/channel/UCMS61u_TGqi-c_UEhywFcQg")</f>
        <v>http://www.youtube.com/channel/UCMS61u_TGqi-c_UEhywFcQg</v>
      </c>
      <c r="U148" s="81"/>
      <c r="V148" s="81" t="s">
        <v>1122</v>
      </c>
      <c r="W148" s="86" t="str">
        <f>HYPERLINK("https://www.youtube.com/watch?v=l0n5rKT0ztI")</f>
        <v>https://www.youtube.com/watch?v=l0n5rKT0ztI</v>
      </c>
      <c r="X148" s="81" t="s">
        <v>1183</v>
      </c>
      <c r="Y148" s="81">
        <v>1</v>
      </c>
      <c r="Z148" s="88">
        <v>44138.93002314815</v>
      </c>
      <c r="AA148" s="88">
        <v>44138.93002314815</v>
      </c>
      <c r="AB148" s="81"/>
      <c r="AC148" s="81"/>
      <c r="AD148" s="84" t="s">
        <v>1239</v>
      </c>
      <c r="AE148" s="82">
        <v>1</v>
      </c>
      <c r="AF148" s="83" t="str">
        <f>REPLACE(INDEX(GroupVertices[Group],MATCH(Edges[[#This Row],[Vertex 1]],GroupVertices[Vertex],0)),1,1,"")</f>
        <v>4</v>
      </c>
      <c r="AG148" s="83" t="str">
        <f>REPLACE(INDEX(GroupVertices[Group],MATCH(Edges[[#This Row],[Vertex 2]],GroupVertices[Vertex],0)),1,1,"")</f>
        <v>4</v>
      </c>
      <c r="AH148" s="111">
        <v>0</v>
      </c>
      <c r="AI148" s="112">
        <v>0</v>
      </c>
      <c r="AJ148" s="111">
        <v>0</v>
      </c>
      <c r="AK148" s="112">
        <v>0</v>
      </c>
      <c r="AL148" s="111">
        <v>0</v>
      </c>
      <c r="AM148" s="112">
        <v>0</v>
      </c>
      <c r="AN148" s="111">
        <v>1</v>
      </c>
      <c r="AO148" s="112">
        <v>100</v>
      </c>
      <c r="AP148" s="111">
        <v>1</v>
      </c>
    </row>
    <row r="149" spans="1:42" ht="15">
      <c r="A149" s="65" t="s">
        <v>453</v>
      </c>
      <c r="B149" s="65" t="s">
        <v>560</v>
      </c>
      <c r="C149" s="66" t="s">
        <v>2942</v>
      </c>
      <c r="D149" s="67">
        <v>3</v>
      </c>
      <c r="E149" s="68"/>
      <c r="F149" s="69">
        <v>40</v>
      </c>
      <c r="G149" s="66"/>
      <c r="H149" s="70"/>
      <c r="I149" s="71"/>
      <c r="J149" s="71"/>
      <c r="K149" s="35" t="s">
        <v>65</v>
      </c>
      <c r="L149" s="79">
        <v>149</v>
      </c>
      <c r="M149" s="79"/>
      <c r="N149" s="73"/>
      <c r="O149" s="81" t="s">
        <v>563</v>
      </c>
      <c r="P149" s="81" t="s">
        <v>325</v>
      </c>
      <c r="Q149" s="84" t="s">
        <v>710</v>
      </c>
      <c r="R149" s="81" t="s">
        <v>453</v>
      </c>
      <c r="S149" s="81" t="s">
        <v>966</v>
      </c>
      <c r="T149" s="86" t="str">
        <f>HYPERLINK("http://www.youtube.com/channel/UCeIJT2rmwfiwi5iuVCrorfQ")</f>
        <v>http://www.youtube.com/channel/UCeIJT2rmwfiwi5iuVCrorfQ</v>
      </c>
      <c r="U149" s="81"/>
      <c r="V149" s="81" t="s">
        <v>1122</v>
      </c>
      <c r="W149" s="86" t="str">
        <f>HYPERLINK("https://www.youtube.com/watch?v=l0n5rKT0ztI")</f>
        <v>https://www.youtube.com/watch?v=l0n5rKT0ztI</v>
      </c>
      <c r="X149" s="81" t="s">
        <v>1183</v>
      </c>
      <c r="Y149" s="81">
        <v>0</v>
      </c>
      <c r="Z149" s="88">
        <v>44168.60988425926</v>
      </c>
      <c r="AA149" s="88">
        <v>44168.60988425926</v>
      </c>
      <c r="AB149" s="81"/>
      <c r="AC149" s="81"/>
      <c r="AD149" s="84" t="s">
        <v>1239</v>
      </c>
      <c r="AE149" s="82">
        <v>1</v>
      </c>
      <c r="AF149" s="83" t="str">
        <f>REPLACE(INDEX(GroupVertices[Group],MATCH(Edges[[#This Row],[Vertex 1]],GroupVertices[Vertex],0)),1,1,"")</f>
        <v>4</v>
      </c>
      <c r="AG149" s="83" t="str">
        <f>REPLACE(INDEX(GroupVertices[Group],MATCH(Edges[[#This Row],[Vertex 2]],GroupVertices[Vertex],0)),1,1,"")</f>
        <v>4</v>
      </c>
      <c r="AH149" s="111">
        <v>1</v>
      </c>
      <c r="AI149" s="112">
        <v>100</v>
      </c>
      <c r="AJ149" s="111">
        <v>0</v>
      </c>
      <c r="AK149" s="112">
        <v>0</v>
      </c>
      <c r="AL149" s="111">
        <v>0</v>
      </c>
      <c r="AM149" s="112">
        <v>0</v>
      </c>
      <c r="AN149" s="111">
        <v>0</v>
      </c>
      <c r="AO149" s="112">
        <v>0</v>
      </c>
      <c r="AP149" s="111">
        <v>1</v>
      </c>
    </row>
    <row r="150" spans="1:42" ht="15">
      <c r="A150" s="65" t="s">
        <v>454</v>
      </c>
      <c r="B150" s="65" t="s">
        <v>560</v>
      </c>
      <c r="C150" s="66" t="s">
        <v>2942</v>
      </c>
      <c r="D150" s="67">
        <v>3</v>
      </c>
      <c r="E150" s="68"/>
      <c r="F150" s="69">
        <v>40</v>
      </c>
      <c r="G150" s="66"/>
      <c r="H150" s="70"/>
      <c r="I150" s="71"/>
      <c r="J150" s="71"/>
      <c r="K150" s="35" t="s">
        <v>65</v>
      </c>
      <c r="L150" s="79">
        <v>150</v>
      </c>
      <c r="M150" s="79"/>
      <c r="N150" s="73"/>
      <c r="O150" s="81" t="s">
        <v>563</v>
      </c>
      <c r="P150" s="81" t="s">
        <v>325</v>
      </c>
      <c r="Q150" s="84" t="s">
        <v>711</v>
      </c>
      <c r="R150" s="81" t="s">
        <v>454</v>
      </c>
      <c r="S150" s="81" t="s">
        <v>967</v>
      </c>
      <c r="T150" s="86" t="str">
        <f>HYPERLINK("http://www.youtube.com/channel/UCA3wy2ieu53FkBf19GeaSzw")</f>
        <v>http://www.youtube.com/channel/UCA3wy2ieu53FkBf19GeaSzw</v>
      </c>
      <c r="U150" s="81"/>
      <c r="V150" s="81" t="s">
        <v>1122</v>
      </c>
      <c r="W150" s="86" t="str">
        <f>HYPERLINK("https://www.youtube.com/watch?v=l0n5rKT0ztI")</f>
        <v>https://www.youtube.com/watch?v=l0n5rKT0ztI</v>
      </c>
      <c r="X150" s="81" t="s">
        <v>1183</v>
      </c>
      <c r="Y150" s="81">
        <v>0</v>
      </c>
      <c r="Z150" s="88">
        <v>44642.02018518518</v>
      </c>
      <c r="AA150" s="88">
        <v>44642.02096064815</v>
      </c>
      <c r="AB150" s="81"/>
      <c r="AC150" s="81"/>
      <c r="AD150" s="84" t="s">
        <v>1239</v>
      </c>
      <c r="AE150" s="82">
        <v>1</v>
      </c>
      <c r="AF150" s="83" t="str">
        <f>REPLACE(INDEX(GroupVertices[Group],MATCH(Edges[[#This Row],[Vertex 1]],GroupVertices[Vertex],0)),1,1,"")</f>
        <v>4</v>
      </c>
      <c r="AG150" s="83" t="str">
        <f>REPLACE(INDEX(GroupVertices[Group],MATCH(Edges[[#This Row],[Vertex 2]],GroupVertices[Vertex],0)),1,1,"")</f>
        <v>4</v>
      </c>
      <c r="AH150" s="111">
        <v>0</v>
      </c>
      <c r="AI150" s="112">
        <v>0</v>
      </c>
      <c r="AJ150" s="111">
        <v>0</v>
      </c>
      <c r="AK150" s="112">
        <v>0</v>
      </c>
      <c r="AL150" s="111">
        <v>0</v>
      </c>
      <c r="AM150" s="112">
        <v>0</v>
      </c>
      <c r="AN150" s="111">
        <v>14</v>
      </c>
      <c r="AO150" s="112">
        <v>100</v>
      </c>
      <c r="AP150" s="111">
        <v>14</v>
      </c>
    </row>
    <row r="151" spans="1:42" ht="15">
      <c r="A151" s="65" t="s">
        <v>455</v>
      </c>
      <c r="B151" s="65" t="s">
        <v>559</v>
      </c>
      <c r="C151" s="66" t="s">
        <v>2942</v>
      </c>
      <c r="D151" s="67">
        <v>3</v>
      </c>
      <c r="E151" s="68"/>
      <c r="F151" s="69">
        <v>40</v>
      </c>
      <c r="G151" s="66"/>
      <c r="H151" s="70"/>
      <c r="I151" s="71"/>
      <c r="J151" s="71"/>
      <c r="K151" s="35" t="s">
        <v>65</v>
      </c>
      <c r="L151" s="79">
        <v>151</v>
      </c>
      <c r="M151" s="79"/>
      <c r="N151" s="73"/>
      <c r="O151" s="81" t="s">
        <v>563</v>
      </c>
      <c r="P151" s="81" t="s">
        <v>325</v>
      </c>
      <c r="Q151" s="84" t="s">
        <v>712</v>
      </c>
      <c r="R151" s="81" t="s">
        <v>455</v>
      </c>
      <c r="S151" s="81" t="s">
        <v>968</v>
      </c>
      <c r="T151" s="86" t="str">
        <f>HYPERLINK("http://www.youtube.com/channel/UCqdyyZiSL4ZHyXE11pNa-PQ")</f>
        <v>http://www.youtube.com/channel/UCqdyyZiSL4ZHyXE11pNa-PQ</v>
      </c>
      <c r="U151" s="81"/>
      <c r="V151" s="81" t="s">
        <v>1123</v>
      </c>
      <c r="W151" s="86" t="str">
        <f>HYPERLINK("https://www.youtube.com/watch?v=o53sJ939r7A")</f>
        <v>https://www.youtube.com/watch?v=o53sJ939r7A</v>
      </c>
      <c r="X151" s="81" t="s">
        <v>1183</v>
      </c>
      <c r="Y151" s="81">
        <v>0</v>
      </c>
      <c r="Z151" s="88">
        <v>44013.83644675926</v>
      </c>
      <c r="AA151" s="88">
        <v>44013.83644675926</v>
      </c>
      <c r="AB151" s="81"/>
      <c r="AC151" s="81"/>
      <c r="AD151" s="84" t="s">
        <v>1239</v>
      </c>
      <c r="AE151" s="82">
        <v>1</v>
      </c>
      <c r="AF151" s="83" t="str">
        <f>REPLACE(INDEX(GroupVertices[Group],MATCH(Edges[[#This Row],[Vertex 1]],GroupVertices[Vertex],0)),1,1,"")</f>
        <v>12</v>
      </c>
      <c r="AG151" s="83" t="str">
        <f>REPLACE(INDEX(GroupVertices[Group],MATCH(Edges[[#This Row],[Vertex 2]],GroupVertices[Vertex],0)),1,1,"")</f>
        <v>12</v>
      </c>
      <c r="AH151" s="111">
        <v>0</v>
      </c>
      <c r="AI151" s="112">
        <v>0</v>
      </c>
      <c r="AJ151" s="111">
        <v>0</v>
      </c>
      <c r="AK151" s="112">
        <v>0</v>
      </c>
      <c r="AL151" s="111">
        <v>0</v>
      </c>
      <c r="AM151" s="112">
        <v>0</v>
      </c>
      <c r="AN151" s="111">
        <v>1</v>
      </c>
      <c r="AO151" s="112">
        <v>100</v>
      </c>
      <c r="AP151" s="111">
        <v>1</v>
      </c>
    </row>
    <row r="152" spans="1:42" ht="15">
      <c r="A152" s="65" t="s">
        <v>456</v>
      </c>
      <c r="B152" s="65" t="s">
        <v>559</v>
      </c>
      <c r="C152" s="66" t="s">
        <v>2942</v>
      </c>
      <c r="D152" s="67">
        <v>3</v>
      </c>
      <c r="E152" s="68"/>
      <c r="F152" s="69">
        <v>40</v>
      </c>
      <c r="G152" s="66"/>
      <c r="H152" s="70"/>
      <c r="I152" s="71"/>
      <c r="J152" s="71"/>
      <c r="K152" s="35" t="s">
        <v>65</v>
      </c>
      <c r="L152" s="79">
        <v>152</v>
      </c>
      <c r="M152" s="79"/>
      <c r="N152" s="73"/>
      <c r="O152" s="81" t="s">
        <v>563</v>
      </c>
      <c r="P152" s="81" t="s">
        <v>325</v>
      </c>
      <c r="Q152" s="84" t="s">
        <v>713</v>
      </c>
      <c r="R152" s="81" t="s">
        <v>456</v>
      </c>
      <c r="S152" s="81" t="s">
        <v>969</v>
      </c>
      <c r="T152" s="86" t="str">
        <f>HYPERLINK("http://www.youtube.com/channel/UCZCEX7jMFA4Utg6Rl9LjtpQ")</f>
        <v>http://www.youtube.com/channel/UCZCEX7jMFA4Utg6Rl9LjtpQ</v>
      </c>
      <c r="U152" s="81"/>
      <c r="V152" s="81" t="s">
        <v>1123</v>
      </c>
      <c r="W152" s="86" t="str">
        <f>HYPERLINK("https://www.youtube.com/watch?v=o53sJ939r7A")</f>
        <v>https://www.youtube.com/watch?v=o53sJ939r7A</v>
      </c>
      <c r="X152" s="81" t="s">
        <v>1183</v>
      </c>
      <c r="Y152" s="81">
        <v>0</v>
      </c>
      <c r="Z152" s="88">
        <v>44040.73386574074</v>
      </c>
      <c r="AA152" s="88">
        <v>44040.73386574074</v>
      </c>
      <c r="AB152" s="81"/>
      <c r="AC152" s="81"/>
      <c r="AD152" s="84" t="s">
        <v>1239</v>
      </c>
      <c r="AE152" s="82">
        <v>1</v>
      </c>
      <c r="AF152" s="83" t="str">
        <f>REPLACE(INDEX(GroupVertices[Group],MATCH(Edges[[#This Row],[Vertex 1]],GroupVertices[Vertex],0)),1,1,"")</f>
        <v>12</v>
      </c>
      <c r="AG152" s="83" t="str">
        <f>REPLACE(INDEX(GroupVertices[Group],MATCH(Edges[[#This Row],[Vertex 2]],GroupVertices[Vertex],0)),1,1,"")</f>
        <v>12</v>
      </c>
      <c r="AH152" s="111">
        <v>0</v>
      </c>
      <c r="AI152" s="112">
        <v>0</v>
      </c>
      <c r="AJ152" s="111">
        <v>0</v>
      </c>
      <c r="AK152" s="112">
        <v>0</v>
      </c>
      <c r="AL152" s="111">
        <v>0</v>
      </c>
      <c r="AM152" s="112">
        <v>0</v>
      </c>
      <c r="AN152" s="111">
        <v>35</v>
      </c>
      <c r="AO152" s="112">
        <v>100</v>
      </c>
      <c r="AP152" s="111">
        <v>35</v>
      </c>
    </row>
    <row r="153" spans="1:42" ht="15">
      <c r="A153" s="65" t="s">
        <v>457</v>
      </c>
      <c r="B153" s="65" t="s">
        <v>559</v>
      </c>
      <c r="C153" s="66" t="s">
        <v>2942</v>
      </c>
      <c r="D153" s="67">
        <v>3</v>
      </c>
      <c r="E153" s="68"/>
      <c r="F153" s="69">
        <v>40</v>
      </c>
      <c r="G153" s="66"/>
      <c r="H153" s="70"/>
      <c r="I153" s="71"/>
      <c r="J153" s="71"/>
      <c r="K153" s="35" t="s">
        <v>65</v>
      </c>
      <c r="L153" s="79">
        <v>153</v>
      </c>
      <c r="M153" s="79"/>
      <c r="N153" s="73"/>
      <c r="O153" s="81" t="s">
        <v>563</v>
      </c>
      <c r="P153" s="81" t="s">
        <v>325</v>
      </c>
      <c r="Q153" s="84" t="s">
        <v>714</v>
      </c>
      <c r="R153" s="81" t="s">
        <v>457</v>
      </c>
      <c r="S153" s="81" t="s">
        <v>970</v>
      </c>
      <c r="T153" s="86" t="str">
        <f>HYPERLINK("http://www.youtube.com/channel/UCXFnJs6JEY91BWkgElUiIig")</f>
        <v>http://www.youtube.com/channel/UCXFnJs6JEY91BWkgElUiIig</v>
      </c>
      <c r="U153" s="81"/>
      <c r="V153" s="81" t="s">
        <v>1123</v>
      </c>
      <c r="W153" s="86" t="str">
        <f>HYPERLINK("https://www.youtube.com/watch?v=o53sJ939r7A")</f>
        <v>https://www.youtube.com/watch?v=o53sJ939r7A</v>
      </c>
      <c r="X153" s="81" t="s">
        <v>1183</v>
      </c>
      <c r="Y153" s="81">
        <v>0</v>
      </c>
      <c r="Z153" s="88">
        <v>44697.01391203704</v>
      </c>
      <c r="AA153" s="88">
        <v>44697.01391203704</v>
      </c>
      <c r="AB153" s="81"/>
      <c r="AC153" s="81"/>
      <c r="AD153" s="84" t="s">
        <v>1239</v>
      </c>
      <c r="AE153" s="82">
        <v>1</v>
      </c>
      <c r="AF153" s="83" t="str">
        <f>REPLACE(INDEX(GroupVertices[Group],MATCH(Edges[[#This Row],[Vertex 1]],GroupVertices[Vertex],0)),1,1,"")</f>
        <v>12</v>
      </c>
      <c r="AG153" s="83" t="str">
        <f>REPLACE(INDEX(GroupVertices[Group],MATCH(Edges[[#This Row],[Vertex 2]],GroupVertices[Vertex],0)),1,1,"")</f>
        <v>12</v>
      </c>
      <c r="AH153" s="111">
        <v>0</v>
      </c>
      <c r="AI153" s="112">
        <v>0</v>
      </c>
      <c r="AJ153" s="111">
        <v>0</v>
      </c>
      <c r="AK153" s="112">
        <v>0</v>
      </c>
      <c r="AL153" s="111">
        <v>0</v>
      </c>
      <c r="AM153" s="112">
        <v>0</v>
      </c>
      <c r="AN153" s="111">
        <v>7</v>
      </c>
      <c r="AO153" s="112">
        <v>100</v>
      </c>
      <c r="AP153" s="111">
        <v>7</v>
      </c>
    </row>
    <row r="154" spans="1:42" ht="15">
      <c r="A154" s="65" t="s">
        <v>369</v>
      </c>
      <c r="B154" s="65" t="s">
        <v>458</v>
      </c>
      <c r="C154" s="66" t="s">
        <v>2942</v>
      </c>
      <c r="D154" s="67">
        <v>3</v>
      </c>
      <c r="E154" s="68"/>
      <c r="F154" s="69">
        <v>40</v>
      </c>
      <c r="G154" s="66"/>
      <c r="H154" s="70"/>
      <c r="I154" s="71"/>
      <c r="J154" s="71"/>
      <c r="K154" s="35" t="s">
        <v>66</v>
      </c>
      <c r="L154" s="79">
        <v>154</v>
      </c>
      <c r="M154" s="79"/>
      <c r="N154" s="73"/>
      <c r="O154" s="81" t="s">
        <v>564</v>
      </c>
      <c r="P154" s="81" t="s">
        <v>566</v>
      </c>
      <c r="Q154" s="84" t="s">
        <v>715</v>
      </c>
      <c r="R154" s="81" t="s">
        <v>369</v>
      </c>
      <c r="S154" s="81" t="s">
        <v>882</v>
      </c>
      <c r="T154" s="86" t="str">
        <f>HYPERLINK("http://www.youtube.com/channel/UCerAw4EfTOnYYxLLPZAzMxQ")</f>
        <v>http://www.youtube.com/channel/UCerAw4EfTOnYYxLLPZAzMxQ</v>
      </c>
      <c r="U154" s="81" t="s">
        <v>1064</v>
      </c>
      <c r="V154" s="81" t="s">
        <v>1124</v>
      </c>
      <c r="W154" s="86" t="str">
        <f>HYPERLINK("https://www.youtube.com/watch?v=08MqGSL9TNQ")</f>
        <v>https://www.youtube.com/watch?v=08MqGSL9TNQ</v>
      </c>
      <c r="X154" s="81" t="s">
        <v>1183</v>
      </c>
      <c r="Y154" s="81">
        <v>0</v>
      </c>
      <c r="Z154" s="88">
        <v>41977.76976851852</v>
      </c>
      <c r="AA154" s="88">
        <v>41977.76976851852</v>
      </c>
      <c r="AB154" s="81"/>
      <c r="AC154" s="81"/>
      <c r="AD154" s="84" t="s">
        <v>1239</v>
      </c>
      <c r="AE154" s="82">
        <v>1</v>
      </c>
      <c r="AF154" s="83" t="str">
        <f>REPLACE(INDEX(GroupVertices[Group],MATCH(Edges[[#This Row],[Vertex 1]],GroupVertices[Vertex],0)),1,1,"")</f>
        <v>1</v>
      </c>
      <c r="AG154" s="83" t="str">
        <f>REPLACE(INDEX(GroupVertices[Group],MATCH(Edges[[#This Row],[Vertex 2]],GroupVertices[Vertex],0)),1,1,"")</f>
        <v>1</v>
      </c>
      <c r="AH154" s="111">
        <v>1</v>
      </c>
      <c r="AI154" s="112">
        <v>1.7543859649122806</v>
      </c>
      <c r="AJ154" s="111">
        <v>0</v>
      </c>
      <c r="AK154" s="112">
        <v>0</v>
      </c>
      <c r="AL154" s="111">
        <v>0</v>
      </c>
      <c r="AM154" s="112">
        <v>0</v>
      </c>
      <c r="AN154" s="111">
        <v>56</v>
      </c>
      <c r="AO154" s="112">
        <v>98.24561403508773</v>
      </c>
      <c r="AP154" s="111">
        <v>57</v>
      </c>
    </row>
    <row r="155" spans="1:42" ht="15">
      <c r="A155" s="65" t="s">
        <v>458</v>
      </c>
      <c r="B155" s="65" t="s">
        <v>458</v>
      </c>
      <c r="C155" s="66" t="s">
        <v>2943</v>
      </c>
      <c r="D155" s="67">
        <v>4.4</v>
      </c>
      <c r="E155" s="68"/>
      <c r="F155" s="69">
        <v>35</v>
      </c>
      <c r="G155" s="66"/>
      <c r="H155" s="70"/>
      <c r="I155" s="71"/>
      <c r="J155" s="71"/>
      <c r="K155" s="35" t="s">
        <v>65</v>
      </c>
      <c r="L155" s="79">
        <v>155</v>
      </c>
      <c r="M155" s="79"/>
      <c r="N155" s="73"/>
      <c r="O155" s="81" t="s">
        <v>564</v>
      </c>
      <c r="P155" s="81" t="s">
        <v>566</v>
      </c>
      <c r="Q155" s="84" t="s">
        <v>716</v>
      </c>
      <c r="R155" s="81" t="s">
        <v>458</v>
      </c>
      <c r="S155" s="81" t="s">
        <v>971</v>
      </c>
      <c r="T155" s="86" t="str">
        <f>HYPERLINK("http://www.youtube.com/channel/UCx3Xvg2G9MUra2f7eWrweGg")</f>
        <v>http://www.youtube.com/channel/UCx3Xvg2G9MUra2f7eWrweGg</v>
      </c>
      <c r="U155" s="81" t="s">
        <v>1064</v>
      </c>
      <c r="V155" s="81" t="s">
        <v>1124</v>
      </c>
      <c r="W155" s="86" t="str">
        <f>HYPERLINK("https://www.youtube.com/watch?v=08MqGSL9TNQ")</f>
        <v>https://www.youtube.com/watch?v=08MqGSL9TNQ</v>
      </c>
      <c r="X155" s="81" t="s">
        <v>1183</v>
      </c>
      <c r="Y155" s="81">
        <v>0</v>
      </c>
      <c r="Z155" s="88">
        <v>41981.45888888889</v>
      </c>
      <c r="AA155" s="88">
        <v>41981.45888888889</v>
      </c>
      <c r="AB155" s="81"/>
      <c r="AC155" s="81"/>
      <c r="AD155" s="84" t="s">
        <v>1239</v>
      </c>
      <c r="AE155" s="82">
        <v>2</v>
      </c>
      <c r="AF155" s="83" t="str">
        <f>REPLACE(INDEX(GroupVertices[Group],MATCH(Edges[[#This Row],[Vertex 1]],GroupVertices[Vertex],0)),1,1,"")</f>
        <v>1</v>
      </c>
      <c r="AG155" s="83" t="str">
        <f>REPLACE(INDEX(GroupVertices[Group],MATCH(Edges[[#This Row],[Vertex 2]],GroupVertices[Vertex],0)),1,1,"")</f>
        <v>1</v>
      </c>
      <c r="AH155" s="111">
        <v>5</v>
      </c>
      <c r="AI155" s="112">
        <v>18.51851851851852</v>
      </c>
      <c r="AJ155" s="111">
        <v>0</v>
      </c>
      <c r="AK155" s="112">
        <v>0</v>
      </c>
      <c r="AL155" s="111">
        <v>0</v>
      </c>
      <c r="AM155" s="112">
        <v>0</v>
      </c>
      <c r="AN155" s="111">
        <v>22</v>
      </c>
      <c r="AO155" s="112">
        <v>81.48148148148148</v>
      </c>
      <c r="AP155" s="111">
        <v>27</v>
      </c>
    </row>
    <row r="156" spans="1:42" ht="15">
      <c r="A156" s="65" t="s">
        <v>458</v>
      </c>
      <c r="B156" s="65" t="s">
        <v>458</v>
      </c>
      <c r="C156" s="66" t="s">
        <v>2943</v>
      </c>
      <c r="D156" s="67">
        <v>4.4</v>
      </c>
      <c r="E156" s="68"/>
      <c r="F156" s="69">
        <v>35</v>
      </c>
      <c r="G156" s="66"/>
      <c r="H156" s="70"/>
      <c r="I156" s="71"/>
      <c r="J156" s="71"/>
      <c r="K156" s="35" t="s">
        <v>65</v>
      </c>
      <c r="L156" s="79">
        <v>156</v>
      </c>
      <c r="M156" s="79"/>
      <c r="N156" s="73"/>
      <c r="O156" s="81" t="s">
        <v>564</v>
      </c>
      <c r="P156" s="81" t="s">
        <v>566</v>
      </c>
      <c r="Q156" s="84" t="s">
        <v>717</v>
      </c>
      <c r="R156" s="81" t="s">
        <v>458</v>
      </c>
      <c r="S156" s="81" t="s">
        <v>971</v>
      </c>
      <c r="T156" s="86" t="str">
        <f>HYPERLINK("http://www.youtube.com/channel/UCx3Xvg2G9MUra2f7eWrweGg")</f>
        <v>http://www.youtube.com/channel/UCx3Xvg2G9MUra2f7eWrweGg</v>
      </c>
      <c r="U156" s="81" t="s">
        <v>1064</v>
      </c>
      <c r="V156" s="81" t="s">
        <v>1124</v>
      </c>
      <c r="W156" s="86" t="str">
        <f>HYPERLINK("https://www.youtube.com/watch?v=08MqGSL9TNQ")</f>
        <v>https://www.youtube.com/watch?v=08MqGSL9TNQ</v>
      </c>
      <c r="X156" s="81" t="s">
        <v>1183</v>
      </c>
      <c r="Y156" s="81">
        <v>0</v>
      </c>
      <c r="Z156" s="88">
        <v>41981.459027777775</v>
      </c>
      <c r="AA156" s="88">
        <v>41981.459027777775</v>
      </c>
      <c r="AB156" s="81"/>
      <c r="AC156" s="81"/>
      <c r="AD156" s="84" t="s">
        <v>1239</v>
      </c>
      <c r="AE156" s="82">
        <v>2</v>
      </c>
      <c r="AF156" s="83" t="str">
        <f>REPLACE(INDEX(GroupVertices[Group],MATCH(Edges[[#This Row],[Vertex 1]],GroupVertices[Vertex],0)),1,1,"")</f>
        <v>1</v>
      </c>
      <c r="AG156" s="83" t="str">
        <f>REPLACE(INDEX(GroupVertices[Group],MATCH(Edges[[#This Row],[Vertex 2]],GroupVertices[Vertex],0)),1,1,"")</f>
        <v>1</v>
      </c>
      <c r="AH156" s="111">
        <v>1</v>
      </c>
      <c r="AI156" s="112">
        <v>50</v>
      </c>
      <c r="AJ156" s="111">
        <v>0</v>
      </c>
      <c r="AK156" s="112">
        <v>0</v>
      </c>
      <c r="AL156" s="111">
        <v>0</v>
      </c>
      <c r="AM156" s="112">
        <v>0</v>
      </c>
      <c r="AN156" s="111">
        <v>1</v>
      </c>
      <c r="AO156" s="112">
        <v>50</v>
      </c>
      <c r="AP156" s="111">
        <v>2</v>
      </c>
    </row>
    <row r="157" spans="1:42" ht="15">
      <c r="A157" s="65" t="s">
        <v>458</v>
      </c>
      <c r="B157" s="65" t="s">
        <v>369</v>
      </c>
      <c r="C157" s="66" t="s">
        <v>2942</v>
      </c>
      <c r="D157" s="67">
        <v>3</v>
      </c>
      <c r="E157" s="68"/>
      <c r="F157" s="69">
        <v>40</v>
      </c>
      <c r="G157" s="66"/>
      <c r="H157" s="70"/>
      <c r="I157" s="71"/>
      <c r="J157" s="71"/>
      <c r="K157" s="35" t="s">
        <v>66</v>
      </c>
      <c r="L157" s="79">
        <v>157</v>
      </c>
      <c r="M157" s="79"/>
      <c r="N157" s="73"/>
      <c r="O157" s="81" t="s">
        <v>563</v>
      </c>
      <c r="P157" s="81" t="s">
        <v>325</v>
      </c>
      <c r="Q157" s="84" t="s">
        <v>718</v>
      </c>
      <c r="R157" s="81" t="s">
        <v>458</v>
      </c>
      <c r="S157" s="81" t="s">
        <v>971</v>
      </c>
      <c r="T157" s="86" t="str">
        <f>HYPERLINK("http://www.youtube.com/channel/UCx3Xvg2G9MUra2f7eWrweGg")</f>
        <v>http://www.youtube.com/channel/UCx3Xvg2G9MUra2f7eWrweGg</v>
      </c>
      <c r="U157" s="81"/>
      <c r="V157" s="81" t="s">
        <v>1124</v>
      </c>
      <c r="W157" s="86" t="str">
        <f>HYPERLINK("https://www.youtube.com/watch?v=08MqGSL9TNQ")</f>
        <v>https://www.youtube.com/watch?v=08MqGSL9TNQ</v>
      </c>
      <c r="X157" s="81" t="s">
        <v>1183</v>
      </c>
      <c r="Y157" s="81">
        <v>1</v>
      </c>
      <c r="Z157" s="88">
        <v>41977.64616898148</v>
      </c>
      <c r="AA157" s="88">
        <v>41977.64616898148</v>
      </c>
      <c r="AB157" s="81"/>
      <c r="AC157" s="81"/>
      <c r="AD157" s="84" t="s">
        <v>1239</v>
      </c>
      <c r="AE157" s="82">
        <v>1</v>
      </c>
      <c r="AF157" s="83" t="str">
        <f>REPLACE(INDEX(GroupVertices[Group],MATCH(Edges[[#This Row],[Vertex 1]],GroupVertices[Vertex],0)),1,1,"")</f>
        <v>1</v>
      </c>
      <c r="AG157" s="83" t="str">
        <f>REPLACE(INDEX(GroupVertices[Group],MATCH(Edges[[#This Row],[Vertex 2]],GroupVertices[Vertex],0)),1,1,"")</f>
        <v>1</v>
      </c>
      <c r="AH157" s="111">
        <v>3</v>
      </c>
      <c r="AI157" s="112">
        <v>2.0134228187919465</v>
      </c>
      <c r="AJ157" s="111">
        <v>0</v>
      </c>
      <c r="AK157" s="112">
        <v>0</v>
      </c>
      <c r="AL157" s="111">
        <v>0</v>
      </c>
      <c r="AM157" s="112">
        <v>0</v>
      </c>
      <c r="AN157" s="111">
        <v>146</v>
      </c>
      <c r="AO157" s="112">
        <v>97.98657718120805</v>
      </c>
      <c r="AP157" s="111">
        <v>149</v>
      </c>
    </row>
    <row r="158" spans="1:42" ht="15">
      <c r="A158" s="65" t="s">
        <v>459</v>
      </c>
      <c r="B158" s="65" t="s">
        <v>369</v>
      </c>
      <c r="C158" s="66" t="s">
        <v>2942</v>
      </c>
      <c r="D158" s="67">
        <v>3</v>
      </c>
      <c r="E158" s="68"/>
      <c r="F158" s="69">
        <v>40</v>
      </c>
      <c r="G158" s="66"/>
      <c r="H158" s="70"/>
      <c r="I158" s="71"/>
      <c r="J158" s="71"/>
      <c r="K158" s="35" t="s">
        <v>65</v>
      </c>
      <c r="L158" s="79">
        <v>158</v>
      </c>
      <c r="M158" s="79"/>
      <c r="N158" s="73"/>
      <c r="O158" s="81" t="s">
        <v>563</v>
      </c>
      <c r="P158" s="81" t="s">
        <v>325</v>
      </c>
      <c r="Q158" s="84" t="s">
        <v>719</v>
      </c>
      <c r="R158" s="81" t="s">
        <v>459</v>
      </c>
      <c r="S158" s="81" t="s">
        <v>972</v>
      </c>
      <c r="T158" s="86" t="str">
        <f>HYPERLINK("http://www.youtube.com/channel/UClHeEpe_QWW1jxCMatKCkzQ")</f>
        <v>http://www.youtube.com/channel/UClHeEpe_QWW1jxCMatKCkzQ</v>
      </c>
      <c r="U158" s="81"/>
      <c r="V158" s="81" t="s">
        <v>1124</v>
      </c>
      <c r="W158" s="86" t="str">
        <f>HYPERLINK("https://www.youtube.com/watch?v=08MqGSL9TNQ")</f>
        <v>https://www.youtube.com/watch?v=08MqGSL9TNQ</v>
      </c>
      <c r="X158" s="81" t="s">
        <v>1183</v>
      </c>
      <c r="Y158" s="81">
        <v>0</v>
      </c>
      <c r="Z158" s="88">
        <v>42049.97001157407</v>
      </c>
      <c r="AA158" s="88">
        <v>42049.97001157407</v>
      </c>
      <c r="AB158" s="81"/>
      <c r="AC158" s="81"/>
      <c r="AD158" s="84" t="s">
        <v>1239</v>
      </c>
      <c r="AE158" s="82">
        <v>1</v>
      </c>
      <c r="AF158" s="83" t="str">
        <f>REPLACE(INDEX(GroupVertices[Group],MATCH(Edges[[#This Row],[Vertex 1]],GroupVertices[Vertex],0)),1,1,"")</f>
        <v>1</v>
      </c>
      <c r="AG158" s="83" t="str">
        <f>REPLACE(INDEX(GroupVertices[Group],MATCH(Edges[[#This Row],[Vertex 2]],GroupVertices[Vertex],0)),1,1,"")</f>
        <v>1</v>
      </c>
      <c r="AH158" s="111">
        <v>1</v>
      </c>
      <c r="AI158" s="112">
        <v>5.882352941176471</v>
      </c>
      <c r="AJ158" s="111">
        <v>0</v>
      </c>
      <c r="AK158" s="112">
        <v>0</v>
      </c>
      <c r="AL158" s="111">
        <v>0</v>
      </c>
      <c r="AM158" s="112">
        <v>0</v>
      </c>
      <c r="AN158" s="111">
        <v>16</v>
      </c>
      <c r="AO158" s="112">
        <v>94.11764705882354</v>
      </c>
      <c r="AP158" s="111">
        <v>17</v>
      </c>
    </row>
    <row r="159" spans="1:42" ht="15">
      <c r="A159" s="65" t="s">
        <v>369</v>
      </c>
      <c r="B159" s="65" t="s">
        <v>460</v>
      </c>
      <c r="C159" s="66" t="s">
        <v>2942</v>
      </c>
      <c r="D159" s="67">
        <v>3</v>
      </c>
      <c r="E159" s="68"/>
      <c r="F159" s="69">
        <v>40</v>
      </c>
      <c r="G159" s="66"/>
      <c r="H159" s="70"/>
      <c r="I159" s="71"/>
      <c r="J159" s="71"/>
      <c r="K159" s="35" t="s">
        <v>66</v>
      </c>
      <c r="L159" s="79">
        <v>159</v>
      </c>
      <c r="M159" s="79"/>
      <c r="N159" s="73"/>
      <c r="O159" s="81" t="s">
        <v>564</v>
      </c>
      <c r="P159" s="81" t="s">
        <v>566</v>
      </c>
      <c r="Q159" s="84" t="s">
        <v>720</v>
      </c>
      <c r="R159" s="81" t="s">
        <v>369</v>
      </c>
      <c r="S159" s="81" t="s">
        <v>882</v>
      </c>
      <c r="T159" s="86" t="str">
        <f>HYPERLINK("http://www.youtube.com/channel/UCerAw4EfTOnYYxLLPZAzMxQ")</f>
        <v>http://www.youtube.com/channel/UCerAw4EfTOnYYxLLPZAzMxQ</v>
      </c>
      <c r="U159" s="81" t="s">
        <v>1065</v>
      </c>
      <c r="V159" s="81" t="s">
        <v>1124</v>
      </c>
      <c r="W159" s="86" t="str">
        <f>HYPERLINK("https://www.youtube.com/watch?v=08MqGSL9TNQ")</f>
        <v>https://www.youtube.com/watch?v=08MqGSL9TNQ</v>
      </c>
      <c r="X159" s="81" t="s">
        <v>1183</v>
      </c>
      <c r="Y159" s="81">
        <v>0</v>
      </c>
      <c r="Z159" s="88">
        <v>42114.52422453704</v>
      </c>
      <c r="AA159" s="88">
        <v>42114.52422453704</v>
      </c>
      <c r="AB159" s="81" t="s">
        <v>1198</v>
      </c>
      <c r="AC159" s="81" t="s">
        <v>1230</v>
      </c>
      <c r="AD159" s="84" t="s">
        <v>1239</v>
      </c>
      <c r="AE159" s="82">
        <v>1</v>
      </c>
      <c r="AF159" s="83" t="str">
        <f>REPLACE(INDEX(GroupVertices[Group],MATCH(Edges[[#This Row],[Vertex 1]],GroupVertices[Vertex],0)),1,1,"")</f>
        <v>1</v>
      </c>
      <c r="AG159" s="83" t="str">
        <f>REPLACE(INDEX(GroupVertices[Group],MATCH(Edges[[#This Row],[Vertex 2]],GroupVertices[Vertex],0)),1,1,"")</f>
        <v>1</v>
      </c>
      <c r="AH159" s="111">
        <v>3</v>
      </c>
      <c r="AI159" s="112">
        <v>3.1578947368421053</v>
      </c>
      <c r="AJ159" s="111">
        <v>0</v>
      </c>
      <c r="AK159" s="112">
        <v>0</v>
      </c>
      <c r="AL159" s="111">
        <v>0</v>
      </c>
      <c r="AM159" s="112">
        <v>0</v>
      </c>
      <c r="AN159" s="111">
        <v>92</v>
      </c>
      <c r="AO159" s="112">
        <v>96.84210526315789</v>
      </c>
      <c r="AP159" s="111">
        <v>95</v>
      </c>
    </row>
    <row r="160" spans="1:42" ht="15">
      <c r="A160" s="65" t="s">
        <v>460</v>
      </c>
      <c r="B160" s="65" t="s">
        <v>460</v>
      </c>
      <c r="C160" s="66" t="s">
        <v>2942</v>
      </c>
      <c r="D160" s="67">
        <v>3</v>
      </c>
      <c r="E160" s="68"/>
      <c r="F160" s="69">
        <v>40</v>
      </c>
      <c r="G160" s="66"/>
      <c r="H160" s="70"/>
      <c r="I160" s="71"/>
      <c r="J160" s="71"/>
      <c r="K160" s="35" t="s">
        <v>65</v>
      </c>
      <c r="L160" s="79">
        <v>160</v>
      </c>
      <c r="M160" s="79"/>
      <c r="N160" s="73"/>
      <c r="O160" s="81" t="s">
        <v>564</v>
      </c>
      <c r="P160" s="81" t="s">
        <v>566</v>
      </c>
      <c r="Q160" s="84" t="s">
        <v>721</v>
      </c>
      <c r="R160" s="81" t="s">
        <v>460</v>
      </c>
      <c r="S160" s="81" t="s">
        <v>973</v>
      </c>
      <c r="T160" s="86" t="str">
        <f>HYPERLINK("http://www.youtube.com/channel/UC6xUcpewcYKMIvXWC39bu9A")</f>
        <v>http://www.youtube.com/channel/UC6xUcpewcYKMIvXWC39bu9A</v>
      </c>
      <c r="U160" s="81" t="s">
        <v>1065</v>
      </c>
      <c r="V160" s="81" t="s">
        <v>1124</v>
      </c>
      <c r="W160" s="86" t="str">
        <f>HYPERLINK("https://www.youtube.com/watch?v=08MqGSL9TNQ")</f>
        <v>https://www.youtube.com/watch?v=08MqGSL9TNQ</v>
      </c>
      <c r="X160" s="81" t="s">
        <v>1183</v>
      </c>
      <c r="Y160" s="81">
        <v>0</v>
      </c>
      <c r="Z160" s="88">
        <v>42114.58358796296</v>
      </c>
      <c r="AA160" s="88">
        <v>42114.58358796296</v>
      </c>
      <c r="AB160" s="81"/>
      <c r="AC160" s="81"/>
      <c r="AD160" s="84" t="s">
        <v>1239</v>
      </c>
      <c r="AE160" s="82">
        <v>1</v>
      </c>
      <c r="AF160" s="83" t="str">
        <f>REPLACE(INDEX(GroupVertices[Group],MATCH(Edges[[#This Row],[Vertex 1]],GroupVertices[Vertex],0)),1,1,"")</f>
        <v>1</v>
      </c>
      <c r="AG160" s="83" t="str">
        <f>REPLACE(INDEX(GroupVertices[Group],MATCH(Edges[[#This Row],[Vertex 2]],GroupVertices[Vertex],0)),1,1,"")</f>
        <v>1</v>
      </c>
      <c r="AH160" s="111">
        <v>6</v>
      </c>
      <c r="AI160" s="112">
        <v>12</v>
      </c>
      <c r="AJ160" s="111">
        <v>0</v>
      </c>
      <c r="AK160" s="112">
        <v>0</v>
      </c>
      <c r="AL160" s="111">
        <v>0</v>
      </c>
      <c r="AM160" s="112">
        <v>0</v>
      </c>
      <c r="AN160" s="111">
        <v>44</v>
      </c>
      <c r="AO160" s="112">
        <v>88</v>
      </c>
      <c r="AP160" s="111">
        <v>50</v>
      </c>
    </row>
    <row r="161" spans="1:42" ht="15">
      <c r="A161" s="65" t="s">
        <v>460</v>
      </c>
      <c r="B161" s="65" t="s">
        <v>369</v>
      </c>
      <c r="C161" s="66" t="s">
        <v>2942</v>
      </c>
      <c r="D161" s="67">
        <v>3</v>
      </c>
      <c r="E161" s="68"/>
      <c r="F161" s="69">
        <v>40</v>
      </c>
      <c r="G161" s="66"/>
      <c r="H161" s="70"/>
      <c r="I161" s="71"/>
      <c r="J161" s="71"/>
      <c r="K161" s="35" t="s">
        <v>66</v>
      </c>
      <c r="L161" s="79">
        <v>161</v>
      </c>
      <c r="M161" s="79"/>
      <c r="N161" s="73"/>
      <c r="O161" s="81" t="s">
        <v>563</v>
      </c>
      <c r="P161" s="81" t="s">
        <v>325</v>
      </c>
      <c r="Q161" s="84" t="s">
        <v>722</v>
      </c>
      <c r="R161" s="81" t="s">
        <v>460</v>
      </c>
      <c r="S161" s="81" t="s">
        <v>973</v>
      </c>
      <c r="T161" s="86" t="str">
        <f>HYPERLINK("http://www.youtube.com/channel/UC6xUcpewcYKMIvXWC39bu9A")</f>
        <v>http://www.youtube.com/channel/UC6xUcpewcYKMIvXWC39bu9A</v>
      </c>
      <c r="U161" s="81"/>
      <c r="V161" s="81" t="s">
        <v>1124</v>
      </c>
      <c r="W161" s="86" t="str">
        <f>HYPERLINK("https://www.youtube.com/watch?v=08MqGSL9TNQ")</f>
        <v>https://www.youtube.com/watch?v=08MqGSL9TNQ</v>
      </c>
      <c r="X161" s="81" t="s">
        <v>1183</v>
      </c>
      <c r="Y161" s="81">
        <v>0</v>
      </c>
      <c r="Z161" s="88">
        <v>42114.388773148145</v>
      </c>
      <c r="AA161" s="88">
        <v>42114.388773148145</v>
      </c>
      <c r="AB161" s="81"/>
      <c r="AC161" s="81"/>
      <c r="AD161" s="84" t="s">
        <v>1239</v>
      </c>
      <c r="AE161" s="82">
        <v>1</v>
      </c>
      <c r="AF161" s="83" t="str">
        <f>REPLACE(INDEX(GroupVertices[Group],MATCH(Edges[[#This Row],[Vertex 1]],GroupVertices[Vertex],0)),1,1,"")</f>
        <v>1</v>
      </c>
      <c r="AG161" s="83" t="str">
        <f>REPLACE(INDEX(GroupVertices[Group],MATCH(Edges[[#This Row],[Vertex 2]],GroupVertices[Vertex],0)),1,1,"")</f>
        <v>1</v>
      </c>
      <c r="AH161" s="111">
        <v>8</v>
      </c>
      <c r="AI161" s="112">
        <v>4.651162790697675</v>
      </c>
      <c r="AJ161" s="111">
        <v>4</v>
      </c>
      <c r="AK161" s="112">
        <v>2.3255813953488373</v>
      </c>
      <c r="AL161" s="111">
        <v>0</v>
      </c>
      <c r="AM161" s="112">
        <v>0</v>
      </c>
      <c r="AN161" s="111">
        <v>160</v>
      </c>
      <c r="AO161" s="112">
        <v>93.02325581395348</v>
      </c>
      <c r="AP161" s="111">
        <v>172</v>
      </c>
    </row>
    <row r="162" spans="1:42" ht="15">
      <c r="A162" s="65" t="s">
        <v>461</v>
      </c>
      <c r="B162" s="65" t="s">
        <v>369</v>
      </c>
      <c r="C162" s="66" t="s">
        <v>2942</v>
      </c>
      <c r="D162" s="67">
        <v>3</v>
      </c>
      <c r="E162" s="68"/>
      <c r="F162" s="69">
        <v>40</v>
      </c>
      <c r="G162" s="66"/>
      <c r="H162" s="70"/>
      <c r="I162" s="71"/>
      <c r="J162" s="71"/>
      <c r="K162" s="35" t="s">
        <v>65</v>
      </c>
      <c r="L162" s="79">
        <v>162</v>
      </c>
      <c r="M162" s="79"/>
      <c r="N162" s="73"/>
      <c r="O162" s="81" t="s">
        <v>563</v>
      </c>
      <c r="P162" s="81" t="s">
        <v>325</v>
      </c>
      <c r="Q162" s="84" t="s">
        <v>723</v>
      </c>
      <c r="R162" s="81" t="s">
        <v>461</v>
      </c>
      <c r="S162" s="81" t="s">
        <v>974</v>
      </c>
      <c r="T162" s="86" t="str">
        <f>HYPERLINK("http://www.youtube.com/channel/UC9jGt1X3J14c5GAeAO8EDvQ")</f>
        <v>http://www.youtube.com/channel/UC9jGt1X3J14c5GAeAO8EDvQ</v>
      </c>
      <c r="U162" s="81"/>
      <c r="V162" s="81" t="s">
        <v>1124</v>
      </c>
      <c r="W162" s="86" t="str">
        <f>HYPERLINK("https://www.youtube.com/watch?v=08MqGSL9TNQ")</f>
        <v>https://www.youtube.com/watch?v=08MqGSL9TNQ</v>
      </c>
      <c r="X162" s="81" t="s">
        <v>1183</v>
      </c>
      <c r="Y162" s="81">
        <v>0</v>
      </c>
      <c r="Z162" s="88">
        <v>42243.78559027778</v>
      </c>
      <c r="AA162" s="88">
        <v>42243.78559027778</v>
      </c>
      <c r="AB162" s="81"/>
      <c r="AC162" s="81"/>
      <c r="AD162" s="84" t="s">
        <v>1239</v>
      </c>
      <c r="AE162" s="82">
        <v>1</v>
      </c>
      <c r="AF162" s="83" t="str">
        <f>REPLACE(INDEX(GroupVertices[Group],MATCH(Edges[[#This Row],[Vertex 1]],GroupVertices[Vertex],0)),1,1,"")</f>
        <v>1</v>
      </c>
      <c r="AG162" s="83" t="str">
        <f>REPLACE(INDEX(GroupVertices[Group],MATCH(Edges[[#This Row],[Vertex 2]],GroupVertices[Vertex],0)),1,1,"")</f>
        <v>1</v>
      </c>
      <c r="AH162" s="111">
        <v>2</v>
      </c>
      <c r="AI162" s="112">
        <v>5.714285714285714</v>
      </c>
      <c r="AJ162" s="111">
        <v>1</v>
      </c>
      <c r="AK162" s="112">
        <v>2.857142857142857</v>
      </c>
      <c r="AL162" s="111">
        <v>0</v>
      </c>
      <c r="AM162" s="112">
        <v>0</v>
      </c>
      <c r="AN162" s="111">
        <v>32</v>
      </c>
      <c r="AO162" s="112">
        <v>91.42857142857143</v>
      </c>
      <c r="AP162" s="111">
        <v>35</v>
      </c>
    </row>
    <row r="163" spans="1:42" ht="15">
      <c r="A163" s="65" t="s">
        <v>462</v>
      </c>
      <c r="B163" s="65" t="s">
        <v>369</v>
      </c>
      <c r="C163" s="66" t="s">
        <v>2942</v>
      </c>
      <c r="D163" s="67">
        <v>3</v>
      </c>
      <c r="E163" s="68"/>
      <c r="F163" s="69">
        <v>40</v>
      </c>
      <c r="G163" s="66"/>
      <c r="H163" s="70"/>
      <c r="I163" s="71"/>
      <c r="J163" s="71"/>
      <c r="K163" s="35" t="s">
        <v>65</v>
      </c>
      <c r="L163" s="79">
        <v>163</v>
      </c>
      <c r="M163" s="79"/>
      <c r="N163" s="73"/>
      <c r="O163" s="81" t="s">
        <v>563</v>
      </c>
      <c r="P163" s="81" t="s">
        <v>325</v>
      </c>
      <c r="Q163" s="84" t="s">
        <v>724</v>
      </c>
      <c r="R163" s="81" t="s">
        <v>462</v>
      </c>
      <c r="S163" s="81" t="s">
        <v>975</v>
      </c>
      <c r="T163" s="86" t="str">
        <f>HYPERLINK("http://www.youtube.com/channel/UCA4upGBl9EGqYOrMkBRxIUg")</f>
        <v>http://www.youtube.com/channel/UCA4upGBl9EGqYOrMkBRxIUg</v>
      </c>
      <c r="U163" s="81"/>
      <c r="V163" s="81" t="s">
        <v>1124</v>
      </c>
      <c r="W163" s="86" t="str">
        <f>HYPERLINK("https://www.youtube.com/watch?v=08MqGSL9TNQ")</f>
        <v>https://www.youtube.com/watch?v=08MqGSL9TNQ</v>
      </c>
      <c r="X163" s="81" t="s">
        <v>1183</v>
      </c>
      <c r="Y163" s="81">
        <v>0</v>
      </c>
      <c r="Z163" s="88">
        <v>42280.79384259259</v>
      </c>
      <c r="AA163" s="88">
        <v>42280.79384259259</v>
      </c>
      <c r="AB163" s="81"/>
      <c r="AC163" s="81"/>
      <c r="AD163" s="84" t="s">
        <v>1239</v>
      </c>
      <c r="AE163" s="82">
        <v>1</v>
      </c>
      <c r="AF163" s="83" t="str">
        <f>REPLACE(INDEX(GroupVertices[Group],MATCH(Edges[[#This Row],[Vertex 1]],GroupVertices[Vertex],0)),1,1,"")</f>
        <v>1</v>
      </c>
      <c r="AG163" s="83" t="str">
        <f>REPLACE(INDEX(GroupVertices[Group],MATCH(Edges[[#This Row],[Vertex 2]],GroupVertices[Vertex],0)),1,1,"")</f>
        <v>1</v>
      </c>
      <c r="AH163" s="111">
        <v>2</v>
      </c>
      <c r="AI163" s="112">
        <v>7.142857142857143</v>
      </c>
      <c r="AJ163" s="111">
        <v>0</v>
      </c>
      <c r="AK163" s="112">
        <v>0</v>
      </c>
      <c r="AL163" s="111">
        <v>0</v>
      </c>
      <c r="AM163" s="112">
        <v>0</v>
      </c>
      <c r="AN163" s="111">
        <v>26</v>
      </c>
      <c r="AO163" s="112">
        <v>92.85714285714286</v>
      </c>
      <c r="AP163" s="111">
        <v>28</v>
      </c>
    </row>
    <row r="164" spans="1:42" ht="15">
      <c r="A164" s="65" t="s">
        <v>463</v>
      </c>
      <c r="B164" s="65" t="s">
        <v>369</v>
      </c>
      <c r="C164" s="66" t="s">
        <v>2942</v>
      </c>
      <c r="D164" s="67">
        <v>3</v>
      </c>
      <c r="E164" s="68"/>
      <c r="F164" s="69">
        <v>40</v>
      </c>
      <c r="G164" s="66"/>
      <c r="H164" s="70"/>
      <c r="I164" s="71"/>
      <c r="J164" s="71"/>
      <c r="K164" s="35" t="s">
        <v>65</v>
      </c>
      <c r="L164" s="79">
        <v>164</v>
      </c>
      <c r="M164" s="79"/>
      <c r="N164" s="73"/>
      <c r="O164" s="81" t="s">
        <v>563</v>
      </c>
      <c r="P164" s="81" t="s">
        <v>325</v>
      </c>
      <c r="Q164" s="84" t="s">
        <v>725</v>
      </c>
      <c r="R164" s="81" t="s">
        <v>463</v>
      </c>
      <c r="S164" s="81" t="s">
        <v>976</v>
      </c>
      <c r="T164" s="86" t="str">
        <f>HYPERLINK("http://www.youtube.com/channel/UCRaAPyppJGU5Yds5lDDlb1Q")</f>
        <v>http://www.youtube.com/channel/UCRaAPyppJGU5Yds5lDDlb1Q</v>
      </c>
      <c r="U164" s="81"/>
      <c r="V164" s="81" t="s">
        <v>1124</v>
      </c>
      <c r="W164" s="86" t="str">
        <f>HYPERLINK("https://www.youtube.com/watch?v=08MqGSL9TNQ")</f>
        <v>https://www.youtube.com/watch?v=08MqGSL9TNQ</v>
      </c>
      <c r="X164" s="81" t="s">
        <v>1183</v>
      </c>
      <c r="Y164" s="81">
        <v>0</v>
      </c>
      <c r="Z164" s="88">
        <v>42521.070127314815</v>
      </c>
      <c r="AA164" s="88">
        <v>42521.070127314815</v>
      </c>
      <c r="AB164" s="81"/>
      <c r="AC164" s="81"/>
      <c r="AD164" s="84" t="s">
        <v>1239</v>
      </c>
      <c r="AE164" s="82">
        <v>1</v>
      </c>
      <c r="AF164" s="83" t="str">
        <f>REPLACE(INDEX(GroupVertices[Group],MATCH(Edges[[#This Row],[Vertex 1]],GroupVertices[Vertex],0)),1,1,"")</f>
        <v>1</v>
      </c>
      <c r="AG164" s="83" t="str">
        <f>REPLACE(INDEX(GroupVertices[Group],MATCH(Edges[[#This Row],[Vertex 2]],GroupVertices[Vertex],0)),1,1,"")</f>
        <v>1</v>
      </c>
      <c r="AH164" s="111">
        <v>2</v>
      </c>
      <c r="AI164" s="112">
        <v>15.384615384615385</v>
      </c>
      <c r="AJ164" s="111">
        <v>0</v>
      </c>
      <c r="AK164" s="112">
        <v>0</v>
      </c>
      <c r="AL164" s="111">
        <v>0</v>
      </c>
      <c r="AM164" s="112">
        <v>0</v>
      </c>
      <c r="AN164" s="111">
        <v>11</v>
      </c>
      <c r="AO164" s="112">
        <v>84.61538461538461</v>
      </c>
      <c r="AP164" s="111">
        <v>13</v>
      </c>
    </row>
    <row r="165" spans="1:42" ht="15">
      <c r="A165" s="65" t="s">
        <v>464</v>
      </c>
      <c r="B165" s="65" t="s">
        <v>369</v>
      </c>
      <c r="C165" s="66" t="s">
        <v>2942</v>
      </c>
      <c r="D165" s="67">
        <v>3</v>
      </c>
      <c r="E165" s="68"/>
      <c r="F165" s="69">
        <v>40</v>
      </c>
      <c r="G165" s="66"/>
      <c r="H165" s="70"/>
      <c r="I165" s="71"/>
      <c r="J165" s="71"/>
      <c r="K165" s="35" t="s">
        <v>65</v>
      </c>
      <c r="L165" s="79">
        <v>165</v>
      </c>
      <c r="M165" s="79"/>
      <c r="N165" s="73"/>
      <c r="O165" s="81" t="s">
        <v>563</v>
      </c>
      <c r="P165" s="81" t="s">
        <v>325</v>
      </c>
      <c r="Q165" s="84" t="s">
        <v>726</v>
      </c>
      <c r="R165" s="81" t="s">
        <v>464</v>
      </c>
      <c r="S165" s="81" t="s">
        <v>977</v>
      </c>
      <c r="T165" s="86" t="str">
        <f>HYPERLINK("http://www.youtube.com/channel/UCV6YNtkIq41tS1aUynMnoTw")</f>
        <v>http://www.youtube.com/channel/UCV6YNtkIq41tS1aUynMnoTw</v>
      </c>
      <c r="U165" s="81"/>
      <c r="V165" s="81" t="s">
        <v>1124</v>
      </c>
      <c r="W165" s="86" t="str">
        <f>HYPERLINK("https://www.youtube.com/watch?v=08MqGSL9TNQ")</f>
        <v>https://www.youtube.com/watch?v=08MqGSL9TNQ</v>
      </c>
      <c r="X165" s="81" t="s">
        <v>1183</v>
      </c>
      <c r="Y165" s="81">
        <v>0</v>
      </c>
      <c r="Z165" s="88">
        <v>44259.85634259259</v>
      </c>
      <c r="AA165" s="88">
        <v>44259.85634259259</v>
      </c>
      <c r="AB165" s="81"/>
      <c r="AC165" s="81"/>
      <c r="AD165" s="84" t="s">
        <v>1239</v>
      </c>
      <c r="AE165" s="82">
        <v>1</v>
      </c>
      <c r="AF165" s="83" t="str">
        <f>REPLACE(INDEX(GroupVertices[Group],MATCH(Edges[[#This Row],[Vertex 1]],GroupVertices[Vertex],0)),1,1,"")</f>
        <v>1</v>
      </c>
      <c r="AG165" s="83" t="str">
        <f>REPLACE(INDEX(GroupVertices[Group],MATCH(Edges[[#This Row],[Vertex 2]],GroupVertices[Vertex],0)),1,1,"")</f>
        <v>1</v>
      </c>
      <c r="AH165" s="111">
        <v>0</v>
      </c>
      <c r="AI165" s="112">
        <v>0</v>
      </c>
      <c r="AJ165" s="111">
        <v>0</v>
      </c>
      <c r="AK165" s="112">
        <v>0</v>
      </c>
      <c r="AL165" s="111">
        <v>0</v>
      </c>
      <c r="AM165" s="112">
        <v>0</v>
      </c>
      <c r="AN165" s="111">
        <v>3</v>
      </c>
      <c r="AO165" s="112">
        <v>100</v>
      </c>
      <c r="AP165" s="111">
        <v>3</v>
      </c>
    </row>
    <row r="166" spans="1:42" ht="15">
      <c r="A166" s="65" t="s">
        <v>465</v>
      </c>
      <c r="B166" s="65" t="s">
        <v>369</v>
      </c>
      <c r="C166" s="66" t="s">
        <v>2942</v>
      </c>
      <c r="D166" s="67">
        <v>3</v>
      </c>
      <c r="E166" s="68"/>
      <c r="F166" s="69">
        <v>40</v>
      </c>
      <c r="G166" s="66"/>
      <c r="H166" s="70"/>
      <c r="I166" s="71"/>
      <c r="J166" s="71"/>
      <c r="K166" s="35" t="s">
        <v>65</v>
      </c>
      <c r="L166" s="79">
        <v>166</v>
      </c>
      <c r="M166" s="79"/>
      <c r="N166" s="73"/>
      <c r="O166" s="81" t="s">
        <v>563</v>
      </c>
      <c r="P166" s="81" t="s">
        <v>325</v>
      </c>
      <c r="Q166" s="84" t="s">
        <v>727</v>
      </c>
      <c r="R166" s="81" t="s">
        <v>465</v>
      </c>
      <c r="S166" s="81" t="s">
        <v>978</v>
      </c>
      <c r="T166" s="86" t="str">
        <f>HYPERLINK("http://www.youtube.com/channel/UCV5NmnIggBXfHNRqsqYBPHg")</f>
        <v>http://www.youtube.com/channel/UCV5NmnIggBXfHNRqsqYBPHg</v>
      </c>
      <c r="U166" s="81"/>
      <c r="V166" s="81" t="s">
        <v>1124</v>
      </c>
      <c r="W166" s="86" t="str">
        <f>HYPERLINK("https://www.youtube.com/watch?v=08MqGSL9TNQ")</f>
        <v>https://www.youtube.com/watch?v=08MqGSL9TNQ</v>
      </c>
      <c r="X166" s="81" t="s">
        <v>1183</v>
      </c>
      <c r="Y166" s="81">
        <v>0</v>
      </c>
      <c r="Z166" s="88">
        <v>44661.2193287037</v>
      </c>
      <c r="AA166" s="88">
        <v>44661.2193287037</v>
      </c>
      <c r="AB166" s="81"/>
      <c r="AC166" s="81"/>
      <c r="AD166" s="84" t="s">
        <v>1239</v>
      </c>
      <c r="AE166" s="82">
        <v>1</v>
      </c>
      <c r="AF166" s="83" t="str">
        <f>REPLACE(INDEX(GroupVertices[Group],MATCH(Edges[[#This Row],[Vertex 1]],GroupVertices[Vertex],0)),1,1,"")</f>
        <v>1</v>
      </c>
      <c r="AG166" s="83" t="str">
        <f>REPLACE(INDEX(GroupVertices[Group],MATCH(Edges[[#This Row],[Vertex 2]],GroupVertices[Vertex],0)),1,1,"")</f>
        <v>1</v>
      </c>
      <c r="AH166" s="111">
        <v>3</v>
      </c>
      <c r="AI166" s="112">
        <v>16.666666666666668</v>
      </c>
      <c r="AJ166" s="111">
        <v>0</v>
      </c>
      <c r="AK166" s="112">
        <v>0</v>
      </c>
      <c r="AL166" s="111">
        <v>0</v>
      </c>
      <c r="AM166" s="112">
        <v>0</v>
      </c>
      <c r="AN166" s="111">
        <v>15</v>
      </c>
      <c r="AO166" s="112">
        <v>83.33333333333333</v>
      </c>
      <c r="AP166" s="111">
        <v>18</v>
      </c>
    </row>
    <row r="167" spans="1:42" ht="15">
      <c r="A167" s="65" t="s">
        <v>466</v>
      </c>
      <c r="B167" s="65" t="s">
        <v>467</v>
      </c>
      <c r="C167" s="66" t="s">
        <v>2942</v>
      </c>
      <c r="D167" s="67">
        <v>3</v>
      </c>
      <c r="E167" s="68"/>
      <c r="F167" s="69">
        <v>40</v>
      </c>
      <c r="G167" s="66"/>
      <c r="H167" s="70"/>
      <c r="I167" s="71"/>
      <c r="J167" s="71"/>
      <c r="K167" s="35" t="s">
        <v>65</v>
      </c>
      <c r="L167" s="79">
        <v>167</v>
      </c>
      <c r="M167" s="79"/>
      <c r="N167" s="73"/>
      <c r="O167" s="81" t="s">
        <v>564</v>
      </c>
      <c r="P167" s="81" t="s">
        <v>566</v>
      </c>
      <c r="Q167" s="84" t="s">
        <v>728</v>
      </c>
      <c r="R167" s="81" t="s">
        <v>466</v>
      </c>
      <c r="S167" s="81" t="s">
        <v>979</v>
      </c>
      <c r="T167" s="86" t="str">
        <f>HYPERLINK("http://www.youtube.com/channel/UChkL5Lh3Dn5xtgmO7QrjuDw")</f>
        <v>http://www.youtube.com/channel/UChkL5Lh3Dn5xtgmO7QrjuDw</v>
      </c>
      <c r="U167" s="81" t="s">
        <v>1066</v>
      </c>
      <c r="V167" s="81" t="s">
        <v>1125</v>
      </c>
      <c r="W167" s="86" t="str">
        <f>HYPERLINK("https://www.youtube.com/watch?v=THdrju-UWjo")</f>
        <v>https://www.youtube.com/watch?v=THdrju-UWjo</v>
      </c>
      <c r="X167" s="81" t="s">
        <v>1183</v>
      </c>
      <c r="Y167" s="81">
        <v>0</v>
      </c>
      <c r="Z167" s="88">
        <v>44475.89346064815</v>
      </c>
      <c r="AA167" s="88">
        <v>44475.89346064815</v>
      </c>
      <c r="AB167" s="81"/>
      <c r="AC167" s="81"/>
      <c r="AD167" s="84" t="s">
        <v>1239</v>
      </c>
      <c r="AE167" s="82">
        <v>1</v>
      </c>
      <c r="AF167" s="83" t="str">
        <f>REPLACE(INDEX(GroupVertices[Group],MATCH(Edges[[#This Row],[Vertex 1]],GroupVertices[Vertex],0)),1,1,"")</f>
        <v>4</v>
      </c>
      <c r="AG167" s="83" t="str">
        <f>REPLACE(INDEX(GroupVertices[Group],MATCH(Edges[[#This Row],[Vertex 2]],GroupVertices[Vertex],0)),1,1,"")</f>
        <v>4</v>
      </c>
      <c r="AH167" s="111">
        <v>4</v>
      </c>
      <c r="AI167" s="112">
        <v>8.695652173913043</v>
      </c>
      <c r="AJ167" s="111">
        <v>0</v>
      </c>
      <c r="AK167" s="112">
        <v>0</v>
      </c>
      <c r="AL167" s="111">
        <v>0</v>
      </c>
      <c r="AM167" s="112">
        <v>0</v>
      </c>
      <c r="AN167" s="111">
        <v>42</v>
      </c>
      <c r="AO167" s="112">
        <v>91.30434782608695</v>
      </c>
      <c r="AP167" s="111">
        <v>46</v>
      </c>
    </row>
    <row r="168" spans="1:42" ht="15">
      <c r="A168" s="65" t="s">
        <v>351</v>
      </c>
      <c r="B168" s="65" t="s">
        <v>467</v>
      </c>
      <c r="C168" s="66" t="s">
        <v>2942</v>
      </c>
      <c r="D168" s="67">
        <v>3</v>
      </c>
      <c r="E168" s="68"/>
      <c r="F168" s="69">
        <v>40</v>
      </c>
      <c r="G168" s="66"/>
      <c r="H168" s="70"/>
      <c r="I168" s="71"/>
      <c r="J168" s="71"/>
      <c r="K168" s="35" t="s">
        <v>66</v>
      </c>
      <c r="L168" s="79">
        <v>168</v>
      </c>
      <c r="M168" s="79"/>
      <c r="N168" s="73"/>
      <c r="O168" s="81" t="s">
        <v>564</v>
      </c>
      <c r="P168" s="81" t="s">
        <v>566</v>
      </c>
      <c r="Q168" s="84" t="s">
        <v>729</v>
      </c>
      <c r="R168" s="81" t="s">
        <v>351</v>
      </c>
      <c r="S168" s="81" t="s">
        <v>864</v>
      </c>
      <c r="T168" s="86" t="str">
        <f>HYPERLINK("http://www.youtube.com/channel/UCT2t7sQp0Qyi9dxuckjOWAw")</f>
        <v>http://www.youtube.com/channel/UCT2t7sQp0Qyi9dxuckjOWAw</v>
      </c>
      <c r="U168" s="81" t="s">
        <v>1067</v>
      </c>
      <c r="V168" s="81" t="s">
        <v>1094</v>
      </c>
      <c r="W168" s="86" t="str">
        <f>HYPERLINK("https://www.youtube.com/watch?v=3s6qbWY07FI")</f>
        <v>https://www.youtube.com/watch?v=3s6qbWY07FI</v>
      </c>
      <c r="X168" s="81" t="s">
        <v>1183</v>
      </c>
      <c r="Y168" s="81">
        <v>2</v>
      </c>
      <c r="Z168" s="88">
        <v>44399.3250462963</v>
      </c>
      <c r="AA168" s="88">
        <v>44399.3250462963</v>
      </c>
      <c r="AB168" s="81"/>
      <c r="AC168" s="81"/>
      <c r="AD168" s="84" t="s">
        <v>1239</v>
      </c>
      <c r="AE168" s="82">
        <v>1</v>
      </c>
      <c r="AF168" s="83" t="str">
        <f>REPLACE(INDEX(GroupVertices[Group],MATCH(Edges[[#This Row],[Vertex 1]],GroupVertices[Vertex],0)),1,1,"")</f>
        <v>4</v>
      </c>
      <c r="AG168" s="83" t="str">
        <f>REPLACE(INDEX(GroupVertices[Group],MATCH(Edges[[#This Row],[Vertex 2]],GroupVertices[Vertex],0)),1,1,"")</f>
        <v>4</v>
      </c>
      <c r="AH168" s="111">
        <v>0</v>
      </c>
      <c r="AI168" s="112">
        <v>0</v>
      </c>
      <c r="AJ168" s="111">
        <v>0</v>
      </c>
      <c r="AK168" s="112">
        <v>0</v>
      </c>
      <c r="AL168" s="111">
        <v>0</v>
      </c>
      <c r="AM168" s="112">
        <v>0</v>
      </c>
      <c r="AN168" s="111">
        <v>47</v>
      </c>
      <c r="AO168" s="112">
        <v>100</v>
      </c>
      <c r="AP168" s="111">
        <v>47</v>
      </c>
    </row>
    <row r="169" spans="1:42" ht="15">
      <c r="A169" s="65" t="s">
        <v>467</v>
      </c>
      <c r="B169" s="65" t="s">
        <v>351</v>
      </c>
      <c r="C169" s="66" t="s">
        <v>2942</v>
      </c>
      <c r="D169" s="67">
        <v>3</v>
      </c>
      <c r="E169" s="68"/>
      <c r="F169" s="69">
        <v>40</v>
      </c>
      <c r="G169" s="66"/>
      <c r="H169" s="70"/>
      <c r="I169" s="71"/>
      <c r="J169" s="71"/>
      <c r="K169" s="35" t="s">
        <v>66</v>
      </c>
      <c r="L169" s="79">
        <v>169</v>
      </c>
      <c r="M169" s="79"/>
      <c r="N169" s="73"/>
      <c r="O169" s="81" t="s">
        <v>563</v>
      </c>
      <c r="P169" s="81" t="s">
        <v>325</v>
      </c>
      <c r="Q169" s="84" t="s">
        <v>730</v>
      </c>
      <c r="R169" s="81" t="s">
        <v>467</v>
      </c>
      <c r="S169" s="81" t="s">
        <v>980</v>
      </c>
      <c r="T169" s="86" t="str">
        <f>HYPERLINK("http://www.youtube.com/channel/UCuTRD7EkeDxVFdkdziqGAWA")</f>
        <v>http://www.youtube.com/channel/UCuTRD7EkeDxVFdkdziqGAWA</v>
      </c>
      <c r="U169" s="81"/>
      <c r="V169" s="81" t="s">
        <v>1094</v>
      </c>
      <c r="W169" s="86" t="str">
        <f>HYPERLINK("https://www.youtube.com/watch?v=3s6qbWY07FI")</f>
        <v>https://www.youtube.com/watch?v=3s6qbWY07FI</v>
      </c>
      <c r="X169" s="81" t="s">
        <v>1183</v>
      </c>
      <c r="Y169" s="81">
        <v>1</v>
      </c>
      <c r="Z169" s="88">
        <v>44399.29004629629</v>
      </c>
      <c r="AA169" s="88">
        <v>44399.29004629629</v>
      </c>
      <c r="AB169" s="81"/>
      <c r="AC169" s="81"/>
      <c r="AD169" s="84" t="s">
        <v>1239</v>
      </c>
      <c r="AE169" s="82">
        <v>1</v>
      </c>
      <c r="AF169" s="83" t="str">
        <f>REPLACE(INDEX(GroupVertices[Group],MATCH(Edges[[#This Row],[Vertex 1]],GroupVertices[Vertex],0)),1,1,"")</f>
        <v>4</v>
      </c>
      <c r="AG169" s="83" t="str">
        <f>REPLACE(INDEX(GroupVertices[Group],MATCH(Edges[[#This Row],[Vertex 2]],GroupVertices[Vertex],0)),1,1,"")</f>
        <v>4</v>
      </c>
      <c r="AH169" s="111">
        <v>0</v>
      </c>
      <c r="AI169" s="112">
        <v>0</v>
      </c>
      <c r="AJ169" s="111">
        <v>0</v>
      </c>
      <c r="AK169" s="112">
        <v>0</v>
      </c>
      <c r="AL169" s="111">
        <v>0</v>
      </c>
      <c r="AM169" s="112">
        <v>0</v>
      </c>
      <c r="AN169" s="111">
        <v>25</v>
      </c>
      <c r="AO169" s="112">
        <v>100</v>
      </c>
      <c r="AP169" s="111">
        <v>25</v>
      </c>
    </row>
    <row r="170" spans="1:42" ht="15">
      <c r="A170" s="65" t="s">
        <v>468</v>
      </c>
      <c r="B170" s="65" t="s">
        <v>467</v>
      </c>
      <c r="C170" s="66" t="s">
        <v>2943</v>
      </c>
      <c r="D170" s="67">
        <v>4.4</v>
      </c>
      <c r="E170" s="68"/>
      <c r="F170" s="69">
        <v>35</v>
      </c>
      <c r="G170" s="66"/>
      <c r="H170" s="70"/>
      <c r="I170" s="71"/>
      <c r="J170" s="71"/>
      <c r="K170" s="35" t="s">
        <v>66</v>
      </c>
      <c r="L170" s="79">
        <v>170</v>
      </c>
      <c r="M170" s="79"/>
      <c r="N170" s="73"/>
      <c r="O170" s="81" t="s">
        <v>564</v>
      </c>
      <c r="P170" s="81" t="s">
        <v>566</v>
      </c>
      <c r="Q170" s="84" t="s">
        <v>731</v>
      </c>
      <c r="R170" s="81" t="s">
        <v>468</v>
      </c>
      <c r="S170" s="81" t="s">
        <v>981</v>
      </c>
      <c r="T170" s="86" t="str">
        <f>HYPERLINK("http://www.youtube.com/channel/UCuyDUN7SDHJd3-UQhX69A9w")</f>
        <v>http://www.youtube.com/channel/UCuyDUN7SDHJd3-UQhX69A9w</v>
      </c>
      <c r="U170" s="81" t="s">
        <v>1066</v>
      </c>
      <c r="V170" s="81" t="s">
        <v>1125</v>
      </c>
      <c r="W170" s="86" t="str">
        <f>HYPERLINK("https://www.youtube.com/watch?v=THdrju-UWjo")</f>
        <v>https://www.youtube.com/watch?v=THdrju-UWjo</v>
      </c>
      <c r="X170" s="81" t="s">
        <v>1183</v>
      </c>
      <c r="Y170" s="81">
        <v>0</v>
      </c>
      <c r="Z170" s="88">
        <v>44414.72994212963</v>
      </c>
      <c r="AA170" s="88">
        <v>44414.72994212963</v>
      </c>
      <c r="AB170" s="81"/>
      <c r="AC170" s="81"/>
      <c r="AD170" s="84" t="s">
        <v>1239</v>
      </c>
      <c r="AE170" s="82">
        <v>2</v>
      </c>
      <c r="AF170" s="83" t="str">
        <f>REPLACE(INDEX(GroupVertices[Group],MATCH(Edges[[#This Row],[Vertex 1]],GroupVertices[Vertex],0)),1,1,"")</f>
        <v>4</v>
      </c>
      <c r="AG170" s="83" t="str">
        <f>REPLACE(INDEX(GroupVertices[Group],MATCH(Edges[[#This Row],[Vertex 2]],GroupVertices[Vertex],0)),1,1,"")</f>
        <v>4</v>
      </c>
      <c r="AH170" s="111">
        <v>1</v>
      </c>
      <c r="AI170" s="112">
        <v>6.666666666666667</v>
      </c>
      <c r="AJ170" s="111">
        <v>0</v>
      </c>
      <c r="AK170" s="112">
        <v>0</v>
      </c>
      <c r="AL170" s="111">
        <v>0</v>
      </c>
      <c r="AM170" s="112">
        <v>0</v>
      </c>
      <c r="AN170" s="111">
        <v>14</v>
      </c>
      <c r="AO170" s="112">
        <v>93.33333333333333</v>
      </c>
      <c r="AP170" s="111">
        <v>15</v>
      </c>
    </row>
    <row r="171" spans="1:42" ht="15">
      <c r="A171" s="65" t="s">
        <v>468</v>
      </c>
      <c r="B171" s="65" t="s">
        <v>467</v>
      </c>
      <c r="C171" s="66" t="s">
        <v>2943</v>
      </c>
      <c r="D171" s="67">
        <v>4.4</v>
      </c>
      <c r="E171" s="68"/>
      <c r="F171" s="69">
        <v>35</v>
      </c>
      <c r="G171" s="66"/>
      <c r="H171" s="70"/>
      <c r="I171" s="71"/>
      <c r="J171" s="71"/>
      <c r="K171" s="35" t="s">
        <v>66</v>
      </c>
      <c r="L171" s="79">
        <v>171</v>
      </c>
      <c r="M171" s="79"/>
      <c r="N171" s="73"/>
      <c r="O171" s="81" t="s">
        <v>564</v>
      </c>
      <c r="P171" s="81" t="s">
        <v>566</v>
      </c>
      <c r="Q171" s="84" t="s">
        <v>732</v>
      </c>
      <c r="R171" s="81" t="s">
        <v>468</v>
      </c>
      <c r="S171" s="81" t="s">
        <v>981</v>
      </c>
      <c r="T171" s="86" t="str">
        <f>HYPERLINK("http://www.youtube.com/channel/UCuyDUN7SDHJd3-UQhX69A9w")</f>
        <v>http://www.youtube.com/channel/UCuyDUN7SDHJd3-UQhX69A9w</v>
      </c>
      <c r="U171" s="81" t="s">
        <v>1066</v>
      </c>
      <c r="V171" s="81" t="s">
        <v>1125</v>
      </c>
      <c r="W171" s="86" t="str">
        <f>HYPERLINK("https://www.youtube.com/watch?v=THdrju-UWjo")</f>
        <v>https://www.youtube.com/watch?v=THdrju-UWjo</v>
      </c>
      <c r="X171" s="81" t="s">
        <v>1183</v>
      </c>
      <c r="Y171" s="81">
        <v>0</v>
      </c>
      <c r="Z171" s="88">
        <v>44475.89703703704</v>
      </c>
      <c r="AA171" s="88">
        <v>44475.89703703704</v>
      </c>
      <c r="AB171" s="81" t="s">
        <v>1199</v>
      </c>
      <c r="AC171" s="81" t="s">
        <v>1231</v>
      </c>
      <c r="AD171" s="84" t="s">
        <v>1239</v>
      </c>
      <c r="AE171" s="82">
        <v>2</v>
      </c>
      <c r="AF171" s="83" t="str">
        <f>REPLACE(INDEX(GroupVertices[Group],MATCH(Edges[[#This Row],[Vertex 1]],GroupVertices[Vertex],0)),1,1,"")</f>
        <v>4</v>
      </c>
      <c r="AG171" s="83" t="str">
        <f>REPLACE(INDEX(GroupVertices[Group],MATCH(Edges[[#This Row],[Vertex 2]],GroupVertices[Vertex],0)),1,1,"")</f>
        <v>4</v>
      </c>
      <c r="AH171" s="111">
        <v>2</v>
      </c>
      <c r="AI171" s="112">
        <v>4</v>
      </c>
      <c r="AJ171" s="111">
        <v>0</v>
      </c>
      <c r="AK171" s="112">
        <v>0</v>
      </c>
      <c r="AL171" s="111">
        <v>0</v>
      </c>
      <c r="AM171" s="112">
        <v>0</v>
      </c>
      <c r="AN171" s="111">
        <v>48</v>
      </c>
      <c r="AO171" s="112">
        <v>96</v>
      </c>
      <c r="AP171" s="111">
        <v>50</v>
      </c>
    </row>
    <row r="172" spans="1:42" ht="15">
      <c r="A172" s="65" t="s">
        <v>467</v>
      </c>
      <c r="B172" s="65" t="s">
        <v>468</v>
      </c>
      <c r="C172" s="66" t="s">
        <v>2942</v>
      </c>
      <c r="D172" s="67">
        <v>3</v>
      </c>
      <c r="E172" s="68"/>
      <c r="F172" s="69">
        <v>40</v>
      </c>
      <c r="G172" s="66"/>
      <c r="H172" s="70"/>
      <c r="I172" s="71"/>
      <c r="J172" s="71"/>
      <c r="K172" s="35" t="s">
        <v>66</v>
      </c>
      <c r="L172" s="79">
        <v>172</v>
      </c>
      <c r="M172" s="79"/>
      <c r="N172" s="73"/>
      <c r="O172" s="81" t="s">
        <v>563</v>
      </c>
      <c r="P172" s="81" t="s">
        <v>325</v>
      </c>
      <c r="Q172" s="84" t="s">
        <v>733</v>
      </c>
      <c r="R172" s="81" t="s">
        <v>467</v>
      </c>
      <c r="S172" s="81" t="s">
        <v>980</v>
      </c>
      <c r="T172" s="86" t="str">
        <f>HYPERLINK("http://www.youtube.com/channel/UCuTRD7EkeDxVFdkdziqGAWA")</f>
        <v>http://www.youtube.com/channel/UCuTRD7EkeDxVFdkdziqGAWA</v>
      </c>
      <c r="U172" s="81"/>
      <c r="V172" s="81" t="s">
        <v>1125</v>
      </c>
      <c r="W172" s="86" t="str">
        <f>HYPERLINK("https://www.youtube.com/watch?v=THdrju-UWjo")</f>
        <v>https://www.youtube.com/watch?v=THdrju-UWjo</v>
      </c>
      <c r="X172" s="81" t="s">
        <v>1183</v>
      </c>
      <c r="Y172" s="81">
        <v>1</v>
      </c>
      <c r="Z172" s="88">
        <v>44399.28820601852</v>
      </c>
      <c r="AA172" s="88">
        <v>44399.28820601852</v>
      </c>
      <c r="AB172" s="81"/>
      <c r="AC172" s="81"/>
      <c r="AD172" s="84" t="s">
        <v>1239</v>
      </c>
      <c r="AE172" s="82">
        <v>1</v>
      </c>
      <c r="AF172" s="83" t="str">
        <f>REPLACE(INDEX(GroupVertices[Group],MATCH(Edges[[#This Row],[Vertex 1]],GroupVertices[Vertex],0)),1,1,"")</f>
        <v>4</v>
      </c>
      <c r="AG172" s="83" t="str">
        <f>REPLACE(INDEX(GroupVertices[Group],MATCH(Edges[[#This Row],[Vertex 2]],GroupVertices[Vertex],0)),1,1,"")</f>
        <v>4</v>
      </c>
      <c r="AH172" s="111">
        <v>0</v>
      </c>
      <c r="AI172" s="112">
        <v>0</v>
      </c>
      <c r="AJ172" s="111">
        <v>0</v>
      </c>
      <c r="AK172" s="112">
        <v>0</v>
      </c>
      <c r="AL172" s="111">
        <v>0</v>
      </c>
      <c r="AM172" s="112">
        <v>0</v>
      </c>
      <c r="AN172" s="111">
        <v>12</v>
      </c>
      <c r="AO172" s="112">
        <v>100</v>
      </c>
      <c r="AP172" s="111">
        <v>12</v>
      </c>
    </row>
    <row r="173" spans="1:42" ht="15">
      <c r="A173" s="65" t="s">
        <v>469</v>
      </c>
      <c r="B173" s="65" t="s">
        <v>468</v>
      </c>
      <c r="C173" s="66" t="s">
        <v>2942</v>
      </c>
      <c r="D173" s="67">
        <v>3</v>
      </c>
      <c r="E173" s="68"/>
      <c r="F173" s="69">
        <v>40</v>
      </c>
      <c r="G173" s="66"/>
      <c r="H173" s="70"/>
      <c r="I173" s="71"/>
      <c r="J173" s="71"/>
      <c r="K173" s="35" t="s">
        <v>65</v>
      </c>
      <c r="L173" s="79">
        <v>173</v>
      </c>
      <c r="M173" s="79"/>
      <c r="N173" s="73"/>
      <c r="O173" s="81" t="s">
        <v>563</v>
      </c>
      <c r="P173" s="81" t="s">
        <v>325</v>
      </c>
      <c r="Q173" s="84" t="s">
        <v>734</v>
      </c>
      <c r="R173" s="81" t="s">
        <v>469</v>
      </c>
      <c r="S173" s="81" t="s">
        <v>982</v>
      </c>
      <c r="T173" s="86" t="str">
        <f>HYPERLINK("http://www.youtube.com/channel/UCJ7JJfGzhW5TZX5Pbsp6XyQ")</f>
        <v>http://www.youtube.com/channel/UCJ7JJfGzhW5TZX5Pbsp6XyQ</v>
      </c>
      <c r="U173" s="81"/>
      <c r="V173" s="81" t="s">
        <v>1125</v>
      </c>
      <c r="W173" s="86" t="str">
        <f>HYPERLINK("https://www.youtube.com/watch?v=THdrju-UWjo")</f>
        <v>https://www.youtube.com/watch?v=THdrju-UWjo</v>
      </c>
      <c r="X173" s="81" t="s">
        <v>1183</v>
      </c>
      <c r="Y173" s="81">
        <v>2</v>
      </c>
      <c r="Z173" s="88">
        <v>44568.279375</v>
      </c>
      <c r="AA173" s="88">
        <v>44568.279375</v>
      </c>
      <c r="AB173" s="81"/>
      <c r="AC173" s="81"/>
      <c r="AD173" s="84" t="s">
        <v>1239</v>
      </c>
      <c r="AE173" s="82">
        <v>1</v>
      </c>
      <c r="AF173" s="83" t="str">
        <f>REPLACE(INDEX(GroupVertices[Group],MATCH(Edges[[#This Row],[Vertex 1]],GroupVertices[Vertex],0)),1,1,"")</f>
        <v>4</v>
      </c>
      <c r="AG173" s="83" t="str">
        <f>REPLACE(INDEX(GroupVertices[Group],MATCH(Edges[[#This Row],[Vertex 2]],GroupVertices[Vertex],0)),1,1,"")</f>
        <v>4</v>
      </c>
      <c r="AH173" s="111">
        <v>3</v>
      </c>
      <c r="AI173" s="112">
        <v>18.75</v>
      </c>
      <c r="AJ173" s="111">
        <v>0</v>
      </c>
      <c r="AK173" s="112">
        <v>0</v>
      </c>
      <c r="AL173" s="111">
        <v>0</v>
      </c>
      <c r="AM173" s="112">
        <v>0</v>
      </c>
      <c r="AN173" s="111">
        <v>13</v>
      </c>
      <c r="AO173" s="112">
        <v>81.25</v>
      </c>
      <c r="AP173" s="111">
        <v>16</v>
      </c>
    </row>
    <row r="174" spans="1:42" ht="15">
      <c r="A174" s="65" t="s">
        <v>470</v>
      </c>
      <c r="B174" s="65" t="s">
        <v>468</v>
      </c>
      <c r="C174" s="66" t="s">
        <v>2942</v>
      </c>
      <c r="D174" s="67">
        <v>3</v>
      </c>
      <c r="E174" s="68"/>
      <c r="F174" s="69">
        <v>40</v>
      </c>
      <c r="G174" s="66"/>
      <c r="H174" s="70"/>
      <c r="I174" s="71"/>
      <c r="J174" s="71"/>
      <c r="K174" s="35" t="s">
        <v>65</v>
      </c>
      <c r="L174" s="79">
        <v>174</v>
      </c>
      <c r="M174" s="79"/>
      <c r="N174" s="73"/>
      <c r="O174" s="81" t="s">
        <v>563</v>
      </c>
      <c r="P174" s="81" t="s">
        <v>325</v>
      </c>
      <c r="Q174" s="84" t="s">
        <v>735</v>
      </c>
      <c r="R174" s="81" t="s">
        <v>470</v>
      </c>
      <c r="S174" s="81" t="s">
        <v>983</v>
      </c>
      <c r="T174" s="86" t="str">
        <f>HYPERLINK("http://www.youtube.com/channel/UCBG9ELVWsYR8H8WS_KGQufQ")</f>
        <v>http://www.youtube.com/channel/UCBG9ELVWsYR8H8WS_KGQufQ</v>
      </c>
      <c r="U174" s="81"/>
      <c r="V174" s="81" t="s">
        <v>1125</v>
      </c>
      <c r="W174" s="86" t="str">
        <f>HYPERLINK("https://www.youtube.com/watch?v=THdrju-UWjo")</f>
        <v>https://www.youtube.com/watch?v=THdrju-UWjo</v>
      </c>
      <c r="X174" s="81" t="s">
        <v>1183</v>
      </c>
      <c r="Y174" s="81">
        <v>0</v>
      </c>
      <c r="Z174" s="88">
        <v>44574.50239583333</v>
      </c>
      <c r="AA174" s="88">
        <v>44574.50239583333</v>
      </c>
      <c r="AB174" s="81"/>
      <c r="AC174" s="81"/>
      <c r="AD174" s="84" t="s">
        <v>1239</v>
      </c>
      <c r="AE174" s="82">
        <v>1</v>
      </c>
      <c r="AF174" s="83" t="str">
        <f>REPLACE(INDEX(GroupVertices[Group],MATCH(Edges[[#This Row],[Vertex 1]],GroupVertices[Vertex],0)),1,1,"")</f>
        <v>4</v>
      </c>
      <c r="AG174" s="83" t="str">
        <f>REPLACE(INDEX(GroupVertices[Group],MATCH(Edges[[#This Row],[Vertex 2]],GroupVertices[Vertex],0)),1,1,"")</f>
        <v>4</v>
      </c>
      <c r="AH174" s="111">
        <v>3</v>
      </c>
      <c r="AI174" s="112">
        <v>42.857142857142854</v>
      </c>
      <c r="AJ174" s="111">
        <v>0</v>
      </c>
      <c r="AK174" s="112">
        <v>0</v>
      </c>
      <c r="AL174" s="111">
        <v>0</v>
      </c>
      <c r="AM174" s="112">
        <v>0</v>
      </c>
      <c r="AN174" s="111">
        <v>4</v>
      </c>
      <c r="AO174" s="112">
        <v>57.142857142857146</v>
      </c>
      <c r="AP174" s="111">
        <v>7</v>
      </c>
    </row>
    <row r="175" spans="1:42" ht="15">
      <c r="A175" s="65" t="s">
        <v>471</v>
      </c>
      <c r="B175" s="65" t="s">
        <v>468</v>
      </c>
      <c r="C175" s="66" t="s">
        <v>2942</v>
      </c>
      <c r="D175" s="67">
        <v>3</v>
      </c>
      <c r="E175" s="68"/>
      <c r="F175" s="69">
        <v>40</v>
      </c>
      <c r="G175" s="66"/>
      <c r="H175" s="70"/>
      <c r="I175" s="71"/>
      <c r="J175" s="71"/>
      <c r="K175" s="35" t="s">
        <v>65</v>
      </c>
      <c r="L175" s="79">
        <v>175</v>
      </c>
      <c r="M175" s="79"/>
      <c r="N175" s="73"/>
      <c r="O175" s="81" t="s">
        <v>563</v>
      </c>
      <c r="P175" s="81" t="s">
        <v>325</v>
      </c>
      <c r="Q175" s="84" t="s">
        <v>736</v>
      </c>
      <c r="R175" s="81" t="s">
        <v>471</v>
      </c>
      <c r="S175" s="81" t="s">
        <v>984</v>
      </c>
      <c r="T175" s="86" t="str">
        <f>HYPERLINK("http://www.youtube.com/channel/UCEPBRv8fyf8zIR1gzyGn8qg")</f>
        <v>http://www.youtube.com/channel/UCEPBRv8fyf8zIR1gzyGn8qg</v>
      </c>
      <c r="U175" s="81"/>
      <c r="V175" s="81" t="s">
        <v>1125</v>
      </c>
      <c r="W175" s="86" t="str">
        <f>HYPERLINK("https://www.youtube.com/watch?v=THdrju-UWjo")</f>
        <v>https://www.youtube.com/watch?v=THdrju-UWjo</v>
      </c>
      <c r="X175" s="81" t="s">
        <v>1183</v>
      </c>
      <c r="Y175" s="81">
        <v>1</v>
      </c>
      <c r="Z175" s="88">
        <v>44663.701527777775</v>
      </c>
      <c r="AA175" s="88">
        <v>44663.701527777775</v>
      </c>
      <c r="AB175" s="81"/>
      <c r="AC175" s="81"/>
      <c r="AD175" s="84" t="s">
        <v>1239</v>
      </c>
      <c r="AE175" s="82">
        <v>1</v>
      </c>
      <c r="AF175" s="83" t="str">
        <f>REPLACE(INDEX(GroupVertices[Group],MATCH(Edges[[#This Row],[Vertex 1]],GroupVertices[Vertex],0)),1,1,"")</f>
        <v>4</v>
      </c>
      <c r="AG175" s="83" t="str">
        <f>REPLACE(INDEX(GroupVertices[Group],MATCH(Edges[[#This Row],[Vertex 2]],GroupVertices[Vertex],0)),1,1,"")</f>
        <v>4</v>
      </c>
      <c r="AH175" s="111">
        <v>2</v>
      </c>
      <c r="AI175" s="112">
        <v>16.666666666666668</v>
      </c>
      <c r="AJ175" s="111">
        <v>0</v>
      </c>
      <c r="AK175" s="112">
        <v>0</v>
      </c>
      <c r="AL175" s="111">
        <v>0</v>
      </c>
      <c r="AM175" s="112">
        <v>0</v>
      </c>
      <c r="AN175" s="111">
        <v>10</v>
      </c>
      <c r="AO175" s="112">
        <v>83.33333333333333</v>
      </c>
      <c r="AP175" s="111">
        <v>12</v>
      </c>
    </row>
    <row r="176" spans="1:42" ht="15">
      <c r="A176" s="65" t="s">
        <v>472</v>
      </c>
      <c r="B176" s="65" t="s">
        <v>369</v>
      </c>
      <c r="C176" s="66" t="s">
        <v>2942</v>
      </c>
      <c r="D176" s="67">
        <v>3</v>
      </c>
      <c r="E176" s="68"/>
      <c r="F176" s="69">
        <v>40</v>
      </c>
      <c r="G176" s="66"/>
      <c r="H176" s="70"/>
      <c r="I176" s="71"/>
      <c r="J176" s="71"/>
      <c r="K176" s="35" t="s">
        <v>65</v>
      </c>
      <c r="L176" s="79">
        <v>176</v>
      </c>
      <c r="M176" s="79"/>
      <c r="N176" s="73"/>
      <c r="O176" s="81" t="s">
        <v>563</v>
      </c>
      <c r="P176" s="81" t="s">
        <v>325</v>
      </c>
      <c r="Q176" s="84" t="s">
        <v>737</v>
      </c>
      <c r="R176" s="81" t="s">
        <v>472</v>
      </c>
      <c r="S176" s="81" t="s">
        <v>985</v>
      </c>
      <c r="T176" s="86" t="str">
        <f>HYPERLINK("http://www.youtube.com/channel/UC4rU9PYja99OHl9qHrP0llQ")</f>
        <v>http://www.youtube.com/channel/UC4rU9PYja99OHl9qHrP0llQ</v>
      </c>
      <c r="U176" s="81"/>
      <c r="V176" s="81" t="s">
        <v>1126</v>
      </c>
      <c r="W176" s="86" t="str">
        <f>HYPERLINK("https://www.youtube.com/watch?v=Gs4NPuKIXdo")</f>
        <v>https://www.youtube.com/watch?v=Gs4NPuKIXdo</v>
      </c>
      <c r="X176" s="81" t="s">
        <v>1183</v>
      </c>
      <c r="Y176" s="81">
        <v>0</v>
      </c>
      <c r="Z176" s="88">
        <v>43158.64579861111</v>
      </c>
      <c r="AA176" s="88">
        <v>43158.64579861111</v>
      </c>
      <c r="AB176" s="81"/>
      <c r="AC176" s="81"/>
      <c r="AD176" s="84" t="s">
        <v>1239</v>
      </c>
      <c r="AE176" s="82">
        <v>1</v>
      </c>
      <c r="AF176" s="83" t="str">
        <f>REPLACE(INDEX(GroupVertices[Group],MATCH(Edges[[#This Row],[Vertex 1]],GroupVertices[Vertex],0)),1,1,"")</f>
        <v>1</v>
      </c>
      <c r="AG176" s="83" t="str">
        <f>REPLACE(INDEX(GroupVertices[Group],MATCH(Edges[[#This Row],[Vertex 2]],GroupVertices[Vertex],0)),1,1,"")</f>
        <v>1</v>
      </c>
      <c r="AH176" s="111">
        <v>1</v>
      </c>
      <c r="AI176" s="112">
        <v>16.666666666666668</v>
      </c>
      <c r="AJ176" s="111">
        <v>0</v>
      </c>
      <c r="AK176" s="112">
        <v>0</v>
      </c>
      <c r="AL176" s="111">
        <v>0</v>
      </c>
      <c r="AM176" s="112">
        <v>0</v>
      </c>
      <c r="AN176" s="111">
        <v>5</v>
      </c>
      <c r="AO176" s="112">
        <v>83.33333333333333</v>
      </c>
      <c r="AP176" s="111">
        <v>6</v>
      </c>
    </row>
    <row r="177" spans="1:42" ht="15">
      <c r="A177" s="65" t="s">
        <v>473</v>
      </c>
      <c r="B177" s="65" t="s">
        <v>369</v>
      </c>
      <c r="C177" s="66" t="s">
        <v>2942</v>
      </c>
      <c r="D177" s="67">
        <v>3</v>
      </c>
      <c r="E177" s="68"/>
      <c r="F177" s="69">
        <v>40</v>
      </c>
      <c r="G177" s="66"/>
      <c r="H177" s="70"/>
      <c r="I177" s="71"/>
      <c r="J177" s="71"/>
      <c r="K177" s="35" t="s">
        <v>65</v>
      </c>
      <c r="L177" s="79">
        <v>177</v>
      </c>
      <c r="M177" s="79"/>
      <c r="N177" s="73"/>
      <c r="O177" s="81" t="s">
        <v>563</v>
      </c>
      <c r="P177" s="81" t="s">
        <v>325</v>
      </c>
      <c r="Q177" s="84" t="s">
        <v>738</v>
      </c>
      <c r="R177" s="81" t="s">
        <v>473</v>
      </c>
      <c r="S177" s="81" t="s">
        <v>986</v>
      </c>
      <c r="T177" s="86" t="str">
        <f>HYPERLINK("http://www.youtube.com/channel/UCybalFNVaTrZPHp-_cPGb8Q")</f>
        <v>http://www.youtube.com/channel/UCybalFNVaTrZPHp-_cPGb8Q</v>
      </c>
      <c r="U177" s="81"/>
      <c r="V177" s="81" t="s">
        <v>1126</v>
      </c>
      <c r="W177" s="86" t="str">
        <f>HYPERLINK("https://www.youtube.com/watch?v=Gs4NPuKIXdo")</f>
        <v>https://www.youtube.com/watch?v=Gs4NPuKIXdo</v>
      </c>
      <c r="X177" s="81" t="s">
        <v>1183</v>
      </c>
      <c r="Y177" s="81">
        <v>0</v>
      </c>
      <c r="Z177" s="88">
        <v>43200.01431712963</v>
      </c>
      <c r="AA177" s="88">
        <v>43200.01431712963</v>
      </c>
      <c r="AB177" s="81"/>
      <c r="AC177" s="81"/>
      <c r="AD177" s="84" t="s">
        <v>1239</v>
      </c>
      <c r="AE177" s="82">
        <v>1</v>
      </c>
      <c r="AF177" s="83" t="str">
        <f>REPLACE(INDEX(GroupVertices[Group],MATCH(Edges[[#This Row],[Vertex 1]],GroupVertices[Vertex],0)),1,1,"")</f>
        <v>1</v>
      </c>
      <c r="AG177" s="83" t="str">
        <f>REPLACE(INDEX(GroupVertices[Group],MATCH(Edges[[#This Row],[Vertex 2]],GroupVertices[Vertex],0)),1,1,"")</f>
        <v>1</v>
      </c>
      <c r="AH177" s="111">
        <v>1</v>
      </c>
      <c r="AI177" s="112">
        <v>10</v>
      </c>
      <c r="AJ177" s="111">
        <v>0</v>
      </c>
      <c r="AK177" s="112">
        <v>0</v>
      </c>
      <c r="AL177" s="111">
        <v>0</v>
      </c>
      <c r="AM177" s="112">
        <v>0</v>
      </c>
      <c r="AN177" s="111">
        <v>9</v>
      </c>
      <c r="AO177" s="112">
        <v>90</v>
      </c>
      <c r="AP177" s="111">
        <v>10</v>
      </c>
    </row>
    <row r="178" spans="1:42" ht="15">
      <c r="A178" s="65" t="s">
        <v>474</v>
      </c>
      <c r="B178" s="65" t="s">
        <v>475</v>
      </c>
      <c r="C178" s="66" t="s">
        <v>2942</v>
      </c>
      <c r="D178" s="67">
        <v>3</v>
      </c>
      <c r="E178" s="68"/>
      <c r="F178" s="69">
        <v>40</v>
      </c>
      <c r="G178" s="66"/>
      <c r="H178" s="70"/>
      <c r="I178" s="71"/>
      <c r="J178" s="71"/>
      <c r="K178" s="35" t="s">
        <v>65</v>
      </c>
      <c r="L178" s="79">
        <v>178</v>
      </c>
      <c r="M178" s="79"/>
      <c r="N178" s="73"/>
      <c r="O178" s="81" t="s">
        <v>564</v>
      </c>
      <c r="P178" s="81" t="s">
        <v>566</v>
      </c>
      <c r="Q178" s="84" t="s">
        <v>739</v>
      </c>
      <c r="R178" s="81" t="s">
        <v>474</v>
      </c>
      <c r="S178" s="81" t="s">
        <v>987</v>
      </c>
      <c r="T178" s="86" t="str">
        <f>HYPERLINK("http://www.youtube.com/channel/UC_8SF2yDQfYFS_B66zwsdDw")</f>
        <v>http://www.youtube.com/channel/UC_8SF2yDQfYFS_B66zwsdDw</v>
      </c>
      <c r="U178" s="81" t="s">
        <v>1068</v>
      </c>
      <c r="V178" s="81" t="s">
        <v>1126</v>
      </c>
      <c r="W178" s="86" t="str">
        <f>HYPERLINK("https://www.youtube.com/watch?v=Gs4NPuKIXdo")</f>
        <v>https://www.youtube.com/watch?v=Gs4NPuKIXdo</v>
      </c>
      <c r="X178" s="81" t="s">
        <v>1183</v>
      </c>
      <c r="Y178" s="81">
        <v>0</v>
      </c>
      <c r="Z178" s="88">
        <v>43576.72046296296</v>
      </c>
      <c r="AA178" s="88">
        <v>43576.72077546296</v>
      </c>
      <c r="AB178" s="81"/>
      <c r="AC178" s="81"/>
      <c r="AD178" s="84" t="s">
        <v>1239</v>
      </c>
      <c r="AE178" s="82">
        <v>1</v>
      </c>
      <c r="AF178" s="83" t="str">
        <f>REPLACE(INDEX(GroupVertices[Group],MATCH(Edges[[#This Row],[Vertex 1]],GroupVertices[Vertex],0)),1,1,"")</f>
        <v>1</v>
      </c>
      <c r="AG178" s="83" t="str">
        <f>REPLACE(INDEX(GroupVertices[Group],MATCH(Edges[[#This Row],[Vertex 2]],GroupVertices[Vertex],0)),1,1,"")</f>
        <v>1</v>
      </c>
      <c r="AH178" s="111">
        <v>0</v>
      </c>
      <c r="AI178" s="112">
        <v>0</v>
      </c>
      <c r="AJ178" s="111">
        <v>0</v>
      </c>
      <c r="AK178" s="112">
        <v>0</v>
      </c>
      <c r="AL178" s="111">
        <v>0</v>
      </c>
      <c r="AM178" s="112">
        <v>0</v>
      </c>
      <c r="AN178" s="111">
        <v>27</v>
      </c>
      <c r="AO178" s="112">
        <v>100</v>
      </c>
      <c r="AP178" s="111">
        <v>27</v>
      </c>
    </row>
    <row r="179" spans="1:42" ht="15">
      <c r="A179" s="65" t="s">
        <v>369</v>
      </c>
      <c r="B179" s="65" t="s">
        <v>475</v>
      </c>
      <c r="C179" s="66" t="s">
        <v>2943</v>
      </c>
      <c r="D179" s="67">
        <v>4.4</v>
      </c>
      <c r="E179" s="68"/>
      <c r="F179" s="69">
        <v>35</v>
      </c>
      <c r="G179" s="66"/>
      <c r="H179" s="70"/>
      <c r="I179" s="71"/>
      <c r="J179" s="71"/>
      <c r="K179" s="35" t="s">
        <v>66</v>
      </c>
      <c r="L179" s="79">
        <v>179</v>
      </c>
      <c r="M179" s="79"/>
      <c r="N179" s="73"/>
      <c r="O179" s="81" t="s">
        <v>564</v>
      </c>
      <c r="P179" s="81" t="s">
        <v>566</v>
      </c>
      <c r="Q179" s="84" t="s">
        <v>740</v>
      </c>
      <c r="R179" s="81" t="s">
        <v>369</v>
      </c>
      <c r="S179" s="81" t="s">
        <v>882</v>
      </c>
      <c r="T179" s="86" t="str">
        <f>HYPERLINK("http://www.youtube.com/channel/UCerAw4EfTOnYYxLLPZAzMxQ")</f>
        <v>http://www.youtube.com/channel/UCerAw4EfTOnYYxLLPZAzMxQ</v>
      </c>
      <c r="U179" s="81" t="s">
        <v>1068</v>
      </c>
      <c r="V179" s="81" t="s">
        <v>1126</v>
      </c>
      <c r="W179" s="86" t="str">
        <f>HYPERLINK("https://www.youtube.com/watch?v=Gs4NPuKIXdo")</f>
        <v>https://www.youtube.com/watch?v=Gs4NPuKIXdo</v>
      </c>
      <c r="X179" s="81" t="s">
        <v>1183</v>
      </c>
      <c r="Y179" s="81">
        <v>0</v>
      </c>
      <c r="Z179" s="88">
        <v>43437.62793981482</v>
      </c>
      <c r="AA179" s="88">
        <v>43437.62793981482</v>
      </c>
      <c r="AB179" s="81" t="s">
        <v>1200</v>
      </c>
      <c r="AC179" s="81" t="s">
        <v>1231</v>
      </c>
      <c r="AD179" s="84" t="s">
        <v>1239</v>
      </c>
      <c r="AE179" s="82">
        <v>2</v>
      </c>
      <c r="AF179" s="83" t="str">
        <f>REPLACE(INDEX(GroupVertices[Group],MATCH(Edges[[#This Row],[Vertex 1]],GroupVertices[Vertex],0)),1,1,"")</f>
        <v>1</v>
      </c>
      <c r="AG179" s="83" t="str">
        <f>REPLACE(INDEX(GroupVertices[Group],MATCH(Edges[[#This Row],[Vertex 2]],GroupVertices[Vertex],0)),1,1,"")</f>
        <v>1</v>
      </c>
      <c r="AH179" s="111">
        <v>0</v>
      </c>
      <c r="AI179" s="112">
        <v>0</v>
      </c>
      <c r="AJ179" s="111">
        <v>0</v>
      </c>
      <c r="AK179" s="112">
        <v>0</v>
      </c>
      <c r="AL179" s="111">
        <v>0</v>
      </c>
      <c r="AM179" s="112">
        <v>0</v>
      </c>
      <c r="AN179" s="111">
        <v>33</v>
      </c>
      <c r="AO179" s="112">
        <v>100</v>
      </c>
      <c r="AP179" s="111">
        <v>33</v>
      </c>
    </row>
    <row r="180" spans="1:42" ht="15">
      <c r="A180" s="65" t="s">
        <v>369</v>
      </c>
      <c r="B180" s="65" t="s">
        <v>475</v>
      </c>
      <c r="C180" s="66" t="s">
        <v>2943</v>
      </c>
      <c r="D180" s="67">
        <v>4.4</v>
      </c>
      <c r="E180" s="68"/>
      <c r="F180" s="69">
        <v>35</v>
      </c>
      <c r="G180" s="66"/>
      <c r="H180" s="70"/>
      <c r="I180" s="71"/>
      <c r="J180" s="71"/>
      <c r="K180" s="35" t="s">
        <v>66</v>
      </c>
      <c r="L180" s="79">
        <v>180</v>
      </c>
      <c r="M180" s="79"/>
      <c r="N180" s="73"/>
      <c r="O180" s="81" t="s">
        <v>564</v>
      </c>
      <c r="P180" s="81" t="s">
        <v>566</v>
      </c>
      <c r="Q180" s="84" t="s">
        <v>741</v>
      </c>
      <c r="R180" s="81" t="s">
        <v>369</v>
      </c>
      <c r="S180" s="81" t="s">
        <v>882</v>
      </c>
      <c r="T180" s="86" t="str">
        <f>HYPERLINK("http://www.youtube.com/channel/UCerAw4EfTOnYYxLLPZAzMxQ")</f>
        <v>http://www.youtube.com/channel/UCerAw4EfTOnYYxLLPZAzMxQ</v>
      </c>
      <c r="U180" s="81" t="s">
        <v>1068</v>
      </c>
      <c r="V180" s="81" t="s">
        <v>1126</v>
      </c>
      <c r="W180" s="86" t="str">
        <f>HYPERLINK("https://www.youtube.com/watch?v=Gs4NPuKIXdo")</f>
        <v>https://www.youtube.com/watch?v=Gs4NPuKIXdo</v>
      </c>
      <c r="X180" s="81" t="s">
        <v>1183</v>
      </c>
      <c r="Y180" s="81">
        <v>0</v>
      </c>
      <c r="Z180" s="88">
        <v>43576.87409722222</v>
      </c>
      <c r="AA180" s="88">
        <v>43576.87409722222</v>
      </c>
      <c r="AB180" s="81" t="s">
        <v>1201</v>
      </c>
      <c r="AC180" s="81" t="s">
        <v>1232</v>
      </c>
      <c r="AD180" s="84" t="s">
        <v>1239</v>
      </c>
      <c r="AE180" s="82">
        <v>2</v>
      </c>
      <c r="AF180" s="83" t="str">
        <f>REPLACE(INDEX(GroupVertices[Group],MATCH(Edges[[#This Row],[Vertex 1]],GroupVertices[Vertex],0)),1,1,"")</f>
        <v>1</v>
      </c>
      <c r="AG180" s="83" t="str">
        <f>REPLACE(INDEX(GroupVertices[Group],MATCH(Edges[[#This Row],[Vertex 2]],GroupVertices[Vertex],0)),1,1,"")</f>
        <v>1</v>
      </c>
      <c r="AH180" s="111">
        <v>2</v>
      </c>
      <c r="AI180" s="112">
        <v>4.444444444444445</v>
      </c>
      <c r="AJ180" s="111">
        <v>0</v>
      </c>
      <c r="AK180" s="112">
        <v>0</v>
      </c>
      <c r="AL180" s="111">
        <v>0</v>
      </c>
      <c r="AM180" s="112">
        <v>0</v>
      </c>
      <c r="AN180" s="111">
        <v>43</v>
      </c>
      <c r="AO180" s="112">
        <v>95.55555555555556</v>
      </c>
      <c r="AP180" s="111">
        <v>45</v>
      </c>
    </row>
    <row r="181" spans="1:42" ht="15">
      <c r="A181" s="65" t="s">
        <v>475</v>
      </c>
      <c r="B181" s="65" t="s">
        <v>369</v>
      </c>
      <c r="C181" s="66" t="s">
        <v>2942</v>
      </c>
      <c r="D181" s="67">
        <v>3</v>
      </c>
      <c r="E181" s="68"/>
      <c r="F181" s="69">
        <v>40</v>
      </c>
      <c r="G181" s="66"/>
      <c r="H181" s="70"/>
      <c r="I181" s="71"/>
      <c r="J181" s="71"/>
      <c r="K181" s="35" t="s">
        <v>66</v>
      </c>
      <c r="L181" s="79">
        <v>181</v>
      </c>
      <c r="M181" s="79"/>
      <c r="N181" s="73"/>
      <c r="O181" s="81" t="s">
        <v>563</v>
      </c>
      <c r="P181" s="81" t="s">
        <v>325</v>
      </c>
      <c r="Q181" s="84" t="s">
        <v>742</v>
      </c>
      <c r="R181" s="81" t="s">
        <v>475</v>
      </c>
      <c r="S181" s="81" t="s">
        <v>988</v>
      </c>
      <c r="T181" s="86" t="str">
        <f>HYPERLINK("http://www.youtube.com/channel/UCVTt3IPhlNu2cae9QyIFZHg")</f>
        <v>http://www.youtube.com/channel/UCVTt3IPhlNu2cae9QyIFZHg</v>
      </c>
      <c r="U181" s="81"/>
      <c r="V181" s="81" t="s">
        <v>1126</v>
      </c>
      <c r="W181" s="86" t="str">
        <f>HYPERLINK("https://www.youtube.com/watch?v=Gs4NPuKIXdo")</f>
        <v>https://www.youtube.com/watch?v=Gs4NPuKIXdo</v>
      </c>
      <c r="X181" s="81" t="s">
        <v>1183</v>
      </c>
      <c r="Y181" s="81">
        <v>0</v>
      </c>
      <c r="Z181" s="88">
        <v>43437.112604166665</v>
      </c>
      <c r="AA181" s="88">
        <v>43437.112604166665</v>
      </c>
      <c r="AB181" s="81"/>
      <c r="AC181" s="81"/>
      <c r="AD181" s="84" t="s">
        <v>1239</v>
      </c>
      <c r="AE181" s="82">
        <v>1</v>
      </c>
      <c r="AF181" s="83" t="str">
        <f>REPLACE(INDEX(GroupVertices[Group],MATCH(Edges[[#This Row],[Vertex 1]],GroupVertices[Vertex],0)),1,1,"")</f>
        <v>1</v>
      </c>
      <c r="AG181" s="83" t="str">
        <f>REPLACE(INDEX(GroupVertices[Group],MATCH(Edges[[#This Row],[Vertex 2]],GroupVertices[Vertex],0)),1,1,"")</f>
        <v>1</v>
      </c>
      <c r="AH181" s="111">
        <v>1</v>
      </c>
      <c r="AI181" s="112">
        <v>7.6923076923076925</v>
      </c>
      <c r="AJ181" s="111">
        <v>0</v>
      </c>
      <c r="AK181" s="112">
        <v>0</v>
      </c>
      <c r="AL181" s="111">
        <v>0</v>
      </c>
      <c r="AM181" s="112">
        <v>0</v>
      </c>
      <c r="AN181" s="111">
        <v>12</v>
      </c>
      <c r="AO181" s="112">
        <v>92.3076923076923</v>
      </c>
      <c r="AP181" s="111">
        <v>13</v>
      </c>
    </row>
    <row r="182" spans="1:42" ht="15">
      <c r="A182" s="65" t="s">
        <v>476</v>
      </c>
      <c r="B182" s="65" t="s">
        <v>369</v>
      </c>
      <c r="C182" s="66" t="s">
        <v>2942</v>
      </c>
      <c r="D182" s="67">
        <v>3</v>
      </c>
      <c r="E182" s="68"/>
      <c r="F182" s="69">
        <v>40</v>
      </c>
      <c r="G182" s="66"/>
      <c r="H182" s="70"/>
      <c r="I182" s="71"/>
      <c r="J182" s="71"/>
      <c r="K182" s="35" t="s">
        <v>65</v>
      </c>
      <c r="L182" s="79">
        <v>182</v>
      </c>
      <c r="M182" s="79"/>
      <c r="N182" s="73"/>
      <c r="O182" s="81" t="s">
        <v>563</v>
      </c>
      <c r="P182" s="81" t="s">
        <v>325</v>
      </c>
      <c r="Q182" s="84" t="s">
        <v>743</v>
      </c>
      <c r="R182" s="81" t="s">
        <v>476</v>
      </c>
      <c r="S182" s="81" t="s">
        <v>989</v>
      </c>
      <c r="T182" s="86" t="str">
        <f>HYPERLINK("http://www.youtube.com/channel/UC5atOZ2cXiS_TcTq8DV2gzQ")</f>
        <v>http://www.youtube.com/channel/UC5atOZ2cXiS_TcTq8DV2gzQ</v>
      </c>
      <c r="U182" s="81"/>
      <c r="V182" s="81" t="s">
        <v>1126</v>
      </c>
      <c r="W182" s="86" t="str">
        <f>HYPERLINK("https://www.youtube.com/watch?v=Gs4NPuKIXdo")</f>
        <v>https://www.youtube.com/watch?v=Gs4NPuKIXdo</v>
      </c>
      <c r="X182" s="81" t="s">
        <v>1183</v>
      </c>
      <c r="Y182" s="81">
        <v>1</v>
      </c>
      <c r="Z182" s="88">
        <v>43600.01267361111</v>
      </c>
      <c r="AA182" s="88">
        <v>43600.01267361111</v>
      </c>
      <c r="AB182" s="81"/>
      <c r="AC182" s="81"/>
      <c r="AD182" s="84" t="s">
        <v>1239</v>
      </c>
      <c r="AE182" s="82">
        <v>1</v>
      </c>
      <c r="AF182" s="83" t="str">
        <f>REPLACE(INDEX(GroupVertices[Group],MATCH(Edges[[#This Row],[Vertex 1]],GroupVertices[Vertex],0)),1,1,"")</f>
        <v>1</v>
      </c>
      <c r="AG182" s="83" t="str">
        <f>REPLACE(INDEX(GroupVertices[Group],MATCH(Edges[[#This Row],[Vertex 2]],GroupVertices[Vertex],0)),1,1,"")</f>
        <v>1</v>
      </c>
      <c r="AH182" s="111">
        <v>2</v>
      </c>
      <c r="AI182" s="112">
        <v>6.896551724137931</v>
      </c>
      <c r="AJ182" s="111">
        <v>0</v>
      </c>
      <c r="AK182" s="112">
        <v>0</v>
      </c>
      <c r="AL182" s="111">
        <v>0</v>
      </c>
      <c r="AM182" s="112">
        <v>0</v>
      </c>
      <c r="AN182" s="111">
        <v>27</v>
      </c>
      <c r="AO182" s="112">
        <v>93.10344827586206</v>
      </c>
      <c r="AP182" s="111">
        <v>29</v>
      </c>
    </row>
    <row r="183" spans="1:42" ht="15">
      <c r="A183" s="65" t="s">
        <v>369</v>
      </c>
      <c r="B183" s="65" t="s">
        <v>477</v>
      </c>
      <c r="C183" s="66" t="s">
        <v>2942</v>
      </c>
      <c r="D183" s="67">
        <v>3</v>
      </c>
      <c r="E183" s="68"/>
      <c r="F183" s="69">
        <v>40</v>
      </c>
      <c r="G183" s="66"/>
      <c r="H183" s="70"/>
      <c r="I183" s="71"/>
      <c r="J183" s="71"/>
      <c r="K183" s="35" t="s">
        <v>66</v>
      </c>
      <c r="L183" s="79">
        <v>183</v>
      </c>
      <c r="M183" s="79"/>
      <c r="N183" s="73"/>
      <c r="O183" s="81" t="s">
        <v>564</v>
      </c>
      <c r="P183" s="81" t="s">
        <v>566</v>
      </c>
      <c r="Q183" s="84" t="s">
        <v>744</v>
      </c>
      <c r="R183" s="81" t="s">
        <v>369</v>
      </c>
      <c r="S183" s="81" t="s">
        <v>882</v>
      </c>
      <c r="T183" s="86" t="str">
        <f>HYPERLINK("http://www.youtube.com/channel/UCerAw4EfTOnYYxLLPZAzMxQ")</f>
        <v>http://www.youtube.com/channel/UCerAw4EfTOnYYxLLPZAzMxQ</v>
      </c>
      <c r="U183" s="81" t="s">
        <v>1069</v>
      </c>
      <c r="V183" s="81" t="s">
        <v>1126</v>
      </c>
      <c r="W183" s="86" t="str">
        <f>HYPERLINK("https://www.youtube.com/watch?v=Gs4NPuKIXdo")</f>
        <v>https://www.youtube.com/watch?v=Gs4NPuKIXdo</v>
      </c>
      <c r="X183" s="81" t="s">
        <v>1183</v>
      </c>
      <c r="Y183" s="81">
        <v>0</v>
      </c>
      <c r="Z183" s="88">
        <v>43967.71869212963</v>
      </c>
      <c r="AA183" s="88">
        <v>43967.71869212963</v>
      </c>
      <c r="AB183" s="81"/>
      <c r="AC183" s="81"/>
      <c r="AD183" s="84" t="s">
        <v>1239</v>
      </c>
      <c r="AE183" s="82">
        <v>1</v>
      </c>
      <c r="AF183" s="83" t="str">
        <f>REPLACE(INDEX(GroupVertices[Group],MATCH(Edges[[#This Row],[Vertex 1]],GroupVertices[Vertex],0)),1,1,"")</f>
        <v>1</v>
      </c>
      <c r="AG183" s="83" t="str">
        <f>REPLACE(INDEX(GroupVertices[Group],MATCH(Edges[[#This Row],[Vertex 2]],GroupVertices[Vertex],0)),1,1,"")</f>
        <v>1</v>
      </c>
      <c r="AH183" s="111">
        <v>9</v>
      </c>
      <c r="AI183" s="112">
        <v>5.590062111801243</v>
      </c>
      <c r="AJ183" s="111">
        <v>3</v>
      </c>
      <c r="AK183" s="112">
        <v>1.8633540372670807</v>
      </c>
      <c r="AL183" s="111">
        <v>0</v>
      </c>
      <c r="AM183" s="112">
        <v>0</v>
      </c>
      <c r="AN183" s="111">
        <v>149</v>
      </c>
      <c r="AO183" s="112">
        <v>92.54658385093168</v>
      </c>
      <c r="AP183" s="111">
        <v>161</v>
      </c>
    </row>
    <row r="184" spans="1:42" ht="15">
      <c r="A184" s="65" t="s">
        <v>477</v>
      </c>
      <c r="B184" s="65" t="s">
        <v>477</v>
      </c>
      <c r="C184" s="66" t="s">
        <v>2942</v>
      </c>
      <c r="D184" s="67">
        <v>3</v>
      </c>
      <c r="E184" s="68"/>
      <c r="F184" s="69">
        <v>40</v>
      </c>
      <c r="G184" s="66"/>
      <c r="H184" s="70"/>
      <c r="I184" s="71"/>
      <c r="J184" s="71"/>
      <c r="K184" s="35" t="s">
        <v>65</v>
      </c>
      <c r="L184" s="79">
        <v>184</v>
      </c>
      <c r="M184" s="79"/>
      <c r="N184" s="73"/>
      <c r="O184" s="81" t="s">
        <v>564</v>
      </c>
      <c r="P184" s="81" t="s">
        <v>566</v>
      </c>
      <c r="Q184" s="84" t="s">
        <v>745</v>
      </c>
      <c r="R184" s="81" t="s">
        <v>477</v>
      </c>
      <c r="S184" s="81" t="s">
        <v>990</v>
      </c>
      <c r="T184" s="86" t="str">
        <f>HYPERLINK("http://www.youtube.com/channel/UCVi7No8pCGF2Ojhz1c_aUZQ")</f>
        <v>http://www.youtube.com/channel/UCVi7No8pCGF2Ojhz1c_aUZQ</v>
      </c>
      <c r="U184" s="81" t="s">
        <v>1069</v>
      </c>
      <c r="V184" s="81" t="s">
        <v>1126</v>
      </c>
      <c r="W184" s="86" t="str">
        <f>HYPERLINK("https://www.youtube.com/watch?v=Gs4NPuKIXdo")</f>
        <v>https://www.youtube.com/watch?v=Gs4NPuKIXdo</v>
      </c>
      <c r="X184" s="81" t="s">
        <v>1183</v>
      </c>
      <c r="Y184" s="81">
        <v>0</v>
      </c>
      <c r="Z184" s="88">
        <v>43967.774409722224</v>
      </c>
      <c r="AA184" s="88">
        <v>43967.774409722224</v>
      </c>
      <c r="AB184" s="81"/>
      <c r="AC184" s="81"/>
      <c r="AD184" s="84" t="s">
        <v>1239</v>
      </c>
      <c r="AE184" s="82">
        <v>1</v>
      </c>
      <c r="AF184" s="83" t="str">
        <f>REPLACE(INDEX(GroupVertices[Group],MATCH(Edges[[#This Row],[Vertex 1]],GroupVertices[Vertex],0)),1,1,"")</f>
        <v>1</v>
      </c>
      <c r="AG184" s="83" t="str">
        <f>REPLACE(INDEX(GroupVertices[Group],MATCH(Edges[[#This Row],[Vertex 2]],GroupVertices[Vertex],0)),1,1,"")</f>
        <v>1</v>
      </c>
      <c r="AH184" s="111">
        <v>1</v>
      </c>
      <c r="AI184" s="112">
        <v>6.25</v>
      </c>
      <c r="AJ184" s="111">
        <v>0</v>
      </c>
      <c r="AK184" s="112">
        <v>0</v>
      </c>
      <c r="AL184" s="111">
        <v>0</v>
      </c>
      <c r="AM184" s="112">
        <v>0</v>
      </c>
      <c r="AN184" s="111">
        <v>15</v>
      </c>
      <c r="AO184" s="112">
        <v>93.75</v>
      </c>
      <c r="AP184" s="111">
        <v>16</v>
      </c>
    </row>
    <row r="185" spans="1:42" ht="15">
      <c r="A185" s="65" t="s">
        <v>477</v>
      </c>
      <c r="B185" s="65" t="s">
        <v>369</v>
      </c>
      <c r="C185" s="66" t="s">
        <v>2942</v>
      </c>
      <c r="D185" s="67">
        <v>3</v>
      </c>
      <c r="E185" s="68"/>
      <c r="F185" s="69">
        <v>40</v>
      </c>
      <c r="G185" s="66"/>
      <c r="H185" s="70"/>
      <c r="I185" s="71"/>
      <c r="J185" s="71"/>
      <c r="K185" s="35" t="s">
        <v>66</v>
      </c>
      <c r="L185" s="79">
        <v>185</v>
      </c>
      <c r="M185" s="79"/>
      <c r="N185" s="73"/>
      <c r="O185" s="81" t="s">
        <v>563</v>
      </c>
      <c r="P185" s="81" t="s">
        <v>325</v>
      </c>
      <c r="Q185" s="84" t="s">
        <v>746</v>
      </c>
      <c r="R185" s="81" t="s">
        <v>477</v>
      </c>
      <c r="S185" s="81" t="s">
        <v>990</v>
      </c>
      <c r="T185" s="86" t="str">
        <f>HYPERLINK("http://www.youtube.com/channel/UCVi7No8pCGF2Ojhz1c_aUZQ")</f>
        <v>http://www.youtube.com/channel/UCVi7No8pCGF2Ojhz1c_aUZQ</v>
      </c>
      <c r="U185" s="81"/>
      <c r="V185" s="81" t="s">
        <v>1126</v>
      </c>
      <c r="W185" s="86" t="str">
        <f>HYPERLINK("https://www.youtube.com/watch?v=Gs4NPuKIXdo")</f>
        <v>https://www.youtube.com/watch?v=Gs4NPuKIXdo</v>
      </c>
      <c r="X185" s="81" t="s">
        <v>1183</v>
      </c>
      <c r="Y185" s="81">
        <v>1</v>
      </c>
      <c r="Z185" s="88">
        <v>43967.23232638889</v>
      </c>
      <c r="AA185" s="88">
        <v>43967.23232638889</v>
      </c>
      <c r="AB185" s="81"/>
      <c r="AC185" s="81"/>
      <c r="AD185" s="84" t="s">
        <v>1239</v>
      </c>
      <c r="AE185" s="82">
        <v>1</v>
      </c>
      <c r="AF185" s="83" t="str">
        <f>REPLACE(INDEX(GroupVertices[Group],MATCH(Edges[[#This Row],[Vertex 1]],GroupVertices[Vertex],0)),1,1,"")</f>
        <v>1</v>
      </c>
      <c r="AG185" s="83" t="str">
        <f>REPLACE(INDEX(GroupVertices[Group],MATCH(Edges[[#This Row],[Vertex 2]],GroupVertices[Vertex],0)),1,1,"")</f>
        <v>1</v>
      </c>
      <c r="AH185" s="111">
        <v>9</v>
      </c>
      <c r="AI185" s="112">
        <v>6.818181818181818</v>
      </c>
      <c r="AJ185" s="111">
        <v>0</v>
      </c>
      <c r="AK185" s="112">
        <v>0</v>
      </c>
      <c r="AL185" s="111">
        <v>0</v>
      </c>
      <c r="AM185" s="112">
        <v>0</v>
      </c>
      <c r="AN185" s="111">
        <v>123</v>
      </c>
      <c r="AO185" s="112">
        <v>93.18181818181819</v>
      </c>
      <c r="AP185" s="111">
        <v>132</v>
      </c>
    </row>
    <row r="186" spans="1:42" ht="15">
      <c r="A186" s="65" t="s">
        <v>478</v>
      </c>
      <c r="B186" s="65" t="s">
        <v>369</v>
      </c>
      <c r="C186" s="66" t="s">
        <v>2942</v>
      </c>
      <c r="D186" s="67">
        <v>3</v>
      </c>
      <c r="E186" s="68"/>
      <c r="F186" s="69">
        <v>40</v>
      </c>
      <c r="G186" s="66"/>
      <c r="H186" s="70"/>
      <c r="I186" s="71"/>
      <c r="J186" s="71"/>
      <c r="K186" s="35" t="s">
        <v>65</v>
      </c>
      <c r="L186" s="79">
        <v>186</v>
      </c>
      <c r="M186" s="79"/>
      <c r="N186" s="73"/>
      <c r="O186" s="81" t="s">
        <v>563</v>
      </c>
      <c r="P186" s="81" t="s">
        <v>325</v>
      </c>
      <c r="Q186" s="84" t="s">
        <v>747</v>
      </c>
      <c r="R186" s="81" t="s">
        <v>478</v>
      </c>
      <c r="S186" s="81" t="s">
        <v>991</v>
      </c>
      <c r="T186" s="86" t="str">
        <f>HYPERLINK("http://www.youtube.com/channel/UCOXSSL56qhApdeIzp6y6b2A")</f>
        <v>http://www.youtube.com/channel/UCOXSSL56qhApdeIzp6y6b2A</v>
      </c>
      <c r="U186" s="81"/>
      <c r="V186" s="81" t="s">
        <v>1127</v>
      </c>
      <c r="W186" s="86" t="str">
        <f>HYPERLINK("https://www.youtube.com/watch?v=zEgrruOITHw")</f>
        <v>https://www.youtube.com/watch?v=zEgrruOITHw</v>
      </c>
      <c r="X186" s="81" t="s">
        <v>1183</v>
      </c>
      <c r="Y186" s="81">
        <v>0</v>
      </c>
      <c r="Z186" s="88">
        <v>43699.91825231481</v>
      </c>
      <c r="AA186" s="88">
        <v>43699.91825231481</v>
      </c>
      <c r="AB186" s="81"/>
      <c r="AC186" s="81"/>
      <c r="AD186" s="84" t="s">
        <v>1239</v>
      </c>
      <c r="AE186" s="82">
        <v>1</v>
      </c>
      <c r="AF186" s="83" t="str">
        <f>REPLACE(INDEX(GroupVertices[Group],MATCH(Edges[[#This Row],[Vertex 1]],GroupVertices[Vertex],0)),1,1,"")</f>
        <v>1</v>
      </c>
      <c r="AG186" s="83" t="str">
        <f>REPLACE(INDEX(GroupVertices[Group],MATCH(Edges[[#This Row],[Vertex 2]],GroupVertices[Vertex],0)),1,1,"")</f>
        <v>1</v>
      </c>
      <c r="AH186" s="111">
        <v>1</v>
      </c>
      <c r="AI186" s="112">
        <v>100</v>
      </c>
      <c r="AJ186" s="111">
        <v>0</v>
      </c>
      <c r="AK186" s="112">
        <v>0</v>
      </c>
      <c r="AL186" s="111">
        <v>0</v>
      </c>
      <c r="AM186" s="112">
        <v>0</v>
      </c>
      <c r="AN186" s="111">
        <v>0</v>
      </c>
      <c r="AO186" s="112">
        <v>0</v>
      </c>
      <c r="AP186" s="111">
        <v>1</v>
      </c>
    </row>
    <row r="187" spans="1:42" ht="15">
      <c r="A187" s="65" t="s">
        <v>369</v>
      </c>
      <c r="B187" s="65" t="s">
        <v>479</v>
      </c>
      <c r="C187" s="66" t="s">
        <v>2942</v>
      </c>
      <c r="D187" s="67">
        <v>3</v>
      </c>
      <c r="E187" s="68"/>
      <c r="F187" s="69">
        <v>40</v>
      </c>
      <c r="G187" s="66"/>
      <c r="H187" s="70"/>
      <c r="I187" s="71"/>
      <c r="J187" s="71"/>
      <c r="K187" s="35" t="s">
        <v>66</v>
      </c>
      <c r="L187" s="79">
        <v>187</v>
      </c>
      <c r="M187" s="79"/>
      <c r="N187" s="73"/>
      <c r="O187" s="81" t="s">
        <v>564</v>
      </c>
      <c r="P187" s="81" t="s">
        <v>566</v>
      </c>
      <c r="Q187" s="84" t="s">
        <v>748</v>
      </c>
      <c r="R187" s="81" t="s">
        <v>369</v>
      </c>
      <c r="S187" s="81" t="s">
        <v>882</v>
      </c>
      <c r="T187" s="86" t="str">
        <f>HYPERLINK("http://www.youtube.com/channel/UCerAw4EfTOnYYxLLPZAzMxQ")</f>
        <v>http://www.youtube.com/channel/UCerAw4EfTOnYYxLLPZAzMxQ</v>
      </c>
      <c r="U187" s="81" t="s">
        <v>1070</v>
      </c>
      <c r="V187" s="81" t="s">
        <v>1127</v>
      </c>
      <c r="W187" s="86" t="str">
        <f>HYPERLINK("https://www.youtube.com/watch?v=zEgrruOITHw")</f>
        <v>https://www.youtube.com/watch?v=zEgrruOITHw</v>
      </c>
      <c r="X187" s="81" t="s">
        <v>1183</v>
      </c>
      <c r="Y187" s="81">
        <v>0</v>
      </c>
      <c r="Z187" s="88">
        <v>43903.79004629629</v>
      </c>
      <c r="AA187" s="88">
        <v>43903.79004629629</v>
      </c>
      <c r="AB187" s="81"/>
      <c r="AC187" s="81"/>
      <c r="AD187" s="84" t="s">
        <v>1239</v>
      </c>
      <c r="AE187" s="82">
        <v>1</v>
      </c>
      <c r="AF187" s="83" t="str">
        <f>REPLACE(INDEX(GroupVertices[Group],MATCH(Edges[[#This Row],[Vertex 1]],GroupVertices[Vertex],0)),1,1,"")</f>
        <v>1</v>
      </c>
      <c r="AG187" s="83" t="str">
        <f>REPLACE(INDEX(GroupVertices[Group],MATCH(Edges[[#This Row],[Vertex 2]],GroupVertices[Vertex],0)),1,1,"")</f>
        <v>1</v>
      </c>
      <c r="AH187" s="111">
        <v>1</v>
      </c>
      <c r="AI187" s="112">
        <v>2.4390243902439024</v>
      </c>
      <c r="AJ187" s="111">
        <v>0</v>
      </c>
      <c r="AK187" s="112">
        <v>0</v>
      </c>
      <c r="AL187" s="111">
        <v>0</v>
      </c>
      <c r="AM187" s="112">
        <v>0</v>
      </c>
      <c r="AN187" s="111">
        <v>40</v>
      </c>
      <c r="AO187" s="112">
        <v>97.5609756097561</v>
      </c>
      <c r="AP187" s="111">
        <v>41</v>
      </c>
    </row>
    <row r="188" spans="1:42" ht="15">
      <c r="A188" s="65" t="s">
        <v>479</v>
      </c>
      <c r="B188" s="65" t="s">
        <v>369</v>
      </c>
      <c r="C188" s="66" t="s">
        <v>2942</v>
      </c>
      <c r="D188" s="67">
        <v>3</v>
      </c>
      <c r="E188" s="68"/>
      <c r="F188" s="69">
        <v>40</v>
      </c>
      <c r="G188" s="66"/>
      <c r="H188" s="70"/>
      <c r="I188" s="71"/>
      <c r="J188" s="71"/>
      <c r="K188" s="35" t="s">
        <v>66</v>
      </c>
      <c r="L188" s="79">
        <v>188</v>
      </c>
      <c r="M188" s="79"/>
      <c r="N188" s="73"/>
      <c r="O188" s="81" t="s">
        <v>563</v>
      </c>
      <c r="P188" s="81" t="s">
        <v>325</v>
      </c>
      <c r="Q188" s="84" t="s">
        <v>749</v>
      </c>
      <c r="R188" s="81" t="s">
        <v>479</v>
      </c>
      <c r="S188" s="81" t="s">
        <v>992</v>
      </c>
      <c r="T188" s="86" t="str">
        <f>HYPERLINK("http://www.youtube.com/channel/UCylMH4anH1qZ3BI7zKmRE7Q")</f>
        <v>http://www.youtube.com/channel/UCylMH4anH1qZ3BI7zKmRE7Q</v>
      </c>
      <c r="U188" s="81"/>
      <c r="V188" s="81" t="s">
        <v>1127</v>
      </c>
      <c r="W188" s="86" t="str">
        <f>HYPERLINK("https://www.youtube.com/watch?v=zEgrruOITHw")</f>
        <v>https://www.youtube.com/watch?v=zEgrruOITHw</v>
      </c>
      <c r="X188" s="81" t="s">
        <v>1183</v>
      </c>
      <c r="Y188" s="81">
        <v>0</v>
      </c>
      <c r="Z188" s="88">
        <v>43903.76861111111</v>
      </c>
      <c r="AA188" s="88">
        <v>43903.76861111111</v>
      </c>
      <c r="AB188" s="81"/>
      <c r="AC188" s="81"/>
      <c r="AD188" s="84" t="s">
        <v>1239</v>
      </c>
      <c r="AE188" s="82">
        <v>1</v>
      </c>
      <c r="AF188" s="83" t="str">
        <f>REPLACE(INDEX(GroupVertices[Group],MATCH(Edges[[#This Row],[Vertex 1]],GroupVertices[Vertex],0)),1,1,"")</f>
        <v>1</v>
      </c>
      <c r="AG188" s="83" t="str">
        <f>REPLACE(INDEX(GroupVertices[Group],MATCH(Edges[[#This Row],[Vertex 2]],GroupVertices[Vertex],0)),1,1,"")</f>
        <v>1</v>
      </c>
      <c r="AH188" s="111">
        <v>2</v>
      </c>
      <c r="AI188" s="112">
        <v>10.526315789473685</v>
      </c>
      <c r="AJ188" s="111">
        <v>0</v>
      </c>
      <c r="AK188" s="112">
        <v>0</v>
      </c>
      <c r="AL188" s="111">
        <v>0</v>
      </c>
      <c r="AM188" s="112">
        <v>0</v>
      </c>
      <c r="AN188" s="111">
        <v>17</v>
      </c>
      <c r="AO188" s="112">
        <v>89.47368421052632</v>
      </c>
      <c r="AP188" s="111">
        <v>19</v>
      </c>
    </row>
    <row r="189" spans="1:42" ht="15">
      <c r="A189" s="65" t="s">
        <v>480</v>
      </c>
      <c r="B189" s="65" t="s">
        <v>369</v>
      </c>
      <c r="C189" s="66" t="s">
        <v>2942</v>
      </c>
      <c r="D189" s="67">
        <v>3</v>
      </c>
      <c r="E189" s="68"/>
      <c r="F189" s="69">
        <v>40</v>
      </c>
      <c r="G189" s="66"/>
      <c r="H189" s="70"/>
      <c r="I189" s="71"/>
      <c r="J189" s="71"/>
      <c r="K189" s="35" t="s">
        <v>65</v>
      </c>
      <c r="L189" s="79">
        <v>189</v>
      </c>
      <c r="M189" s="79"/>
      <c r="N189" s="73"/>
      <c r="O189" s="81" t="s">
        <v>563</v>
      </c>
      <c r="P189" s="81" t="s">
        <v>325</v>
      </c>
      <c r="Q189" s="84" t="s">
        <v>750</v>
      </c>
      <c r="R189" s="81" t="s">
        <v>480</v>
      </c>
      <c r="S189" s="81" t="s">
        <v>993</v>
      </c>
      <c r="T189" s="86" t="str">
        <f>HYPERLINK("http://www.youtube.com/channel/UCngfwdBt4V8gv-d14tu20HQ")</f>
        <v>http://www.youtube.com/channel/UCngfwdBt4V8gv-d14tu20HQ</v>
      </c>
      <c r="U189" s="81"/>
      <c r="V189" s="81" t="s">
        <v>1127</v>
      </c>
      <c r="W189" s="86" t="str">
        <f>HYPERLINK("https://www.youtube.com/watch?v=zEgrruOITHw")</f>
        <v>https://www.youtube.com/watch?v=zEgrruOITHw</v>
      </c>
      <c r="X189" s="81" t="s">
        <v>1183</v>
      </c>
      <c r="Y189" s="81">
        <v>1</v>
      </c>
      <c r="Z189" s="88">
        <v>44323.09097222222</v>
      </c>
      <c r="AA189" s="88">
        <v>44323.09097222222</v>
      </c>
      <c r="AB189" s="81"/>
      <c r="AC189" s="81"/>
      <c r="AD189" s="84" t="s">
        <v>1239</v>
      </c>
      <c r="AE189" s="82">
        <v>1</v>
      </c>
      <c r="AF189" s="83" t="str">
        <f>REPLACE(INDEX(GroupVertices[Group],MATCH(Edges[[#This Row],[Vertex 1]],GroupVertices[Vertex],0)),1,1,"")</f>
        <v>1</v>
      </c>
      <c r="AG189" s="83" t="str">
        <f>REPLACE(INDEX(GroupVertices[Group],MATCH(Edges[[#This Row],[Vertex 2]],GroupVertices[Vertex],0)),1,1,"")</f>
        <v>1</v>
      </c>
      <c r="AH189" s="111">
        <v>1</v>
      </c>
      <c r="AI189" s="112">
        <v>33.333333333333336</v>
      </c>
      <c r="AJ189" s="111">
        <v>0</v>
      </c>
      <c r="AK189" s="112">
        <v>0</v>
      </c>
      <c r="AL189" s="111">
        <v>0</v>
      </c>
      <c r="AM189" s="112">
        <v>0</v>
      </c>
      <c r="AN189" s="111">
        <v>2</v>
      </c>
      <c r="AO189" s="112">
        <v>66.66666666666667</v>
      </c>
      <c r="AP189" s="111">
        <v>3</v>
      </c>
    </row>
    <row r="190" spans="1:42" ht="15">
      <c r="A190" s="65" t="s">
        <v>481</v>
      </c>
      <c r="B190" s="65" t="s">
        <v>369</v>
      </c>
      <c r="C190" s="66" t="s">
        <v>2942</v>
      </c>
      <c r="D190" s="67">
        <v>3</v>
      </c>
      <c r="E190" s="68"/>
      <c r="F190" s="69">
        <v>40</v>
      </c>
      <c r="G190" s="66"/>
      <c r="H190" s="70"/>
      <c r="I190" s="71"/>
      <c r="J190" s="71"/>
      <c r="K190" s="35" t="s">
        <v>65</v>
      </c>
      <c r="L190" s="79">
        <v>190</v>
      </c>
      <c r="M190" s="79"/>
      <c r="N190" s="73"/>
      <c r="O190" s="81" t="s">
        <v>563</v>
      </c>
      <c r="P190" s="81" t="s">
        <v>325</v>
      </c>
      <c r="Q190" s="84" t="s">
        <v>751</v>
      </c>
      <c r="R190" s="81" t="s">
        <v>481</v>
      </c>
      <c r="S190" s="81" t="s">
        <v>994</v>
      </c>
      <c r="T190" s="86" t="str">
        <f>HYPERLINK("http://www.youtube.com/channel/UCCwa-poBFGXBJL1OhOSf1wQ")</f>
        <v>http://www.youtube.com/channel/UCCwa-poBFGXBJL1OhOSf1wQ</v>
      </c>
      <c r="U190" s="81"/>
      <c r="V190" s="81" t="s">
        <v>1127</v>
      </c>
      <c r="W190" s="86" t="str">
        <f>HYPERLINK("https://www.youtube.com/watch?v=zEgrruOITHw")</f>
        <v>https://www.youtube.com/watch?v=zEgrruOITHw</v>
      </c>
      <c r="X190" s="81" t="s">
        <v>1183</v>
      </c>
      <c r="Y190" s="81">
        <v>0</v>
      </c>
      <c r="Z190" s="88">
        <v>44700.50105324074</v>
      </c>
      <c r="AA190" s="88">
        <v>44700.50105324074</v>
      </c>
      <c r="AB190" s="81"/>
      <c r="AC190" s="81"/>
      <c r="AD190" s="84" t="s">
        <v>1239</v>
      </c>
      <c r="AE190" s="82">
        <v>1</v>
      </c>
      <c r="AF190" s="83" t="str">
        <f>REPLACE(INDEX(GroupVertices[Group],MATCH(Edges[[#This Row],[Vertex 1]],GroupVertices[Vertex],0)),1,1,"")</f>
        <v>1</v>
      </c>
      <c r="AG190" s="83" t="str">
        <f>REPLACE(INDEX(GroupVertices[Group],MATCH(Edges[[#This Row],[Vertex 2]],GroupVertices[Vertex],0)),1,1,"")</f>
        <v>1</v>
      </c>
      <c r="AH190" s="111">
        <v>0</v>
      </c>
      <c r="AI190" s="112">
        <v>0</v>
      </c>
      <c r="AJ190" s="111">
        <v>0</v>
      </c>
      <c r="AK190" s="112">
        <v>0</v>
      </c>
      <c r="AL190" s="111">
        <v>0</v>
      </c>
      <c r="AM190" s="112">
        <v>0</v>
      </c>
      <c r="AN190" s="111">
        <v>10</v>
      </c>
      <c r="AO190" s="112">
        <v>100</v>
      </c>
      <c r="AP190" s="111">
        <v>10</v>
      </c>
    </row>
    <row r="191" spans="1:42" ht="15">
      <c r="A191" s="65" t="s">
        <v>482</v>
      </c>
      <c r="B191" s="65" t="s">
        <v>369</v>
      </c>
      <c r="C191" s="66" t="s">
        <v>2942</v>
      </c>
      <c r="D191" s="67">
        <v>3</v>
      </c>
      <c r="E191" s="68"/>
      <c r="F191" s="69">
        <v>40</v>
      </c>
      <c r="G191" s="66"/>
      <c r="H191" s="70"/>
      <c r="I191" s="71"/>
      <c r="J191" s="71"/>
      <c r="K191" s="35" t="s">
        <v>65</v>
      </c>
      <c r="L191" s="79">
        <v>191</v>
      </c>
      <c r="M191" s="79"/>
      <c r="N191" s="73"/>
      <c r="O191" s="81" t="s">
        <v>563</v>
      </c>
      <c r="P191" s="81" t="s">
        <v>325</v>
      </c>
      <c r="Q191" s="84" t="s">
        <v>752</v>
      </c>
      <c r="R191" s="81" t="s">
        <v>482</v>
      </c>
      <c r="S191" s="81" t="s">
        <v>995</v>
      </c>
      <c r="T191" s="86" t="str">
        <f>HYPERLINK("http://www.youtube.com/channel/UClPlgNc4dpa-ymND_dWE-9w")</f>
        <v>http://www.youtube.com/channel/UClPlgNc4dpa-ymND_dWE-9w</v>
      </c>
      <c r="U191" s="81"/>
      <c r="V191" s="81" t="s">
        <v>1128</v>
      </c>
      <c r="W191" s="86" t="str">
        <f>HYPERLINK("https://www.youtube.com/watch?v=PC-PgkhpsNc")</f>
        <v>https://www.youtube.com/watch?v=PC-PgkhpsNc</v>
      </c>
      <c r="X191" s="81" t="s">
        <v>1183</v>
      </c>
      <c r="Y191" s="81">
        <v>1</v>
      </c>
      <c r="Z191" s="88">
        <v>41587.80935185185</v>
      </c>
      <c r="AA191" s="88">
        <v>41587.80935185185</v>
      </c>
      <c r="AB191" s="81"/>
      <c r="AC191" s="81"/>
      <c r="AD191" s="84" t="s">
        <v>1239</v>
      </c>
      <c r="AE191" s="82">
        <v>1</v>
      </c>
      <c r="AF191" s="83" t="str">
        <f>REPLACE(INDEX(GroupVertices[Group],MATCH(Edges[[#This Row],[Vertex 1]],GroupVertices[Vertex],0)),1,1,"")</f>
        <v>1</v>
      </c>
      <c r="AG191" s="83" t="str">
        <f>REPLACE(INDEX(GroupVertices[Group],MATCH(Edges[[#This Row],[Vertex 2]],GroupVertices[Vertex],0)),1,1,"")</f>
        <v>1</v>
      </c>
      <c r="AH191" s="111">
        <v>6</v>
      </c>
      <c r="AI191" s="112">
        <v>7.792207792207792</v>
      </c>
      <c r="AJ191" s="111">
        <v>0</v>
      </c>
      <c r="AK191" s="112">
        <v>0</v>
      </c>
      <c r="AL191" s="111">
        <v>0</v>
      </c>
      <c r="AM191" s="112">
        <v>0</v>
      </c>
      <c r="AN191" s="111">
        <v>71</v>
      </c>
      <c r="AO191" s="112">
        <v>92.20779220779221</v>
      </c>
      <c r="AP191" s="111">
        <v>77</v>
      </c>
    </row>
    <row r="192" spans="1:42" ht="15">
      <c r="A192" s="65" t="s">
        <v>369</v>
      </c>
      <c r="B192" s="65" t="s">
        <v>483</v>
      </c>
      <c r="C192" s="66" t="s">
        <v>2943</v>
      </c>
      <c r="D192" s="67">
        <v>4.4</v>
      </c>
      <c r="E192" s="68"/>
      <c r="F192" s="69">
        <v>35</v>
      </c>
      <c r="G192" s="66"/>
      <c r="H192" s="70"/>
      <c r="I192" s="71"/>
      <c r="J192" s="71"/>
      <c r="K192" s="35" t="s">
        <v>66</v>
      </c>
      <c r="L192" s="79">
        <v>192</v>
      </c>
      <c r="M192" s="79"/>
      <c r="N192" s="73"/>
      <c r="O192" s="81" t="s">
        <v>564</v>
      </c>
      <c r="P192" s="81" t="s">
        <v>566</v>
      </c>
      <c r="Q192" s="84" t="s">
        <v>753</v>
      </c>
      <c r="R192" s="81" t="s">
        <v>369</v>
      </c>
      <c r="S192" s="81" t="s">
        <v>882</v>
      </c>
      <c r="T192" s="86" t="str">
        <f>HYPERLINK("http://www.youtube.com/channel/UCerAw4EfTOnYYxLLPZAzMxQ")</f>
        <v>http://www.youtube.com/channel/UCerAw4EfTOnYYxLLPZAzMxQ</v>
      </c>
      <c r="U192" s="81" t="s">
        <v>1071</v>
      </c>
      <c r="V192" s="81" t="s">
        <v>1097</v>
      </c>
      <c r="W192" s="86" t="str">
        <f>HYPERLINK("https://www.youtube.com/watch?v=vp7VXgvVAPg")</f>
        <v>https://www.youtube.com/watch?v=vp7VXgvVAPg</v>
      </c>
      <c r="X192" s="81" t="s">
        <v>1183</v>
      </c>
      <c r="Y192" s="81">
        <v>1</v>
      </c>
      <c r="Z192" s="88">
        <v>41735.85836805555</v>
      </c>
      <c r="AA192" s="88">
        <v>41735.85836805555</v>
      </c>
      <c r="AB192" s="81"/>
      <c r="AC192" s="81"/>
      <c r="AD192" s="84" t="s">
        <v>1239</v>
      </c>
      <c r="AE192" s="82">
        <v>2</v>
      </c>
      <c r="AF192" s="83" t="str">
        <f>REPLACE(INDEX(GroupVertices[Group],MATCH(Edges[[#This Row],[Vertex 1]],GroupVertices[Vertex],0)),1,1,"")</f>
        <v>1</v>
      </c>
      <c r="AG192" s="83" t="str">
        <f>REPLACE(INDEX(GroupVertices[Group],MATCH(Edges[[#This Row],[Vertex 2]],GroupVertices[Vertex],0)),1,1,"")</f>
        <v>3</v>
      </c>
      <c r="AH192" s="111">
        <v>2</v>
      </c>
      <c r="AI192" s="112">
        <v>3.7735849056603774</v>
      </c>
      <c r="AJ192" s="111">
        <v>1</v>
      </c>
      <c r="AK192" s="112">
        <v>1.8867924528301887</v>
      </c>
      <c r="AL192" s="111">
        <v>0</v>
      </c>
      <c r="AM192" s="112">
        <v>0</v>
      </c>
      <c r="AN192" s="111">
        <v>50</v>
      </c>
      <c r="AO192" s="112">
        <v>94.33962264150944</v>
      </c>
      <c r="AP192" s="111">
        <v>53</v>
      </c>
    </row>
    <row r="193" spans="1:42" ht="15">
      <c r="A193" s="65" t="s">
        <v>483</v>
      </c>
      <c r="B193" s="65" t="s">
        <v>369</v>
      </c>
      <c r="C193" s="66" t="s">
        <v>2943</v>
      </c>
      <c r="D193" s="67">
        <v>4.4</v>
      </c>
      <c r="E193" s="68"/>
      <c r="F193" s="69">
        <v>35</v>
      </c>
      <c r="G193" s="66"/>
      <c r="H193" s="70"/>
      <c r="I193" s="71"/>
      <c r="J193" s="71"/>
      <c r="K193" s="35" t="s">
        <v>66</v>
      </c>
      <c r="L193" s="79">
        <v>193</v>
      </c>
      <c r="M193" s="79"/>
      <c r="N193" s="73"/>
      <c r="O193" s="81" t="s">
        <v>563</v>
      </c>
      <c r="P193" s="81" t="s">
        <v>325</v>
      </c>
      <c r="Q193" s="84" t="s">
        <v>754</v>
      </c>
      <c r="R193" s="81" t="s">
        <v>483</v>
      </c>
      <c r="S193" s="81" t="s">
        <v>996</v>
      </c>
      <c r="T193" s="86" t="str">
        <f>HYPERLINK("http://www.youtube.com/channel/UC7V-eKD4-9qacoIOSfjCkvQ")</f>
        <v>http://www.youtube.com/channel/UC7V-eKD4-9qacoIOSfjCkvQ</v>
      </c>
      <c r="U193" s="81"/>
      <c r="V193" s="81" t="s">
        <v>1097</v>
      </c>
      <c r="W193" s="86" t="str">
        <f>HYPERLINK("https://www.youtube.com/watch?v=vp7VXgvVAPg")</f>
        <v>https://www.youtube.com/watch?v=vp7VXgvVAPg</v>
      </c>
      <c r="X193" s="81" t="s">
        <v>1183</v>
      </c>
      <c r="Y193" s="81">
        <v>0</v>
      </c>
      <c r="Z193" s="88">
        <v>41733.665555555555</v>
      </c>
      <c r="AA193" s="88">
        <v>41733.665555555555</v>
      </c>
      <c r="AB193" s="81" t="s">
        <v>1202</v>
      </c>
      <c r="AC193" s="81" t="s">
        <v>1220</v>
      </c>
      <c r="AD193" s="84" t="s">
        <v>1239</v>
      </c>
      <c r="AE193" s="82">
        <v>2</v>
      </c>
      <c r="AF193" s="83" t="str">
        <f>REPLACE(INDEX(GroupVertices[Group],MATCH(Edges[[#This Row],[Vertex 1]],GroupVertices[Vertex],0)),1,1,"")</f>
        <v>3</v>
      </c>
      <c r="AG193" s="83" t="str">
        <f>REPLACE(INDEX(GroupVertices[Group],MATCH(Edges[[#This Row],[Vertex 2]],GroupVertices[Vertex],0)),1,1,"")</f>
        <v>1</v>
      </c>
      <c r="AH193" s="111">
        <v>1</v>
      </c>
      <c r="AI193" s="112">
        <v>0.8849557522123894</v>
      </c>
      <c r="AJ193" s="111">
        <v>1</v>
      </c>
      <c r="AK193" s="112">
        <v>0.8849557522123894</v>
      </c>
      <c r="AL193" s="111">
        <v>0</v>
      </c>
      <c r="AM193" s="112">
        <v>0</v>
      </c>
      <c r="AN193" s="111">
        <v>111</v>
      </c>
      <c r="AO193" s="112">
        <v>98.23008849557522</v>
      </c>
      <c r="AP193" s="111">
        <v>113</v>
      </c>
    </row>
    <row r="194" spans="1:42" ht="15">
      <c r="A194" s="65" t="s">
        <v>483</v>
      </c>
      <c r="B194" s="65" t="s">
        <v>553</v>
      </c>
      <c r="C194" s="66" t="s">
        <v>2942</v>
      </c>
      <c r="D194" s="67">
        <v>3</v>
      </c>
      <c r="E194" s="68"/>
      <c r="F194" s="69">
        <v>40</v>
      </c>
      <c r="G194" s="66"/>
      <c r="H194" s="70"/>
      <c r="I194" s="71"/>
      <c r="J194" s="71"/>
      <c r="K194" s="35" t="s">
        <v>65</v>
      </c>
      <c r="L194" s="79">
        <v>194</v>
      </c>
      <c r="M194" s="79"/>
      <c r="N194" s="73"/>
      <c r="O194" s="81" t="s">
        <v>563</v>
      </c>
      <c r="P194" s="81" t="s">
        <v>325</v>
      </c>
      <c r="Q194" s="84" t="s">
        <v>755</v>
      </c>
      <c r="R194" s="81" t="s">
        <v>483</v>
      </c>
      <c r="S194" s="81" t="s">
        <v>996</v>
      </c>
      <c r="T194" s="86" t="str">
        <f>HYPERLINK("http://www.youtube.com/channel/UC7V-eKD4-9qacoIOSfjCkvQ")</f>
        <v>http://www.youtube.com/channel/UC7V-eKD4-9qacoIOSfjCkvQ</v>
      </c>
      <c r="U194" s="81"/>
      <c r="V194" s="81" t="s">
        <v>1129</v>
      </c>
      <c r="W194" s="86" t="str">
        <f>HYPERLINK("https://www.youtube.com/watch?v=DfVp1zDYNLg")</f>
        <v>https://www.youtube.com/watch?v=DfVp1zDYNLg</v>
      </c>
      <c r="X194" s="81" t="s">
        <v>1183</v>
      </c>
      <c r="Y194" s="81">
        <v>0</v>
      </c>
      <c r="Z194" s="88">
        <v>41733.65458333334</v>
      </c>
      <c r="AA194" s="88">
        <v>41733.65458333334</v>
      </c>
      <c r="AB194" s="81" t="s">
        <v>1203</v>
      </c>
      <c r="AC194" s="81" t="s">
        <v>1233</v>
      </c>
      <c r="AD194" s="84" t="s">
        <v>1239</v>
      </c>
      <c r="AE194" s="82">
        <v>1</v>
      </c>
      <c r="AF194" s="83" t="str">
        <f>REPLACE(INDEX(GroupVertices[Group],MATCH(Edges[[#This Row],[Vertex 1]],GroupVertices[Vertex],0)),1,1,"")</f>
        <v>3</v>
      </c>
      <c r="AG194" s="83" t="str">
        <f>REPLACE(INDEX(GroupVertices[Group],MATCH(Edges[[#This Row],[Vertex 2]],GroupVertices[Vertex],0)),1,1,"")</f>
        <v>3</v>
      </c>
      <c r="AH194" s="111">
        <v>2</v>
      </c>
      <c r="AI194" s="112">
        <v>2.5</v>
      </c>
      <c r="AJ194" s="111">
        <v>1</v>
      </c>
      <c r="AK194" s="112">
        <v>1.25</v>
      </c>
      <c r="AL194" s="111">
        <v>0</v>
      </c>
      <c r="AM194" s="112">
        <v>0</v>
      </c>
      <c r="AN194" s="111">
        <v>77</v>
      </c>
      <c r="AO194" s="112">
        <v>96.25</v>
      </c>
      <c r="AP194" s="111">
        <v>80</v>
      </c>
    </row>
    <row r="195" spans="1:42" ht="15">
      <c r="A195" s="65" t="s">
        <v>369</v>
      </c>
      <c r="B195" s="65" t="s">
        <v>483</v>
      </c>
      <c r="C195" s="66" t="s">
        <v>2943</v>
      </c>
      <c r="D195" s="67">
        <v>4.4</v>
      </c>
      <c r="E195" s="68"/>
      <c r="F195" s="69">
        <v>35</v>
      </c>
      <c r="G195" s="66"/>
      <c r="H195" s="70"/>
      <c r="I195" s="71"/>
      <c r="J195" s="71"/>
      <c r="K195" s="35" t="s">
        <v>66</v>
      </c>
      <c r="L195" s="79">
        <v>195</v>
      </c>
      <c r="M195" s="79"/>
      <c r="N195" s="73"/>
      <c r="O195" s="81" t="s">
        <v>564</v>
      </c>
      <c r="P195" s="81" t="s">
        <v>566</v>
      </c>
      <c r="Q195" s="84" t="s">
        <v>756</v>
      </c>
      <c r="R195" s="81" t="s">
        <v>369</v>
      </c>
      <c r="S195" s="81" t="s">
        <v>882</v>
      </c>
      <c r="T195" s="86" t="str">
        <f>HYPERLINK("http://www.youtube.com/channel/UCerAw4EfTOnYYxLLPZAzMxQ")</f>
        <v>http://www.youtube.com/channel/UCerAw4EfTOnYYxLLPZAzMxQ</v>
      </c>
      <c r="U195" s="81" t="s">
        <v>1072</v>
      </c>
      <c r="V195" s="81" t="s">
        <v>1128</v>
      </c>
      <c r="W195" s="86" t="str">
        <f>HYPERLINK("https://www.youtube.com/watch?v=PC-PgkhpsNc")</f>
        <v>https://www.youtube.com/watch?v=PC-PgkhpsNc</v>
      </c>
      <c r="X195" s="81" t="s">
        <v>1183</v>
      </c>
      <c r="Y195" s="81">
        <v>0</v>
      </c>
      <c r="Z195" s="88">
        <v>41736.09599537037</v>
      </c>
      <c r="AA195" s="88">
        <v>41736.09599537037</v>
      </c>
      <c r="AB195" s="81"/>
      <c r="AC195" s="81"/>
      <c r="AD195" s="84" t="s">
        <v>1239</v>
      </c>
      <c r="AE195" s="82">
        <v>2</v>
      </c>
      <c r="AF195" s="83" t="str">
        <f>REPLACE(INDEX(GroupVertices[Group],MATCH(Edges[[#This Row],[Vertex 1]],GroupVertices[Vertex],0)),1,1,"")</f>
        <v>1</v>
      </c>
      <c r="AG195" s="83" t="str">
        <f>REPLACE(INDEX(GroupVertices[Group],MATCH(Edges[[#This Row],[Vertex 2]],GroupVertices[Vertex],0)),1,1,"")</f>
        <v>3</v>
      </c>
      <c r="AH195" s="111">
        <v>0</v>
      </c>
      <c r="AI195" s="112">
        <v>0</v>
      </c>
      <c r="AJ195" s="111">
        <v>2</v>
      </c>
      <c r="AK195" s="112">
        <v>2.5316455696202533</v>
      </c>
      <c r="AL195" s="111">
        <v>0</v>
      </c>
      <c r="AM195" s="112">
        <v>0</v>
      </c>
      <c r="AN195" s="111">
        <v>77</v>
      </c>
      <c r="AO195" s="112">
        <v>97.46835443037975</v>
      </c>
      <c r="AP195" s="111">
        <v>79</v>
      </c>
    </row>
    <row r="196" spans="1:42" ht="15">
      <c r="A196" s="65" t="s">
        <v>483</v>
      </c>
      <c r="B196" s="65" t="s">
        <v>369</v>
      </c>
      <c r="C196" s="66" t="s">
        <v>2943</v>
      </c>
      <c r="D196" s="67">
        <v>4.4</v>
      </c>
      <c r="E196" s="68"/>
      <c r="F196" s="69">
        <v>35</v>
      </c>
      <c r="G196" s="66"/>
      <c r="H196" s="70"/>
      <c r="I196" s="71"/>
      <c r="J196" s="71"/>
      <c r="K196" s="35" t="s">
        <v>66</v>
      </c>
      <c r="L196" s="79">
        <v>196</v>
      </c>
      <c r="M196" s="79"/>
      <c r="N196" s="73"/>
      <c r="O196" s="81" t="s">
        <v>563</v>
      </c>
      <c r="P196" s="81" t="s">
        <v>325</v>
      </c>
      <c r="Q196" s="84" t="s">
        <v>757</v>
      </c>
      <c r="R196" s="81" t="s">
        <v>483</v>
      </c>
      <c r="S196" s="81" t="s">
        <v>996</v>
      </c>
      <c r="T196" s="86" t="str">
        <f>HYPERLINK("http://www.youtube.com/channel/UC7V-eKD4-9qacoIOSfjCkvQ")</f>
        <v>http://www.youtube.com/channel/UC7V-eKD4-9qacoIOSfjCkvQ</v>
      </c>
      <c r="U196" s="81"/>
      <c r="V196" s="81" t="s">
        <v>1128</v>
      </c>
      <c r="W196" s="86" t="str">
        <f>HYPERLINK("https://www.youtube.com/watch?v=PC-PgkhpsNc")</f>
        <v>https://www.youtube.com/watch?v=PC-PgkhpsNc</v>
      </c>
      <c r="X196" s="81" t="s">
        <v>1183</v>
      </c>
      <c r="Y196" s="81">
        <v>0</v>
      </c>
      <c r="Z196" s="88">
        <v>41733.65325231481</v>
      </c>
      <c r="AA196" s="88">
        <v>41733.65325231481</v>
      </c>
      <c r="AB196" s="81" t="s">
        <v>1203</v>
      </c>
      <c r="AC196" s="81" t="s">
        <v>1233</v>
      </c>
      <c r="AD196" s="84" t="s">
        <v>1239</v>
      </c>
      <c r="AE196" s="82">
        <v>2</v>
      </c>
      <c r="AF196" s="83" t="str">
        <f>REPLACE(INDEX(GroupVertices[Group],MATCH(Edges[[#This Row],[Vertex 1]],GroupVertices[Vertex],0)),1,1,"")</f>
        <v>3</v>
      </c>
      <c r="AG196" s="83" t="str">
        <f>REPLACE(INDEX(GroupVertices[Group],MATCH(Edges[[#This Row],[Vertex 2]],GroupVertices[Vertex],0)),1,1,"")</f>
        <v>1</v>
      </c>
      <c r="AH196" s="111">
        <v>2</v>
      </c>
      <c r="AI196" s="112">
        <v>2.5</v>
      </c>
      <c r="AJ196" s="111">
        <v>1</v>
      </c>
      <c r="AK196" s="112">
        <v>1.25</v>
      </c>
      <c r="AL196" s="111">
        <v>0</v>
      </c>
      <c r="AM196" s="112">
        <v>0</v>
      </c>
      <c r="AN196" s="111">
        <v>77</v>
      </c>
      <c r="AO196" s="112">
        <v>96.25</v>
      </c>
      <c r="AP196" s="111">
        <v>80</v>
      </c>
    </row>
    <row r="197" spans="1:42" ht="15">
      <c r="A197" s="65" t="s">
        <v>369</v>
      </c>
      <c r="B197" s="65" t="s">
        <v>484</v>
      </c>
      <c r="C197" s="66" t="s">
        <v>2942</v>
      </c>
      <c r="D197" s="67">
        <v>3</v>
      </c>
      <c r="E197" s="68"/>
      <c r="F197" s="69">
        <v>40</v>
      </c>
      <c r="G197" s="66"/>
      <c r="H197" s="70"/>
      <c r="I197" s="71"/>
      <c r="J197" s="71"/>
      <c r="K197" s="35" t="s">
        <v>66</v>
      </c>
      <c r="L197" s="79">
        <v>197</v>
      </c>
      <c r="M197" s="79"/>
      <c r="N197" s="73"/>
      <c r="O197" s="81" t="s">
        <v>564</v>
      </c>
      <c r="P197" s="81" t="s">
        <v>566</v>
      </c>
      <c r="Q197" s="84" t="s">
        <v>758</v>
      </c>
      <c r="R197" s="81" t="s">
        <v>369</v>
      </c>
      <c r="S197" s="81" t="s">
        <v>882</v>
      </c>
      <c r="T197" s="86" t="str">
        <f>HYPERLINK("http://www.youtube.com/channel/UCerAw4EfTOnYYxLLPZAzMxQ")</f>
        <v>http://www.youtube.com/channel/UCerAw4EfTOnYYxLLPZAzMxQ</v>
      </c>
      <c r="U197" s="81" t="s">
        <v>1073</v>
      </c>
      <c r="V197" s="81" t="s">
        <v>1128</v>
      </c>
      <c r="W197" s="86" t="str">
        <f>HYPERLINK("https://www.youtube.com/watch?v=PC-PgkhpsNc")</f>
        <v>https://www.youtube.com/watch?v=PC-PgkhpsNc</v>
      </c>
      <c r="X197" s="81" t="s">
        <v>1183</v>
      </c>
      <c r="Y197" s="81">
        <v>1</v>
      </c>
      <c r="Z197" s="88">
        <v>41801.816145833334</v>
      </c>
      <c r="AA197" s="88">
        <v>41801.816145833334</v>
      </c>
      <c r="AB197" s="81"/>
      <c r="AC197" s="81"/>
      <c r="AD197" s="84" t="s">
        <v>1239</v>
      </c>
      <c r="AE197" s="82">
        <v>1</v>
      </c>
      <c r="AF197" s="83" t="str">
        <f>REPLACE(INDEX(GroupVertices[Group],MATCH(Edges[[#This Row],[Vertex 1]],GroupVertices[Vertex],0)),1,1,"")</f>
        <v>1</v>
      </c>
      <c r="AG197" s="83" t="str">
        <f>REPLACE(INDEX(GroupVertices[Group],MATCH(Edges[[#This Row],[Vertex 2]],GroupVertices[Vertex],0)),1,1,"")</f>
        <v>1</v>
      </c>
      <c r="AH197" s="111">
        <v>0</v>
      </c>
      <c r="AI197" s="112">
        <v>0</v>
      </c>
      <c r="AJ197" s="111">
        <v>0</v>
      </c>
      <c r="AK197" s="112">
        <v>0</v>
      </c>
      <c r="AL197" s="111">
        <v>0</v>
      </c>
      <c r="AM197" s="112">
        <v>0</v>
      </c>
      <c r="AN197" s="111">
        <v>10</v>
      </c>
      <c r="AO197" s="112">
        <v>100</v>
      </c>
      <c r="AP197" s="111">
        <v>10</v>
      </c>
    </row>
    <row r="198" spans="1:42" ht="15">
      <c r="A198" s="65" t="s">
        <v>484</v>
      </c>
      <c r="B198" s="65" t="s">
        <v>369</v>
      </c>
      <c r="C198" s="66" t="s">
        <v>2942</v>
      </c>
      <c r="D198" s="67">
        <v>3</v>
      </c>
      <c r="E198" s="68"/>
      <c r="F198" s="69">
        <v>40</v>
      </c>
      <c r="G198" s="66"/>
      <c r="H198" s="70"/>
      <c r="I198" s="71"/>
      <c r="J198" s="71"/>
      <c r="K198" s="35" t="s">
        <v>66</v>
      </c>
      <c r="L198" s="79">
        <v>198</v>
      </c>
      <c r="M198" s="79"/>
      <c r="N198" s="73"/>
      <c r="O198" s="81" t="s">
        <v>563</v>
      </c>
      <c r="P198" s="81" t="s">
        <v>325</v>
      </c>
      <c r="Q198" s="84" t="s">
        <v>759</v>
      </c>
      <c r="R198" s="81" t="s">
        <v>484</v>
      </c>
      <c r="S198" s="81" t="s">
        <v>997</v>
      </c>
      <c r="T198" s="86" t="str">
        <f>HYPERLINK("http://www.youtube.com/channel/UCl_-t3QxGQvNu9-Wp1iGLdQ")</f>
        <v>http://www.youtube.com/channel/UCl_-t3QxGQvNu9-Wp1iGLdQ</v>
      </c>
      <c r="U198" s="81"/>
      <c r="V198" s="81" t="s">
        <v>1128</v>
      </c>
      <c r="W198" s="86" t="str">
        <f>HYPERLINK("https://www.youtube.com/watch?v=PC-PgkhpsNc")</f>
        <v>https://www.youtube.com/watch?v=PC-PgkhpsNc</v>
      </c>
      <c r="X198" s="81" t="s">
        <v>1183</v>
      </c>
      <c r="Y198" s="81">
        <v>0</v>
      </c>
      <c r="Z198" s="88">
        <v>41768.82341435185</v>
      </c>
      <c r="AA198" s="88">
        <v>41768.82341435185</v>
      </c>
      <c r="AB198" s="81"/>
      <c r="AC198" s="81"/>
      <c r="AD198" s="84" t="s">
        <v>1239</v>
      </c>
      <c r="AE198" s="82">
        <v>1</v>
      </c>
      <c r="AF198" s="83" t="str">
        <f>REPLACE(INDEX(GroupVertices[Group],MATCH(Edges[[#This Row],[Vertex 1]],GroupVertices[Vertex],0)),1,1,"")</f>
        <v>1</v>
      </c>
      <c r="AG198" s="83" t="str">
        <f>REPLACE(INDEX(GroupVertices[Group],MATCH(Edges[[#This Row],[Vertex 2]],GroupVertices[Vertex],0)),1,1,"")</f>
        <v>1</v>
      </c>
      <c r="AH198" s="111">
        <v>1</v>
      </c>
      <c r="AI198" s="112">
        <v>2.6315789473684212</v>
      </c>
      <c r="AJ198" s="111">
        <v>0</v>
      </c>
      <c r="AK198" s="112">
        <v>0</v>
      </c>
      <c r="AL198" s="111">
        <v>0</v>
      </c>
      <c r="AM198" s="112">
        <v>0</v>
      </c>
      <c r="AN198" s="111">
        <v>37</v>
      </c>
      <c r="AO198" s="112">
        <v>97.36842105263158</v>
      </c>
      <c r="AP198" s="111">
        <v>38</v>
      </c>
    </row>
    <row r="199" spans="1:42" ht="15">
      <c r="A199" s="65" t="s">
        <v>485</v>
      </c>
      <c r="B199" s="65" t="s">
        <v>369</v>
      </c>
      <c r="C199" s="66" t="s">
        <v>2942</v>
      </c>
      <c r="D199" s="67">
        <v>3</v>
      </c>
      <c r="E199" s="68"/>
      <c r="F199" s="69">
        <v>40</v>
      </c>
      <c r="G199" s="66"/>
      <c r="H199" s="70"/>
      <c r="I199" s="71"/>
      <c r="J199" s="71"/>
      <c r="K199" s="35" t="s">
        <v>65</v>
      </c>
      <c r="L199" s="79">
        <v>199</v>
      </c>
      <c r="M199" s="79"/>
      <c r="N199" s="73"/>
      <c r="O199" s="81" t="s">
        <v>563</v>
      </c>
      <c r="P199" s="81" t="s">
        <v>325</v>
      </c>
      <c r="Q199" s="84" t="s">
        <v>760</v>
      </c>
      <c r="R199" s="81" t="s">
        <v>485</v>
      </c>
      <c r="S199" s="81" t="s">
        <v>998</v>
      </c>
      <c r="T199" s="86" t="str">
        <f>HYPERLINK("http://www.youtube.com/channel/UC72mAuOZR5GBLYq7vDITHuw")</f>
        <v>http://www.youtube.com/channel/UC72mAuOZR5GBLYq7vDITHuw</v>
      </c>
      <c r="U199" s="81"/>
      <c r="V199" s="81" t="s">
        <v>1128</v>
      </c>
      <c r="W199" s="86" t="str">
        <f>HYPERLINK("https://www.youtube.com/watch?v=PC-PgkhpsNc")</f>
        <v>https://www.youtube.com/watch?v=PC-PgkhpsNc</v>
      </c>
      <c r="X199" s="81" t="s">
        <v>1183</v>
      </c>
      <c r="Y199" s="81">
        <v>0</v>
      </c>
      <c r="Z199" s="88">
        <v>41801.7928125</v>
      </c>
      <c r="AA199" s="88">
        <v>41801.7928125</v>
      </c>
      <c r="AB199" s="81"/>
      <c r="AC199" s="81"/>
      <c r="AD199" s="84" t="s">
        <v>1239</v>
      </c>
      <c r="AE199" s="82">
        <v>1</v>
      </c>
      <c r="AF199" s="83" t="str">
        <f>REPLACE(INDEX(GroupVertices[Group],MATCH(Edges[[#This Row],[Vertex 1]],GroupVertices[Vertex],0)),1,1,"")</f>
        <v>1</v>
      </c>
      <c r="AG199" s="83" t="str">
        <f>REPLACE(INDEX(GroupVertices[Group],MATCH(Edges[[#This Row],[Vertex 2]],GroupVertices[Vertex],0)),1,1,"")</f>
        <v>1</v>
      </c>
      <c r="AH199" s="111">
        <v>4</v>
      </c>
      <c r="AI199" s="112">
        <v>8.16326530612245</v>
      </c>
      <c r="AJ199" s="111">
        <v>0</v>
      </c>
      <c r="AK199" s="112">
        <v>0</v>
      </c>
      <c r="AL199" s="111">
        <v>0</v>
      </c>
      <c r="AM199" s="112">
        <v>0</v>
      </c>
      <c r="AN199" s="111">
        <v>45</v>
      </c>
      <c r="AO199" s="112">
        <v>91.83673469387755</v>
      </c>
      <c r="AP199" s="111">
        <v>49</v>
      </c>
    </row>
    <row r="200" spans="1:42" ht="15">
      <c r="A200" s="65" t="s">
        <v>486</v>
      </c>
      <c r="B200" s="65" t="s">
        <v>369</v>
      </c>
      <c r="C200" s="66" t="s">
        <v>2942</v>
      </c>
      <c r="D200" s="67">
        <v>3</v>
      </c>
      <c r="E200" s="68"/>
      <c r="F200" s="69">
        <v>40</v>
      </c>
      <c r="G200" s="66"/>
      <c r="H200" s="70"/>
      <c r="I200" s="71"/>
      <c r="J200" s="71"/>
      <c r="K200" s="35" t="s">
        <v>65</v>
      </c>
      <c r="L200" s="79">
        <v>200</v>
      </c>
      <c r="M200" s="79"/>
      <c r="N200" s="73"/>
      <c r="O200" s="81" t="s">
        <v>563</v>
      </c>
      <c r="P200" s="81" t="s">
        <v>325</v>
      </c>
      <c r="Q200" s="84" t="s">
        <v>761</v>
      </c>
      <c r="R200" s="81" t="s">
        <v>486</v>
      </c>
      <c r="S200" s="81" t="s">
        <v>999</v>
      </c>
      <c r="T200" s="86" t="str">
        <f>HYPERLINK("http://www.youtube.com/channel/UCe9SZXN8hQOR5jjWTKgMNiA")</f>
        <v>http://www.youtube.com/channel/UCe9SZXN8hQOR5jjWTKgMNiA</v>
      </c>
      <c r="U200" s="81"/>
      <c r="V200" s="81" t="s">
        <v>1128</v>
      </c>
      <c r="W200" s="86" t="str">
        <f>HYPERLINK("https://www.youtube.com/watch?v=PC-PgkhpsNc")</f>
        <v>https://www.youtube.com/watch?v=PC-PgkhpsNc</v>
      </c>
      <c r="X200" s="81" t="s">
        <v>1183</v>
      </c>
      <c r="Y200" s="81">
        <v>2</v>
      </c>
      <c r="Z200" s="88">
        <v>41976.82642361111</v>
      </c>
      <c r="AA200" s="88">
        <v>41976.82642361111</v>
      </c>
      <c r="AB200" s="81"/>
      <c r="AC200" s="81"/>
      <c r="AD200" s="84" t="s">
        <v>1239</v>
      </c>
      <c r="AE200" s="82">
        <v>1</v>
      </c>
      <c r="AF200" s="83" t="str">
        <f>REPLACE(INDEX(GroupVertices[Group],MATCH(Edges[[#This Row],[Vertex 1]],GroupVertices[Vertex],0)),1,1,"")</f>
        <v>1</v>
      </c>
      <c r="AG200" s="83" t="str">
        <f>REPLACE(INDEX(GroupVertices[Group],MATCH(Edges[[#This Row],[Vertex 2]],GroupVertices[Vertex],0)),1,1,"")</f>
        <v>1</v>
      </c>
      <c r="AH200" s="111">
        <v>2</v>
      </c>
      <c r="AI200" s="112">
        <v>20</v>
      </c>
      <c r="AJ200" s="111">
        <v>0</v>
      </c>
      <c r="AK200" s="112">
        <v>0</v>
      </c>
      <c r="AL200" s="111">
        <v>0</v>
      </c>
      <c r="AM200" s="112">
        <v>0</v>
      </c>
      <c r="AN200" s="111">
        <v>8</v>
      </c>
      <c r="AO200" s="112">
        <v>80</v>
      </c>
      <c r="AP200" s="111">
        <v>10</v>
      </c>
    </row>
    <row r="201" spans="1:42" ht="15">
      <c r="A201" s="65" t="s">
        <v>487</v>
      </c>
      <c r="B201" s="65" t="s">
        <v>369</v>
      </c>
      <c r="C201" s="66" t="s">
        <v>2942</v>
      </c>
      <c r="D201" s="67">
        <v>3</v>
      </c>
      <c r="E201" s="68"/>
      <c r="F201" s="69">
        <v>40</v>
      </c>
      <c r="G201" s="66"/>
      <c r="H201" s="70"/>
      <c r="I201" s="71"/>
      <c r="J201" s="71"/>
      <c r="K201" s="35" t="s">
        <v>65</v>
      </c>
      <c r="L201" s="79">
        <v>201</v>
      </c>
      <c r="M201" s="79"/>
      <c r="N201" s="73"/>
      <c r="O201" s="81" t="s">
        <v>563</v>
      </c>
      <c r="P201" s="81" t="s">
        <v>325</v>
      </c>
      <c r="Q201" s="84" t="s">
        <v>762</v>
      </c>
      <c r="R201" s="81" t="s">
        <v>487</v>
      </c>
      <c r="S201" s="81" t="s">
        <v>1000</v>
      </c>
      <c r="T201" s="86" t="str">
        <f>HYPERLINK("http://www.youtube.com/channel/UCZ8nrFIJyJwN6R0ZOALXetQ")</f>
        <v>http://www.youtube.com/channel/UCZ8nrFIJyJwN6R0ZOALXetQ</v>
      </c>
      <c r="U201" s="81"/>
      <c r="V201" s="81" t="s">
        <v>1128</v>
      </c>
      <c r="W201" s="86" t="str">
        <f>HYPERLINK("https://www.youtube.com/watch?v=PC-PgkhpsNc")</f>
        <v>https://www.youtube.com/watch?v=PC-PgkhpsNc</v>
      </c>
      <c r="X201" s="81" t="s">
        <v>1183</v>
      </c>
      <c r="Y201" s="81">
        <v>1</v>
      </c>
      <c r="Z201" s="88">
        <v>42037.81920138889</v>
      </c>
      <c r="AA201" s="88">
        <v>42037.81920138889</v>
      </c>
      <c r="AB201" s="81"/>
      <c r="AC201" s="81"/>
      <c r="AD201" s="84" t="s">
        <v>1239</v>
      </c>
      <c r="AE201" s="82">
        <v>1</v>
      </c>
      <c r="AF201" s="83" t="str">
        <f>REPLACE(INDEX(GroupVertices[Group],MATCH(Edges[[#This Row],[Vertex 1]],GroupVertices[Vertex],0)),1,1,"")</f>
        <v>1</v>
      </c>
      <c r="AG201" s="83" t="str">
        <f>REPLACE(INDEX(GroupVertices[Group],MATCH(Edges[[#This Row],[Vertex 2]],GroupVertices[Vertex],0)),1,1,"")</f>
        <v>1</v>
      </c>
      <c r="AH201" s="111">
        <v>1</v>
      </c>
      <c r="AI201" s="112">
        <v>12.5</v>
      </c>
      <c r="AJ201" s="111">
        <v>0</v>
      </c>
      <c r="AK201" s="112">
        <v>0</v>
      </c>
      <c r="AL201" s="111">
        <v>0</v>
      </c>
      <c r="AM201" s="112">
        <v>0</v>
      </c>
      <c r="AN201" s="111">
        <v>7</v>
      </c>
      <c r="AO201" s="112">
        <v>87.5</v>
      </c>
      <c r="AP201" s="111">
        <v>8</v>
      </c>
    </row>
    <row r="202" spans="1:42" ht="15">
      <c r="A202" s="65" t="s">
        <v>488</v>
      </c>
      <c r="B202" s="65" t="s">
        <v>489</v>
      </c>
      <c r="C202" s="66" t="s">
        <v>2942</v>
      </c>
      <c r="D202" s="67">
        <v>3</v>
      </c>
      <c r="E202" s="68"/>
      <c r="F202" s="69">
        <v>40</v>
      </c>
      <c r="G202" s="66"/>
      <c r="H202" s="70"/>
      <c r="I202" s="71"/>
      <c r="J202" s="71"/>
      <c r="K202" s="35" t="s">
        <v>65</v>
      </c>
      <c r="L202" s="79">
        <v>202</v>
      </c>
      <c r="M202" s="79"/>
      <c r="N202" s="73"/>
      <c r="O202" s="81" t="s">
        <v>564</v>
      </c>
      <c r="P202" s="81" t="s">
        <v>566</v>
      </c>
      <c r="Q202" s="84" t="s">
        <v>763</v>
      </c>
      <c r="R202" s="81" t="s">
        <v>488</v>
      </c>
      <c r="S202" s="81" t="s">
        <v>1001</v>
      </c>
      <c r="T202" s="86" t="str">
        <f>HYPERLINK("http://www.youtube.com/channel/UCc_IrnsTVtcDBTMBJ6prkag")</f>
        <v>http://www.youtube.com/channel/UCc_IrnsTVtcDBTMBJ6prkag</v>
      </c>
      <c r="U202" s="81" t="s">
        <v>1074</v>
      </c>
      <c r="V202" s="81" t="s">
        <v>1128</v>
      </c>
      <c r="W202" s="86" t="str">
        <f>HYPERLINK("https://www.youtube.com/watch?v=PC-PgkhpsNc")</f>
        <v>https://www.youtube.com/watch?v=PC-PgkhpsNc</v>
      </c>
      <c r="X202" s="81" t="s">
        <v>1183</v>
      </c>
      <c r="Y202" s="81">
        <v>0</v>
      </c>
      <c r="Z202" s="88">
        <v>42264.98850694444</v>
      </c>
      <c r="AA202" s="88">
        <v>42264.98850694444</v>
      </c>
      <c r="AB202" s="81"/>
      <c r="AC202" s="81"/>
      <c r="AD202" s="84" t="s">
        <v>1239</v>
      </c>
      <c r="AE202" s="82">
        <v>1</v>
      </c>
      <c r="AF202" s="83" t="str">
        <f>REPLACE(INDEX(GroupVertices[Group],MATCH(Edges[[#This Row],[Vertex 1]],GroupVertices[Vertex],0)),1,1,"")</f>
        <v>1</v>
      </c>
      <c r="AG202" s="83" t="str">
        <f>REPLACE(INDEX(GroupVertices[Group],MATCH(Edges[[#This Row],[Vertex 2]],GroupVertices[Vertex],0)),1,1,"")</f>
        <v>1</v>
      </c>
      <c r="AH202" s="111">
        <v>0</v>
      </c>
      <c r="AI202" s="112">
        <v>0</v>
      </c>
      <c r="AJ202" s="111">
        <v>0</v>
      </c>
      <c r="AK202" s="112">
        <v>0</v>
      </c>
      <c r="AL202" s="111">
        <v>0</v>
      </c>
      <c r="AM202" s="112">
        <v>0</v>
      </c>
      <c r="AN202" s="111">
        <v>13</v>
      </c>
      <c r="AO202" s="112">
        <v>100</v>
      </c>
      <c r="AP202" s="111">
        <v>13</v>
      </c>
    </row>
    <row r="203" spans="1:42" ht="15">
      <c r="A203" s="65" t="s">
        <v>369</v>
      </c>
      <c r="B203" s="65" t="s">
        <v>489</v>
      </c>
      <c r="C203" s="66" t="s">
        <v>2946</v>
      </c>
      <c r="D203" s="67">
        <v>10</v>
      </c>
      <c r="E203" s="68"/>
      <c r="F203" s="69">
        <v>15</v>
      </c>
      <c r="G203" s="66"/>
      <c r="H203" s="70"/>
      <c r="I203" s="71"/>
      <c r="J203" s="71"/>
      <c r="K203" s="35" t="s">
        <v>66</v>
      </c>
      <c r="L203" s="79">
        <v>203</v>
      </c>
      <c r="M203" s="79"/>
      <c r="N203" s="73"/>
      <c r="O203" s="81" t="s">
        <v>564</v>
      </c>
      <c r="P203" s="81" t="s">
        <v>566</v>
      </c>
      <c r="Q203" s="84" t="s">
        <v>764</v>
      </c>
      <c r="R203" s="81" t="s">
        <v>369</v>
      </c>
      <c r="S203" s="81" t="s">
        <v>882</v>
      </c>
      <c r="T203" s="86" t="str">
        <f>HYPERLINK("http://www.youtube.com/channel/UCerAw4EfTOnYYxLLPZAzMxQ")</f>
        <v>http://www.youtube.com/channel/UCerAw4EfTOnYYxLLPZAzMxQ</v>
      </c>
      <c r="U203" s="81" t="s">
        <v>1075</v>
      </c>
      <c r="V203" s="81" t="s">
        <v>1105</v>
      </c>
      <c r="W203" s="86" t="str">
        <f>HYPERLINK("https://www.youtube.com/watch?v=lbb2lMCSg64")</f>
        <v>https://www.youtube.com/watch?v=lbb2lMCSg64</v>
      </c>
      <c r="X203" s="81" t="s">
        <v>1183</v>
      </c>
      <c r="Y203" s="81">
        <v>1</v>
      </c>
      <c r="Z203" s="88">
        <v>42212.61324074074</v>
      </c>
      <c r="AA203" s="88">
        <v>42212.61324074074</v>
      </c>
      <c r="AB203" s="81"/>
      <c r="AC203" s="81"/>
      <c r="AD203" s="84" t="s">
        <v>1239</v>
      </c>
      <c r="AE203" s="82">
        <v>6</v>
      </c>
      <c r="AF203" s="83" t="str">
        <f>REPLACE(INDEX(GroupVertices[Group],MATCH(Edges[[#This Row],[Vertex 1]],GroupVertices[Vertex],0)),1,1,"")</f>
        <v>1</v>
      </c>
      <c r="AG203" s="83" t="str">
        <f>REPLACE(INDEX(GroupVertices[Group],MATCH(Edges[[#This Row],[Vertex 2]],GroupVertices[Vertex],0)),1,1,"")</f>
        <v>1</v>
      </c>
      <c r="AH203" s="111">
        <v>0</v>
      </c>
      <c r="AI203" s="112">
        <v>0</v>
      </c>
      <c r="AJ203" s="111">
        <v>0</v>
      </c>
      <c r="AK203" s="112">
        <v>0</v>
      </c>
      <c r="AL203" s="111">
        <v>0</v>
      </c>
      <c r="AM203" s="112">
        <v>0</v>
      </c>
      <c r="AN203" s="111">
        <v>33</v>
      </c>
      <c r="AO203" s="112">
        <v>100</v>
      </c>
      <c r="AP203" s="111">
        <v>33</v>
      </c>
    </row>
    <row r="204" spans="1:42" ht="15">
      <c r="A204" s="65" t="s">
        <v>489</v>
      </c>
      <c r="B204" s="65" t="s">
        <v>369</v>
      </c>
      <c r="C204" s="66" t="s">
        <v>2947</v>
      </c>
      <c r="D204" s="67">
        <v>10</v>
      </c>
      <c r="E204" s="68"/>
      <c r="F204" s="69">
        <v>15</v>
      </c>
      <c r="G204" s="66"/>
      <c r="H204" s="70"/>
      <c r="I204" s="71"/>
      <c r="J204" s="71"/>
      <c r="K204" s="35" t="s">
        <v>66</v>
      </c>
      <c r="L204" s="79">
        <v>204</v>
      </c>
      <c r="M204" s="79"/>
      <c r="N204" s="73"/>
      <c r="O204" s="81" t="s">
        <v>563</v>
      </c>
      <c r="P204" s="81" t="s">
        <v>325</v>
      </c>
      <c r="Q204" s="84" t="s">
        <v>765</v>
      </c>
      <c r="R204" s="81" t="s">
        <v>489</v>
      </c>
      <c r="S204" s="81" t="s">
        <v>1002</v>
      </c>
      <c r="T204" s="86" t="str">
        <f>HYPERLINK("http://www.youtube.com/channel/UCd0sHnrF1NVw90DF39XEKDQ")</f>
        <v>http://www.youtube.com/channel/UCd0sHnrF1NVw90DF39XEKDQ</v>
      </c>
      <c r="U204" s="81"/>
      <c r="V204" s="81" t="s">
        <v>1105</v>
      </c>
      <c r="W204" s="86" t="str">
        <f>HYPERLINK("https://www.youtube.com/watch?v=lbb2lMCSg64")</f>
        <v>https://www.youtube.com/watch?v=lbb2lMCSg64</v>
      </c>
      <c r="X204" s="81" t="s">
        <v>1183</v>
      </c>
      <c r="Y204" s="81">
        <v>0</v>
      </c>
      <c r="Z204" s="88">
        <v>42212.52552083333</v>
      </c>
      <c r="AA204" s="88">
        <v>42212.52552083333</v>
      </c>
      <c r="AB204" s="81"/>
      <c r="AC204" s="81"/>
      <c r="AD204" s="84" t="s">
        <v>1239</v>
      </c>
      <c r="AE204" s="82">
        <v>7</v>
      </c>
      <c r="AF204" s="83" t="str">
        <f>REPLACE(INDEX(GroupVertices[Group],MATCH(Edges[[#This Row],[Vertex 1]],GroupVertices[Vertex],0)),1,1,"")</f>
        <v>1</v>
      </c>
      <c r="AG204" s="83" t="str">
        <f>REPLACE(INDEX(GroupVertices[Group],MATCH(Edges[[#This Row],[Vertex 2]],GroupVertices[Vertex],0)),1,1,"")</f>
        <v>1</v>
      </c>
      <c r="AH204" s="111">
        <v>0</v>
      </c>
      <c r="AI204" s="112">
        <v>0</v>
      </c>
      <c r="AJ204" s="111">
        <v>0</v>
      </c>
      <c r="AK204" s="112">
        <v>0</v>
      </c>
      <c r="AL204" s="111">
        <v>0</v>
      </c>
      <c r="AM204" s="112">
        <v>0</v>
      </c>
      <c r="AN204" s="111">
        <v>12</v>
      </c>
      <c r="AO204" s="112">
        <v>100</v>
      </c>
      <c r="AP204" s="111">
        <v>12</v>
      </c>
    </row>
    <row r="205" spans="1:42" ht="15">
      <c r="A205" s="65" t="s">
        <v>489</v>
      </c>
      <c r="B205" s="65" t="s">
        <v>369</v>
      </c>
      <c r="C205" s="66" t="s">
        <v>2947</v>
      </c>
      <c r="D205" s="67">
        <v>10</v>
      </c>
      <c r="E205" s="68"/>
      <c r="F205" s="69">
        <v>15</v>
      </c>
      <c r="G205" s="66"/>
      <c r="H205" s="70"/>
      <c r="I205" s="71"/>
      <c r="J205" s="71"/>
      <c r="K205" s="35" t="s">
        <v>66</v>
      </c>
      <c r="L205" s="79">
        <v>205</v>
      </c>
      <c r="M205" s="79"/>
      <c r="N205" s="73"/>
      <c r="O205" s="81" t="s">
        <v>563</v>
      </c>
      <c r="P205" s="81" t="s">
        <v>325</v>
      </c>
      <c r="Q205" s="84" t="s">
        <v>766</v>
      </c>
      <c r="R205" s="81" t="s">
        <v>489</v>
      </c>
      <c r="S205" s="81" t="s">
        <v>1002</v>
      </c>
      <c r="T205" s="86" t="str">
        <f>HYPERLINK("http://www.youtube.com/channel/UCd0sHnrF1NVw90DF39XEKDQ")</f>
        <v>http://www.youtube.com/channel/UCd0sHnrF1NVw90DF39XEKDQ</v>
      </c>
      <c r="U205" s="81"/>
      <c r="V205" s="81" t="s">
        <v>1105</v>
      </c>
      <c r="W205" s="86" t="str">
        <f>HYPERLINK("https://www.youtube.com/watch?v=lbb2lMCSg64")</f>
        <v>https://www.youtube.com/watch?v=lbb2lMCSg64</v>
      </c>
      <c r="X205" s="81" t="s">
        <v>1183</v>
      </c>
      <c r="Y205" s="81">
        <v>0</v>
      </c>
      <c r="Z205" s="88">
        <v>42212.57974537037</v>
      </c>
      <c r="AA205" s="88">
        <v>42212.57974537037</v>
      </c>
      <c r="AB205" s="81"/>
      <c r="AC205" s="81"/>
      <c r="AD205" s="84" t="s">
        <v>1239</v>
      </c>
      <c r="AE205" s="82">
        <v>7</v>
      </c>
      <c r="AF205" s="83" t="str">
        <f>REPLACE(INDEX(GroupVertices[Group],MATCH(Edges[[#This Row],[Vertex 1]],GroupVertices[Vertex],0)),1,1,"")</f>
        <v>1</v>
      </c>
      <c r="AG205" s="83" t="str">
        <f>REPLACE(INDEX(GroupVertices[Group],MATCH(Edges[[#This Row],[Vertex 2]],GroupVertices[Vertex],0)),1,1,"")</f>
        <v>1</v>
      </c>
      <c r="AH205" s="111">
        <v>0</v>
      </c>
      <c r="AI205" s="112">
        <v>0</v>
      </c>
      <c r="AJ205" s="111">
        <v>0</v>
      </c>
      <c r="AK205" s="112">
        <v>0</v>
      </c>
      <c r="AL205" s="111">
        <v>0</v>
      </c>
      <c r="AM205" s="112">
        <v>0</v>
      </c>
      <c r="AN205" s="111">
        <v>25</v>
      </c>
      <c r="AO205" s="112">
        <v>100</v>
      </c>
      <c r="AP205" s="111">
        <v>25</v>
      </c>
    </row>
    <row r="206" spans="1:42" ht="15">
      <c r="A206" s="65" t="s">
        <v>369</v>
      </c>
      <c r="B206" s="65" t="s">
        <v>489</v>
      </c>
      <c r="C206" s="66" t="s">
        <v>2946</v>
      </c>
      <c r="D206" s="67">
        <v>10</v>
      </c>
      <c r="E206" s="68"/>
      <c r="F206" s="69">
        <v>15</v>
      </c>
      <c r="G206" s="66"/>
      <c r="H206" s="70"/>
      <c r="I206" s="71"/>
      <c r="J206" s="71"/>
      <c r="K206" s="35" t="s">
        <v>66</v>
      </c>
      <c r="L206" s="79">
        <v>206</v>
      </c>
      <c r="M206" s="79"/>
      <c r="N206" s="73"/>
      <c r="O206" s="81" t="s">
        <v>564</v>
      </c>
      <c r="P206" s="81" t="s">
        <v>566</v>
      </c>
      <c r="Q206" s="84" t="s">
        <v>767</v>
      </c>
      <c r="R206" s="81" t="s">
        <v>369</v>
      </c>
      <c r="S206" s="81" t="s">
        <v>882</v>
      </c>
      <c r="T206" s="86" t="str">
        <f>HYPERLINK("http://www.youtube.com/channel/UCerAw4EfTOnYYxLLPZAzMxQ")</f>
        <v>http://www.youtube.com/channel/UCerAw4EfTOnYYxLLPZAzMxQ</v>
      </c>
      <c r="U206" s="81" t="s">
        <v>1076</v>
      </c>
      <c r="V206" s="81" t="s">
        <v>1124</v>
      </c>
      <c r="W206" s="86" t="str">
        <f>HYPERLINK("https://www.youtube.com/watch?v=08MqGSL9TNQ")</f>
        <v>https://www.youtube.com/watch?v=08MqGSL9TNQ</v>
      </c>
      <c r="X206" s="81" t="s">
        <v>1183</v>
      </c>
      <c r="Y206" s="81">
        <v>0</v>
      </c>
      <c r="Z206" s="88">
        <v>42493.90181712963</v>
      </c>
      <c r="AA206" s="88">
        <v>42493.90181712963</v>
      </c>
      <c r="AB206" s="81" t="s">
        <v>1204</v>
      </c>
      <c r="AC206" s="81" t="s">
        <v>1227</v>
      </c>
      <c r="AD206" s="84" t="s">
        <v>1239</v>
      </c>
      <c r="AE206" s="82">
        <v>6</v>
      </c>
      <c r="AF206" s="83" t="str">
        <f>REPLACE(INDEX(GroupVertices[Group],MATCH(Edges[[#This Row],[Vertex 1]],GroupVertices[Vertex],0)),1,1,"")</f>
        <v>1</v>
      </c>
      <c r="AG206" s="83" t="str">
        <f>REPLACE(INDEX(GroupVertices[Group],MATCH(Edges[[#This Row],[Vertex 2]],GroupVertices[Vertex],0)),1,1,"")</f>
        <v>1</v>
      </c>
      <c r="AH206" s="111">
        <v>1</v>
      </c>
      <c r="AI206" s="112">
        <v>5.2631578947368425</v>
      </c>
      <c r="AJ206" s="111">
        <v>0</v>
      </c>
      <c r="AK206" s="112">
        <v>0</v>
      </c>
      <c r="AL206" s="111">
        <v>0</v>
      </c>
      <c r="AM206" s="112">
        <v>0</v>
      </c>
      <c r="AN206" s="111">
        <v>18</v>
      </c>
      <c r="AO206" s="112">
        <v>94.73684210526316</v>
      </c>
      <c r="AP206" s="111">
        <v>19</v>
      </c>
    </row>
    <row r="207" spans="1:42" ht="15">
      <c r="A207" s="65" t="s">
        <v>489</v>
      </c>
      <c r="B207" s="65" t="s">
        <v>369</v>
      </c>
      <c r="C207" s="66" t="s">
        <v>2947</v>
      </c>
      <c r="D207" s="67">
        <v>10</v>
      </c>
      <c r="E207" s="68"/>
      <c r="F207" s="69">
        <v>15</v>
      </c>
      <c r="G207" s="66"/>
      <c r="H207" s="70"/>
      <c r="I207" s="71"/>
      <c r="J207" s="71"/>
      <c r="K207" s="35" t="s">
        <v>66</v>
      </c>
      <c r="L207" s="79">
        <v>207</v>
      </c>
      <c r="M207" s="79"/>
      <c r="N207" s="73"/>
      <c r="O207" s="81" t="s">
        <v>563</v>
      </c>
      <c r="P207" s="81" t="s">
        <v>325</v>
      </c>
      <c r="Q207" s="84" t="s">
        <v>768</v>
      </c>
      <c r="R207" s="81" t="s">
        <v>489</v>
      </c>
      <c r="S207" s="81" t="s">
        <v>1002</v>
      </c>
      <c r="T207" s="86" t="str">
        <f>HYPERLINK("http://www.youtube.com/channel/UCd0sHnrF1NVw90DF39XEKDQ")</f>
        <v>http://www.youtube.com/channel/UCd0sHnrF1NVw90DF39XEKDQ</v>
      </c>
      <c r="U207" s="81"/>
      <c r="V207" s="81" t="s">
        <v>1124</v>
      </c>
      <c r="W207" s="86" t="str">
        <f>HYPERLINK("https://www.youtube.com/watch?v=08MqGSL9TNQ")</f>
        <v>https://www.youtube.com/watch?v=08MqGSL9TNQ</v>
      </c>
      <c r="X207" s="81" t="s">
        <v>1183</v>
      </c>
      <c r="Y207" s="81">
        <v>0</v>
      </c>
      <c r="Z207" s="88">
        <v>42493.76190972222</v>
      </c>
      <c r="AA207" s="88">
        <v>42493.76190972222</v>
      </c>
      <c r="AB207" s="81"/>
      <c r="AC207" s="81"/>
      <c r="AD207" s="84" t="s">
        <v>1239</v>
      </c>
      <c r="AE207" s="82">
        <v>7</v>
      </c>
      <c r="AF207" s="83" t="str">
        <f>REPLACE(INDEX(GroupVertices[Group],MATCH(Edges[[#This Row],[Vertex 1]],GroupVertices[Vertex],0)),1,1,"")</f>
        <v>1</v>
      </c>
      <c r="AG207" s="83" t="str">
        <f>REPLACE(INDEX(GroupVertices[Group],MATCH(Edges[[#This Row],[Vertex 2]],GroupVertices[Vertex],0)),1,1,"")</f>
        <v>1</v>
      </c>
      <c r="AH207" s="111">
        <v>0</v>
      </c>
      <c r="AI207" s="112">
        <v>0</v>
      </c>
      <c r="AJ207" s="111">
        <v>0</v>
      </c>
      <c r="AK207" s="112">
        <v>0</v>
      </c>
      <c r="AL207" s="111">
        <v>0</v>
      </c>
      <c r="AM207" s="112">
        <v>0</v>
      </c>
      <c r="AN207" s="111">
        <v>7</v>
      </c>
      <c r="AO207" s="112">
        <v>100</v>
      </c>
      <c r="AP207" s="111">
        <v>7</v>
      </c>
    </row>
    <row r="208" spans="1:42" ht="15">
      <c r="A208" s="65" t="s">
        <v>489</v>
      </c>
      <c r="B208" s="65" t="s">
        <v>369</v>
      </c>
      <c r="C208" s="66" t="s">
        <v>2947</v>
      </c>
      <c r="D208" s="67">
        <v>10</v>
      </c>
      <c r="E208" s="68"/>
      <c r="F208" s="69">
        <v>15</v>
      </c>
      <c r="G208" s="66"/>
      <c r="H208" s="70"/>
      <c r="I208" s="71"/>
      <c r="J208" s="71"/>
      <c r="K208" s="35" t="s">
        <v>66</v>
      </c>
      <c r="L208" s="79">
        <v>208</v>
      </c>
      <c r="M208" s="79"/>
      <c r="N208" s="73"/>
      <c r="O208" s="81" t="s">
        <v>563</v>
      </c>
      <c r="P208" s="81" t="s">
        <v>325</v>
      </c>
      <c r="Q208" s="84" t="s">
        <v>769</v>
      </c>
      <c r="R208" s="81" t="s">
        <v>489</v>
      </c>
      <c r="S208" s="81" t="s">
        <v>1002</v>
      </c>
      <c r="T208" s="86" t="str">
        <f>HYPERLINK("http://www.youtube.com/channel/UCd0sHnrF1NVw90DF39XEKDQ")</f>
        <v>http://www.youtube.com/channel/UCd0sHnrF1NVw90DF39XEKDQ</v>
      </c>
      <c r="U208" s="81"/>
      <c r="V208" s="81" t="s">
        <v>1124</v>
      </c>
      <c r="W208" s="86" t="str">
        <f>HYPERLINK("https://www.youtube.com/watch?v=08MqGSL9TNQ")</f>
        <v>https://www.youtube.com/watch?v=08MqGSL9TNQ</v>
      </c>
      <c r="X208" s="81" t="s">
        <v>1183</v>
      </c>
      <c r="Y208" s="81">
        <v>0</v>
      </c>
      <c r="Z208" s="88">
        <v>42494.29804398148</v>
      </c>
      <c r="AA208" s="88">
        <v>42494.29804398148</v>
      </c>
      <c r="AB208" s="81"/>
      <c r="AC208" s="81"/>
      <c r="AD208" s="84" t="s">
        <v>1239</v>
      </c>
      <c r="AE208" s="82">
        <v>7</v>
      </c>
      <c r="AF208" s="83" t="str">
        <f>REPLACE(INDEX(GroupVertices[Group],MATCH(Edges[[#This Row],[Vertex 1]],GroupVertices[Vertex],0)),1,1,"")</f>
        <v>1</v>
      </c>
      <c r="AG208" s="83" t="str">
        <f>REPLACE(INDEX(GroupVertices[Group],MATCH(Edges[[#This Row],[Vertex 2]],GroupVertices[Vertex],0)),1,1,"")</f>
        <v>1</v>
      </c>
      <c r="AH208" s="111">
        <v>1</v>
      </c>
      <c r="AI208" s="112">
        <v>5</v>
      </c>
      <c r="AJ208" s="111">
        <v>0</v>
      </c>
      <c r="AK208" s="112">
        <v>0</v>
      </c>
      <c r="AL208" s="111">
        <v>0</v>
      </c>
      <c r="AM208" s="112">
        <v>0</v>
      </c>
      <c r="AN208" s="111">
        <v>19</v>
      </c>
      <c r="AO208" s="112">
        <v>95</v>
      </c>
      <c r="AP208" s="111">
        <v>20</v>
      </c>
    </row>
    <row r="209" spans="1:42" ht="15">
      <c r="A209" s="65" t="s">
        <v>369</v>
      </c>
      <c r="B209" s="65" t="s">
        <v>489</v>
      </c>
      <c r="C209" s="66" t="s">
        <v>2946</v>
      </c>
      <c r="D209" s="67">
        <v>10</v>
      </c>
      <c r="E209" s="68"/>
      <c r="F209" s="69">
        <v>15</v>
      </c>
      <c r="G209" s="66"/>
      <c r="H209" s="70"/>
      <c r="I209" s="71"/>
      <c r="J209" s="71"/>
      <c r="K209" s="35" t="s">
        <v>66</v>
      </c>
      <c r="L209" s="79">
        <v>209</v>
      </c>
      <c r="M209" s="79"/>
      <c r="N209" s="73"/>
      <c r="O209" s="81" t="s">
        <v>564</v>
      </c>
      <c r="P209" s="81" t="s">
        <v>566</v>
      </c>
      <c r="Q209" s="84" t="s">
        <v>770</v>
      </c>
      <c r="R209" s="81" t="s">
        <v>369</v>
      </c>
      <c r="S209" s="81" t="s">
        <v>882</v>
      </c>
      <c r="T209" s="86" t="str">
        <f>HYPERLINK("http://www.youtube.com/channel/UCerAw4EfTOnYYxLLPZAzMxQ")</f>
        <v>http://www.youtube.com/channel/UCerAw4EfTOnYYxLLPZAzMxQ</v>
      </c>
      <c r="U209" s="81" t="s">
        <v>1077</v>
      </c>
      <c r="V209" s="81" t="s">
        <v>1128</v>
      </c>
      <c r="W209" s="86" t="str">
        <f>HYPERLINK("https://www.youtube.com/watch?v=")</f>
        <v>https://www.youtube.com/watch?v=</v>
      </c>
      <c r="X209" s="81" t="s">
        <v>1183</v>
      </c>
      <c r="Y209" s="81">
        <v>0</v>
      </c>
      <c r="Z209" s="88">
        <v>42172.59724537037</v>
      </c>
      <c r="AA209" s="88">
        <v>42172.59724537037</v>
      </c>
      <c r="AB209" s="81"/>
      <c r="AC209" s="81"/>
      <c r="AD209" s="84" t="s">
        <v>1239</v>
      </c>
      <c r="AE209" s="82">
        <v>6</v>
      </c>
      <c r="AF209" s="83" t="str">
        <f>REPLACE(INDEX(GroupVertices[Group],MATCH(Edges[[#This Row],[Vertex 1]],GroupVertices[Vertex],0)),1,1,"")</f>
        <v>1</v>
      </c>
      <c r="AG209" s="83" t="str">
        <f>REPLACE(INDEX(GroupVertices[Group],MATCH(Edges[[#This Row],[Vertex 2]],GroupVertices[Vertex],0)),1,1,"")</f>
        <v>1</v>
      </c>
      <c r="AH209" s="111">
        <v>1</v>
      </c>
      <c r="AI209" s="112">
        <v>3.225806451612903</v>
      </c>
      <c r="AJ209" s="111">
        <v>0</v>
      </c>
      <c r="AK209" s="112">
        <v>0</v>
      </c>
      <c r="AL209" s="111">
        <v>0</v>
      </c>
      <c r="AM209" s="112">
        <v>0</v>
      </c>
      <c r="AN209" s="111">
        <v>30</v>
      </c>
      <c r="AO209" s="112">
        <v>96.7741935483871</v>
      </c>
      <c r="AP209" s="111">
        <v>31</v>
      </c>
    </row>
    <row r="210" spans="1:42" ht="15">
      <c r="A210" s="65" t="s">
        <v>489</v>
      </c>
      <c r="B210" s="65" t="s">
        <v>489</v>
      </c>
      <c r="C210" s="66" t="s">
        <v>2944</v>
      </c>
      <c r="D210" s="67">
        <v>5.8</v>
      </c>
      <c r="E210" s="68"/>
      <c r="F210" s="69">
        <v>30</v>
      </c>
      <c r="G210" s="66"/>
      <c r="H210" s="70"/>
      <c r="I210" s="71"/>
      <c r="J210" s="71"/>
      <c r="K210" s="35" t="s">
        <v>65</v>
      </c>
      <c r="L210" s="79">
        <v>210</v>
      </c>
      <c r="M210" s="79"/>
      <c r="N210" s="73"/>
      <c r="O210" s="81" t="s">
        <v>564</v>
      </c>
      <c r="P210" s="81" t="s">
        <v>566</v>
      </c>
      <c r="Q210" s="84" t="s">
        <v>771</v>
      </c>
      <c r="R210" s="81" t="s">
        <v>489</v>
      </c>
      <c r="S210" s="81" t="s">
        <v>1002</v>
      </c>
      <c r="T210" s="86" t="str">
        <f>HYPERLINK("http://www.youtube.com/channel/UCd0sHnrF1NVw90DF39XEKDQ")</f>
        <v>http://www.youtube.com/channel/UCd0sHnrF1NVw90DF39XEKDQ</v>
      </c>
      <c r="U210" s="81" t="s">
        <v>1077</v>
      </c>
      <c r="V210" s="81" t="s">
        <v>1128</v>
      </c>
      <c r="W210" s="86" t="str">
        <f>HYPERLINK("https://www.youtube.com/watch?v=")</f>
        <v>https://www.youtube.com/watch?v=</v>
      </c>
      <c r="X210" s="81" t="s">
        <v>1183</v>
      </c>
      <c r="Y210" s="81">
        <v>0</v>
      </c>
      <c r="Z210" s="88">
        <v>42172.88506944444</v>
      </c>
      <c r="AA210" s="88">
        <v>42172.88506944444</v>
      </c>
      <c r="AB210" s="81"/>
      <c r="AC210" s="81"/>
      <c r="AD210" s="84" t="s">
        <v>1239</v>
      </c>
      <c r="AE210" s="82">
        <v>3</v>
      </c>
      <c r="AF210" s="83" t="str">
        <f>REPLACE(INDEX(GroupVertices[Group],MATCH(Edges[[#This Row],[Vertex 1]],GroupVertices[Vertex],0)),1,1,"")</f>
        <v>1</v>
      </c>
      <c r="AG210" s="83" t="str">
        <f>REPLACE(INDEX(GroupVertices[Group],MATCH(Edges[[#This Row],[Vertex 2]],GroupVertices[Vertex],0)),1,1,"")</f>
        <v>1</v>
      </c>
      <c r="AH210" s="111">
        <v>1</v>
      </c>
      <c r="AI210" s="112">
        <v>1.8518518518518519</v>
      </c>
      <c r="AJ210" s="111">
        <v>0</v>
      </c>
      <c r="AK210" s="112">
        <v>0</v>
      </c>
      <c r="AL210" s="111">
        <v>0</v>
      </c>
      <c r="AM210" s="112">
        <v>0</v>
      </c>
      <c r="AN210" s="111">
        <v>53</v>
      </c>
      <c r="AO210" s="112">
        <v>98.14814814814815</v>
      </c>
      <c r="AP210" s="111">
        <v>54</v>
      </c>
    </row>
    <row r="211" spans="1:42" ht="15">
      <c r="A211" s="65" t="s">
        <v>369</v>
      </c>
      <c r="B211" s="65" t="s">
        <v>489</v>
      </c>
      <c r="C211" s="66" t="s">
        <v>2946</v>
      </c>
      <c r="D211" s="67">
        <v>10</v>
      </c>
      <c r="E211" s="68"/>
      <c r="F211" s="69">
        <v>15</v>
      </c>
      <c r="G211" s="66"/>
      <c r="H211" s="70"/>
      <c r="I211" s="71"/>
      <c r="J211" s="71"/>
      <c r="K211" s="35" t="s">
        <v>66</v>
      </c>
      <c r="L211" s="79">
        <v>211</v>
      </c>
      <c r="M211" s="79"/>
      <c r="N211" s="73"/>
      <c r="O211" s="81" t="s">
        <v>564</v>
      </c>
      <c r="P211" s="81" t="s">
        <v>566</v>
      </c>
      <c r="Q211" s="84" t="s">
        <v>772</v>
      </c>
      <c r="R211" s="81" t="s">
        <v>369</v>
      </c>
      <c r="S211" s="81" t="s">
        <v>882</v>
      </c>
      <c r="T211" s="86" t="str">
        <f>HYPERLINK("http://www.youtube.com/channel/UCerAw4EfTOnYYxLLPZAzMxQ")</f>
        <v>http://www.youtube.com/channel/UCerAw4EfTOnYYxLLPZAzMxQ</v>
      </c>
      <c r="U211" s="81" t="s">
        <v>1077</v>
      </c>
      <c r="V211" s="81" t="s">
        <v>1128</v>
      </c>
      <c r="W211" s="86" t="str">
        <f>HYPERLINK("https://www.youtube.com/watch?v=")</f>
        <v>https://www.youtube.com/watch?v=</v>
      </c>
      <c r="X211" s="81" t="s">
        <v>1183</v>
      </c>
      <c r="Y211" s="81">
        <v>0</v>
      </c>
      <c r="Z211" s="88">
        <v>42172.89104166667</v>
      </c>
      <c r="AA211" s="88">
        <v>42172.89104166667</v>
      </c>
      <c r="AB211" s="81"/>
      <c r="AC211" s="81"/>
      <c r="AD211" s="84" t="s">
        <v>1239</v>
      </c>
      <c r="AE211" s="82">
        <v>6</v>
      </c>
      <c r="AF211" s="83" t="str">
        <f>REPLACE(INDEX(GroupVertices[Group],MATCH(Edges[[#This Row],[Vertex 1]],GroupVertices[Vertex],0)),1,1,"")</f>
        <v>1</v>
      </c>
      <c r="AG211" s="83" t="str">
        <f>REPLACE(INDEX(GroupVertices[Group],MATCH(Edges[[#This Row],[Vertex 2]],GroupVertices[Vertex],0)),1,1,"")</f>
        <v>1</v>
      </c>
      <c r="AH211" s="111">
        <v>3</v>
      </c>
      <c r="AI211" s="112">
        <v>7.142857142857143</v>
      </c>
      <c r="AJ211" s="111">
        <v>0</v>
      </c>
      <c r="AK211" s="112">
        <v>0</v>
      </c>
      <c r="AL211" s="111">
        <v>0</v>
      </c>
      <c r="AM211" s="112">
        <v>0</v>
      </c>
      <c r="AN211" s="111">
        <v>39</v>
      </c>
      <c r="AO211" s="112">
        <v>92.85714285714286</v>
      </c>
      <c r="AP211" s="111">
        <v>42</v>
      </c>
    </row>
    <row r="212" spans="1:42" ht="15">
      <c r="A212" s="65" t="s">
        <v>489</v>
      </c>
      <c r="B212" s="65" t="s">
        <v>489</v>
      </c>
      <c r="C212" s="66" t="s">
        <v>2944</v>
      </c>
      <c r="D212" s="67">
        <v>5.8</v>
      </c>
      <c r="E212" s="68"/>
      <c r="F212" s="69">
        <v>30</v>
      </c>
      <c r="G212" s="66"/>
      <c r="H212" s="70"/>
      <c r="I212" s="71"/>
      <c r="J212" s="71"/>
      <c r="K212" s="35" t="s">
        <v>65</v>
      </c>
      <c r="L212" s="79">
        <v>212</v>
      </c>
      <c r="M212" s="79"/>
      <c r="N212" s="73"/>
      <c r="O212" s="81" t="s">
        <v>564</v>
      </c>
      <c r="P212" s="81" t="s">
        <v>566</v>
      </c>
      <c r="Q212" s="84" t="s">
        <v>773</v>
      </c>
      <c r="R212" s="81" t="s">
        <v>489</v>
      </c>
      <c r="S212" s="81" t="s">
        <v>1002</v>
      </c>
      <c r="T212" s="86" t="str">
        <f>HYPERLINK("http://www.youtube.com/channel/UCd0sHnrF1NVw90DF39XEKDQ")</f>
        <v>http://www.youtube.com/channel/UCd0sHnrF1NVw90DF39XEKDQ</v>
      </c>
      <c r="U212" s="81" t="s">
        <v>1077</v>
      </c>
      <c r="V212" s="81" t="s">
        <v>1128</v>
      </c>
      <c r="W212" s="86" t="str">
        <f>HYPERLINK("https://www.youtube.com/watch?v=")</f>
        <v>https://www.youtube.com/watch?v=</v>
      </c>
      <c r="X212" s="81" t="s">
        <v>1183</v>
      </c>
      <c r="Y212" s="81">
        <v>0</v>
      </c>
      <c r="Z212" s="88">
        <v>42173.26091435185</v>
      </c>
      <c r="AA212" s="88">
        <v>42173.26091435185</v>
      </c>
      <c r="AB212" s="81"/>
      <c r="AC212" s="81"/>
      <c r="AD212" s="84" t="s">
        <v>1239</v>
      </c>
      <c r="AE212" s="82">
        <v>3</v>
      </c>
      <c r="AF212" s="83" t="str">
        <f>REPLACE(INDEX(GroupVertices[Group],MATCH(Edges[[#This Row],[Vertex 1]],GroupVertices[Vertex],0)),1,1,"")</f>
        <v>1</v>
      </c>
      <c r="AG212" s="83" t="str">
        <f>REPLACE(INDEX(GroupVertices[Group],MATCH(Edges[[#This Row],[Vertex 2]],GroupVertices[Vertex],0)),1,1,"")</f>
        <v>1</v>
      </c>
      <c r="AH212" s="111">
        <v>0</v>
      </c>
      <c r="AI212" s="112">
        <v>0</v>
      </c>
      <c r="AJ212" s="111">
        <v>0</v>
      </c>
      <c r="AK212" s="112">
        <v>0</v>
      </c>
      <c r="AL212" s="111">
        <v>0</v>
      </c>
      <c r="AM212" s="112">
        <v>0</v>
      </c>
      <c r="AN212" s="111">
        <v>93</v>
      </c>
      <c r="AO212" s="112">
        <v>100</v>
      </c>
      <c r="AP212" s="111">
        <v>93</v>
      </c>
    </row>
    <row r="213" spans="1:42" ht="15">
      <c r="A213" s="65" t="s">
        <v>369</v>
      </c>
      <c r="B213" s="65" t="s">
        <v>489</v>
      </c>
      <c r="C213" s="66" t="s">
        <v>2946</v>
      </c>
      <c r="D213" s="67">
        <v>10</v>
      </c>
      <c r="E213" s="68"/>
      <c r="F213" s="69">
        <v>15</v>
      </c>
      <c r="G213" s="66"/>
      <c r="H213" s="70"/>
      <c r="I213" s="71"/>
      <c r="J213" s="71"/>
      <c r="K213" s="35" t="s">
        <v>66</v>
      </c>
      <c r="L213" s="79">
        <v>213</v>
      </c>
      <c r="M213" s="79"/>
      <c r="N213" s="73"/>
      <c r="O213" s="81" t="s">
        <v>564</v>
      </c>
      <c r="P213" s="81" t="s">
        <v>566</v>
      </c>
      <c r="Q213" s="84" t="s">
        <v>774</v>
      </c>
      <c r="R213" s="81" t="s">
        <v>369</v>
      </c>
      <c r="S213" s="81" t="s">
        <v>882</v>
      </c>
      <c r="T213" s="86" t="str">
        <f>HYPERLINK("http://www.youtube.com/channel/UCerAw4EfTOnYYxLLPZAzMxQ")</f>
        <v>http://www.youtube.com/channel/UCerAw4EfTOnYYxLLPZAzMxQ</v>
      </c>
      <c r="U213" s="81" t="s">
        <v>1077</v>
      </c>
      <c r="V213" s="81" t="s">
        <v>1128</v>
      </c>
      <c r="W213" s="86" t="str">
        <f>HYPERLINK("https://www.youtube.com/watch?v=")</f>
        <v>https://www.youtube.com/watch?v=</v>
      </c>
      <c r="X213" s="81" t="s">
        <v>1183</v>
      </c>
      <c r="Y213" s="81">
        <v>1</v>
      </c>
      <c r="Z213" s="88">
        <v>42173.630532407406</v>
      </c>
      <c r="AA213" s="88">
        <v>42173.630532407406</v>
      </c>
      <c r="AB213" s="81"/>
      <c r="AC213" s="81"/>
      <c r="AD213" s="84" t="s">
        <v>1239</v>
      </c>
      <c r="AE213" s="82">
        <v>6</v>
      </c>
      <c r="AF213" s="83" t="str">
        <f>REPLACE(INDEX(GroupVertices[Group],MATCH(Edges[[#This Row],[Vertex 1]],GroupVertices[Vertex],0)),1,1,"")</f>
        <v>1</v>
      </c>
      <c r="AG213" s="83" t="str">
        <f>REPLACE(INDEX(GroupVertices[Group],MATCH(Edges[[#This Row],[Vertex 2]],GroupVertices[Vertex],0)),1,1,"")</f>
        <v>1</v>
      </c>
      <c r="AH213" s="111">
        <v>0</v>
      </c>
      <c r="AI213" s="112">
        <v>0</v>
      </c>
      <c r="AJ213" s="111">
        <v>0</v>
      </c>
      <c r="AK213" s="112">
        <v>0</v>
      </c>
      <c r="AL213" s="111">
        <v>0</v>
      </c>
      <c r="AM213" s="112">
        <v>0</v>
      </c>
      <c r="AN213" s="111">
        <v>106</v>
      </c>
      <c r="AO213" s="112">
        <v>100</v>
      </c>
      <c r="AP213" s="111">
        <v>106</v>
      </c>
    </row>
    <row r="214" spans="1:42" ht="15">
      <c r="A214" s="65" t="s">
        <v>489</v>
      </c>
      <c r="B214" s="65" t="s">
        <v>489</v>
      </c>
      <c r="C214" s="66" t="s">
        <v>2944</v>
      </c>
      <c r="D214" s="67">
        <v>5.8</v>
      </c>
      <c r="E214" s="68"/>
      <c r="F214" s="69">
        <v>30</v>
      </c>
      <c r="G214" s="66"/>
      <c r="H214" s="70"/>
      <c r="I214" s="71"/>
      <c r="J214" s="71"/>
      <c r="K214" s="35" t="s">
        <v>65</v>
      </c>
      <c r="L214" s="79">
        <v>214</v>
      </c>
      <c r="M214" s="79"/>
      <c r="N214" s="73"/>
      <c r="O214" s="81" t="s">
        <v>564</v>
      </c>
      <c r="P214" s="81" t="s">
        <v>566</v>
      </c>
      <c r="Q214" s="84" t="s">
        <v>775</v>
      </c>
      <c r="R214" s="81" t="s">
        <v>489</v>
      </c>
      <c r="S214" s="81" t="s">
        <v>1002</v>
      </c>
      <c r="T214" s="86" t="str">
        <f>HYPERLINK("http://www.youtube.com/channel/UCd0sHnrF1NVw90DF39XEKDQ")</f>
        <v>http://www.youtube.com/channel/UCd0sHnrF1NVw90DF39XEKDQ</v>
      </c>
      <c r="U214" s="81" t="s">
        <v>1077</v>
      </c>
      <c r="V214" s="81" t="s">
        <v>1128</v>
      </c>
      <c r="W214" s="86" t="str">
        <f>HYPERLINK("https://www.youtube.com/watch?v=")</f>
        <v>https://www.youtube.com/watch?v=</v>
      </c>
      <c r="X214" s="81" t="s">
        <v>1183</v>
      </c>
      <c r="Y214" s="81">
        <v>0</v>
      </c>
      <c r="Z214" s="88">
        <v>42174.40511574074</v>
      </c>
      <c r="AA214" s="88">
        <v>42174.40511574074</v>
      </c>
      <c r="AB214" s="81"/>
      <c r="AC214" s="81"/>
      <c r="AD214" s="84" t="s">
        <v>1239</v>
      </c>
      <c r="AE214" s="82">
        <v>3</v>
      </c>
      <c r="AF214" s="83" t="str">
        <f>REPLACE(INDEX(GroupVertices[Group],MATCH(Edges[[#This Row],[Vertex 1]],GroupVertices[Vertex],0)),1,1,"")</f>
        <v>1</v>
      </c>
      <c r="AG214" s="83" t="str">
        <f>REPLACE(INDEX(GroupVertices[Group],MATCH(Edges[[#This Row],[Vertex 2]],GroupVertices[Vertex],0)),1,1,"")</f>
        <v>1</v>
      </c>
      <c r="AH214" s="111">
        <v>1</v>
      </c>
      <c r="AI214" s="112">
        <v>4.166666666666667</v>
      </c>
      <c r="AJ214" s="111">
        <v>0</v>
      </c>
      <c r="AK214" s="112">
        <v>0</v>
      </c>
      <c r="AL214" s="111">
        <v>0</v>
      </c>
      <c r="AM214" s="112">
        <v>0</v>
      </c>
      <c r="AN214" s="111">
        <v>23</v>
      </c>
      <c r="AO214" s="112">
        <v>95.83333333333333</v>
      </c>
      <c r="AP214" s="111">
        <v>24</v>
      </c>
    </row>
    <row r="215" spans="1:42" ht="15">
      <c r="A215" s="65" t="s">
        <v>489</v>
      </c>
      <c r="B215" s="65" t="s">
        <v>369</v>
      </c>
      <c r="C215" s="66" t="s">
        <v>2947</v>
      </c>
      <c r="D215" s="67">
        <v>10</v>
      </c>
      <c r="E215" s="68"/>
      <c r="F215" s="69">
        <v>15</v>
      </c>
      <c r="G215" s="66"/>
      <c r="H215" s="70"/>
      <c r="I215" s="71"/>
      <c r="J215" s="71"/>
      <c r="K215" s="35" t="s">
        <v>66</v>
      </c>
      <c r="L215" s="79">
        <v>215</v>
      </c>
      <c r="M215" s="79"/>
      <c r="N215" s="73"/>
      <c r="O215" s="81" t="s">
        <v>563</v>
      </c>
      <c r="P215" s="81" t="s">
        <v>325</v>
      </c>
      <c r="Q215" s="84" t="s">
        <v>776</v>
      </c>
      <c r="R215" s="81" t="s">
        <v>489</v>
      </c>
      <c r="S215" s="81" t="s">
        <v>1002</v>
      </c>
      <c r="T215" s="86" t="str">
        <f>HYPERLINK("http://www.youtube.com/channel/UCd0sHnrF1NVw90DF39XEKDQ")</f>
        <v>http://www.youtube.com/channel/UCd0sHnrF1NVw90DF39XEKDQ</v>
      </c>
      <c r="U215" s="81"/>
      <c r="V215" s="81" t="s">
        <v>1128</v>
      </c>
      <c r="W215" s="86" t="str">
        <f>HYPERLINK("https://www.youtube.com/watch?v=PC-PgkhpsNc")</f>
        <v>https://www.youtube.com/watch?v=PC-PgkhpsNc</v>
      </c>
      <c r="X215" s="81" t="s">
        <v>1183</v>
      </c>
      <c r="Y215" s="81">
        <v>0</v>
      </c>
      <c r="Z215" s="88">
        <v>42172.47415509259</v>
      </c>
      <c r="AA215" s="88">
        <v>42172.47415509259</v>
      </c>
      <c r="AB215" s="81"/>
      <c r="AC215" s="81"/>
      <c r="AD215" s="84" t="s">
        <v>1239</v>
      </c>
      <c r="AE215" s="82">
        <v>7</v>
      </c>
      <c r="AF215" s="83" t="str">
        <f>REPLACE(INDEX(GroupVertices[Group],MATCH(Edges[[#This Row],[Vertex 1]],GroupVertices[Vertex],0)),1,1,"")</f>
        <v>1</v>
      </c>
      <c r="AG215" s="83" t="str">
        <f>REPLACE(INDEX(GroupVertices[Group],MATCH(Edges[[#This Row],[Vertex 2]],GroupVertices[Vertex],0)),1,1,"")</f>
        <v>1</v>
      </c>
      <c r="AH215" s="111">
        <v>0</v>
      </c>
      <c r="AI215" s="112">
        <v>0</v>
      </c>
      <c r="AJ215" s="111">
        <v>0</v>
      </c>
      <c r="AK215" s="112">
        <v>0</v>
      </c>
      <c r="AL215" s="111">
        <v>0</v>
      </c>
      <c r="AM215" s="112">
        <v>0</v>
      </c>
      <c r="AN215" s="111">
        <v>17</v>
      </c>
      <c r="AO215" s="112">
        <v>100</v>
      </c>
      <c r="AP215" s="111">
        <v>17</v>
      </c>
    </row>
    <row r="216" spans="1:42" ht="15">
      <c r="A216" s="65" t="s">
        <v>369</v>
      </c>
      <c r="B216" s="65" t="s">
        <v>489</v>
      </c>
      <c r="C216" s="66" t="s">
        <v>2946</v>
      </c>
      <c r="D216" s="67">
        <v>10</v>
      </c>
      <c r="E216" s="68"/>
      <c r="F216" s="69">
        <v>15</v>
      </c>
      <c r="G216" s="66"/>
      <c r="H216" s="70"/>
      <c r="I216" s="71"/>
      <c r="J216" s="71"/>
      <c r="K216" s="35" t="s">
        <v>66</v>
      </c>
      <c r="L216" s="79">
        <v>216</v>
      </c>
      <c r="M216" s="79"/>
      <c r="N216" s="73"/>
      <c r="O216" s="81" t="s">
        <v>564</v>
      </c>
      <c r="P216" s="81" t="s">
        <v>566</v>
      </c>
      <c r="Q216" s="84" t="s">
        <v>777</v>
      </c>
      <c r="R216" s="81" t="s">
        <v>369</v>
      </c>
      <c r="S216" s="81" t="s">
        <v>882</v>
      </c>
      <c r="T216" s="86" t="str">
        <f>HYPERLINK("http://www.youtube.com/channel/UCerAw4EfTOnYYxLLPZAzMxQ")</f>
        <v>http://www.youtube.com/channel/UCerAw4EfTOnYYxLLPZAzMxQ</v>
      </c>
      <c r="U216" s="81" t="s">
        <v>1078</v>
      </c>
      <c r="V216" s="81" t="s">
        <v>1128</v>
      </c>
      <c r="W216" s="86" t="str">
        <f>HYPERLINK("https://www.youtube.com/watch?v=PC-PgkhpsNc")</f>
        <v>https://www.youtube.com/watch?v=PC-PgkhpsNc</v>
      </c>
      <c r="X216" s="81" t="s">
        <v>1183</v>
      </c>
      <c r="Y216" s="81">
        <v>0</v>
      </c>
      <c r="Z216" s="88">
        <v>42212.6202662037</v>
      </c>
      <c r="AA216" s="88">
        <v>42212.6202662037</v>
      </c>
      <c r="AB216" s="81" t="s">
        <v>1205</v>
      </c>
      <c r="AC216" s="81" t="s">
        <v>1233</v>
      </c>
      <c r="AD216" s="84" t="s">
        <v>1239</v>
      </c>
      <c r="AE216" s="82">
        <v>6</v>
      </c>
      <c r="AF216" s="83" t="str">
        <f>REPLACE(INDEX(GroupVertices[Group],MATCH(Edges[[#This Row],[Vertex 1]],GroupVertices[Vertex],0)),1,1,"")</f>
        <v>1</v>
      </c>
      <c r="AG216" s="83" t="str">
        <f>REPLACE(INDEX(GroupVertices[Group],MATCH(Edges[[#This Row],[Vertex 2]],GroupVertices[Vertex],0)),1,1,"")</f>
        <v>1</v>
      </c>
      <c r="AH216" s="111">
        <v>0</v>
      </c>
      <c r="AI216" s="112">
        <v>0</v>
      </c>
      <c r="AJ216" s="111">
        <v>0</v>
      </c>
      <c r="AK216" s="112">
        <v>0</v>
      </c>
      <c r="AL216" s="111">
        <v>0</v>
      </c>
      <c r="AM216" s="112">
        <v>0</v>
      </c>
      <c r="AN216" s="111">
        <v>143</v>
      </c>
      <c r="AO216" s="112">
        <v>100</v>
      </c>
      <c r="AP216" s="111">
        <v>143</v>
      </c>
    </row>
    <row r="217" spans="1:42" ht="15">
      <c r="A217" s="65" t="s">
        <v>489</v>
      </c>
      <c r="B217" s="65" t="s">
        <v>369</v>
      </c>
      <c r="C217" s="66" t="s">
        <v>2947</v>
      </c>
      <c r="D217" s="67">
        <v>10</v>
      </c>
      <c r="E217" s="68"/>
      <c r="F217" s="69">
        <v>15</v>
      </c>
      <c r="G217" s="66"/>
      <c r="H217" s="70"/>
      <c r="I217" s="71"/>
      <c r="J217" s="71"/>
      <c r="K217" s="35" t="s">
        <v>66</v>
      </c>
      <c r="L217" s="79">
        <v>217</v>
      </c>
      <c r="M217" s="79"/>
      <c r="N217" s="73"/>
      <c r="O217" s="81" t="s">
        <v>563</v>
      </c>
      <c r="P217" s="81" t="s">
        <v>325</v>
      </c>
      <c r="Q217" s="84" t="s">
        <v>778</v>
      </c>
      <c r="R217" s="81" t="s">
        <v>489</v>
      </c>
      <c r="S217" s="81" t="s">
        <v>1002</v>
      </c>
      <c r="T217" s="86" t="str">
        <f>HYPERLINK("http://www.youtube.com/channel/UCd0sHnrF1NVw90DF39XEKDQ")</f>
        <v>http://www.youtube.com/channel/UCd0sHnrF1NVw90DF39XEKDQ</v>
      </c>
      <c r="U217" s="81"/>
      <c r="V217" s="81" t="s">
        <v>1128</v>
      </c>
      <c r="W217" s="86" t="str">
        <f>HYPERLINK("https://www.youtube.com/watch?v=PC-PgkhpsNc")</f>
        <v>https://www.youtube.com/watch?v=PC-PgkhpsNc</v>
      </c>
      <c r="X217" s="81" t="s">
        <v>1183</v>
      </c>
      <c r="Y217" s="81">
        <v>0</v>
      </c>
      <c r="Z217" s="88">
        <v>42212.583090277774</v>
      </c>
      <c r="AA217" s="88">
        <v>42212.583090277774</v>
      </c>
      <c r="AB217" s="81"/>
      <c r="AC217" s="81"/>
      <c r="AD217" s="84" t="s">
        <v>1239</v>
      </c>
      <c r="AE217" s="82">
        <v>7</v>
      </c>
      <c r="AF217" s="83" t="str">
        <f>REPLACE(INDEX(GroupVertices[Group],MATCH(Edges[[#This Row],[Vertex 1]],GroupVertices[Vertex],0)),1,1,"")</f>
        <v>1</v>
      </c>
      <c r="AG217" s="83" t="str">
        <f>REPLACE(INDEX(GroupVertices[Group],MATCH(Edges[[#This Row],[Vertex 2]],GroupVertices[Vertex],0)),1,1,"")</f>
        <v>1</v>
      </c>
      <c r="AH217" s="111">
        <v>0</v>
      </c>
      <c r="AI217" s="112">
        <v>0</v>
      </c>
      <c r="AJ217" s="111">
        <v>0</v>
      </c>
      <c r="AK217" s="112">
        <v>0</v>
      </c>
      <c r="AL217" s="111">
        <v>0</v>
      </c>
      <c r="AM217" s="112">
        <v>0</v>
      </c>
      <c r="AN217" s="111">
        <v>43</v>
      </c>
      <c r="AO217" s="112">
        <v>100</v>
      </c>
      <c r="AP217" s="111">
        <v>43</v>
      </c>
    </row>
    <row r="218" spans="1:42" ht="15">
      <c r="A218" s="65" t="s">
        <v>489</v>
      </c>
      <c r="B218" s="65" t="s">
        <v>369</v>
      </c>
      <c r="C218" s="66" t="s">
        <v>2947</v>
      </c>
      <c r="D218" s="67">
        <v>10</v>
      </c>
      <c r="E218" s="68"/>
      <c r="F218" s="69">
        <v>15</v>
      </c>
      <c r="G218" s="66"/>
      <c r="H218" s="70"/>
      <c r="I218" s="71"/>
      <c r="J218" s="71"/>
      <c r="K218" s="35" t="s">
        <v>66</v>
      </c>
      <c r="L218" s="79">
        <v>218</v>
      </c>
      <c r="M218" s="79"/>
      <c r="N218" s="73"/>
      <c r="O218" s="81" t="s">
        <v>563</v>
      </c>
      <c r="P218" s="81" t="s">
        <v>325</v>
      </c>
      <c r="Q218" s="84" t="s">
        <v>779</v>
      </c>
      <c r="R218" s="81" t="s">
        <v>489</v>
      </c>
      <c r="S218" s="81" t="s">
        <v>1002</v>
      </c>
      <c r="T218" s="86" t="str">
        <f>HYPERLINK("http://www.youtube.com/channel/UCd0sHnrF1NVw90DF39XEKDQ")</f>
        <v>http://www.youtube.com/channel/UCd0sHnrF1NVw90DF39XEKDQ</v>
      </c>
      <c r="U218" s="81"/>
      <c r="V218" s="81" t="s">
        <v>1128</v>
      </c>
      <c r="W218" s="86" t="str">
        <f>HYPERLINK("https://www.youtube.com/watch?v=PC-PgkhpsNc")</f>
        <v>https://www.youtube.com/watch?v=PC-PgkhpsNc</v>
      </c>
      <c r="X218" s="81" t="s">
        <v>1183</v>
      </c>
      <c r="Y218" s="81">
        <v>0</v>
      </c>
      <c r="Z218" s="88">
        <v>42213.397256944445</v>
      </c>
      <c r="AA218" s="88">
        <v>42213.397256944445</v>
      </c>
      <c r="AB218" s="81" t="s">
        <v>1206</v>
      </c>
      <c r="AC218" s="81" t="s">
        <v>1220</v>
      </c>
      <c r="AD218" s="84" t="s">
        <v>1239</v>
      </c>
      <c r="AE218" s="82">
        <v>7</v>
      </c>
      <c r="AF218" s="83" t="str">
        <f>REPLACE(INDEX(GroupVertices[Group],MATCH(Edges[[#This Row],[Vertex 1]],GroupVertices[Vertex],0)),1,1,"")</f>
        <v>1</v>
      </c>
      <c r="AG218" s="83" t="str">
        <f>REPLACE(INDEX(GroupVertices[Group],MATCH(Edges[[#This Row],[Vertex 2]],GroupVertices[Vertex],0)),1,1,"")</f>
        <v>1</v>
      </c>
      <c r="AH218" s="111">
        <v>3</v>
      </c>
      <c r="AI218" s="112">
        <v>2.8846153846153846</v>
      </c>
      <c r="AJ218" s="111">
        <v>0</v>
      </c>
      <c r="AK218" s="112">
        <v>0</v>
      </c>
      <c r="AL218" s="111">
        <v>0</v>
      </c>
      <c r="AM218" s="112">
        <v>0</v>
      </c>
      <c r="AN218" s="111">
        <v>101</v>
      </c>
      <c r="AO218" s="112">
        <v>97.11538461538461</v>
      </c>
      <c r="AP218" s="111">
        <v>104</v>
      </c>
    </row>
    <row r="219" spans="1:42" ht="15">
      <c r="A219" s="65" t="s">
        <v>369</v>
      </c>
      <c r="B219" s="65" t="s">
        <v>490</v>
      </c>
      <c r="C219" s="66" t="s">
        <v>2942</v>
      </c>
      <c r="D219" s="67">
        <v>3</v>
      </c>
      <c r="E219" s="68"/>
      <c r="F219" s="69">
        <v>40</v>
      </c>
      <c r="G219" s="66"/>
      <c r="H219" s="70"/>
      <c r="I219" s="71"/>
      <c r="J219" s="71"/>
      <c r="K219" s="35" t="s">
        <v>66</v>
      </c>
      <c r="L219" s="79">
        <v>219</v>
      </c>
      <c r="M219" s="79"/>
      <c r="N219" s="73"/>
      <c r="O219" s="81" t="s">
        <v>564</v>
      </c>
      <c r="P219" s="81" t="s">
        <v>566</v>
      </c>
      <c r="Q219" s="84" t="s">
        <v>780</v>
      </c>
      <c r="R219" s="81" t="s">
        <v>369</v>
      </c>
      <c r="S219" s="81" t="s">
        <v>882</v>
      </c>
      <c r="T219" s="86" t="str">
        <f>HYPERLINK("http://www.youtube.com/channel/UCerAw4EfTOnYYxLLPZAzMxQ")</f>
        <v>http://www.youtube.com/channel/UCerAw4EfTOnYYxLLPZAzMxQ</v>
      </c>
      <c r="U219" s="81" t="s">
        <v>1079</v>
      </c>
      <c r="V219" s="81" t="s">
        <v>1128</v>
      </c>
      <c r="W219" s="86" t="str">
        <f>HYPERLINK("https://www.youtube.com/watch?v=PC-PgkhpsNc")</f>
        <v>https://www.youtube.com/watch?v=PC-PgkhpsNc</v>
      </c>
      <c r="X219" s="81" t="s">
        <v>1183</v>
      </c>
      <c r="Y219" s="81">
        <v>0</v>
      </c>
      <c r="Z219" s="88">
        <v>42452.48038194444</v>
      </c>
      <c r="AA219" s="88">
        <v>42452.48038194444</v>
      </c>
      <c r="AB219" s="81"/>
      <c r="AC219" s="81"/>
      <c r="AD219" s="84" t="s">
        <v>1239</v>
      </c>
      <c r="AE219" s="82">
        <v>1</v>
      </c>
      <c r="AF219" s="83" t="str">
        <f>REPLACE(INDEX(GroupVertices[Group],MATCH(Edges[[#This Row],[Vertex 1]],GroupVertices[Vertex],0)),1,1,"")</f>
        <v>1</v>
      </c>
      <c r="AG219" s="83" t="str">
        <f>REPLACE(INDEX(GroupVertices[Group],MATCH(Edges[[#This Row],[Vertex 2]],GroupVertices[Vertex],0)),1,1,"")</f>
        <v>1</v>
      </c>
      <c r="AH219" s="111">
        <v>1</v>
      </c>
      <c r="AI219" s="112">
        <v>1.3157894736842106</v>
      </c>
      <c r="AJ219" s="111">
        <v>0</v>
      </c>
      <c r="AK219" s="112">
        <v>0</v>
      </c>
      <c r="AL219" s="111">
        <v>0</v>
      </c>
      <c r="AM219" s="112">
        <v>0</v>
      </c>
      <c r="AN219" s="111">
        <v>75</v>
      </c>
      <c r="AO219" s="112">
        <v>98.6842105263158</v>
      </c>
      <c r="AP219" s="111">
        <v>76</v>
      </c>
    </row>
    <row r="220" spans="1:42" ht="15">
      <c r="A220" s="65" t="s">
        <v>490</v>
      </c>
      <c r="B220" s="65" t="s">
        <v>490</v>
      </c>
      <c r="C220" s="66" t="s">
        <v>2942</v>
      </c>
      <c r="D220" s="67">
        <v>3</v>
      </c>
      <c r="E220" s="68"/>
      <c r="F220" s="69">
        <v>40</v>
      </c>
      <c r="G220" s="66"/>
      <c r="H220" s="70"/>
      <c r="I220" s="71"/>
      <c r="J220" s="71"/>
      <c r="K220" s="35" t="s">
        <v>65</v>
      </c>
      <c r="L220" s="79">
        <v>220</v>
      </c>
      <c r="M220" s="79"/>
      <c r="N220" s="73"/>
      <c r="O220" s="81" t="s">
        <v>564</v>
      </c>
      <c r="P220" s="81" t="s">
        <v>566</v>
      </c>
      <c r="Q220" s="84" t="s">
        <v>781</v>
      </c>
      <c r="R220" s="81" t="s">
        <v>490</v>
      </c>
      <c r="S220" s="81" t="s">
        <v>1003</v>
      </c>
      <c r="T220" s="86" t="str">
        <f>HYPERLINK("http://www.youtube.com/channel/UC9AMcBHhYQKbFy83LwC70Fg")</f>
        <v>http://www.youtube.com/channel/UC9AMcBHhYQKbFy83LwC70Fg</v>
      </c>
      <c r="U220" s="81" t="s">
        <v>1079</v>
      </c>
      <c r="V220" s="81" t="s">
        <v>1128</v>
      </c>
      <c r="W220" s="86" t="str">
        <f>HYPERLINK("https://www.youtube.com/watch?v=PC-PgkhpsNc")</f>
        <v>https://www.youtube.com/watch?v=PC-PgkhpsNc</v>
      </c>
      <c r="X220" s="81" t="s">
        <v>1183</v>
      </c>
      <c r="Y220" s="81">
        <v>0</v>
      </c>
      <c r="Z220" s="88">
        <v>42452.876909722225</v>
      </c>
      <c r="AA220" s="88">
        <v>42452.876909722225</v>
      </c>
      <c r="AB220" s="81"/>
      <c r="AC220" s="81"/>
      <c r="AD220" s="84" t="s">
        <v>1239</v>
      </c>
      <c r="AE220" s="82">
        <v>1</v>
      </c>
      <c r="AF220" s="83" t="str">
        <f>REPLACE(INDEX(GroupVertices[Group],MATCH(Edges[[#This Row],[Vertex 1]],GroupVertices[Vertex],0)),1,1,"")</f>
        <v>1</v>
      </c>
      <c r="AG220" s="83" t="str">
        <f>REPLACE(INDEX(GroupVertices[Group],MATCH(Edges[[#This Row],[Vertex 2]],GroupVertices[Vertex],0)),1,1,"")</f>
        <v>1</v>
      </c>
      <c r="AH220" s="111">
        <v>1</v>
      </c>
      <c r="AI220" s="112">
        <v>4</v>
      </c>
      <c r="AJ220" s="111">
        <v>2</v>
      </c>
      <c r="AK220" s="112">
        <v>8</v>
      </c>
      <c r="AL220" s="111">
        <v>0</v>
      </c>
      <c r="AM220" s="112">
        <v>0</v>
      </c>
      <c r="AN220" s="111">
        <v>22</v>
      </c>
      <c r="AO220" s="112">
        <v>88</v>
      </c>
      <c r="AP220" s="111">
        <v>25</v>
      </c>
    </row>
    <row r="221" spans="1:42" ht="15">
      <c r="A221" s="65" t="s">
        <v>490</v>
      </c>
      <c r="B221" s="65" t="s">
        <v>369</v>
      </c>
      <c r="C221" s="66" t="s">
        <v>2942</v>
      </c>
      <c r="D221" s="67">
        <v>3</v>
      </c>
      <c r="E221" s="68"/>
      <c r="F221" s="69">
        <v>40</v>
      </c>
      <c r="G221" s="66"/>
      <c r="H221" s="70"/>
      <c r="I221" s="71"/>
      <c r="J221" s="71"/>
      <c r="K221" s="35" t="s">
        <v>66</v>
      </c>
      <c r="L221" s="79">
        <v>221</v>
      </c>
      <c r="M221" s="79"/>
      <c r="N221" s="73"/>
      <c r="O221" s="81" t="s">
        <v>563</v>
      </c>
      <c r="P221" s="81" t="s">
        <v>325</v>
      </c>
      <c r="Q221" s="84" t="s">
        <v>782</v>
      </c>
      <c r="R221" s="81" t="s">
        <v>490</v>
      </c>
      <c r="S221" s="81" t="s">
        <v>1003</v>
      </c>
      <c r="T221" s="86" t="str">
        <f>HYPERLINK("http://www.youtube.com/channel/UC9AMcBHhYQKbFy83LwC70Fg")</f>
        <v>http://www.youtube.com/channel/UC9AMcBHhYQKbFy83LwC70Fg</v>
      </c>
      <c r="U221" s="81"/>
      <c r="V221" s="81" t="s">
        <v>1128</v>
      </c>
      <c r="W221" s="86" t="str">
        <f>HYPERLINK("https://www.youtube.com/watch?v=PC-PgkhpsNc")</f>
        <v>https://www.youtube.com/watch?v=PC-PgkhpsNc</v>
      </c>
      <c r="X221" s="81" t="s">
        <v>1183</v>
      </c>
      <c r="Y221" s="81">
        <v>0</v>
      </c>
      <c r="Z221" s="88">
        <v>42452.158738425926</v>
      </c>
      <c r="AA221" s="88">
        <v>42452.158738425926</v>
      </c>
      <c r="AB221" s="81"/>
      <c r="AC221" s="81"/>
      <c r="AD221" s="84" t="s">
        <v>1239</v>
      </c>
      <c r="AE221" s="82">
        <v>1</v>
      </c>
      <c r="AF221" s="83" t="str">
        <f>REPLACE(INDEX(GroupVertices[Group],MATCH(Edges[[#This Row],[Vertex 1]],GroupVertices[Vertex],0)),1,1,"")</f>
        <v>1</v>
      </c>
      <c r="AG221" s="83" t="str">
        <f>REPLACE(INDEX(GroupVertices[Group],MATCH(Edges[[#This Row],[Vertex 2]],GroupVertices[Vertex],0)),1,1,"")</f>
        <v>1</v>
      </c>
      <c r="AH221" s="111">
        <v>1</v>
      </c>
      <c r="AI221" s="112">
        <v>1</v>
      </c>
      <c r="AJ221" s="111">
        <v>2</v>
      </c>
      <c r="AK221" s="112">
        <v>2</v>
      </c>
      <c r="AL221" s="111">
        <v>0</v>
      </c>
      <c r="AM221" s="112">
        <v>0</v>
      </c>
      <c r="AN221" s="111">
        <v>97</v>
      </c>
      <c r="AO221" s="112">
        <v>97</v>
      </c>
      <c r="AP221" s="111">
        <v>100</v>
      </c>
    </row>
    <row r="222" spans="1:42" ht="15">
      <c r="A222" s="65" t="s">
        <v>369</v>
      </c>
      <c r="B222" s="65" t="s">
        <v>491</v>
      </c>
      <c r="C222" s="66" t="s">
        <v>2943</v>
      </c>
      <c r="D222" s="67">
        <v>4.4</v>
      </c>
      <c r="E222" s="68"/>
      <c r="F222" s="69">
        <v>35</v>
      </c>
      <c r="G222" s="66"/>
      <c r="H222" s="70"/>
      <c r="I222" s="71"/>
      <c r="J222" s="71"/>
      <c r="K222" s="35" t="s">
        <v>66</v>
      </c>
      <c r="L222" s="79">
        <v>222</v>
      </c>
      <c r="M222" s="79"/>
      <c r="N222" s="73"/>
      <c r="O222" s="81" t="s">
        <v>564</v>
      </c>
      <c r="P222" s="81" t="s">
        <v>566</v>
      </c>
      <c r="Q222" s="84" t="s">
        <v>783</v>
      </c>
      <c r="R222" s="81" t="s">
        <v>369</v>
      </c>
      <c r="S222" s="81" t="s">
        <v>882</v>
      </c>
      <c r="T222" s="86" t="str">
        <f>HYPERLINK("http://www.youtube.com/channel/UCerAw4EfTOnYYxLLPZAzMxQ")</f>
        <v>http://www.youtube.com/channel/UCerAw4EfTOnYYxLLPZAzMxQ</v>
      </c>
      <c r="U222" s="81" t="s">
        <v>1080</v>
      </c>
      <c r="V222" s="81" t="s">
        <v>1128</v>
      </c>
      <c r="W222" s="86" t="str">
        <f>HYPERLINK("https://www.youtube.com/watch?v=PC-PgkhpsNc")</f>
        <v>https://www.youtube.com/watch?v=PC-PgkhpsNc</v>
      </c>
      <c r="X222" s="81" t="s">
        <v>1183</v>
      </c>
      <c r="Y222" s="81">
        <v>0</v>
      </c>
      <c r="Z222" s="88">
        <v>42499.965775462966</v>
      </c>
      <c r="AA222" s="88">
        <v>42499.965775462966</v>
      </c>
      <c r="AB222" s="81"/>
      <c r="AC222" s="81"/>
      <c r="AD222" s="84" t="s">
        <v>1239</v>
      </c>
      <c r="AE222" s="82">
        <v>2</v>
      </c>
      <c r="AF222" s="83" t="str">
        <f>REPLACE(INDEX(GroupVertices[Group],MATCH(Edges[[#This Row],[Vertex 1]],GroupVertices[Vertex],0)),1,1,"")</f>
        <v>1</v>
      </c>
      <c r="AG222" s="83" t="str">
        <f>REPLACE(INDEX(GroupVertices[Group],MATCH(Edges[[#This Row],[Vertex 2]],GroupVertices[Vertex],0)),1,1,"")</f>
        <v>1</v>
      </c>
      <c r="AH222" s="111">
        <v>1</v>
      </c>
      <c r="AI222" s="112">
        <v>2.7027027027027026</v>
      </c>
      <c r="AJ222" s="111">
        <v>4</v>
      </c>
      <c r="AK222" s="112">
        <v>10.81081081081081</v>
      </c>
      <c r="AL222" s="111">
        <v>0</v>
      </c>
      <c r="AM222" s="112">
        <v>0</v>
      </c>
      <c r="AN222" s="111">
        <v>32</v>
      </c>
      <c r="AO222" s="112">
        <v>86.48648648648648</v>
      </c>
      <c r="AP222" s="111">
        <v>37</v>
      </c>
    </row>
    <row r="223" spans="1:42" ht="15">
      <c r="A223" s="65" t="s">
        <v>491</v>
      </c>
      <c r="B223" s="65" t="s">
        <v>491</v>
      </c>
      <c r="C223" s="66" t="s">
        <v>2942</v>
      </c>
      <c r="D223" s="67">
        <v>3</v>
      </c>
      <c r="E223" s="68"/>
      <c r="F223" s="69">
        <v>40</v>
      </c>
      <c r="G223" s="66"/>
      <c r="H223" s="70"/>
      <c r="I223" s="71"/>
      <c r="J223" s="71"/>
      <c r="K223" s="35" t="s">
        <v>65</v>
      </c>
      <c r="L223" s="79">
        <v>223</v>
      </c>
      <c r="M223" s="79"/>
      <c r="N223" s="73"/>
      <c r="O223" s="81" t="s">
        <v>564</v>
      </c>
      <c r="P223" s="81" t="s">
        <v>566</v>
      </c>
      <c r="Q223" s="84" t="s">
        <v>784</v>
      </c>
      <c r="R223" s="81" t="s">
        <v>491</v>
      </c>
      <c r="S223" s="81" t="s">
        <v>1004</v>
      </c>
      <c r="T223" s="86" t="str">
        <f>HYPERLINK("http://www.youtube.com/channel/UCQm-eZonEALK3soY6l1QuCA")</f>
        <v>http://www.youtube.com/channel/UCQm-eZonEALK3soY6l1QuCA</v>
      </c>
      <c r="U223" s="81" t="s">
        <v>1080</v>
      </c>
      <c r="V223" s="81" t="s">
        <v>1128</v>
      </c>
      <c r="W223" s="86" t="str">
        <f>HYPERLINK("https://www.youtube.com/watch?v=PC-PgkhpsNc")</f>
        <v>https://www.youtube.com/watch?v=PC-PgkhpsNc</v>
      </c>
      <c r="X223" s="81" t="s">
        <v>1183</v>
      </c>
      <c r="Y223" s="81">
        <v>0</v>
      </c>
      <c r="Z223" s="88">
        <v>42501.78269675926</v>
      </c>
      <c r="AA223" s="88">
        <v>42501.78269675926</v>
      </c>
      <c r="AB223" s="81"/>
      <c r="AC223" s="81"/>
      <c r="AD223" s="84" t="s">
        <v>1239</v>
      </c>
      <c r="AE223" s="82">
        <v>1</v>
      </c>
      <c r="AF223" s="83" t="str">
        <f>REPLACE(INDEX(GroupVertices[Group],MATCH(Edges[[#This Row],[Vertex 1]],GroupVertices[Vertex],0)),1,1,"")</f>
        <v>1</v>
      </c>
      <c r="AG223" s="83" t="str">
        <f>REPLACE(INDEX(GroupVertices[Group],MATCH(Edges[[#This Row],[Vertex 2]],GroupVertices[Vertex],0)),1,1,"")</f>
        <v>1</v>
      </c>
      <c r="AH223" s="111">
        <v>3</v>
      </c>
      <c r="AI223" s="112">
        <v>4.3478260869565215</v>
      </c>
      <c r="AJ223" s="111">
        <v>1</v>
      </c>
      <c r="AK223" s="112">
        <v>1.4492753623188406</v>
      </c>
      <c r="AL223" s="111">
        <v>0</v>
      </c>
      <c r="AM223" s="112">
        <v>0</v>
      </c>
      <c r="AN223" s="111">
        <v>65</v>
      </c>
      <c r="AO223" s="112">
        <v>94.20289855072464</v>
      </c>
      <c r="AP223" s="111">
        <v>69</v>
      </c>
    </row>
    <row r="224" spans="1:42" ht="15">
      <c r="A224" s="65" t="s">
        <v>369</v>
      </c>
      <c r="B224" s="65" t="s">
        <v>491</v>
      </c>
      <c r="C224" s="66" t="s">
        <v>2943</v>
      </c>
      <c r="D224" s="67">
        <v>4.4</v>
      </c>
      <c r="E224" s="68"/>
      <c r="F224" s="69">
        <v>35</v>
      </c>
      <c r="G224" s="66"/>
      <c r="H224" s="70"/>
      <c r="I224" s="71"/>
      <c r="J224" s="71"/>
      <c r="K224" s="35" t="s">
        <v>66</v>
      </c>
      <c r="L224" s="79">
        <v>224</v>
      </c>
      <c r="M224" s="79"/>
      <c r="N224" s="73"/>
      <c r="O224" s="81" t="s">
        <v>564</v>
      </c>
      <c r="P224" s="81" t="s">
        <v>566</v>
      </c>
      <c r="Q224" s="84" t="s">
        <v>785</v>
      </c>
      <c r="R224" s="81" t="s">
        <v>369</v>
      </c>
      <c r="S224" s="81" t="s">
        <v>882</v>
      </c>
      <c r="T224" s="86" t="str">
        <f>HYPERLINK("http://www.youtube.com/channel/UCerAw4EfTOnYYxLLPZAzMxQ")</f>
        <v>http://www.youtube.com/channel/UCerAw4EfTOnYYxLLPZAzMxQ</v>
      </c>
      <c r="U224" s="81" t="s">
        <v>1080</v>
      </c>
      <c r="V224" s="81" t="s">
        <v>1128</v>
      </c>
      <c r="W224" s="86" t="str">
        <f>HYPERLINK("https://www.youtube.com/watch?v=PC-PgkhpsNc")</f>
        <v>https://www.youtube.com/watch?v=PC-PgkhpsNc</v>
      </c>
      <c r="X224" s="81" t="s">
        <v>1183</v>
      </c>
      <c r="Y224" s="81">
        <v>0</v>
      </c>
      <c r="Z224" s="88">
        <v>42502.09976851852</v>
      </c>
      <c r="AA224" s="88">
        <v>42502.09976851852</v>
      </c>
      <c r="AB224" s="81"/>
      <c r="AC224" s="81"/>
      <c r="AD224" s="84" t="s">
        <v>1239</v>
      </c>
      <c r="AE224" s="82">
        <v>2</v>
      </c>
      <c r="AF224" s="83" t="str">
        <f>REPLACE(INDEX(GroupVertices[Group],MATCH(Edges[[#This Row],[Vertex 1]],GroupVertices[Vertex],0)),1,1,"")</f>
        <v>1</v>
      </c>
      <c r="AG224" s="83" t="str">
        <f>REPLACE(INDEX(GroupVertices[Group],MATCH(Edges[[#This Row],[Vertex 2]],GroupVertices[Vertex],0)),1,1,"")</f>
        <v>1</v>
      </c>
      <c r="AH224" s="111">
        <v>0</v>
      </c>
      <c r="AI224" s="112">
        <v>0</v>
      </c>
      <c r="AJ224" s="111">
        <v>3</v>
      </c>
      <c r="AK224" s="112">
        <v>4.838709677419355</v>
      </c>
      <c r="AL224" s="111">
        <v>0</v>
      </c>
      <c r="AM224" s="112">
        <v>0</v>
      </c>
      <c r="AN224" s="111">
        <v>59</v>
      </c>
      <c r="AO224" s="112">
        <v>95.16129032258064</v>
      </c>
      <c r="AP224" s="111">
        <v>62</v>
      </c>
    </row>
    <row r="225" spans="1:42" ht="15">
      <c r="A225" s="65" t="s">
        <v>491</v>
      </c>
      <c r="B225" s="65" t="s">
        <v>369</v>
      </c>
      <c r="C225" s="66" t="s">
        <v>2942</v>
      </c>
      <c r="D225" s="67">
        <v>3</v>
      </c>
      <c r="E225" s="68"/>
      <c r="F225" s="69">
        <v>40</v>
      </c>
      <c r="G225" s="66"/>
      <c r="H225" s="70"/>
      <c r="I225" s="71"/>
      <c r="J225" s="71"/>
      <c r="K225" s="35" t="s">
        <v>66</v>
      </c>
      <c r="L225" s="79">
        <v>225</v>
      </c>
      <c r="M225" s="79"/>
      <c r="N225" s="73"/>
      <c r="O225" s="81" t="s">
        <v>563</v>
      </c>
      <c r="P225" s="81" t="s">
        <v>325</v>
      </c>
      <c r="Q225" s="84" t="s">
        <v>786</v>
      </c>
      <c r="R225" s="81" t="s">
        <v>491</v>
      </c>
      <c r="S225" s="81" t="s">
        <v>1004</v>
      </c>
      <c r="T225" s="86" t="str">
        <f>HYPERLINK("http://www.youtube.com/channel/UCQm-eZonEALK3soY6l1QuCA")</f>
        <v>http://www.youtube.com/channel/UCQm-eZonEALK3soY6l1QuCA</v>
      </c>
      <c r="U225" s="81"/>
      <c r="V225" s="81" t="s">
        <v>1128</v>
      </c>
      <c r="W225" s="86" t="str">
        <f>HYPERLINK("https://www.youtube.com/watch?v=PC-PgkhpsNc")</f>
        <v>https://www.youtube.com/watch?v=PC-PgkhpsNc</v>
      </c>
      <c r="X225" s="81" t="s">
        <v>1183</v>
      </c>
      <c r="Y225" s="81">
        <v>0</v>
      </c>
      <c r="Z225" s="88">
        <v>42499.931608796294</v>
      </c>
      <c r="AA225" s="88">
        <v>42499.931608796294</v>
      </c>
      <c r="AB225" s="81"/>
      <c r="AC225" s="81"/>
      <c r="AD225" s="84" t="s">
        <v>1239</v>
      </c>
      <c r="AE225" s="82">
        <v>1</v>
      </c>
      <c r="AF225" s="83" t="str">
        <f>REPLACE(INDEX(GroupVertices[Group],MATCH(Edges[[#This Row],[Vertex 1]],GroupVertices[Vertex],0)),1,1,"")</f>
        <v>1</v>
      </c>
      <c r="AG225" s="83" t="str">
        <f>REPLACE(INDEX(GroupVertices[Group],MATCH(Edges[[#This Row],[Vertex 2]],GroupVertices[Vertex],0)),1,1,"")</f>
        <v>1</v>
      </c>
      <c r="AH225" s="111">
        <v>2</v>
      </c>
      <c r="AI225" s="112">
        <v>3.1746031746031744</v>
      </c>
      <c r="AJ225" s="111">
        <v>1</v>
      </c>
      <c r="AK225" s="112">
        <v>1.5873015873015872</v>
      </c>
      <c r="AL225" s="111">
        <v>0</v>
      </c>
      <c r="AM225" s="112">
        <v>0</v>
      </c>
      <c r="AN225" s="111">
        <v>60</v>
      </c>
      <c r="AO225" s="112">
        <v>95.23809523809524</v>
      </c>
      <c r="AP225" s="111">
        <v>63</v>
      </c>
    </row>
    <row r="226" spans="1:42" ht="15">
      <c r="A226" s="65" t="s">
        <v>492</v>
      </c>
      <c r="B226" s="65" t="s">
        <v>493</v>
      </c>
      <c r="C226" s="66" t="s">
        <v>2942</v>
      </c>
      <c r="D226" s="67">
        <v>3</v>
      </c>
      <c r="E226" s="68"/>
      <c r="F226" s="69">
        <v>40</v>
      </c>
      <c r="G226" s="66"/>
      <c r="H226" s="70"/>
      <c r="I226" s="71"/>
      <c r="J226" s="71"/>
      <c r="K226" s="35" t="s">
        <v>65</v>
      </c>
      <c r="L226" s="79">
        <v>226</v>
      </c>
      <c r="M226" s="79"/>
      <c r="N226" s="73"/>
      <c r="O226" s="81" t="s">
        <v>564</v>
      </c>
      <c r="P226" s="81" t="s">
        <v>566</v>
      </c>
      <c r="Q226" s="84" t="s">
        <v>787</v>
      </c>
      <c r="R226" s="81" t="s">
        <v>492</v>
      </c>
      <c r="S226" s="81" t="s">
        <v>1005</v>
      </c>
      <c r="T226" s="86" t="str">
        <f>HYPERLINK("http://www.youtube.com/channel/UCgeaB9V_kFKh-hU_yGjNvjw")</f>
        <v>http://www.youtube.com/channel/UCgeaB9V_kFKh-hU_yGjNvjw</v>
      </c>
      <c r="U226" s="81" t="s">
        <v>1081</v>
      </c>
      <c r="V226" s="81" t="s">
        <v>1128</v>
      </c>
      <c r="W226" s="86" t="str">
        <f>HYPERLINK("https://www.youtube.com/watch?v=PC-PgkhpsNc")</f>
        <v>https://www.youtube.com/watch?v=PC-PgkhpsNc</v>
      </c>
      <c r="X226" s="81" t="s">
        <v>1183</v>
      </c>
      <c r="Y226" s="81">
        <v>0</v>
      </c>
      <c r="Z226" s="88">
        <v>43272.65091435185</v>
      </c>
      <c r="AA226" s="88">
        <v>43272.65091435185</v>
      </c>
      <c r="AB226" s="81"/>
      <c r="AC226" s="81"/>
      <c r="AD226" s="84" t="s">
        <v>1239</v>
      </c>
      <c r="AE226" s="82">
        <v>1</v>
      </c>
      <c r="AF226" s="83" t="str">
        <f>REPLACE(INDEX(GroupVertices[Group],MATCH(Edges[[#This Row],[Vertex 1]],GroupVertices[Vertex],0)),1,1,"")</f>
        <v>1</v>
      </c>
      <c r="AG226" s="83" t="str">
        <f>REPLACE(INDEX(GroupVertices[Group],MATCH(Edges[[#This Row],[Vertex 2]],GroupVertices[Vertex],0)),1,1,"")</f>
        <v>1</v>
      </c>
      <c r="AH226" s="111">
        <v>1</v>
      </c>
      <c r="AI226" s="112">
        <v>2.3255813953488373</v>
      </c>
      <c r="AJ226" s="111">
        <v>0</v>
      </c>
      <c r="AK226" s="112">
        <v>0</v>
      </c>
      <c r="AL226" s="111">
        <v>0</v>
      </c>
      <c r="AM226" s="112">
        <v>0</v>
      </c>
      <c r="AN226" s="111">
        <v>42</v>
      </c>
      <c r="AO226" s="112">
        <v>97.67441860465117</v>
      </c>
      <c r="AP226" s="111">
        <v>43</v>
      </c>
    </row>
    <row r="227" spans="1:42" ht="15">
      <c r="A227" s="65" t="s">
        <v>493</v>
      </c>
      <c r="B227" s="65" t="s">
        <v>369</v>
      </c>
      <c r="C227" s="66" t="s">
        <v>2942</v>
      </c>
      <c r="D227" s="67">
        <v>3</v>
      </c>
      <c r="E227" s="68"/>
      <c r="F227" s="69">
        <v>40</v>
      </c>
      <c r="G227" s="66"/>
      <c r="H227" s="70"/>
      <c r="I227" s="71"/>
      <c r="J227" s="71"/>
      <c r="K227" s="35" t="s">
        <v>65</v>
      </c>
      <c r="L227" s="79">
        <v>227</v>
      </c>
      <c r="M227" s="79"/>
      <c r="N227" s="73"/>
      <c r="O227" s="81" t="s">
        <v>563</v>
      </c>
      <c r="P227" s="81" t="s">
        <v>325</v>
      </c>
      <c r="Q227" s="84" t="s">
        <v>788</v>
      </c>
      <c r="R227" s="81" t="s">
        <v>493</v>
      </c>
      <c r="S227" s="81" t="s">
        <v>1006</v>
      </c>
      <c r="T227" s="86" t="str">
        <f>HYPERLINK("http://www.youtube.com/channel/UCPvkSOa9uU8mqNMYuGeYq1w")</f>
        <v>http://www.youtube.com/channel/UCPvkSOa9uU8mqNMYuGeYq1w</v>
      </c>
      <c r="U227" s="81"/>
      <c r="V227" s="81" t="s">
        <v>1128</v>
      </c>
      <c r="W227" s="86" t="str">
        <f>HYPERLINK("https://www.youtube.com/watch?v=PC-PgkhpsNc")</f>
        <v>https://www.youtube.com/watch?v=PC-PgkhpsNc</v>
      </c>
      <c r="X227" s="81" t="s">
        <v>1183</v>
      </c>
      <c r="Y227" s="81">
        <v>0</v>
      </c>
      <c r="Z227" s="88">
        <v>42557.69296296296</v>
      </c>
      <c r="AA227" s="88">
        <v>42557.69296296296</v>
      </c>
      <c r="AB227" s="81"/>
      <c r="AC227" s="81"/>
      <c r="AD227" s="84" t="s">
        <v>1239</v>
      </c>
      <c r="AE227" s="82">
        <v>1</v>
      </c>
      <c r="AF227" s="83" t="str">
        <f>REPLACE(INDEX(GroupVertices[Group],MATCH(Edges[[#This Row],[Vertex 1]],GroupVertices[Vertex],0)),1,1,"")</f>
        <v>1</v>
      </c>
      <c r="AG227" s="83" t="str">
        <f>REPLACE(INDEX(GroupVertices[Group],MATCH(Edges[[#This Row],[Vertex 2]],GroupVertices[Vertex],0)),1,1,"")</f>
        <v>1</v>
      </c>
      <c r="AH227" s="111">
        <v>1</v>
      </c>
      <c r="AI227" s="112">
        <v>7.142857142857143</v>
      </c>
      <c r="AJ227" s="111">
        <v>0</v>
      </c>
      <c r="AK227" s="112">
        <v>0</v>
      </c>
      <c r="AL227" s="111">
        <v>0</v>
      </c>
      <c r="AM227" s="112">
        <v>0</v>
      </c>
      <c r="AN227" s="111">
        <v>13</v>
      </c>
      <c r="AO227" s="112">
        <v>92.85714285714286</v>
      </c>
      <c r="AP227" s="111">
        <v>14</v>
      </c>
    </row>
    <row r="228" spans="1:42" ht="15">
      <c r="A228" s="65" t="s">
        <v>369</v>
      </c>
      <c r="B228" s="65" t="s">
        <v>494</v>
      </c>
      <c r="C228" s="66" t="s">
        <v>2942</v>
      </c>
      <c r="D228" s="67">
        <v>3</v>
      </c>
      <c r="E228" s="68"/>
      <c r="F228" s="69">
        <v>40</v>
      </c>
      <c r="G228" s="66"/>
      <c r="H228" s="70"/>
      <c r="I228" s="71"/>
      <c r="J228" s="71"/>
      <c r="K228" s="35" t="s">
        <v>66</v>
      </c>
      <c r="L228" s="79">
        <v>228</v>
      </c>
      <c r="M228" s="79"/>
      <c r="N228" s="73"/>
      <c r="O228" s="81" t="s">
        <v>564</v>
      </c>
      <c r="P228" s="81" t="s">
        <v>566</v>
      </c>
      <c r="Q228" s="84" t="s">
        <v>789</v>
      </c>
      <c r="R228" s="81" t="s">
        <v>369</v>
      </c>
      <c r="S228" s="81" t="s">
        <v>882</v>
      </c>
      <c r="T228" s="86" t="str">
        <f>HYPERLINK("http://www.youtube.com/channel/UCerAw4EfTOnYYxLLPZAzMxQ")</f>
        <v>http://www.youtube.com/channel/UCerAw4EfTOnYYxLLPZAzMxQ</v>
      </c>
      <c r="U228" s="81" t="s">
        <v>1082</v>
      </c>
      <c r="V228" s="81" t="s">
        <v>1128</v>
      </c>
      <c r="W228" s="86" t="str">
        <f>HYPERLINK("https://www.youtube.com/watch?v=PC-PgkhpsNc")</f>
        <v>https://www.youtube.com/watch?v=PC-PgkhpsNc</v>
      </c>
      <c r="X228" s="81" t="s">
        <v>1183</v>
      </c>
      <c r="Y228" s="81">
        <v>2</v>
      </c>
      <c r="Z228" s="88">
        <v>42577.884375</v>
      </c>
      <c r="AA228" s="88">
        <v>42577.884375</v>
      </c>
      <c r="AB228" s="81"/>
      <c r="AC228" s="81"/>
      <c r="AD228" s="84" t="s">
        <v>1239</v>
      </c>
      <c r="AE228" s="82">
        <v>1</v>
      </c>
      <c r="AF228" s="83" t="str">
        <f>REPLACE(INDEX(GroupVertices[Group],MATCH(Edges[[#This Row],[Vertex 1]],GroupVertices[Vertex],0)),1,1,"")</f>
        <v>1</v>
      </c>
      <c r="AG228" s="83" t="str">
        <f>REPLACE(INDEX(GroupVertices[Group],MATCH(Edges[[#This Row],[Vertex 2]],GroupVertices[Vertex],0)),1,1,"")</f>
        <v>1</v>
      </c>
      <c r="AH228" s="111">
        <v>3</v>
      </c>
      <c r="AI228" s="112">
        <v>6.122448979591836</v>
      </c>
      <c r="AJ228" s="111">
        <v>0</v>
      </c>
      <c r="AK228" s="112">
        <v>0</v>
      </c>
      <c r="AL228" s="111">
        <v>0</v>
      </c>
      <c r="AM228" s="112">
        <v>0</v>
      </c>
      <c r="AN228" s="111">
        <v>46</v>
      </c>
      <c r="AO228" s="112">
        <v>93.87755102040816</v>
      </c>
      <c r="AP228" s="111">
        <v>49</v>
      </c>
    </row>
    <row r="229" spans="1:42" ht="15">
      <c r="A229" s="65" t="s">
        <v>494</v>
      </c>
      <c r="B229" s="65" t="s">
        <v>494</v>
      </c>
      <c r="C229" s="66" t="s">
        <v>2942</v>
      </c>
      <c r="D229" s="67">
        <v>3</v>
      </c>
      <c r="E229" s="68"/>
      <c r="F229" s="69">
        <v>40</v>
      </c>
      <c r="G229" s="66"/>
      <c r="H229" s="70"/>
      <c r="I229" s="71"/>
      <c r="J229" s="71"/>
      <c r="K229" s="35" t="s">
        <v>65</v>
      </c>
      <c r="L229" s="79">
        <v>229</v>
      </c>
      <c r="M229" s="79"/>
      <c r="N229" s="73"/>
      <c r="O229" s="81" t="s">
        <v>564</v>
      </c>
      <c r="P229" s="81" t="s">
        <v>566</v>
      </c>
      <c r="Q229" s="84" t="s">
        <v>790</v>
      </c>
      <c r="R229" s="81" t="s">
        <v>494</v>
      </c>
      <c r="S229" s="81" t="s">
        <v>1007</v>
      </c>
      <c r="T229" s="86" t="str">
        <f>HYPERLINK("http://www.youtube.com/channel/UCnUI6Ssl3FclHjuE2tEYN8w")</f>
        <v>http://www.youtube.com/channel/UCnUI6Ssl3FclHjuE2tEYN8w</v>
      </c>
      <c r="U229" s="81" t="s">
        <v>1082</v>
      </c>
      <c r="V229" s="81" t="s">
        <v>1128</v>
      </c>
      <c r="W229" s="86" t="str">
        <f>HYPERLINK("https://www.youtube.com/watch?v=PC-PgkhpsNc")</f>
        <v>https://www.youtube.com/watch?v=PC-PgkhpsNc</v>
      </c>
      <c r="X229" s="81" t="s">
        <v>1183</v>
      </c>
      <c r="Y229" s="81">
        <v>0</v>
      </c>
      <c r="Z229" s="88">
        <v>42612.87608796296</v>
      </c>
      <c r="AA229" s="88">
        <v>42612.87608796296</v>
      </c>
      <c r="AB229" s="81"/>
      <c r="AC229" s="81"/>
      <c r="AD229" s="84" t="s">
        <v>1239</v>
      </c>
      <c r="AE229" s="82">
        <v>1</v>
      </c>
      <c r="AF229" s="83" t="str">
        <f>REPLACE(INDEX(GroupVertices[Group],MATCH(Edges[[#This Row],[Vertex 1]],GroupVertices[Vertex],0)),1,1,"")</f>
        <v>1</v>
      </c>
      <c r="AG229" s="83" t="str">
        <f>REPLACE(INDEX(GroupVertices[Group],MATCH(Edges[[#This Row],[Vertex 2]],GroupVertices[Vertex],0)),1,1,"")</f>
        <v>1</v>
      </c>
      <c r="AH229" s="111">
        <v>2</v>
      </c>
      <c r="AI229" s="112">
        <v>4.25531914893617</v>
      </c>
      <c r="AJ229" s="111">
        <v>0</v>
      </c>
      <c r="AK229" s="112">
        <v>0</v>
      </c>
      <c r="AL229" s="111">
        <v>0</v>
      </c>
      <c r="AM229" s="112">
        <v>0</v>
      </c>
      <c r="AN229" s="111">
        <v>45</v>
      </c>
      <c r="AO229" s="112">
        <v>95.74468085106383</v>
      </c>
      <c r="AP229" s="111">
        <v>47</v>
      </c>
    </row>
    <row r="230" spans="1:42" ht="15">
      <c r="A230" s="65" t="s">
        <v>494</v>
      </c>
      <c r="B230" s="65" t="s">
        <v>369</v>
      </c>
      <c r="C230" s="66" t="s">
        <v>2942</v>
      </c>
      <c r="D230" s="67">
        <v>3</v>
      </c>
      <c r="E230" s="68"/>
      <c r="F230" s="69">
        <v>40</v>
      </c>
      <c r="G230" s="66"/>
      <c r="H230" s="70"/>
      <c r="I230" s="71"/>
      <c r="J230" s="71"/>
      <c r="K230" s="35" t="s">
        <v>66</v>
      </c>
      <c r="L230" s="79">
        <v>230</v>
      </c>
      <c r="M230" s="79"/>
      <c r="N230" s="73"/>
      <c r="O230" s="81" t="s">
        <v>563</v>
      </c>
      <c r="P230" s="81" t="s">
        <v>325</v>
      </c>
      <c r="Q230" s="84" t="s">
        <v>791</v>
      </c>
      <c r="R230" s="81" t="s">
        <v>494</v>
      </c>
      <c r="S230" s="81" t="s">
        <v>1007</v>
      </c>
      <c r="T230" s="86" t="str">
        <f>HYPERLINK("http://www.youtube.com/channel/UCnUI6Ssl3FclHjuE2tEYN8w")</f>
        <v>http://www.youtube.com/channel/UCnUI6Ssl3FclHjuE2tEYN8w</v>
      </c>
      <c r="U230" s="81"/>
      <c r="V230" s="81" t="s">
        <v>1128</v>
      </c>
      <c r="W230" s="86" t="str">
        <f>HYPERLINK("https://www.youtube.com/watch?v=PC-PgkhpsNc")</f>
        <v>https://www.youtube.com/watch?v=PC-PgkhpsNc</v>
      </c>
      <c r="X230" s="81" t="s">
        <v>1183</v>
      </c>
      <c r="Y230" s="81">
        <v>0</v>
      </c>
      <c r="Z230" s="88">
        <v>42577.881840277776</v>
      </c>
      <c r="AA230" s="88">
        <v>42577.881840277776</v>
      </c>
      <c r="AB230" s="81"/>
      <c r="AC230" s="81"/>
      <c r="AD230" s="84" t="s">
        <v>1239</v>
      </c>
      <c r="AE230" s="82">
        <v>1</v>
      </c>
      <c r="AF230" s="83" t="str">
        <f>REPLACE(INDEX(GroupVertices[Group],MATCH(Edges[[#This Row],[Vertex 1]],GroupVertices[Vertex],0)),1,1,"")</f>
        <v>1</v>
      </c>
      <c r="AG230" s="83" t="str">
        <f>REPLACE(INDEX(GroupVertices[Group],MATCH(Edges[[#This Row],[Vertex 2]],GroupVertices[Vertex],0)),1,1,"")</f>
        <v>1</v>
      </c>
      <c r="AH230" s="111">
        <v>4</v>
      </c>
      <c r="AI230" s="112">
        <v>5.128205128205129</v>
      </c>
      <c r="AJ230" s="111">
        <v>2</v>
      </c>
      <c r="AK230" s="112">
        <v>2.5641025641025643</v>
      </c>
      <c r="AL230" s="111">
        <v>0</v>
      </c>
      <c r="AM230" s="112">
        <v>0</v>
      </c>
      <c r="AN230" s="111">
        <v>72</v>
      </c>
      <c r="AO230" s="112">
        <v>92.3076923076923</v>
      </c>
      <c r="AP230" s="111">
        <v>78</v>
      </c>
    </row>
    <row r="231" spans="1:42" ht="15">
      <c r="A231" s="65" t="s">
        <v>369</v>
      </c>
      <c r="B231" s="65" t="s">
        <v>495</v>
      </c>
      <c r="C231" s="66" t="s">
        <v>2942</v>
      </c>
      <c r="D231" s="67">
        <v>3</v>
      </c>
      <c r="E231" s="68"/>
      <c r="F231" s="69">
        <v>40</v>
      </c>
      <c r="G231" s="66"/>
      <c r="H231" s="70"/>
      <c r="I231" s="71"/>
      <c r="J231" s="71"/>
      <c r="K231" s="35" t="s">
        <v>66</v>
      </c>
      <c r="L231" s="79">
        <v>231</v>
      </c>
      <c r="M231" s="79"/>
      <c r="N231" s="73"/>
      <c r="O231" s="81" t="s">
        <v>564</v>
      </c>
      <c r="P231" s="81" t="s">
        <v>566</v>
      </c>
      <c r="Q231" s="84" t="s">
        <v>792</v>
      </c>
      <c r="R231" s="81" t="s">
        <v>369</v>
      </c>
      <c r="S231" s="81" t="s">
        <v>882</v>
      </c>
      <c r="T231" s="86" t="str">
        <f>HYPERLINK("http://www.youtube.com/channel/UCerAw4EfTOnYYxLLPZAzMxQ")</f>
        <v>http://www.youtube.com/channel/UCerAw4EfTOnYYxLLPZAzMxQ</v>
      </c>
      <c r="U231" s="81" t="s">
        <v>1083</v>
      </c>
      <c r="V231" s="81" t="s">
        <v>1128</v>
      </c>
      <c r="W231" s="86" t="str">
        <f>HYPERLINK("https://www.youtube.com/watch?v=PC-PgkhpsNc")</f>
        <v>https://www.youtube.com/watch?v=PC-PgkhpsNc</v>
      </c>
      <c r="X231" s="81" t="s">
        <v>1183</v>
      </c>
      <c r="Y231" s="81">
        <v>0</v>
      </c>
      <c r="Z231" s="88">
        <v>42657.05478009259</v>
      </c>
      <c r="AA231" s="88">
        <v>42657.05478009259</v>
      </c>
      <c r="AB231" s="81"/>
      <c r="AC231" s="81"/>
      <c r="AD231" s="84" t="s">
        <v>1239</v>
      </c>
      <c r="AE231" s="82">
        <v>1</v>
      </c>
      <c r="AF231" s="83" t="str">
        <f>REPLACE(INDEX(GroupVertices[Group],MATCH(Edges[[#This Row],[Vertex 1]],GroupVertices[Vertex],0)),1,1,"")</f>
        <v>1</v>
      </c>
      <c r="AG231" s="83" t="str">
        <f>REPLACE(INDEX(GroupVertices[Group],MATCH(Edges[[#This Row],[Vertex 2]],GroupVertices[Vertex],0)),1,1,"")</f>
        <v>1</v>
      </c>
      <c r="AH231" s="111">
        <v>0</v>
      </c>
      <c r="AI231" s="112">
        <v>0</v>
      </c>
      <c r="AJ231" s="111">
        <v>3</v>
      </c>
      <c r="AK231" s="112">
        <v>3.409090909090909</v>
      </c>
      <c r="AL231" s="111">
        <v>0</v>
      </c>
      <c r="AM231" s="112">
        <v>0</v>
      </c>
      <c r="AN231" s="111">
        <v>85</v>
      </c>
      <c r="AO231" s="112">
        <v>96.5909090909091</v>
      </c>
      <c r="AP231" s="111">
        <v>88</v>
      </c>
    </row>
    <row r="232" spans="1:42" ht="15">
      <c r="A232" s="65" t="s">
        <v>495</v>
      </c>
      <c r="B232" s="65" t="s">
        <v>495</v>
      </c>
      <c r="C232" s="66" t="s">
        <v>2942</v>
      </c>
      <c r="D232" s="67">
        <v>3</v>
      </c>
      <c r="E232" s="68"/>
      <c r="F232" s="69">
        <v>40</v>
      </c>
      <c r="G232" s="66"/>
      <c r="H232" s="70"/>
      <c r="I232" s="71"/>
      <c r="J232" s="71"/>
      <c r="K232" s="35" t="s">
        <v>65</v>
      </c>
      <c r="L232" s="79">
        <v>232</v>
      </c>
      <c r="M232" s="79"/>
      <c r="N232" s="73"/>
      <c r="O232" s="81" t="s">
        <v>564</v>
      </c>
      <c r="P232" s="81" t="s">
        <v>566</v>
      </c>
      <c r="Q232" s="84" t="s">
        <v>793</v>
      </c>
      <c r="R232" s="81" t="s">
        <v>495</v>
      </c>
      <c r="S232" s="81" t="s">
        <v>1008</v>
      </c>
      <c r="T232" s="86" t="str">
        <f>HYPERLINK("http://www.youtube.com/channel/UC85OOjTRUfgLKNWTMIvPp-Q")</f>
        <v>http://www.youtube.com/channel/UC85OOjTRUfgLKNWTMIvPp-Q</v>
      </c>
      <c r="U232" s="81" t="s">
        <v>1083</v>
      </c>
      <c r="V232" s="81" t="s">
        <v>1128</v>
      </c>
      <c r="W232" s="86" t="str">
        <f>HYPERLINK("https://www.youtube.com/watch?v=PC-PgkhpsNc")</f>
        <v>https://www.youtube.com/watch?v=PC-PgkhpsNc</v>
      </c>
      <c r="X232" s="81" t="s">
        <v>1183</v>
      </c>
      <c r="Y232" s="81">
        <v>0</v>
      </c>
      <c r="Z232" s="88">
        <v>42657.070335648146</v>
      </c>
      <c r="AA232" s="88">
        <v>42657.070335648146</v>
      </c>
      <c r="AB232" s="81"/>
      <c r="AC232" s="81"/>
      <c r="AD232" s="84" t="s">
        <v>1239</v>
      </c>
      <c r="AE232" s="82">
        <v>1</v>
      </c>
      <c r="AF232" s="83" t="str">
        <f>REPLACE(INDEX(GroupVertices[Group],MATCH(Edges[[#This Row],[Vertex 1]],GroupVertices[Vertex],0)),1,1,"")</f>
        <v>1</v>
      </c>
      <c r="AG232" s="83" t="str">
        <f>REPLACE(INDEX(GroupVertices[Group],MATCH(Edges[[#This Row],[Vertex 2]],GroupVertices[Vertex],0)),1,1,"")</f>
        <v>1</v>
      </c>
      <c r="AH232" s="111">
        <v>1</v>
      </c>
      <c r="AI232" s="112">
        <v>20</v>
      </c>
      <c r="AJ232" s="111">
        <v>0</v>
      </c>
      <c r="AK232" s="112">
        <v>0</v>
      </c>
      <c r="AL232" s="111">
        <v>0</v>
      </c>
      <c r="AM232" s="112">
        <v>0</v>
      </c>
      <c r="AN232" s="111">
        <v>4</v>
      </c>
      <c r="AO232" s="112">
        <v>80</v>
      </c>
      <c r="AP232" s="111">
        <v>5</v>
      </c>
    </row>
    <row r="233" spans="1:42" ht="15">
      <c r="A233" s="65" t="s">
        <v>495</v>
      </c>
      <c r="B233" s="65" t="s">
        <v>369</v>
      </c>
      <c r="C233" s="66" t="s">
        <v>2942</v>
      </c>
      <c r="D233" s="67">
        <v>3</v>
      </c>
      <c r="E233" s="68"/>
      <c r="F233" s="69">
        <v>40</v>
      </c>
      <c r="G233" s="66"/>
      <c r="H233" s="70"/>
      <c r="I233" s="71"/>
      <c r="J233" s="71"/>
      <c r="K233" s="35" t="s">
        <v>66</v>
      </c>
      <c r="L233" s="79">
        <v>233</v>
      </c>
      <c r="M233" s="79"/>
      <c r="N233" s="73"/>
      <c r="O233" s="81" t="s">
        <v>563</v>
      </c>
      <c r="P233" s="81" t="s">
        <v>325</v>
      </c>
      <c r="Q233" s="84" t="s">
        <v>794</v>
      </c>
      <c r="R233" s="81" t="s">
        <v>495</v>
      </c>
      <c r="S233" s="81" t="s">
        <v>1008</v>
      </c>
      <c r="T233" s="86" t="str">
        <f>HYPERLINK("http://www.youtube.com/channel/UC85OOjTRUfgLKNWTMIvPp-Q")</f>
        <v>http://www.youtube.com/channel/UC85OOjTRUfgLKNWTMIvPp-Q</v>
      </c>
      <c r="U233" s="81"/>
      <c r="V233" s="81" t="s">
        <v>1128</v>
      </c>
      <c r="W233" s="86" t="str">
        <f>HYPERLINK("https://www.youtube.com/watch?v=PC-PgkhpsNc")</f>
        <v>https://www.youtube.com/watch?v=PC-PgkhpsNc</v>
      </c>
      <c r="X233" s="81" t="s">
        <v>1183</v>
      </c>
      <c r="Y233" s="81">
        <v>0</v>
      </c>
      <c r="Z233" s="88">
        <v>42656.99667824074</v>
      </c>
      <c r="AA233" s="88">
        <v>42656.99667824074</v>
      </c>
      <c r="AB233" s="81"/>
      <c r="AC233" s="81"/>
      <c r="AD233" s="84" t="s">
        <v>1239</v>
      </c>
      <c r="AE233" s="82">
        <v>1</v>
      </c>
      <c r="AF233" s="83" t="str">
        <f>REPLACE(INDEX(GroupVertices[Group],MATCH(Edges[[#This Row],[Vertex 1]],GroupVertices[Vertex],0)),1,1,"")</f>
        <v>1</v>
      </c>
      <c r="AG233" s="83" t="str">
        <f>REPLACE(INDEX(GroupVertices[Group],MATCH(Edges[[#This Row],[Vertex 2]],GroupVertices[Vertex],0)),1,1,"")</f>
        <v>1</v>
      </c>
      <c r="AH233" s="111">
        <v>0</v>
      </c>
      <c r="AI233" s="112">
        <v>0</v>
      </c>
      <c r="AJ233" s="111">
        <v>1</v>
      </c>
      <c r="AK233" s="112">
        <v>5.555555555555555</v>
      </c>
      <c r="AL233" s="111">
        <v>0</v>
      </c>
      <c r="AM233" s="112">
        <v>0</v>
      </c>
      <c r="AN233" s="111">
        <v>17</v>
      </c>
      <c r="AO233" s="112">
        <v>94.44444444444444</v>
      </c>
      <c r="AP233" s="111">
        <v>18</v>
      </c>
    </row>
    <row r="234" spans="1:42" ht="15">
      <c r="A234" s="65" t="s">
        <v>496</v>
      </c>
      <c r="B234" s="65" t="s">
        <v>369</v>
      </c>
      <c r="C234" s="66" t="s">
        <v>2942</v>
      </c>
      <c r="D234" s="67">
        <v>3</v>
      </c>
      <c r="E234" s="68"/>
      <c r="F234" s="69">
        <v>40</v>
      </c>
      <c r="G234" s="66"/>
      <c r="H234" s="70"/>
      <c r="I234" s="71"/>
      <c r="J234" s="71"/>
      <c r="K234" s="35" t="s">
        <v>65</v>
      </c>
      <c r="L234" s="79">
        <v>234</v>
      </c>
      <c r="M234" s="79"/>
      <c r="N234" s="73"/>
      <c r="O234" s="81" t="s">
        <v>563</v>
      </c>
      <c r="P234" s="81" t="s">
        <v>325</v>
      </c>
      <c r="Q234" s="84" t="s">
        <v>795</v>
      </c>
      <c r="R234" s="81" t="s">
        <v>496</v>
      </c>
      <c r="S234" s="81" t="s">
        <v>1009</v>
      </c>
      <c r="T234" s="86" t="str">
        <f>HYPERLINK("http://www.youtube.com/channel/UC4JxISL4zq6bR8fkL0zzxrA")</f>
        <v>http://www.youtube.com/channel/UC4JxISL4zq6bR8fkL0zzxrA</v>
      </c>
      <c r="U234" s="81"/>
      <c r="V234" s="81" t="s">
        <v>1128</v>
      </c>
      <c r="W234" s="86" t="str">
        <f>HYPERLINK("https://www.youtube.com/watch?v=PC-PgkhpsNc")</f>
        <v>https://www.youtube.com/watch?v=PC-PgkhpsNc</v>
      </c>
      <c r="X234" s="81" t="s">
        <v>1183</v>
      </c>
      <c r="Y234" s="81">
        <v>0</v>
      </c>
      <c r="Z234" s="88">
        <v>42945.88344907408</v>
      </c>
      <c r="AA234" s="88">
        <v>42945.88344907408</v>
      </c>
      <c r="AB234" s="81"/>
      <c r="AC234" s="81"/>
      <c r="AD234" s="84" t="s">
        <v>1239</v>
      </c>
      <c r="AE234" s="82">
        <v>1</v>
      </c>
      <c r="AF234" s="83" t="str">
        <f>REPLACE(INDEX(GroupVertices[Group],MATCH(Edges[[#This Row],[Vertex 1]],GroupVertices[Vertex],0)),1,1,"")</f>
        <v>1</v>
      </c>
      <c r="AG234" s="83" t="str">
        <f>REPLACE(INDEX(GroupVertices[Group],MATCH(Edges[[#This Row],[Vertex 2]],GroupVertices[Vertex],0)),1,1,"")</f>
        <v>1</v>
      </c>
      <c r="AH234" s="111">
        <v>1</v>
      </c>
      <c r="AI234" s="112">
        <v>2.9411764705882355</v>
      </c>
      <c r="AJ234" s="111">
        <v>0</v>
      </c>
      <c r="AK234" s="112">
        <v>0</v>
      </c>
      <c r="AL234" s="111">
        <v>0</v>
      </c>
      <c r="AM234" s="112">
        <v>0</v>
      </c>
      <c r="AN234" s="111">
        <v>33</v>
      </c>
      <c r="AO234" s="112">
        <v>97.05882352941177</v>
      </c>
      <c r="AP234" s="111">
        <v>34</v>
      </c>
    </row>
    <row r="235" spans="1:42" ht="15">
      <c r="A235" s="65" t="s">
        <v>497</v>
      </c>
      <c r="B235" s="65" t="s">
        <v>430</v>
      </c>
      <c r="C235" s="66" t="s">
        <v>2942</v>
      </c>
      <c r="D235" s="67">
        <v>3</v>
      </c>
      <c r="E235" s="68"/>
      <c r="F235" s="69">
        <v>40</v>
      </c>
      <c r="G235" s="66"/>
      <c r="H235" s="70"/>
      <c r="I235" s="71"/>
      <c r="J235" s="71"/>
      <c r="K235" s="35" t="s">
        <v>65</v>
      </c>
      <c r="L235" s="79">
        <v>235</v>
      </c>
      <c r="M235" s="79"/>
      <c r="N235" s="73"/>
      <c r="O235" s="81" t="s">
        <v>563</v>
      </c>
      <c r="P235" s="81" t="s">
        <v>325</v>
      </c>
      <c r="Q235" s="84" t="s">
        <v>796</v>
      </c>
      <c r="R235" s="81" t="s">
        <v>497</v>
      </c>
      <c r="S235" s="81" t="s">
        <v>1010</v>
      </c>
      <c r="T235" s="86" t="str">
        <f>HYPERLINK("http://www.youtube.com/channel/UCuQ_8nkWLkfwU7LROEKCzfg")</f>
        <v>http://www.youtube.com/channel/UCuQ_8nkWLkfwU7LROEKCzfg</v>
      </c>
      <c r="U235" s="81"/>
      <c r="V235" s="81" t="s">
        <v>1112</v>
      </c>
      <c r="W235" s="86" t="str">
        <f>HYPERLINK("https://www.youtube.com/watch?v=yknqOhpUtzQ")</f>
        <v>https://www.youtube.com/watch?v=yknqOhpUtzQ</v>
      </c>
      <c r="X235" s="81" t="s">
        <v>1183</v>
      </c>
      <c r="Y235" s="81">
        <v>0</v>
      </c>
      <c r="Z235" s="88">
        <v>43005.713958333334</v>
      </c>
      <c r="AA235" s="88">
        <v>43005.71438657407</v>
      </c>
      <c r="AB235" s="81"/>
      <c r="AC235" s="81"/>
      <c r="AD235" s="84" t="s">
        <v>1239</v>
      </c>
      <c r="AE235" s="82">
        <v>1</v>
      </c>
      <c r="AF235" s="83" t="str">
        <f>REPLACE(INDEX(GroupVertices[Group],MATCH(Edges[[#This Row],[Vertex 1]],GroupVertices[Vertex],0)),1,1,"")</f>
        <v>7</v>
      </c>
      <c r="AG235" s="83" t="str">
        <f>REPLACE(INDEX(GroupVertices[Group],MATCH(Edges[[#This Row],[Vertex 2]],GroupVertices[Vertex],0)),1,1,"")</f>
        <v>7</v>
      </c>
      <c r="AH235" s="111">
        <v>7</v>
      </c>
      <c r="AI235" s="112">
        <v>5.6</v>
      </c>
      <c r="AJ235" s="111">
        <v>3</v>
      </c>
      <c r="AK235" s="112">
        <v>2.4</v>
      </c>
      <c r="AL235" s="111">
        <v>0</v>
      </c>
      <c r="AM235" s="112">
        <v>0</v>
      </c>
      <c r="AN235" s="111">
        <v>115</v>
      </c>
      <c r="AO235" s="112">
        <v>92</v>
      </c>
      <c r="AP235" s="111">
        <v>125</v>
      </c>
    </row>
    <row r="236" spans="1:42" ht="15">
      <c r="A236" s="65" t="s">
        <v>497</v>
      </c>
      <c r="B236" s="65" t="s">
        <v>369</v>
      </c>
      <c r="C236" s="66" t="s">
        <v>2942</v>
      </c>
      <c r="D236" s="67">
        <v>3</v>
      </c>
      <c r="E236" s="68"/>
      <c r="F236" s="69">
        <v>40</v>
      </c>
      <c r="G236" s="66"/>
      <c r="H236" s="70"/>
      <c r="I236" s="71"/>
      <c r="J236" s="71"/>
      <c r="K236" s="35" t="s">
        <v>65</v>
      </c>
      <c r="L236" s="79">
        <v>236</v>
      </c>
      <c r="M236" s="79"/>
      <c r="N236" s="73"/>
      <c r="O236" s="81" t="s">
        <v>563</v>
      </c>
      <c r="P236" s="81" t="s">
        <v>325</v>
      </c>
      <c r="Q236" s="84" t="s">
        <v>797</v>
      </c>
      <c r="R236" s="81" t="s">
        <v>497</v>
      </c>
      <c r="S236" s="81" t="s">
        <v>1010</v>
      </c>
      <c r="T236" s="86" t="str">
        <f>HYPERLINK("http://www.youtube.com/channel/UCuQ_8nkWLkfwU7LROEKCzfg")</f>
        <v>http://www.youtube.com/channel/UCuQ_8nkWLkfwU7LROEKCzfg</v>
      </c>
      <c r="U236" s="81"/>
      <c r="V236" s="81" t="s">
        <v>1128</v>
      </c>
      <c r="W236" s="86" t="str">
        <f>HYPERLINK("https://www.youtube.com/watch?v=PC-PgkhpsNc")</f>
        <v>https://www.youtube.com/watch?v=PC-PgkhpsNc</v>
      </c>
      <c r="X236" s="81" t="s">
        <v>1183</v>
      </c>
      <c r="Y236" s="81">
        <v>0</v>
      </c>
      <c r="Z236" s="88">
        <v>42985.52724537037</v>
      </c>
      <c r="AA236" s="88">
        <v>42985.52724537037</v>
      </c>
      <c r="AB236" s="81"/>
      <c r="AC236" s="81"/>
      <c r="AD236" s="84" t="s">
        <v>1239</v>
      </c>
      <c r="AE236" s="82">
        <v>1</v>
      </c>
      <c r="AF236" s="83" t="str">
        <f>REPLACE(INDEX(GroupVertices[Group],MATCH(Edges[[#This Row],[Vertex 1]],GroupVertices[Vertex],0)),1,1,"")</f>
        <v>7</v>
      </c>
      <c r="AG236" s="83" t="str">
        <f>REPLACE(INDEX(GroupVertices[Group],MATCH(Edges[[#This Row],[Vertex 2]],GroupVertices[Vertex],0)),1,1,"")</f>
        <v>1</v>
      </c>
      <c r="AH236" s="111">
        <v>7</v>
      </c>
      <c r="AI236" s="112">
        <v>2.9166666666666665</v>
      </c>
      <c r="AJ236" s="111">
        <v>3</v>
      </c>
      <c r="AK236" s="112">
        <v>1.25</v>
      </c>
      <c r="AL236" s="111">
        <v>0</v>
      </c>
      <c r="AM236" s="112">
        <v>0</v>
      </c>
      <c r="AN236" s="111">
        <v>230</v>
      </c>
      <c r="AO236" s="112">
        <v>95.83333333333333</v>
      </c>
      <c r="AP236" s="111">
        <v>240</v>
      </c>
    </row>
    <row r="237" spans="1:42" ht="15">
      <c r="A237" s="65" t="s">
        <v>498</v>
      </c>
      <c r="B237" s="65" t="s">
        <v>369</v>
      </c>
      <c r="C237" s="66" t="s">
        <v>2942</v>
      </c>
      <c r="D237" s="67">
        <v>3</v>
      </c>
      <c r="E237" s="68"/>
      <c r="F237" s="69">
        <v>40</v>
      </c>
      <c r="G237" s="66"/>
      <c r="H237" s="70"/>
      <c r="I237" s="71"/>
      <c r="J237" s="71"/>
      <c r="K237" s="35" t="s">
        <v>65</v>
      </c>
      <c r="L237" s="79">
        <v>237</v>
      </c>
      <c r="M237" s="79"/>
      <c r="N237" s="73"/>
      <c r="O237" s="81" t="s">
        <v>563</v>
      </c>
      <c r="P237" s="81" t="s">
        <v>325</v>
      </c>
      <c r="Q237" s="84" t="s">
        <v>798</v>
      </c>
      <c r="R237" s="81" t="s">
        <v>498</v>
      </c>
      <c r="S237" s="81" t="s">
        <v>1011</v>
      </c>
      <c r="T237" s="86" t="str">
        <f>HYPERLINK("http://www.youtube.com/channel/UCxeLD_unYqcF-hMFfpwP8bA")</f>
        <v>http://www.youtube.com/channel/UCxeLD_unYqcF-hMFfpwP8bA</v>
      </c>
      <c r="U237" s="81"/>
      <c r="V237" s="81" t="s">
        <v>1128</v>
      </c>
      <c r="W237" s="86" t="str">
        <f>HYPERLINK("https://www.youtube.com/watch?v=PC-PgkhpsNc")</f>
        <v>https://www.youtube.com/watch?v=PC-PgkhpsNc</v>
      </c>
      <c r="X237" s="81" t="s">
        <v>1183</v>
      </c>
      <c r="Y237" s="81">
        <v>0</v>
      </c>
      <c r="Z237" s="88">
        <v>43070.66877314815</v>
      </c>
      <c r="AA237" s="88">
        <v>43070.66877314815</v>
      </c>
      <c r="AB237" s="81"/>
      <c r="AC237" s="81"/>
      <c r="AD237" s="84" t="s">
        <v>1239</v>
      </c>
      <c r="AE237" s="82">
        <v>1</v>
      </c>
      <c r="AF237" s="83" t="str">
        <f>REPLACE(INDEX(GroupVertices[Group],MATCH(Edges[[#This Row],[Vertex 1]],GroupVertices[Vertex],0)),1,1,"")</f>
        <v>1</v>
      </c>
      <c r="AG237" s="83" t="str">
        <f>REPLACE(INDEX(GroupVertices[Group],MATCH(Edges[[#This Row],[Vertex 2]],GroupVertices[Vertex],0)),1,1,"")</f>
        <v>1</v>
      </c>
      <c r="AH237" s="111">
        <v>4</v>
      </c>
      <c r="AI237" s="112">
        <v>4.395604395604396</v>
      </c>
      <c r="AJ237" s="111">
        <v>0</v>
      </c>
      <c r="AK237" s="112">
        <v>0</v>
      </c>
      <c r="AL237" s="111">
        <v>0</v>
      </c>
      <c r="AM237" s="112">
        <v>0</v>
      </c>
      <c r="AN237" s="111">
        <v>87</v>
      </c>
      <c r="AO237" s="112">
        <v>95.6043956043956</v>
      </c>
      <c r="AP237" s="111">
        <v>91</v>
      </c>
    </row>
    <row r="238" spans="1:42" ht="15">
      <c r="A238" s="65" t="s">
        <v>492</v>
      </c>
      <c r="B238" s="65" t="s">
        <v>369</v>
      </c>
      <c r="C238" s="66" t="s">
        <v>2942</v>
      </c>
      <c r="D238" s="67">
        <v>3</v>
      </c>
      <c r="E238" s="68"/>
      <c r="F238" s="69">
        <v>40</v>
      </c>
      <c r="G238" s="66"/>
      <c r="H238" s="70"/>
      <c r="I238" s="71"/>
      <c r="J238" s="71"/>
      <c r="K238" s="35" t="s">
        <v>65</v>
      </c>
      <c r="L238" s="79">
        <v>238</v>
      </c>
      <c r="M238" s="79"/>
      <c r="N238" s="73"/>
      <c r="O238" s="81" t="s">
        <v>563</v>
      </c>
      <c r="P238" s="81" t="s">
        <v>325</v>
      </c>
      <c r="Q238" s="84" t="s">
        <v>799</v>
      </c>
      <c r="R238" s="81" t="s">
        <v>492</v>
      </c>
      <c r="S238" s="81" t="s">
        <v>1005</v>
      </c>
      <c r="T238" s="86" t="str">
        <f>HYPERLINK("http://www.youtube.com/channel/UCgeaB9V_kFKh-hU_yGjNvjw")</f>
        <v>http://www.youtube.com/channel/UCgeaB9V_kFKh-hU_yGjNvjw</v>
      </c>
      <c r="U238" s="81"/>
      <c r="V238" s="81" t="s">
        <v>1128</v>
      </c>
      <c r="W238" s="86" t="str">
        <f>HYPERLINK("https://www.youtube.com/watch?v=PC-PgkhpsNc")</f>
        <v>https://www.youtube.com/watch?v=PC-PgkhpsNc</v>
      </c>
      <c r="X238" s="81" t="s">
        <v>1183</v>
      </c>
      <c r="Y238" s="81">
        <v>0</v>
      </c>
      <c r="Z238" s="88">
        <v>43272.65005787037</v>
      </c>
      <c r="AA238" s="88">
        <v>43272.65005787037</v>
      </c>
      <c r="AB238" s="81"/>
      <c r="AC238" s="81"/>
      <c r="AD238" s="84" t="s">
        <v>1239</v>
      </c>
      <c r="AE238" s="82">
        <v>1</v>
      </c>
      <c r="AF238" s="83" t="str">
        <f>REPLACE(INDEX(GroupVertices[Group],MATCH(Edges[[#This Row],[Vertex 1]],GroupVertices[Vertex],0)),1,1,"")</f>
        <v>1</v>
      </c>
      <c r="AG238" s="83" t="str">
        <f>REPLACE(INDEX(GroupVertices[Group],MATCH(Edges[[#This Row],[Vertex 2]],GroupVertices[Vertex],0)),1,1,"")</f>
        <v>1</v>
      </c>
      <c r="AH238" s="111">
        <v>5</v>
      </c>
      <c r="AI238" s="112">
        <v>6.944444444444445</v>
      </c>
      <c r="AJ238" s="111">
        <v>0</v>
      </c>
      <c r="AK238" s="112">
        <v>0</v>
      </c>
      <c r="AL238" s="111">
        <v>0</v>
      </c>
      <c r="AM238" s="112">
        <v>0</v>
      </c>
      <c r="AN238" s="111">
        <v>67</v>
      </c>
      <c r="AO238" s="112">
        <v>93.05555555555556</v>
      </c>
      <c r="AP238" s="111">
        <v>72</v>
      </c>
    </row>
    <row r="239" spans="1:42" ht="15">
      <c r="A239" s="65" t="s">
        <v>499</v>
      </c>
      <c r="B239" s="65" t="s">
        <v>369</v>
      </c>
      <c r="C239" s="66" t="s">
        <v>2942</v>
      </c>
      <c r="D239" s="67">
        <v>3</v>
      </c>
      <c r="E239" s="68"/>
      <c r="F239" s="69">
        <v>40</v>
      </c>
      <c r="G239" s="66"/>
      <c r="H239" s="70"/>
      <c r="I239" s="71"/>
      <c r="J239" s="71"/>
      <c r="K239" s="35" t="s">
        <v>65</v>
      </c>
      <c r="L239" s="79">
        <v>239</v>
      </c>
      <c r="M239" s="79"/>
      <c r="N239" s="73"/>
      <c r="O239" s="81" t="s">
        <v>563</v>
      </c>
      <c r="P239" s="81" t="s">
        <v>325</v>
      </c>
      <c r="Q239" s="84" t="s">
        <v>800</v>
      </c>
      <c r="R239" s="81" t="s">
        <v>499</v>
      </c>
      <c r="S239" s="81" t="s">
        <v>1012</v>
      </c>
      <c r="T239" s="86" t="str">
        <f>HYPERLINK("http://www.youtube.com/channel/UC0-d0qMhGZQ1ZpuIZvQGPzA")</f>
        <v>http://www.youtube.com/channel/UC0-d0qMhGZQ1ZpuIZvQGPzA</v>
      </c>
      <c r="U239" s="81"/>
      <c r="V239" s="81" t="s">
        <v>1128</v>
      </c>
      <c r="W239" s="86" t="str">
        <f>HYPERLINK("https://www.youtube.com/watch?v=PC-PgkhpsNc")</f>
        <v>https://www.youtube.com/watch?v=PC-PgkhpsNc</v>
      </c>
      <c r="X239" s="81" t="s">
        <v>1183</v>
      </c>
      <c r="Y239" s="81">
        <v>4</v>
      </c>
      <c r="Z239" s="88">
        <v>43389.28125</v>
      </c>
      <c r="AA239" s="88">
        <v>43389.28141203704</v>
      </c>
      <c r="AB239" s="81" t="s">
        <v>1207</v>
      </c>
      <c r="AC239" s="81" t="s">
        <v>1221</v>
      </c>
      <c r="AD239" s="84" t="s">
        <v>1239</v>
      </c>
      <c r="AE239" s="82">
        <v>1</v>
      </c>
      <c r="AF239" s="83" t="str">
        <f>REPLACE(INDEX(GroupVertices[Group],MATCH(Edges[[#This Row],[Vertex 1]],GroupVertices[Vertex],0)),1,1,"")</f>
        <v>1</v>
      </c>
      <c r="AG239" s="83" t="str">
        <f>REPLACE(INDEX(GroupVertices[Group],MATCH(Edges[[#This Row],[Vertex 2]],GroupVertices[Vertex],0)),1,1,"")</f>
        <v>1</v>
      </c>
      <c r="AH239" s="111">
        <v>1</v>
      </c>
      <c r="AI239" s="112">
        <v>5</v>
      </c>
      <c r="AJ239" s="111">
        <v>0</v>
      </c>
      <c r="AK239" s="112">
        <v>0</v>
      </c>
      <c r="AL239" s="111">
        <v>0</v>
      </c>
      <c r="AM239" s="112">
        <v>0</v>
      </c>
      <c r="AN239" s="111">
        <v>19</v>
      </c>
      <c r="AO239" s="112">
        <v>95</v>
      </c>
      <c r="AP239" s="111">
        <v>20</v>
      </c>
    </row>
    <row r="240" spans="1:42" ht="15">
      <c r="A240" s="65" t="s">
        <v>500</v>
      </c>
      <c r="B240" s="65" t="s">
        <v>369</v>
      </c>
      <c r="C240" s="66" t="s">
        <v>2942</v>
      </c>
      <c r="D240" s="67">
        <v>3</v>
      </c>
      <c r="E240" s="68"/>
      <c r="F240" s="69">
        <v>40</v>
      </c>
      <c r="G240" s="66"/>
      <c r="H240" s="70"/>
      <c r="I240" s="71"/>
      <c r="J240" s="71"/>
      <c r="K240" s="35" t="s">
        <v>65</v>
      </c>
      <c r="L240" s="79">
        <v>240</v>
      </c>
      <c r="M240" s="79"/>
      <c r="N240" s="73"/>
      <c r="O240" s="81" t="s">
        <v>563</v>
      </c>
      <c r="P240" s="81" t="s">
        <v>325</v>
      </c>
      <c r="Q240" s="84" t="s">
        <v>801</v>
      </c>
      <c r="R240" s="81" t="s">
        <v>500</v>
      </c>
      <c r="S240" s="81" t="s">
        <v>1013</v>
      </c>
      <c r="T240" s="86" t="str">
        <f>HYPERLINK("http://www.youtube.com/channel/UCQhhxor95wtiDxuQdQrljCA")</f>
        <v>http://www.youtube.com/channel/UCQhhxor95wtiDxuQdQrljCA</v>
      </c>
      <c r="U240" s="81"/>
      <c r="V240" s="81" t="s">
        <v>1128</v>
      </c>
      <c r="W240" s="86" t="str">
        <f>HYPERLINK("https://www.youtube.com/watch?v=PC-PgkhpsNc")</f>
        <v>https://www.youtube.com/watch?v=PC-PgkhpsNc</v>
      </c>
      <c r="X240" s="81" t="s">
        <v>1183</v>
      </c>
      <c r="Y240" s="81">
        <v>0</v>
      </c>
      <c r="Z240" s="88">
        <v>43750.229155092595</v>
      </c>
      <c r="AA240" s="88">
        <v>43750.229155092595</v>
      </c>
      <c r="AB240" s="81"/>
      <c r="AC240" s="81"/>
      <c r="AD240" s="84" t="s">
        <v>1239</v>
      </c>
      <c r="AE240" s="82">
        <v>1</v>
      </c>
      <c r="AF240" s="83" t="str">
        <f>REPLACE(INDEX(GroupVertices[Group],MATCH(Edges[[#This Row],[Vertex 1]],GroupVertices[Vertex],0)),1,1,"")</f>
        <v>1</v>
      </c>
      <c r="AG240" s="83" t="str">
        <f>REPLACE(INDEX(GroupVertices[Group],MATCH(Edges[[#This Row],[Vertex 2]],GroupVertices[Vertex],0)),1,1,"")</f>
        <v>1</v>
      </c>
      <c r="AH240" s="111">
        <v>2</v>
      </c>
      <c r="AI240" s="112">
        <v>33.333333333333336</v>
      </c>
      <c r="AJ240" s="111">
        <v>0</v>
      </c>
      <c r="AK240" s="112">
        <v>0</v>
      </c>
      <c r="AL240" s="111">
        <v>0</v>
      </c>
      <c r="AM240" s="112">
        <v>0</v>
      </c>
      <c r="AN240" s="111">
        <v>4</v>
      </c>
      <c r="AO240" s="112">
        <v>66.66666666666667</v>
      </c>
      <c r="AP240" s="111">
        <v>6</v>
      </c>
    </row>
    <row r="241" spans="1:42" ht="15">
      <c r="A241" s="65" t="s">
        <v>501</v>
      </c>
      <c r="B241" s="65" t="s">
        <v>369</v>
      </c>
      <c r="C241" s="66" t="s">
        <v>2942</v>
      </c>
      <c r="D241" s="67">
        <v>3</v>
      </c>
      <c r="E241" s="68"/>
      <c r="F241" s="69">
        <v>40</v>
      </c>
      <c r="G241" s="66"/>
      <c r="H241" s="70"/>
      <c r="I241" s="71"/>
      <c r="J241" s="71"/>
      <c r="K241" s="35" t="s">
        <v>65</v>
      </c>
      <c r="L241" s="79">
        <v>241</v>
      </c>
      <c r="M241" s="79"/>
      <c r="N241" s="73"/>
      <c r="O241" s="81" t="s">
        <v>563</v>
      </c>
      <c r="P241" s="81" t="s">
        <v>325</v>
      </c>
      <c r="Q241" s="84" t="s">
        <v>802</v>
      </c>
      <c r="R241" s="81" t="s">
        <v>501</v>
      </c>
      <c r="S241" s="81" t="s">
        <v>1014</v>
      </c>
      <c r="T241" s="86" t="str">
        <f>HYPERLINK("http://www.youtube.com/channel/UCP6YGSaCdnBaF7dShuCR0aA")</f>
        <v>http://www.youtube.com/channel/UCP6YGSaCdnBaF7dShuCR0aA</v>
      </c>
      <c r="U241" s="81"/>
      <c r="V241" s="81" t="s">
        <v>1128</v>
      </c>
      <c r="W241" s="86" t="str">
        <f>HYPERLINK("https://www.youtube.com/watch?v=PC-PgkhpsNc")</f>
        <v>https://www.youtube.com/watch?v=PC-PgkhpsNc</v>
      </c>
      <c r="X241" s="81" t="s">
        <v>1183</v>
      </c>
      <c r="Y241" s="81">
        <v>0</v>
      </c>
      <c r="Z241" s="88">
        <v>43902.296956018516</v>
      </c>
      <c r="AA241" s="88">
        <v>43902.296956018516</v>
      </c>
      <c r="AB241" s="81"/>
      <c r="AC241" s="81"/>
      <c r="AD241" s="84" t="s">
        <v>1239</v>
      </c>
      <c r="AE241" s="82">
        <v>1</v>
      </c>
      <c r="AF241" s="83" t="str">
        <f>REPLACE(INDEX(GroupVertices[Group],MATCH(Edges[[#This Row],[Vertex 1]],GroupVertices[Vertex],0)),1,1,"")</f>
        <v>1</v>
      </c>
      <c r="AG241" s="83" t="str">
        <f>REPLACE(INDEX(GroupVertices[Group],MATCH(Edges[[#This Row],[Vertex 2]],GroupVertices[Vertex],0)),1,1,"")</f>
        <v>1</v>
      </c>
      <c r="AH241" s="111">
        <v>0</v>
      </c>
      <c r="AI241" s="112">
        <v>0</v>
      </c>
      <c r="AJ241" s="111">
        <v>0</v>
      </c>
      <c r="AK241" s="112">
        <v>0</v>
      </c>
      <c r="AL241" s="111">
        <v>0</v>
      </c>
      <c r="AM241" s="112">
        <v>0</v>
      </c>
      <c r="AN241" s="111">
        <v>6</v>
      </c>
      <c r="AO241" s="112">
        <v>100</v>
      </c>
      <c r="AP241" s="111">
        <v>6</v>
      </c>
    </row>
    <row r="242" spans="1:42" ht="15">
      <c r="A242" s="65" t="s">
        <v>502</v>
      </c>
      <c r="B242" s="65" t="s">
        <v>369</v>
      </c>
      <c r="C242" s="66" t="s">
        <v>2942</v>
      </c>
      <c r="D242" s="67">
        <v>3</v>
      </c>
      <c r="E242" s="68"/>
      <c r="F242" s="69">
        <v>40</v>
      </c>
      <c r="G242" s="66"/>
      <c r="H242" s="70"/>
      <c r="I242" s="71"/>
      <c r="J242" s="71"/>
      <c r="K242" s="35" t="s">
        <v>65</v>
      </c>
      <c r="L242" s="79">
        <v>242</v>
      </c>
      <c r="M242" s="79"/>
      <c r="N242" s="73"/>
      <c r="O242" s="81" t="s">
        <v>563</v>
      </c>
      <c r="P242" s="81" t="s">
        <v>325</v>
      </c>
      <c r="Q242" s="84" t="s">
        <v>803</v>
      </c>
      <c r="R242" s="81" t="s">
        <v>502</v>
      </c>
      <c r="S242" s="81" t="s">
        <v>1015</v>
      </c>
      <c r="T242" s="86" t="str">
        <f>HYPERLINK("http://www.youtube.com/channel/UCTESLPLt2_wAX3ltGs3w09w")</f>
        <v>http://www.youtube.com/channel/UCTESLPLt2_wAX3ltGs3w09w</v>
      </c>
      <c r="U242" s="81"/>
      <c r="V242" s="81" t="s">
        <v>1128</v>
      </c>
      <c r="W242" s="86" t="str">
        <f>HYPERLINK("https://www.youtube.com/watch?v=PC-PgkhpsNc")</f>
        <v>https://www.youtube.com/watch?v=PC-PgkhpsNc</v>
      </c>
      <c r="X242" s="81" t="s">
        <v>1183</v>
      </c>
      <c r="Y242" s="81">
        <v>0</v>
      </c>
      <c r="Z242" s="88">
        <v>43981.79383101852</v>
      </c>
      <c r="AA242" s="88">
        <v>43981.79383101852</v>
      </c>
      <c r="AB242" s="81"/>
      <c r="AC242" s="81"/>
      <c r="AD242" s="84" t="s">
        <v>1239</v>
      </c>
      <c r="AE242" s="82">
        <v>1</v>
      </c>
      <c r="AF242" s="83" t="str">
        <f>REPLACE(INDEX(GroupVertices[Group],MATCH(Edges[[#This Row],[Vertex 1]],GroupVertices[Vertex],0)),1,1,"")</f>
        <v>1</v>
      </c>
      <c r="AG242" s="83" t="str">
        <f>REPLACE(INDEX(GroupVertices[Group],MATCH(Edges[[#This Row],[Vertex 2]],GroupVertices[Vertex],0)),1,1,"")</f>
        <v>1</v>
      </c>
      <c r="AH242" s="111">
        <v>1</v>
      </c>
      <c r="AI242" s="112">
        <v>20</v>
      </c>
      <c r="AJ242" s="111">
        <v>0</v>
      </c>
      <c r="AK242" s="112">
        <v>0</v>
      </c>
      <c r="AL242" s="111">
        <v>0</v>
      </c>
      <c r="AM242" s="112">
        <v>0</v>
      </c>
      <c r="AN242" s="111">
        <v>4</v>
      </c>
      <c r="AO242" s="112">
        <v>80</v>
      </c>
      <c r="AP242" s="111">
        <v>5</v>
      </c>
    </row>
    <row r="243" spans="1:42" ht="15">
      <c r="A243" s="65" t="s">
        <v>369</v>
      </c>
      <c r="B243" s="65" t="s">
        <v>503</v>
      </c>
      <c r="C243" s="66" t="s">
        <v>2942</v>
      </c>
      <c r="D243" s="67">
        <v>3</v>
      </c>
      <c r="E243" s="68"/>
      <c r="F243" s="69">
        <v>40</v>
      </c>
      <c r="G243" s="66"/>
      <c r="H243" s="70"/>
      <c r="I243" s="71"/>
      <c r="J243" s="71"/>
      <c r="K243" s="35" t="s">
        <v>66</v>
      </c>
      <c r="L243" s="79">
        <v>243</v>
      </c>
      <c r="M243" s="79"/>
      <c r="N243" s="73"/>
      <c r="O243" s="81" t="s">
        <v>564</v>
      </c>
      <c r="P243" s="81" t="s">
        <v>566</v>
      </c>
      <c r="Q243" s="84" t="s">
        <v>804</v>
      </c>
      <c r="R243" s="81" t="s">
        <v>369</v>
      </c>
      <c r="S243" s="81" t="s">
        <v>882</v>
      </c>
      <c r="T243" s="86" t="str">
        <f>HYPERLINK("http://www.youtube.com/channel/UCerAw4EfTOnYYxLLPZAzMxQ")</f>
        <v>http://www.youtube.com/channel/UCerAw4EfTOnYYxLLPZAzMxQ</v>
      </c>
      <c r="U243" s="81" t="s">
        <v>1084</v>
      </c>
      <c r="V243" s="81" t="s">
        <v>1128</v>
      </c>
      <c r="W243" s="86" t="str">
        <f>HYPERLINK("https://www.youtube.com/watch?v=PC-PgkhpsNc")</f>
        <v>https://www.youtube.com/watch?v=PC-PgkhpsNc</v>
      </c>
      <c r="X243" s="81" t="s">
        <v>1183</v>
      </c>
      <c r="Y243" s="81">
        <v>1</v>
      </c>
      <c r="Z243" s="88">
        <v>44155.008726851855</v>
      </c>
      <c r="AA243" s="88">
        <v>44155.008726851855</v>
      </c>
      <c r="AB243" s="81"/>
      <c r="AC243" s="81"/>
      <c r="AD243" s="84" t="s">
        <v>1239</v>
      </c>
      <c r="AE243" s="82">
        <v>1</v>
      </c>
      <c r="AF243" s="83" t="str">
        <f>REPLACE(INDEX(GroupVertices[Group],MATCH(Edges[[#This Row],[Vertex 1]],GroupVertices[Vertex],0)),1,1,"")</f>
        <v>1</v>
      </c>
      <c r="AG243" s="83" t="str">
        <f>REPLACE(INDEX(GroupVertices[Group],MATCH(Edges[[#This Row],[Vertex 2]],GroupVertices[Vertex],0)),1,1,"")</f>
        <v>1</v>
      </c>
      <c r="AH243" s="111">
        <v>0</v>
      </c>
      <c r="AI243" s="112">
        <v>0</v>
      </c>
      <c r="AJ243" s="111">
        <v>0</v>
      </c>
      <c r="AK243" s="112">
        <v>0</v>
      </c>
      <c r="AL243" s="111">
        <v>0</v>
      </c>
      <c r="AM243" s="112">
        <v>0</v>
      </c>
      <c r="AN243" s="111">
        <v>9</v>
      </c>
      <c r="AO243" s="112">
        <v>100</v>
      </c>
      <c r="AP243" s="111">
        <v>9</v>
      </c>
    </row>
    <row r="244" spans="1:42" ht="15">
      <c r="A244" s="65" t="s">
        <v>503</v>
      </c>
      <c r="B244" s="65" t="s">
        <v>503</v>
      </c>
      <c r="C244" s="66" t="s">
        <v>2942</v>
      </c>
      <c r="D244" s="67">
        <v>3</v>
      </c>
      <c r="E244" s="68"/>
      <c r="F244" s="69">
        <v>40</v>
      </c>
      <c r="G244" s="66"/>
      <c r="H244" s="70"/>
      <c r="I244" s="71"/>
      <c r="J244" s="71"/>
      <c r="K244" s="35" t="s">
        <v>65</v>
      </c>
      <c r="L244" s="79">
        <v>244</v>
      </c>
      <c r="M244" s="79"/>
      <c r="N244" s="73"/>
      <c r="O244" s="81" t="s">
        <v>564</v>
      </c>
      <c r="P244" s="81" t="s">
        <v>566</v>
      </c>
      <c r="Q244" s="84" t="s">
        <v>805</v>
      </c>
      <c r="R244" s="81" t="s">
        <v>503</v>
      </c>
      <c r="S244" s="81" t="s">
        <v>1016</v>
      </c>
      <c r="T244" s="86" t="str">
        <f>HYPERLINK("http://www.youtube.com/channel/UCshNH5WXvJ70zeeJkMv6jbQ")</f>
        <v>http://www.youtube.com/channel/UCshNH5WXvJ70zeeJkMv6jbQ</v>
      </c>
      <c r="U244" s="81" t="s">
        <v>1084</v>
      </c>
      <c r="V244" s="81" t="s">
        <v>1128</v>
      </c>
      <c r="W244" s="86" t="str">
        <f>HYPERLINK("https://www.youtube.com/watch?v=PC-PgkhpsNc")</f>
        <v>https://www.youtube.com/watch?v=PC-PgkhpsNc</v>
      </c>
      <c r="X244" s="81" t="s">
        <v>1183</v>
      </c>
      <c r="Y244" s="81">
        <v>0</v>
      </c>
      <c r="Z244" s="88">
        <v>44155.05331018518</v>
      </c>
      <c r="AA244" s="88">
        <v>44155.05331018518</v>
      </c>
      <c r="AB244" s="81"/>
      <c r="AC244" s="81"/>
      <c r="AD244" s="84" t="s">
        <v>1239</v>
      </c>
      <c r="AE244" s="82">
        <v>1</v>
      </c>
      <c r="AF244" s="83" t="str">
        <f>REPLACE(INDEX(GroupVertices[Group],MATCH(Edges[[#This Row],[Vertex 1]],GroupVertices[Vertex],0)),1,1,"")</f>
        <v>1</v>
      </c>
      <c r="AG244" s="83" t="str">
        <f>REPLACE(INDEX(GroupVertices[Group],MATCH(Edges[[#This Row],[Vertex 2]],GroupVertices[Vertex],0)),1,1,"")</f>
        <v>1</v>
      </c>
      <c r="AH244" s="111">
        <v>2</v>
      </c>
      <c r="AI244" s="112">
        <v>5.555555555555555</v>
      </c>
      <c r="AJ244" s="111">
        <v>0</v>
      </c>
      <c r="AK244" s="112">
        <v>0</v>
      </c>
      <c r="AL244" s="111">
        <v>0</v>
      </c>
      <c r="AM244" s="112">
        <v>0</v>
      </c>
      <c r="AN244" s="111">
        <v>34</v>
      </c>
      <c r="AO244" s="112">
        <v>94.44444444444444</v>
      </c>
      <c r="AP244" s="111">
        <v>36</v>
      </c>
    </row>
    <row r="245" spans="1:42" ht="15">
      <c r="A245" s="65" t="s">
        <v>503</v>
      </c>
      <c r="B245" s="65" t="s">
        <v>369</v>
      </c>
      <c r="C245" s="66" t="s">
        <v>2942</v>
      </c>
      <c r="D245" s="67">
        <v>3</v>
      </c>
      <c r="E245" s="68"/>
      <c r="F245" s="69">
        <v>40</v>
      </c>
      <c r="G245" s="66"/>
      <c r="H245" s="70"/>
      <c r="I245" s="71"/>
      <c r="J245" s="71"/>
      <c r="K245" s="35" t="s">
        <v>66</v>
      </c>
      <c r="L245" s="79">
        <v>245</v>
      </c>
      <c r="M245" s="79"/>
      <c r="N245" s="73"/>
      <c r="O245" s="81" t="s">
        <v>563</v>
      </c>
      <c r="P245" s="81" t="s">
        <v>325</v>
      </c>
      <c r="Q245" s="84" t="s">
        <v>806</v>
      </c>
      <c r="R245" s="81" t="s">
        <v>503</v>
      </c>
      <c r="S245" s="81" t="s">
        <v>1016</v>
      </c>
      <c r="T245" s="86" t="str">
        <f>HYPERLINK("http://www.youtube.com/channel/UCshNH5WXvJ70zeeJkMv6jbQ")</f>
        <v>http://www.youtube.com/channel/UCshNH5WXvJ70zeeJkMv6jbQ</v>
      </c>
      <c r="U245" s="81"/>
      <c r="V245" s="81" t="s">
        <v>1128</v>
      </c>
      <c r="W245" s="86" t="str">
        <f>HYPERLINK("https://www.youtube.com/watch?v=PC-PgkhpsNc")</f>
        <v>https://www.youtube.com/watch?v=PC-PgkhpsNc</v>
      </c>
      <c r="X245" s="81" t="s">
        <v>1183</v>
      </c>
      <c r="Y245" s="81">
        <v>0</v>
      </c>
      <c r="Z245" s="88">
        <v>44155.00377314815</v>
      </c>
      <c r="AA245" s="88">
        <v>44155.00377314815</v>
      </c>
      <c r="AB245" s="81"/>
      <c r="AC245" s="81"/>
      <c r="AD245" s="84" t="s">
        <v>1239</v>
      </c>
      <c r="AE245" s="82">
        <v>1</v>
      </c>
      <c r="AF245" s="83" t="str">
        <f>REPLACE(INDEX(GroupVertices[Group],MATCH(Edges[[#This Row],[Vertex 1]],GroupVertices[Vertex],0)),1,1,"")</f>
        <v>1</v>
      </c>
      <c r="AG245" s="83" t="str">
        <f>REPLACE(INDEX(GroupVertices[Group],MATCH(Edges[[#This Row],[Vertex 2]],GroupVertices[Vertex],0)),1,1,"")</f>
        <v>1</v>
      </c>
      <c r="AH245" s="111">
        <v>0</v>
      </c>
      <c r="AI245" s="112">
        <v>0</v>
      </c>
      <c r="AJ245" s="111">
        <v>0</v>
      </c>
      <c r="AK245" s="112">
        <v>0</v>
      </c>
      <c r="AL245" s="111">
        <v>0</v>
      </c>
      <c r="AM245" s="112">
        <v>0</v>
      </c>
      <c r="AN245" s="111">
        <v>15</v>
      </c>
      <c r="AO245" s="112">
        <v>100</v>
      </c>
      <c r="AP245" s="111">
        <v>15</v>
      </c>
    </row>
    <row r="246" spans="1:42" ht="15">
      <c r="A246" s="65" t="s">
        <v>504</v>
      </c>
      <c r="B246" s="65" t="s">
        <v>369</v>
      </c>
      <c r="C246" s="66" t="s">
        <v>2942</v>
      </c>
      <c r="D246" s="67">
        <v>3</v>
      </c>
      <c r="E246" s="68"/>
      <c r="F246" s="69">
        <v>40</v>
      </c>
      <c r="G246" s="66"/>
      <c r="H246" s="70"/>
      <c r="I246" s="71"/>
      <c r="J246" s="71"/>
      <c r="K246" s="35" t="s">
        <v>65</v>
      </c>
      <c r="L246" s="79">
        <v>246</v>
      </c>
      <c r="M246" s="79"/>
      <c r="N246" s="73"/>
      <c r="O246" s="81" t="s">
        <v>563</v>
      </c>
      <c r="P246" s="81" t="s">
        <v>325</v>
      </c>
      <c r="Q246" s="84" t="s">
        <v>807</v>
      </c>
      <c r="R246" s="81" t="s">
        <v>504</v>
      </c>
      <c r="S246" s="81" t="s">
        <v>1017</v>
      </c>
      <c r="T246" s="86" t="str">
        <f>HYPERLINK("http://www.youtube.com/channel/UCeVaJ_1m9gMXcDFX9d1YtXQ")</f>
        <v>http://www.youtube.com/channel/UCeVaJ_1m9gMXcDFX9d1YtXQ</v>
      </c>
      <c r="U246" s="81"/>
      <c r="V246" s="81" t="s">
        <v>1128</v>
      </c>
      <c r="W246" s="86" t="str">
        <f>HYPERLINK("https://www.youtube.com/watch?v=PC-PgkhpsNc")</f>
        <v>https://www.youtube.com/watch?v=PC-PgkhpsNc</v>
      </c>
      <c r="X246" s="81" t="s">
        <v>1183</v>
      </c>
      <c r="Y246" s="81">
        <v>2</v>
      </c>
      <c r="Z246" s="88">
        <v>44222.65709490741</v>
      </c>
      <c r="AA246" s="88">
        <v>44222.65709490741</v>
      </c>
      <c r="AB246" s="81"/>
      <c r="AC246" s="81"/>
      <c r="AD246" s="84" t="s">
        <v>1239</v>
      </c>
      <c r="AE246" s="82">
        <v>1</v>
      </c>
      <c r="AF246" s="83" t="str">
        <f>REPLACE(INDEX(GroupVertices[Group],MATCH(Edges[[#This Row],[Vertex 1]],GroupVertices[Vertex],0)),1,1,"")</f>
        <v>1</v>
      </c>
      <c r="AG246" s="83" t="str">
        <f>REPLACE(INDEX(GroupVertices[Group],MATCH(Edges[[#This Row],[Vertex 2]],GroupVertices[Vertex],0)),1,1,"")</f>
        <v>1</v>
      </c>
      <c r="AH246" s="111">
        <v>0</v>
      </c>
      <c r="AI246" s="112">
        <v>0</v>
      </c>
      <c r="AJ246" s="111">
        <v>0</v>
      </c>
      <c r="AK246" s="112">
        <v>0</v>
      </c>
      <c r="AL246" s="111">
        <v>0</v>
      </c>
      <c r="AM246" s="112">
        <v>0</v>
      </c>
      <c r="AN246" s="111">
        <v>12</v>
      </c>
      <c r="AO246" s="112">
        <v>100</v>
      </c>
      <c r="AP246" s="111">
        <v>12</v>
      </c>
    </row>
    <row r="247" spans="1:42" ht="15">
      <c r="A247" s="65" t="s">
        <v>369</v>
      </c>
      <c r="B247" s="65" t="s">
        <v>505</v>
      </c>
      <c r="C247" s="66" t="s">
        <v>2942</v>
      </c>
      <c r="D247" s="67">
        <v>3</v>
      </c>
      <c r="E247" s="68"/>
      <c r="F247" s="69">
        <v>40</v>
      </c>
      <c r="G247" s="66"/>
      <c r="H247" s="70"/>
      <c r="I247" s="71"/>
      <c r="J247" s="71"/>
      <c r="K247" s="35" t="s">
        <v>66</v>
      </c>
      <c r="L247" s="79">
        <v>247</v>
      </c>
      <c r="M247" s="79"/>
      <c r="N247" s="73"/>
      <c r="O247" s="81" t="s">
        <v>564</v>
      </c>
      <c r="P247" s="81" t="s">
        <v>566</v>
      </c>
      <c r="Q247" s="84" t="s">
        <v>808</v>
      </c>
      <c r="R247" s="81" t="s">
        <v>369</v>
      </c>
      <c r="S247" s="81" t="s">
        <v>882</v>
      </c>
      <c r="T247" s="86" t="str">
        <f>HYPERLINK("http://www.youtube.com/channel/UCerAw4EfTOnYYxLLPZAzMxQ")</f>
        <v>http://www.youtube.com/channel/UCerAw4EfTOnYYxLLPZAzMxQ</v>
      </c>
      <c r="U247" s="81" t="s">
        <v>1085</v>
      </c>
      <c r="V247" s="81" t="s">
        <v>1128</v>
      </c>
      <c r="W247" s="86" t="str">
        <f>HYPERLINK("https://www.youtube.com/watch?v=PC-PgkhpsNc")</f>
        <v>https://www.youtube.com/watch?v=PC-PgkhpsNc</v>
      </c>
      <c r="X247" s="81" t="s">
        <v>1183</v>
      </c>
      <c r="Y247" s="81">
        <v>0</v>
      </c>
      <c r="Z247" s="88">
        <v>44234.891076388885</v>
      </c>
      <c r="AA247" s="88">
        <v>44234.891076388885</v>
      </c>
      <c r="AB247" s="81" t="s">
        <v>1190</v>
      </c>
      <c r="AC247" s="81" t="s">
        <v>1224</v>
      </c>
      <c r="AD247" s="84" t="s">
        <v>1239</v>
      </c>
      <c r="AE247" s="82">
        <v>1</v>
      </c>
      <c r="AF247" s="83" t="str">
        <f>REPLACE(INDEX(GroupVertices[Group],MATCH(Edges[[#This Row],[Vertex 1]],GroupVertices[Vertex],0)),1,1,"")</f>
        <v>1</v>
      </c>
      <c r="AG247" s="83" t="str">
        <f>REPLACE(INDEX(GroupVertices[Group],MATCH(Edges[[#This Row],[Vertex 2]],GroupVertices[Vertex],0)),1,1,"")</f>
        <v>1</v>
      </c>
      <c r="AH247" s="111">
        <v>3</v>
      </c>
      <c r="AI247" s="112">
        <v>2.608695652173913</v>
      </c>
      <c r="AJ247" s="111">
        <v>0</v>
      </c>
      <c r="AK247" s="112">
        <v>0</v>
      </c>
      <c r="AL247" s="111">
        <v>0</v>
      </c>
      <c r="AM247" s="112">
        <v>0</v>
      </c>
      <c r="AN247" s="111">
        <v>112</v>
      </c>
      <c r="AO247" s="112">
        <v>97.3913043478261</v>
      </c>
      <c r="AP247" s="111">
        <v>115</v>
      </c>
    </row>
    <row r="248" spans="1:42" ht="15">
      <c r="A248" s="65" t="s">
        <v>505</v>
      </c>
      <c r="B248" s="65" t="s">
        <v>369</v>
      </c>
      <c r="C248" s="66" t="s">
        <v>2942</v>
      </c>
      <c r="D248" s="67">
        <v>3</v>
      </c>
      <c r="E248" s="68"/>
      <c r="F248" s="69">
        <v>40</v>
      </c>
      <c r="G248" s="66"/>
      <c r="H248" s="70"/>
      <c r="I248" s="71"/>
      <c r="J248" s="71"/>
      <c r="K248" s="35" t="s">
        <v>66</v>
      </c>
      <c r="L248" s="79">
        <v>248</v>
      </c>
      <c r="M248" s="79"/>
      <c r="N248" s="73"/>
      <c r="O248" s="81" t="s">
        <v>563</v>
      </c>
      <c r="P248" s="81" t="s">
        <v>325</v>
      </c>
      <c r="Q248" s="84" t="s">
        <v>809</v>
      </c>
      <c r="R248" s="81" t="s">
        <v>505</v>
      </c>
      <c r="S248" s="81" t="s">
        <v>1018</v>
      </c>
      <c r="T248" s="86" t="str">
        <f>HYPERLINK("http://www.youtube.com/channel/UChq3AzwSatOknzk3fglc94w")</f>
        <v>http://www.youtube.com/channel/UChq3AzwSatOknzk3fglc94w</v>
      </c>
      <c r="U248" s="81"/>
      <c r="V248" s="81" t="s">
        <v>1128</v>
      </c>
      <c r="W248" s="86" t="str">
        <f>HYPERLINK("https://www.youtube.com/watch?v=PC-PgkhpsNc")</f>
        <v>https://www.youtube.com/watch?v=PC-PgkhpsNc</v>
      </c>
      <c r="X248" s="81" t="s">
        <v>1183</v>
      </c>
      <c r="Y248" s="81">
        <v>0</v>
      </c>
      <c r="Z248" s="88">
        <v>44234.852951388886</v>
      </c>
      <c r="AA248" s="88">
        <v>44234.852951388886</v>
      </c>
      <c r="AB248" s="81"/>
      <c r="AC248" s="81"/>
      <c r="AD248" s="84" t="s">
        <v>1239</v>
      </c>
      <c r="AE248" s="82">
        <v>1</v>
      </c>
      <c r="AF248" s="83" t="str">
        <f>REPLACE(INDEX(GroupVertices[Group],MATCH(Edges[[#This Row],[Vertex 1]],GroupVertices[Vertex],0)),1,1,"")</f>
        <v>1</v>
      </c>
      <c r="AG248" s="83" t="str">
        <f>REPLACE(INDEX(GroupVertices[Group],MATCH(Edges[[#This Row],[Vertex 2]],GroupVertices[Vertex],0)),1,1,"")</f>
        <v>1</v>
      </c>
      <c r="AH248" s="111">
        <v>0</v>
      </c>
      <c r="AI248" s="112">
        <v>0</v>
      </c>
      <c r="AJ248" s="111">
        <v>1</v>
      </c>
      <c r="AK248" s="112">
        <v>2.5641025641025643</v>
      </c>
      <c r="AL248" s="111">
        <v>0</v>
      </c>
      <c r="AM248" s="112">
        <v>0</v>
      </c>
      <c r="AN248" s="111">
        <v>38</v>
      </c>
      <c r="AO248" s="112">
        <v>97.43589743589743</v>
      </c>
      <c r="AP248" s="111">
        <v>39</v>
      </c>
    </row>
    <row r="249" spans="1:42" ht="15">
      <c r="A249" s="65" t="s">
        <v>506</v>
      </c>
      <c r="B249" s="65" t="s">
        <v>369</v>
      </c>
      <c r="C249" s="66" t="s">
        <v>2942</v>
      </c>
      <c r="D249" s="67">
        <v>3</v>
      </c>
      <c r="E249" s="68"/>
      <c r="F249" s="69">
        <v>40</v>
      </c>
      <c r="G249" s="66"/>
      <c r="H249" s="70"/>
      <c r="I249" s="71"/>
      <c r="J249" s="71"/>
      <c r="K249" s="35" t="s">
        <v>65</v>
      </c>
      <c r="L249" s="79">
        <v>249</v>
      </c>
      <c r="M249" s="79"/>
      <c r="N249" s="73"/>
      <c r="O249" s="81" t="s">
        <v>563</v>
      </c>
      <c r="P249" s="81" t="s">
        <v>325</v>
      </c>
      <c r="Q249" s="84" t="s">
        <v>810</v>
      </c>
      <c r="R249" s="81" t="s">
        <v>506</v>
      </c>
      <c r="S249" s="81" t="s">
        <v>1019</v>
      </c>
      <c r="T249" s="86" t="str">
        <f>HYPERLINK("http://www.youtube.com/channel/UCr0Eclqtwor1N3uAYG0Z3rw")</f>
        <v>http://www.youtube.com/channel/UCr0Eclqtwor1N3uAYG0Z3rw</v>
      </c>
      <c r="U249" s="81"/>
      <c r="V249" s="81" t="s">
        <v>1128</v>
      </c>
      <c r="W249" s="86" t="str">
        <f>HYPERLINK("https://www.youtube.com/watch?v=PC-PgkhpsNc")</f>
        <v>https://www.youtube.com/watch?v=PC-PgkhpsNc</v>
      </c>
      <c r="X249" s="81" t="s">
        <v>1183</v>
      </c>
      <c r="Y249" s="81">
        <v>0</v>
      </c>
      <c r="Z249" s="88">
        <v>44568.13930555555</v>
      </c>
      <c r="AA249" s="88">
        <v>44568.13930555555</v>
      </c>
      <c r="AB249" s="81"/>
      <c r="AC249" s="81"/>
      <c r="AD249" s="84" t="s">
        <v>1239</v>
      </c>
      <c r="AE249" s="82">
        <v>1</v>
      </c>
      <c r="AF249" s="83" t="str">
        <f>REPLACE(INDEX(GroupVertices[Group],MATCH(Edges[[#This Row],[Vertex 1]],GroupVertices[Vertex],0)),1,1,"")</f>
        <v>1</v>
      </c>
      <c r="AG249" s="83" t="str">
        <f>REPLACE(INDEX(GroupVertices[Group],MATCH(Edges[[#This Row],[Vertex 2]],GroupVertices[Vertex],0)),1,1,"")</f>
        <v>1</v>
      </c>
      <c r="AH249" s="111">
        <v>2</v>
      </c>
      <c r="AI249" s="112">
        <v>18.181818181818183</v>
      </c>
      <c r="AJ249" s="111">
        <v>0</v>
      </c>
      <c r="AK249" s="112">
        <v>0</v>
      </c>
      <c r="AL249" s="111">
        <v>0</v>
      </c>
      <c r="AM249" s="112">
        <v>0</v>
      </c>
      <c r="AN249" s="111">
        <v>9</v>
      </c>
      <c r="AO249" s="112">
        <v>81.81818181818181</v>
      </c>
      <c r="AP249" s="111">
        <v>11</v>
      </c>
    </row>
    <row r="250" spans="1:42" ht="15">
      <c r="A250" s="65" t="s">
        <v>507</v>
      </c>
      <c r="B250" s="65" t="s">
        <v>369</v>
      </c>
      <c r="C250" s="66" t="s">
        <v>2942</v>
      </c>
      <c r="D250" s="67">
        <v>3</v>
      </c>
      <c r="E250" s="68"/>
      <c r="F250" s="69">
        <v>40</v>
      </c>
      <c r="G250" s="66"/>
      <c r="H250" s="70"/>
      <c r="I250" s="71"/>
      <c r="J250" s="71"/>
      <c r="K250" s="35" t="s">
        <v>65</v>
      </c>
      <c r="L250" s="79">
        <v>250</v>
      </c>
      <c r="M250" s="79"/>
      <c r="N250" s="73"/>
      <c r="O250" s="81" t="s">
        <v>563</v>
      </c>
      <c r="P250" s="81" t="s">
        <v>325</v>
      </c>
      <c r="Q250" s="84" t="s">
        <v>811</v>
      </c>
      <c r="R250" s="81" t="s">
        <v>507</v>
      </c>
      <c r="S250" s="81" t="s">
        <v>1020</v>
      </c>
      <c r="T250" s="86" t="str">
        <f>HYPERLINK("http://www.youtube.com/channel/UC2uIoW3cCj7GB3UTuEDLV1w")</f>
        <v>http://www.youtube.com/channel/UC2uIoW3cCj7GB3UTuEDLV1w</v>
      </c>
      <c r="U250" s="81"/>
      <c r="V250" s="81" t="s">
        <v>1128</v>
      </c>
      <c r="W250" s="86" t="str">
        <f>HYPERLINK("https://www.youtube.com/watch?v=PC-PgkhpsNc")</f>
        <v>https://www.youtube.com/watch?v=PC-PgkhpsNc</v>
      </c>
      <c r="X250" s="81" t="s">
        <v>1183</v>
      </c>
      <c r="Y250" s="81">
        <v>0</v>
      </c>
      <c r="Z250" s="88">
        <v>44695.19590277778</v>
      </c>
      <c r="AA250" s="88">
        <v>44695.19590277778</v>
      </c>
      <c r="AB250" s="81"/>
      <c r="AC250" s="81"/>
      <c r="AD250" s="84" t="s">
        <v>1239</v>
      </c>
      <c r="AE250" s="82">
        <v>1</v>
      </c>
      <c r="AF250" s="83" t="str">
        <f>REPLACE(INDEX(GroupVertices[Group],MATCH(Edges[[#This Row],[Vertex 1]],GroupVertices[Vertex],0)),1,1,"")</f>
        <v>1</v>
      </c>
      <c r="AG250" s="83" t="str">
        <f>REPLACE(INDEX(GroupVertices[Group],MATCH(Edges[[#This Row],[Vertex 2]],GroupVertices[Vertex],0)),1,1,"")</f>
        <v>1</v>
      </c>
      <c r="AH250" s="111">
        <v>2</v>
      </c>
      <c r="AI250" s="112">
        <v>11.764705882352942</v>
      </c>
      <c r="AJ250" s="111">
        <v>0</v>
      </c>
      <c r="AK250" s="112">
        <v>0</v>
      </c>
      <c r="AL250" s="111">
        <v>0</v>
      </c>
      <c r="AM250" s="112">
        <v>0</v>
      </c>
      <c r="AN250" s="111">
        <v>15</v>
      </c>
      <c r="AO250" s="112">
        <v>88.23529411764706</v>
      </c>
      <c r="AP250" s="111">
        <v>17</v>
      </c>
    </row>
    <row r="251" spans="1:42" ht="15">
      <c r="A251" s="65" t="s">
        <v>508</v>
      </c>
      <c r="B251" s="65" t="s">
        <v>561</v>
      </c>
      <c r="C251" s="66" t="s">
        <v>2942</v>
      </c>
      <c r="D251" s="67">
        <v>3</v>
      </c>
      <c r="E251" s="68"/>
      <c r="F251" s="69">
        <v>40</v>
      </c>
      <c r="G251" s="66"/>
      <c r="H251" s="70"/>
      <c r="I251" s="71"/>
      <c r="J251" s="71"/>
      <c r="K251" s="35" t="s">
        <v>65</v>
      </c>
      <c r="L251" s="79">
        <v>251</v>
      </c>
      <c r="M251" s="79"/>
      <c r="N251" s="73"/>
      <c r="O251" s="81" t="s">
        <v>563</v>
      </c>
      <c r="P251" s="81" t="s">
        <v>325</v>
      </c>
      <c r="Q251" s="84" t="s">
        <v>812</v>
      </c>
      <c r="R251" s="81" t="s">
        <v>508</v>
      </c>
      <c r="S251" s="81" t="s">
        <v>1021</v>
      </c>
      <c r="T251" s="86" t="str">
        <f>HYPERLINK("http://www.youtube.com/channel/UCsq8SXE8cep1LI_Y8XfL4jg")</f>
        <v>http://www.youtube.com/channel/UCsq8SXE8cep1LI_Y8XfL4jg</v>
      </c>
      <c r="U251" s="81"/>
      <c r="V251" s="81" t="s">
        <v>1130</v>
      </c>
      <c r="W251" s="86" t="str">
        <f>HYPERLINK("https://www.youtube.com/watch?v=pwsImFyc0lE")</f>
        <v>https://www.youtube.com/watch?v=pwsImFyc0lE</v>
      </c>
      <c r="X251" s="81" t="s">
        <v>1183</v>
      </c>
      <c r="Y251" s="81">
        <v>0</v>
      </c>
      <c r="Z251" s="88">
        <v>41017.78212962963</v>
      </c>
      <c r="AA251" s="88">
        <v>41017.78212962963</v>
      </c>
      <c r="AB251" s="81"/>
      <c r="AC251" s="81"/>
      <c r="AD251" s="84" t="s">
        <v>1239</v>
      </c>
      <c r="AE251" s="82">
        <v>1</v>
      </c>
      <c r="AF251" s="83" t="str">
        <f>REPLACE(INDEX(GroupVertices[Group],MATCH(Edges[[#This Row],[Vertex 1]],GroupVertices[Vertex],0)),1,1,"")</f>
        <v>3</v>
      </c>
      <c r="AG251" s="83" t="str">
        <f>REPLACE(INDEX(GroupVertices[Group],MATCH(Edges[[#This Row],[Vertex 2]],GroupVertices[Vertex],0)),1,1,"")</f>
        <v>3</v>
      </c>
      <c r="AH251" s="111">
        <v>1</v>
      </c>
      <c r="AI251" s="112">
        <v>7.142857142857143</v>
      </c>
      <c r="AJ251" s="111">
        <v>0</v>
      </c>
      <c r="AK251" s="112">
        <v>0</v>
      </c>
      <c r="AL251" s="111">
        <v>0</v>
      </c>
      <c r="AM251" s="112">
        <v>0</v>
      </c>
      <c r="AN251" s="111">
        <v>13</v>
      </c>
      <c r="AO251" s="112">
        <v>92.85714285714286</v>
      </c>
      <c r="AP251" s="111">
        <v>14</v>
      </c>
    </row>
    <row r="252" spans="1:42" ht="15">
      <c r="A252" s="65" t="s">
        <v>509</v>
      </c>
      <c r="B252" s="65" t="s">
        <v>450</v>
      </c>
      <c r="C252" s="66" t="s">
        <v>2942</v>
      </c>
      <c r="D252" s="67">
        <v>3</v>
      </c>
      <c r="E252" s="68"/>
      <c r="F252" s="69">
        <v>40</v>
      </c>
      <c r="G252" s="66"/>
      <c r="H252" s="70"/>
      <c r="I252" s="71"/>
      <c r="J252" s="71"/>
      <c r="K252" s="35" t="s">
        <v>65</v>
      </c>
      <c r="L252" s="79">
        <v>252</v>
      </c>
      <c r="M252" s="79"/>
      <c r="N252" s="73"/>
      <c r="O252" s="81" t="s">
        <v>563</v>
      </c>
      <c r="P252" s="81" t="s">
        <v>325</v>
      </c>
      <c r="Q252" s="84" t="s">
        <v>813</v>
      </c>
      <c r="R252" s="81" t="s">
        <v>509</v>
      </c>
      <c r="S252" s="81" t="s">
        <v>1022</v>
      </c>
      <c r="T252" s="86" t="str">
        <f>HYPERLINK("http://www.youtube.com/channel/UC6JkDblmdOQF2NFTBJ5_4Ng")</f>
        <v>http://www.youtube.com/channel/UC6JkDblmdOQF2NFTBJ5_4Ng</v>
      </c>
      <c r="U252" s="81"/>
      <c r="V252" s="81" t="s">
        <v>1121</v>
      </c>
      <c r="W252" s="86" t="str">
        <f>HYPERLINK("https://www.youtube.com/watch?v=xKhYGRpbwOc")</f>
        <v>https://www.youtube.com/watch?v=xKhYGRpbwOc</v>
      </c>
      <c r="X252" s="81" t="s">
        <v>1183</v>
      </c>
      <c r="Y252" s="81">
        <v>0</v>
      </c>
      <c r="Z252" s="88">
        <v>41658.42018518518</v>
      </c>
      <c r="AA252" s="88">
        <v>41658.42018518518</v>
      </c>
      <c r="AB252" s="81"/>
      <c r="AC252" s="81"/>
      <c r="AD252" s="84" t="s">
        <v>1239</v>
      </c>
      <c r="AE252" s="82">
        <v>1</v>
      </c>
      <c r="AF252" s="83" t="str">
        <f>REPLACE(INDEX(GroupVertices[Group],MATCH(Edges[[#This Row],[Vertex 1]],GroupVertices[Vertex],0)),1,1,"")</f>
        <v>6</v>
      </c>
      <c r="AG252" s="83" t="str">
        <f>REPLACE(INDEX(GroupVertices[Group],MATCH(Edges[[#This Row],[Vertex 2]],GroupVertices[Vertex],0)),1,1,"")</f>
        <v>6</v>
      </c>
      <c r="AH252" s="111">
        <v>1</v>
      </c>
      <c r="AI252" s="112">
        <v>20</v>
      </c>
      <c r="AJ252" s="111">
        <v>0</v>
      </c>
      <c r="AK252" s="112">
        <v>0</v>
      </c>
      <c r="AL252" s="111">
        <v>0</v>
      </c>
      <c r="AM252" s="112">
        <v>0</v>
      </c>
      <c r="AN252" s="111">
        <v>4</v>
      </c>
      <c r="AO252" s="112">
        <v>80</v>
      </c>
      <c r="AP252" s="111">
        <v>5</v>
      </c>
    </row>
    <row r="253" spans="1:42" ht="15">
      <c r="A253" s="65" t="s">
        <v>509</v>
      </c>
      <c r="B253" s="65" t="s">
        <v>561</v>
      </c>
      <c r="C253" s="66" t="s">
        <v>2942</v>
      </c>
      <c r="D253" s="67">
        <v>3</v>
      </c>
      <c r="E253" s="68"/>
      <c r="F253" s="69">
        <v>40</v>
      </c>
      <c r="G253" s="66"/>
      <c r="H253" s="70"/>
      <c r="I253" s="71"/>
      <c r="J253" s="71"/>
      <c r="K253" s="35" t="s">
        <v>65</v>
      </c>
      <c r="L253" s="79">
        <v>253</v>
      </c>
      <c r="M253" s="79"/>
      <c r="N253" s="73"/>
      <c r="O253" s="81" t="s">
        <v>563</v>
      </c>
      <c r="P253" s="81" t="s">
        <v>325</v>
      </c>
      <c r="Q253" s="84" t="s">
        <v>814</v>
      </c>
      <c r="R253" s="81" t="s">
        <v>509</v>
      </c>
      <c r="S253" s="81" t="s">
        <v>1022</v>
      </c>
      <c r="T253" s="86" t="str">
        <f>HYPERLINK("http://www.youtube.com/channel/UC6JkDblmdOQF2NFTBJ5_4Ng")</f>
        <v>http://www.youtube.com/channel/UC6JkDblmdOQF2NFTBJ5_4Ng</v>
      </c>
      <c r="U253" s="81"/>
      <c r="V253" s="81" t="s">
        <v>1130</v>
      </c>
      <c r="W253" s="86" t="str">
        <f>HYPERLINK("https://www.youtube.com/watch?v=pwsImFyc0lE")</f>
        <v>https://www.youtube.com/watch?v=pwsImFyc0lE</v>
      </c>
      <c r="X253" s="81" t="s">
        <v>1183</v>
      </c>
      <c r="Y253" s="81">
        <v>0</v>
      </c>
      <c r="Z253" s="88">
        <v>41658.42982638889</v>
      </c>
      <c r="AA253" s="88">
        <v>41658.42982638889</v>
      </c>
      <c r="AB253" s="81"/>
      <c r="AC253" s="81"/>
      <c r="AD253" s="84" t="s">
        <v>1239</v>
      </c>
      <c r="AE253" s="82">
        <v>1</v>
      </c>
      <c r="AF253" s="83" t="str">
        <f>REPLACE(INDEX(GroupVertices[Group],MATCH(Edges[[#This Row],[Vertex 1]],GroupVertices[Vertex],0)),1,1,"")</f>
        <v>6</v>
      </c>
      <c r="AG253" s="83" t="str">
        <f>REPLACE(INDEX(GroupVertices[Group],MATCH(Edges[[#This Row],[Vertex 2]],GroupVertices[Vertex],0)),1,1,"")</f>
        <v>3</v>
      </c>
      <c r="AH253" s="111">
        <v>2</v>
      </c>
      <c r="AI253" s="112">
        <v>40</v>
      </c>
      <c r="AJ253" s="111">
        <v>0</v>
      </c>
      <c r="AK253" s="112">
        <v>0</v>
      </c>
      <c r="AL253" s="111">
        <v>0</v>
      </c>
      <c r="AM253" s="112">
        <v>0</v>
      </c>
      <c r="AN253" s="111">
        <v>3</v>
      </c>
      <c r="AO253" s="112">
        <v>60</v>
      </c>
      <c r="AP253" s="111">
        <v>5</v>
      </c>
    </row>
    <row r="254" spans="1:42" ht="15">
      <c r="A254" s="65" t="s">
        <v>510</v>
      </c>
      <c r="B254" s="65" t="s">
        <v>561</v>
      </c>
      <c r="C254" s="66" t="s">
        <v>2942</v>
      </c>
      <c r="D254" s="67">
        <v>3</v>
      </c>
      <c r="E254" s="68"/>
      <c r="F254" s="69">
        <v>40</v>
      </c>
      <c r="G254" s="66"/>
      <c r="H254" s="70"/>
      <c r="I254" s="71"/>
      <c r="J254" s="71"/>
      <c r="K254" s="35" t="s">
        <v>65</v>
      </c>
      <c r="L254" s="79">
        <v>254</v>
      </c>
      <c r="M254" s="79"/>
      <c r="N254" s="73"/>
      <c r="O254" s="81" t="s">
        <v>563</v>
      </c>
      <c r="P254" s="81" t="s">
        <v>325</v>
      </c>
      <c r="Q254" s="84" t="s">
        <v>815</v>
      </c>
      <c r="R254" s="81" t="s">
        <v>510</v>
      </c>
      <c r="S254" s="81" t="s">
        <v>1023</v>
      </c>
      <c r="T254" s="86" t="str">
        <f>HYPERLINK("http://www.youtube.com/channel/UC3M0dy_bsmIy5gLcvLHwahg")</f>
        <v>http://www.youtube.com/channel/UC3M0dy_bsmIy5gLcvLHwahg</v>
      </c>
      <c r="U254" s="81"/>
      <c r="V254" s="81" t="s">
        <v>1130</v>
      </c>
      <c r="W254" s="86" t="str">
        <f>HYPERLINK("https://www.youtube.com/watch?v=pwsImFyc0lE")</f>
        <v>https://www.youtube.com/watch?v=pwsImFyc0lE</v>
      </c>
      <c r="X254" s="81" t="s">
        <v>1183</v>
      </c>
      <c r="Y254" s="81">
        <v>1</v>
      </c>
      <c r="Z254" s="88">
        <v>42080.31930555555</v>
      </c>
      <c r="AA254" s="88">
        <v>42080.31930555555</v>
      </c>
      <c r="AB254" s="81"/>
      <c r="AC254" s="81"/>
      <c r="AD254" s="84" t="s">
        <v>1239</v>
      </c>
      <c r="AE254" s="82">
        <v>1</v>
      </c>
      <c r="AF254" s="83" t="str">
        <f>REPLACE(INDEX(GroupVertices[Group],MATCH(Edges[[#This Row],[Vertex 1]],GroupVertices[Vertex],0)),1,1,"")</f>
        <v>3</v>
      </c>
      <c r="AG254" s="83" t="str">
        <f>REPLACE(INDEX(GroupVertices[Group],MATCH(Edges[[#This Row],[Vertex 2]],GroupVertices[Vertex],0)),1,1,"")</f>
        <v>3</v>
      </c>
      <c r="AH254" s="111">
        <v>0</v>
      </c>
      <c r="AI254" s="112">
        <v>0</v>
      </c>
      <c r="AJ254" s="111">
        <v>0</v>
      </c>
      <c r="AK254" s="112">
        <v>0</v>
      </c>
      <c r="AL254" s="111">
        <v>0</v>
      </c>
      <c r="AM254" s="112">
        <v>0</v>
      </c>
      <c r="AN254" s="111">
        <v>9</v>
      </c>
      <c r="AO254" s="112">
        <v>100</v>
      </c>
      <c r="AP254" s="111">
        <v>9</v>
      </c>
    </row>
    <row r="255" spans="1:42" ht="15">
      <c r="A255" s="65" t="s">
        <v>511</v>
      </c>
      <c r="B255" s="65" t="s">
        <v>561</v>
      </c>
      <c r="C255" s="66" t="s">
        <v>2942</v>
      </c>
      <c r="D255" s="67">
        <v>3</v>
      </c>
      <c r="E255" s="68"/>
      <c r="F255" s="69">
        <v>40</v>
      </c>
      <c r="G255" s="66"/>
      <c r="H255" s="70"/>
      <c r="I255" s="71"/>
      <c r="J255" s="71"/>
      <c r="K255" s="35" t="s">
        <v>65</v>
      </c>
      <c r="L255" s="79">
        <v>255</v>
      </c>
      <c r="M255" s="79"/>
      <c r="N255" s="73"/>
      <c r="O255" s="81" t="s">
        <v>563</v>
      </c>
      <c r="P255" s="81" t="s">
        <v>325</v>
      </c>
      <c r="Q255" s="84" t="s">
        <v>816</v>
      </c>
      <c r="R255" s="81" t="s">
        <v>511</v>
      </c>
      <c r="S255" s="81" t="s">
        <v>1024</v>
      </c>
      <c r="T255" s="86" t="str">
        <f>HYPERLINK("http://www.youtube.com/channel/UC7zED_KFa6-AaMwyUpeSAAQ")</f>
        <v>http://www.youtube.com/channel/UC7zED_KFa6-AaMwyUpeSAAQ</v>
      </c>
      <c r="U255" s="81"/>
      <c r="V255" s="81" t="s">
        <v>1130</v>
      </c>
      <c r="W255" s="86" t="str">
        <f>HYPERLINK("https://www.youtube.com/watch?v=pwsImFyc0lE")</f>
        <v>https://www.youtube.com/watch?v=pwsImFyc0lE</v>
      </c>
      <c r="X255" s="81" t="s">
        <v>1183</v>
      </c>
      <c r="Y255" s="81">
        <v>1</v>
      </c>
      <c r="Z255" s="88">
        <v>42423.8584375</v>
      </c>
      <c r="AA255" s="88">
        <v>42423.8584375</v>
      </c>
      <c r="AB255" s="81"/>
      <c r="AC255" s="81"/>
      <c r="AD255" s="84" t="s">
        <v>1239</v>
      </c>
      <c r="AE255" s="82">
        <v>1</v>
      </c>
      <c r="AF255" s="83" t="str">
        <f>REPLACE(INDEX(GroupVertices[Group],MATCH(Edges[[#This Row],[Vertex 1]],GroupVertices[Vertex],0)),1,1,"")</f>
        <v>3</v>
      </c>
      <c r="AG255" s="83" t="str">
        <f>REPLACE(INDEX(GroupVertices[Group],MATCH(Edges[[#This Row],[Vertex 2]],GroupVertices[Vertex],0)),1,1,"")</f>
        <v>3</v>
      </c>
      <c r="AH255" s="111">
        <v>1</v>
      </c>
      <c r="AI255" s="112">
        <v>16.666666666666668</v>
      </c>
      <c r="AJ255" s="111">
        <v>0</v>
      </c>
      <c r="AK255" s="112">
        <v>0</v>
      </c>
      <c r="AL255" s="111">
        <v>0</v>
      </c>
      <c r="AM255" s="112">
        <v>0</v>
      </c>
      <c r="AN255" s="111">
        <v>5</v>
      </c>
      <c r="AO255" s="112">
        <v>83.33333333333333</v>
      </c>
      <c r="AP255" s="111">
        <v>6</v>
      </c>
    </row>
    <row r="256" spans="1:42" ht="15">
      <c r="A256" s="65" t="s">
        <v>512</v>
      </c>
      <c r="B256" s="65" t="s">
        <v>553</v>
      </c>
      <c r="C256" s="66" t="s">
        <v>2942</v>
      </c>
      <c r="D256" s="67">
        <v>3</v>
      </c>
      <c r="E256" s="68"/>
      <c r="F256" s="69">
        <v>40</v>
      </c>
      <c r="G256" s="66"/>
      <c r="H256" s="70"/>
      <c r="I256" s="71"/>
      <c r="J256" s="71"/>
      <c r="K256" s="35" t="s">
        <v>65</v>
      </c>
      <c r="L256" s="79">
        <v>256</v>
      </c>
      <c r="M256" s="79"/>
      <c r="N256" s="73"/>
      <c r="O256" s="81" t="s">
        <v>563</v>
      </c>
      <c r="P256" s="81" t="s">
        <v>325</v>
      </c>
      <c r="Q256" s="84" t="s">
        <v>817</v>
      </c>
      <c r="R256" s="81" t="s">
        <v>512</v>
      </c>
      <c r="S256" s="81" t="s">
        <v>1025</v>
      </c>
      <c r="T256" s="86" t="str">
        <f>HYPERLINK("http://www.youtube.com/channel/UCf8SkhKscLmAF_zofz-5VXQ")</f>
        <v>http://www.youtube.com/channel/UCf8SkhKscLmAF_zofz-5VXQ</v>
      </c>
      <c r="U256" s="81"/>
      <c r="V256" s="81" t="s">
        <v>1129</v>
      </c>
      <c r="W256" s="86" t="str">
        <f>HYPERLINK("https://www.youtube.com/watch?v=DfVp1zDYNLg")</f>
        <v>https://www.youtube.com/watch?v=DfVp1zDYNLg</v>
      </c>
      <c r="X256" s="81" t="s">
        <v>1183</v>
      </c>
      <c r="Y256" s="81">
        <v>0</v>
      </c>
      <c r="Z256" s="88">
        <v>42849.814409722225</v>
      </c>
      <c r="AA256" s="88">
        <v>42849.814409722225</v>
      </c>
      <c r="AB256" s="81" t="s">
        <v>1208</v>
      </c>
      <c r="AC256" s="81" t="s">
        <v>1221</v>
      </c>
      <c r="AD256" s="84" t="s">
        <v>1239</v>
      </c>
      <c r="AE256" s="82">
        <v>1</v>
      </c>
      <c r="AF256" s="83" t="str">
        <f>REPLACE(INDEX(GroupVertices[Group],MATCH(Edges[[#This Row],[Vertex 1]],GroupVertices[Vertex],0)),1,1,"")</f>
        <v>3</v>
      </c>
      <c r="AG256" s="83" t="str">
        <f>REPLACE(INDEX(GroupVertices[Group],MATCH(Edges[[#This Row],[Vertex 2]],GroupVertices[Vertex],0)),1,1,"")</f>
        <v>3</v>
      </c>
      <c r="AH256" s="111">
        <v>0</v>
      </c>
      <c r="AI256" s="112">
        <v>0</v>
      </c>
      <c r="AJ256" s="111">
        <v>0</v>
      </c>
      <c r="AK256" s="112">
        <v>0</v>
      </c>
      <c r="AL256" s="111">
        <v>0</v>
      </c>
      <c r="AM256" s="112">
        <v>0</v>
      </c>
      <c r="AN256" s="111">
        <v>39</v>
      </c>
      <c r="AO256" s="112">
        <v>100</v>
      </c>
      <c r="AP256" s="111">
        <v>39</v>
      </c>
    </row>
    <row r="257" spans="1:42" ht="15">
      <c r="A257" s="65" t="s">
        <v>512</v>
      </c>
      <c r="B257" s="65" t="s">
        <v>369</v>
      </c>
      <c r="C257" s="66" t="s">
        <v>2942</v>
      </c>
      <c r="D257" s="67">
        <v>3</v>
      </c>
      <c r="E257" s="68"/>
      <c r="F257" s="69">
        <v>40</v>
      </c>
      <c r="G257" s="66"/>
      <c r="H257" s="70"/>
      <c r="I257" s="71"/>
      <c r="J257" s="71"/>
      <c r="K257" s="35" t="s">
        <v>65</v>
      </c>
      <c r="L257" s="79">
        <v>257</v>
      </c>
      <c r="M257" s="79"/>
      <c r="N257" s="73"/>
      <c r="O257" s="81" t="s">
        <v>563</v>
      </c>
      <c r="P257" s="81" t="s">
        <v>325</v>
      </c>
      <c r="Q257" s="84" t="s">
        <v>818</v>
      </c>
      <c r="R257" s="81" t="s">
        <v>512</v>
      </c>
      <c r="S257" s="81" t="s">
        <v>1025</v>
      </c>
      <c r="T257" s="86" t="str">
        <f>HYPERLINK("http://www.youtube.com/channel/UCf8SkhKscLmAF_zofz-5VXQ")</f>
        <v>http://www.youtube.com/channel/UCf8SkhKscLmAF_zofz-5VXQ</v>
      </c>
      <c r="U257" s="81"/>
      <c r="V257" s="81" t="s">
        <v>1128</v>
      </c>
      <c r="W257" s="86" t="str">
        <f>HYPERLINK("https://www.youtube.com/watch?v=PC-PgkhpsNc")</f>
        <v>https://www.youtube.com/watch?v=PC-PgkhpsNc</v>
      </c>
      <c r="X257" s="81" t="s">
        <v>1183</v>
      </c>
      <c r="Y257" s="81">
        <v>0</v>
      </c>
      <c r="Z257" s="88">
        <v>42849.81332175926</v>
      </c>
      <c r="AA257" s="88">
        <v>42849.81332175926</v>
      </c>
      <c r="AB257" s="81" t="s">
        <v>1208</v>
      </c>
      <c r="AC257" s="81" t="s">
        <v>1221</v>
      </c>
      <c r="AD257" s="84" t="s">
        <v>1239</v>
      </c>
      <c r="AE257" s="82">
        <v>1</v>
      </c>
      <c r="AF257" s="83" t="str">
        <f>REPLACE(INDEX(GroupVertices[Group],MATCH(Edges[[#This Row],[Vertex 1]],GroupVertices[Vertex],0)),1,1,"")</f>
        <v>3</v>
      </c>
      <c r="AG257" s="83" t="str">
        <f>REPLACE(INDEX(GroupVertices[Group],MATCH(Edges[[#This Row],[Vertex 2]],GroupVertices[Vertex],0)),1,1,"")</f>
        <v>1</v>
      </c>
      <c r="AH257" s="111">
        <v>1</v>
      </c>
      <c r="AI257" s="112">
        <v>2.4390243902439024</v>
      </c>
      <c r="AJ257" s="111">
        <v>0</v>
      </c>
      <c r="AK257" s="112">
        <v>0</v>
      </c>
      <c r="AL257" s="111">
        <v>0</v>
      </c>
      <c r="AM257" s="112">
        <v>0</v>
      </c>
      <c r="AN257" s="111">
        <v>40</v>
      </c>
      <c r="AO257" s="112">
        <v>97.5609756097561</v>
      </c>
      <c r="AP257" s="111">
        <v>41</v>
      </c>
    </row>
    <row r="258" spans="1:42" ht="15">
      <c r="A258" s="65" t="s">
        <v>512</v>
      </c>
      <c r="B258" s="65" t="s">
        <v>561</v>
      </c>
      <c r="C258" s="66" t="s">
        <v>2942</v>
      </c>
      <c r="D258" s="67">
        <v>3</v>
      </c>
      <c r="E258" s="68"/>
      <c r="F258" s="69">
        <v>40</v>
      </c>
      <c r="G258" s="66"/>
      <c r="H258" s="70"/>
      <c r="I258" s="71"/>
      <c r="J258" s="71"/>
      <c r="K258" s="35" t="s">
        <v>65</v>
      </c>
      <c r="L258" s="79">
        <v>258</v>
      </c>
      <c r="M258" s="79"/>
      <c r="N258" s="73"/>
      <c r="O258" s="81" t="s">
        <v>563</v>
      </c>
      <c r="P258" s="81" t="s">
        <v>325</v>
      </c>
      <c r="Q258" s="84" t="s">
        <v>819</v>
      </c>
      <c r="R258" s="81" t="s">
        <v>512</v>
      </c>
      <c r="S258" s="81" t="s">
        <v>1025</v>
      </c>
      <c r="T258" s="86" t="str">
        <f>HYPERLINK("http://www.youtube.com/channel/UCf8SkhKscLmAF_zofz-5VXQ")</f>
        <v>http://www.youtube.com/channel/UCf8SkhKscLmAF_zofz-5VXQ</v>
      </c>
      <c r="U258" s="81"/>
      <c r="V258" s="81" t="s">
        <v>1130</v>
      </c>
      <c r="W258" s="86" t="str">
        <f>HYPERLINK("https://www.youtube.com/watch?v=pwsImFyc0lE")</f>
        <v>https://www.youtube.com/watch?v=pwsImFyc0lE</v>
      </c>
      <c r="X258" s="81" t="s">
        <v>1183</v>
      </c>
      <c r="Y258" s="81">
        <v>0</v>
      </c>
      <c r="Z258" s="88">
        <v>42849.81524305556</v>
      </c>
      <c r="AA258" s="88">
        <v>42849.81524305556</v>
      </c>
      <c r="AB258" s="81" t="s">
        <v>1208</v>
      </c>
      <c r="AC258" s="81" t="s">
        <v>1221</v>
      </c>
      <c r="AD258" s="84" t="s">
        <v>1239</v>
      </c>
      <c r="AE258" s="82">
        <v>1</v>
      </c>
      <c r="AF258" s="83" t="str">
        <f>REPLACE(INDEX(GroupVertices[Group],MATCH(Edges[[#This Row],[Vertex 1]],GroupVertices[Vertex],0)),1,1,"")</f>
        <v>3</v>
      </c>
      <c r="AG258" s="83" t="str">
        <f>REPLACE(INDEX(GroupVertices[Group],MATCH(Edges[[#This Row],[Vertex 2]],GroupVertices[Vertex],0)),1,1,"")</f>
        <v>3</v>
      </c>
      <c r="AH258" s="111">
        <v>0</v>
      </c>
      <c r="AI258" s="112">
        <v>0</v>
      </c>
      <c r="AJ258" s="111">
        <v>0</v>
      </c>
      <c r="AK258" s="112">
        <v>0</v>
      </c>
      <c r="AL258" s="111">
        <v>0</v>
      </c>
      <c r="AM258" s="112">
        <v>0</v>
      </c>
      <c r="AN258" s="111">
        <v>39</v>
      </c>
      <c r="AO258" s="112">
        <v>100</v>
      </c>
      <c r="AP258" s="111">
        <v>39</v>
      </c>
    </row>
    <row r="259" spans="1:42" ht="15">
      <c r="A259" s="65" t="s">
        <v>513</v>
      </c>
      <c r="B259" s="65" t="s">
        <v>561</v>
      </c>
      <c r="C259" s="66" t="s">
        <v>2942</v>
      </c>
      <c r="D259" s="67">
        <v>3</v>
      </c>
      <c r="E259" s="68"/>
      <c r="F259" s="69">
        <v>40</v>
      </c>
      <c r="G259" s="66"/>
      <c r="H259" s="70"/>
      <c r="I259" s="71"/>
      <c r="J259" s="71"/>
      <c r="K259" s="35" t="s">
        <v>65</v>
      </c>
      <c r="L259" s="79">
        <v>259</v>
      </c>
      <c r="M259" s="79"/>
      <c r="N259" s="73"/>
      <c r="O259" s="81" t="s">
        <v>563</v>
      </c>
      <c r="P259" s="81" t="s">
        <v>325</v>
      </c>
      <c r="Q259" s="84" t="s">
        <v>820</v>
      </c>
      <c r="R259" s="81" t="s">
        <v>513</v>
      </c>
      <c r="S259" s="81" t="s">
        <v>1026</v>
      </c>
      <c r="T259" s="86" t="str">
        <f>HYPERLINK("http://www.youtube.com/channel/UCk1PoOyEAavdmyr0VdVN1Zg")</f>
        <v>http://www.youtube.com/channel/UCk1PoOyEAavdmyr0VdVN1Zg</v>
      </c>
      <c r="U259" s="81"/>
      <c r="V259" s="81" t="s">
        <v>1130</v>
      </c>
      <c r="W259" s="86" t="str">
        <f>HYPERLINK("https://www.youtube.com/watch?v=pwsImFyc0lE")</f>
        <v>https://www.youtube.com/watch?v=pwsImFyc0lE</v>
      </c>
      <c r="X259" s="81" t="s">
        <v>1183</v>
      </c>
      <c r="Y259" s="81">
        <v>1</v>
      </c>
      <c r="Z259" s="88">
        <v>42982.92015046296</v>
      </c>
      <c r="AA259" s="88">
        <v>42982.92015046296</v>
      </c>
      <c r="AB259" s="81"/>
      <c r="AC259" s="81"/>
      <c r="AD259" s="84" t="s">
        <v>1239</v>
      </c>
      <c r="AE259" s="82">
        <v>1</v>
      </c>
      <c r="AF259" s="83" t="str">
        <f>REPLACE(INDEX(GroupVertices[Group],MATCH(Edges[[#This Row],[Vertex 1]],GroupVertices[Vertex],0)),1,1,"")</f>
        <v>3</v>
      </c>
      <c r="AG259" s="83" t="str">
        <f>REPLACE(INDEX(GroupVertices[Group],MATCH(Edges[[#This Row],[Vertex 2]],GroupVertices[Vertex],0)),1,1,"")</f>
        <v>3</v>
      </c>
      <c r="AH259" s="111">
        <v>2</v>
      </c>
      <c r="AI259" s="112">
        <v>3.1746031746031744</v>
      </c>
      <c r="AJ259" s="111">
        <v>3</v>
      </c>
      <c r="AK259" s="112">
        <v>4.761904761904762</v>
      </c>
      <c r="AL259" s="111">
        <v>0</v>
      </c>
      <c r="AM259" s="112">
        <v>0</v>
      </c>
      <c r="AN259" s="111">
        <v>58</v>
      </c>
      <c r="AO259" s="112">
        <v>92.06349206349206</v>
      </c>
      <c r="AP259" s="111">
        <v>63</v>
      </c>
    </row>
    <row r="260" spans="1:42" ht="15">
      <c r="A260" s="65" t="s">
        <v>514</v>
      </c>
      <c r="B260" s="65" t="s">
        <v>561</v>
      </c>
      <c r="C260" s="66" t="s">
        <v>2942</v>
      </c>
      <c r="D260" s="67">
        <v>3</v>
      </c>
      <c r="E260" s="68"/>
      <c r="F260" s="69">
        <v>40</v>
      </c>
      <c r="G260" s="66"/>
      <c r="H260" s="70"/>
      <c r="I260" s="71"/>
      <c r="J260" s="71"/>
      <c r="K260" s="35" t="s">
        <v>65</v>
      </c>
      <c r="L260" s="79">
        <v>260</v>
      </c>
      <c r="M260" s="79"/>
      <c r="N260" s="73"/>
      <c r="O260" s="81" t="s">
        <v>563</v>
      </c>
      <c r="P260" s="81" t="s">
        <v>325</v>
      </c>
      <c r="Q260" s="84" t="s">
        <v>821</v>
      </c>
      <c r="R260" s="81" t="s">
        <v>514</v>
      </c>
      <c r="S260" s="81" t="s">
        <v>1027</v>
      </c>
      <c r="T260" s="86" t="str">
        <f>HYPERLINK("http://www.youtube.com/channel/UCxH7QekYGX6Zj7xDozlqXbg")</f>
        <v>http://www.youtube.com/channel/UCxH7QekYGX6Zj7xDozlqXbg</v>
      </c>
      <c r="U260" s="81"/>
      <c r="V260" s="81" t="s">
        <v>1130</v>
      </c>
      <c r="W260" s="86" t="str">
        <f>HYPERLINK("https://www.youtube.com/watch?v=pwsImFyc0lE")</f>
        <v>https://www.youtube.com/watch?v=pwsImFyc0lE</v>
      </c>
      <c r="X260" s="81" t="s">
        <v>1183</v>
      </c>
      <c r="Y260" s="81">
        <v>0</v>
      </c>
      <c r="Z260" s="88">
        <v>43282.67969907408</v>
      </c>
      <c r="AA260" s="88">
        <v>43282.67969907408</v>
      </c>
      <c r="AB260" s="81"/>
      <c r="AC260" s="81"/>
      <c r="AD260" s="84" t="s">
        <v>1239</v>
      </c>
      <c r="AE260" s="82">
        <v>1</v>
      </c>
      <c r="AF260" s="83" t="str">
        <f>REPLACE(INDEX(GroupVertices[Group],MATCH(Edges[[#This Row],[Vertex 1]],GroupVertices[Vertex],0)),1,1,"")</f>
        <v>3</v>
      </c>
      <c r="AG260" s="83" t="str">
        <f>REPLACE(INDEX(GroupVertices[Group],MATCH(Edges[[#This Row],[Vertex 2]],GroupVertices[Vertex],0)),1,1,"")</f>
        <v>3</v>
      </c>
      <c r="AH260" s="111">
        <v>0</v>
      </c>
      <c r="AI260" s="112">
        <v>0</v>
      </c>
      <c r="AJ260" s="111">
        <v>1</v>
      </c>
      <c r="AK260" s="112">
        <v>33.333333333333336</v>
      </c>
      <c r="AL260" s="111">
        <v>0</v>
      </c>
      <c r="AM260" s="112">
        <v>0</v>
      </c>
      <c r="AN260" s="111">
        <v>2</v>
      </c>
      <c r="AO260" s="112">
        <v>66.66666666666667</v>
      </c>
      <c r="AP260" s="111">
        <v>3</v>
      </c>
    </row>
    <row r="261" spans="1:42" ht="15">
      <c r="A261" s="65" t="s">
        <v>369</v>
      </c>
      <c r="B261" s="65" t="s">
        <v>515</v>
      </c>
      <c r="C261" s="66" t="s">
        <v>2942</v>
      </c>
      <c r="D261" s="67">
        <v>3</v>
      </c>
      <c r="E261" s="68"/>
      <c r="F261" s="69">
        <v>40</v>
      </c>
      <c r="G261" s="66"/>
      <c r="H261" s="70"/>
      <c r="I261" s="71"/>
      <c r="J261" s="71"/>
      <c r="K261" s="35" t="s">
        <v>66</v>
      </c>
      <c r="L261" s="79">
        <v>261</v>
      </c>
      <c r="M261" s="79"/>
      <c r="N261" s="73"/>
      <c r="O261" s="81" t="s">
        <v>564</v>
      </c>
      <c r="P261" s="81" t="s">
        <v>566</v>
      </c>
      <c r="Q261" s="84" t="s">
        <v>822</v>
      </c>
      <c r="R261" s="81" t="s">
        <v>369</v>
      </c>
      <c r="S261" s="81" t="s">
        <v>882</v>
      </c>
      <c r="T261" s="86" t="str">
        <f>HYPERLINK("http://www.youtube.com/channel/UCerAw4EfTOnYYxLLPZAzMxQ")</f>
        <v>http://www.youtube.com/channel/UCerAw4EfTOnYYxLLPZAzMxQ</v>
      </c>
      <c r="U261" s="81" t="s">
        <v>1086</v>
      </c>
      <c r="V261" s="81" t="s">
        <v>1107</v>
      </c>
      <c r="W261" s="86" t="str">
        <f>HYPERLINK("https://www.youtube.com/watch?v=AyMwPYpmYng")</f>
        <v>https://www.youtube.com/watch?v=AyMwPYpmYng</v>
      </c>
      <c r="X261" s="81" t="s">
        <v>1183</v>
      </c>
      <c r="Y261" s="81">
        <v>1</v>
      </c>
      <c r="Z261" s="88">
        <v>43485.58642361111</v>
      </c>
      <c r="AA261" s="88">
        <v>43485.58642361111</v>
      </c>
      <c r="AB261" s="81"/>
      <c r="AC261" s="81"/>
      <c r="AD261" s="84" t="s">
        <v>1239</v>
      </c>
      <c r="AE261" s="82">
        <v>1</v>
      </c>
      <c r="AF261" s="83" t="str">
        <f>REPLACE(INDEX(GroupVertices[Group],MATCH(Edges[[#This Row],[Vertex 1]],GroupVertices[Vertex],0)),1,1,"")</f>
        <v>1</v>
      </c>
      <c r="AG261" s="83" t="str">
        <f>REPLACE(INDEX(GroupVertices[Group],MATCH(Edges[[#This Row],[Vertex 2]],GroupVertices[Vertex],0)),1,1,"")</f>
        <v>3</v>
      </c>
      <c r="AH261" s="111">
        <v>3</v>
      </c>
      <c r="AI261" s="112">
        <v>1.639344262295082</v>
      </c>
      <c r="AJ261" s="111">
        <v>4</v>
      </c>
      <c r="AK261" s="112">
        <v>2.185792349726776</v>
      </c>
      <c r="AL261" s="111">
        <v>0</v>
      </c>
      <c r="AM261" s="112">
        <v>0</v>
      </c>
      <c r="AN261" s="111">
        <v>176</v>
      </c>
      <c r="AO261" s="112">
        <v>96.17486338797814</v>
      </c>
      <c r="AP261" s="111">
        <v>183</v>
      </c>
    </row>
    <row r="262" spans="1:42" ht="15">
      <c r="A262" s="65" t="s">
        <v>515</v>
      </c>
      <c r="B262" s="65" t="s">
        <v>369</v>
      </c>
      <c r="C262" s="66" t="s">
        <v>2943</v>
      </c>
      <c r="D262" s="67">
        <v>4.4</v>
      </c>
      <c r="E262" s="68"/>
      <c r="F262" s="69">
        <v>35</v>
      </c>
      <c r="G262" s="66"/>
      <c r="H262" s="70"/>
      <c r="I262" s="71"/>
      <c r="J262" s="71"/>
      <c r="K262" s="35" t="s">
        <v>66</v>
      </c>
      <c r="L262" s="79">
        <v>262</v>
      </c>
      <c r="M262" s="79"/>
      <c r="N262" s="73"/>
      <c r="O262" s="81" t="s">
        <v>563</v>
      </c>
      <c r="P262" s="81" t="s">
        <v>325</v>
      </c>
      <c r="Q262" s="84" t="s">
        <v>823</v>
      </c>
      <c r="R262" s="81" t="s">
        <v>515</v>
      </c>
      <c r="S262" s="81" t="s">
        <v>1028</v>
      </c>
      <c r="T262" s="86" t="str">
        <f>HYPERLINK("http://www.youtube.com/channel/UCKrUAYzPSyq1cBlKN08M6qw")</f>
        <v>http://www.youtube.com/channel/UCKrUAYzPSyq1cBlKN08M6qw</v>
      </c>
      <c r="U262" s="81"/>
      <c r="V262" s="81" t="s">
        <v>1107</v>
      </c>
      <c r="W262" s="86" t="str">
        <f>HYPERLINK("https://www.youtube.com/watch?v=AyMwPYpmYng")</f>
        <v>https://www.youtube.com/watch?v=AyMwPYpmYng</v>
      </c>
      <c r="X262" s="81" t="s">
        <v>1183</v>
      </c>
      <c r="Y262" s="81">
        <v>0</v>
      </c>
      <c r="Z262" s="88">
        <v>43484.4603587963</v>
      </c>
      <c r="AA262" s="88">
        <v>43484.4603587963</v>
      </c>
      <c r="AB262" s="81"/>
      <c r="AC262" s="81"/>
      <c r="AD262" s="84" t="s">
        <v>1239</v>
      </c>
      <c r="AE262" s="82">
        <v>2</v>
      </c>
      <c r="AF262" s="83" t="str">
        <f>REPLACE(INDEX(GroupVertices[Group],MATCH(Edges[[#This Row],[Vertex 1]],GroupVertices[Vertex],0)),1,1,"")</f>
        <v>3</v>
      </c>
      <c r="AG262" s="83" t="str">
        <f>REPLACE(INDEX(GroupVertices[Group],MATCH(Edges[[#This Row],[Vertex 2]],GroupVertices[Vertex],0)),1,1,"")</f>
        <v>1</v>
      </c>
      <c r="AH262" s="111">
        <v>1</v>
      </c>
      <c r="AI262" s="112">
        <v>3.125</v>
      </c>
      <c r="AJ262" s="111">
        <v>0</v>
      </c>
      <c r="AK262" s="112">
        <v>0</v>
      </c>
      <c r="AL262" s="111">
        <v>0</v>
      </c>
      <c r="AM262" s="112">
        <v>0</v>
      </c>
      <c r="AN262" s="111">
        <v>31</v>
      </c>
      <c r="AO262" s="112">
        <v>96.875</v>
      </c>
      <c r="AP262" s="111">
        <v>32</v>
      </c>
    </row>
    <row r="263" spans="1:42" ht="15">
      <c r="A263" s="65" t="s">
        <v>515</v>
      </c>
      <c r="B263" s="65" t="s">
        <v>369</v>
      </c>
      <c r="C263" s="66" t="s">
        <v>2943</v>
      </c>
      <c r="D263" s="67">
        <v>4.4</v>
      </c>
      <c r="E263" s="68"/>
      <c r="F263" s="69">
        <v>35</v>
      </c>
      <c r="G263" s="66"/>
      <c r="H263" s="70"/>
      <c r="I263" s="71"/>
      <c r="J263" s="71"/>
      <c r="K263" s="35" t="s">
        <v>66</v>
      </c>
      <c r="L263" s="79">
        <v>263</v>
      </c>
      <c r="M263" s="79"/>
      <c r="N263" s="73"/>
      <c r="O263" s="81" t="s">
        <v>563</v>
      </c>
      <c r="P263" s="81" t="s">
        <v>325</v>
      </c>
      <c r="Q263" s="84" t="s">
        <v>824</v>
      </c>
      <c r="R263" s="81" t="s">
        <v>515</v>
      </c>
      <c r="S263" s="81" t="s">
        <v>1028</v>
      </c>
      <c r="T263" s="86" t="str">
        <f>HYPERLINK("http://www.youtube.com/channel/UCKrUAYzPSyq1cBlKN08M6qw")</f>
        <v>http://www.youtube.com/channel/UCKrUAYzPSyq1cBlKN08M6qw</v>
      </c>
      <c r="U263" s="81"/>
      <c r="V263" s="81" t="s">
        <v>1126</v>
      </c>
      <c r="W263" s="86" t="str">
        <f>HYPERLINK("https://www.youtube.com/watch?v=Gs4NPuKIXdo")</f>
        <v>https://www.youtube.com/watch?v=Gs4NPuKIXdo</v>
      </c>
      <c r="X263" s="81" t="s">
        <v>1183</v>
      </c>
      <c r="Y263" s="81">
        <v>0</v>
      </c>
      <c r="Z263" s="88">
        <v>43466.5168287037</v>
      </c>
      <c r="AA263" s="88">
        <v>43466.5168287037</v>
      </c>
      <c r="AB263" s="81"/>
      <c r="AC263" s="81"/>
      <c r="AD263" s="84" t="s">
        <v>1239</v>
      </c>
      <c r="AE263" s="82">
        <v>2</v>
      </c>
      <c r="AF263" s="83" t="str">
        <f>REPLACE(INDEX(GroupVertices[Group],MATCH(Edges[[#This Row],[Vertex 1]],GroupVertices[Vertex],0)),1,1,"")</f>
        <v>3</v>
      </c>
      <c r="AG263" s="83" t="str">
        <f>REPLACE(INDEX(GroupVertices[Group],MATCH(Edges[[#This Row],[Vertex 2]],GroupVertices[Vertex],0)),1,1,"")</f>
        <v>1</v>
      </c>
      <c r="AH263" s="111">
        <v>0</v>
      </c>
      <c r="AI263" s="112">
        <v>0</v>
      </c>
      <c r="AJ263" s="111">
        <v>0</v>
      </c>
      <c r="AK263" s="112">
        <v>0</v>
      </c>
      <c r="AL263" s="111">
        <v>0</v>
      </c>
      <c r="AM263" s="112">
        <v>0</v>
      </c>
      <c r="AN263" s="111">
        <v>31</v>
      </c>
      <c r="AO263" s="112">
        <v>100</v>
      </c>
      <c r="AP263" s="111">
        <v>31</v>
      </c>
    </row>
    <row r="264" spans="1:42" ht="15">
      <c r="A264" s="65" t="s">
        <v>515</v>
      </c>
      <c r="B264" s="65" t="s">
        <v>561</v>
      </c>
      <c r="C264" s="66" t="s">
        <v>2942</v>
      </c>
      <c r="D264" s="67">
        <v>3</v>
      </c>
      <c r="E264" s="68"/>
      <c r="F264" s="69">
        <v>40</v>
      </c>
      <c r="G264" s="66"/>
      <c r="H264" s="70"/>
      <c r="I264" s="71"/>
      <c r="J264" s="71"/>
      <c r="K264" s="35" t="s">
        <v>65</v>
      </c>
      <c r="L264" s="79">
        <v>264</v>
      </c>
      <c r="M264" s="79"/>
      <c r="N264" s="73"/>
      <c r="O264" s="81" t="s">
        <v>563</v>
      </c>
      <c r="P264" s="81" t="s">
        <v>325</v>
      </c>
      <c r="Q264" s="84" t="s">
        <v>825</v>
      </c>
      <c r="R264" s="81" t="s">
        <v>515</v>
      </c>
      <c r="S264" s="81" t="s">
        <v>1028</v>
      </c>
      <c r="T264" s="86" t="str">
        <f>HYPERLINK("http://www.youtube.com/channel/UCKrUAYzPSyq1cBlKN08M6qw")</f>
        <v>http://www.youtube.com/channel/UCKrUAYzPSyq1cBlKN08M6qw</v>
      </c>
      <c r="U264" s="81"/>
      <c r="V264" s="81" t="s">
        <v>1130</v>
      </c>
      <c r="W264" s="86" t="str">
        <f>HYPERLINK("https://www.youtube.com/watch?v=pwsImFyc0lE")</f>
        <v>https://www.youtube.com/watch?v=pwsImFyc0lE</v>
      </c>
      <c r="X264" s="81" t="s">
        <v>1183</v>
      </c>
      <c r="Y264" s="81">
        <v>0</v>
      </c>
      <c r="Z264" s="88">
        <v>43467.948900462965</v>
      </c>
      <c r="AA264" s="88">
        <v>43467.948900462965</v>
      </c>
      <c r="AB264" s="81"/>
      <c r="AC264" s="81"/>
      <c r="AD264" s="84" t="s">
        <v>1239</v>
      </c>
      <c r="AE264" s="82">
        <v>1</v>
      </c>
      <c r="AF264" s="83" t="str">
        <f>REPLACE(INDEX(GroupVertices[Group],MATCH(Edges[[#This Row],[Vertex 1]],GroupVertices[Vertex],0)),1,1,"")</f>
        <v>3</v>
      </c>
      <c r="AG264" s="83" t="str">
        <f>REPLACE(INDEX(GroupVertices[Group],MATCH(Edges[[#This Row],[Vertex 2]],GroupVertices[Vertex],0)),1,1,"")</f>
        <v>3</v>
      </c>
      <c r="AH264" s="111">
        <v>1</v>
      </c>
      <c r="AI264" s="112">
        <v>12.5</v>
      </c>
      <c r="AJ264" s="111">
        <v>0</v>
      </c>
      <c r="AK264" s="112">
        <v>0</v>
      </c>
      <c r="AL264" s="111">
        <v>0</v>
      </c>
      <c r="AM264" s="112">
        <v>0</v>
      </c>
      <c r="AN264" s="111">
        <v>7</v>
      </c>
      <c r="AO264" s="112">
        <v>87.5</v>
      </c>
      <c r="AP264" s="111">
        <v>8</v>
      </c>
    </row>
    <row r="265" spans="1:42" ht="15">
      <c r="A265" s="65" t="s">
        <v>369</v>
      </c>
      <c r="B265" s="65" t="s">
        <v>516</v>
      </c>
      <c r="C265" s="66" t="s">
        <v>2942</v>
      </c>
      <c r="D265" s="67">
        <v>3</v>
      </c>
      <c r="E265" s="68"/>
      <c r="F265" s="69">
        <v>40</v>
      </c>
      <c r="G265" s="66"/>
      <c r="H265" s="70"/>
      <c r="I265" s="71"/>
      <c r="J265" s="71"/>
      <c r="K265" s="35" t="s">
        <v>66</v>
      </c>
      <c r="L265" s="79">
        <v>265</v>
      </c>
      <c r="M265" s="79"/>
      <c r="N265" s="73"/>
      <c r="O265" s="81" t="s">
        <v>564</v>
      </c>
      <c r="P265" s="81" t="s">
        <v>566</v>
      </c>
      <c r="Q265" s="84" t="s">
        <v>826</v>
      </c>
      <c r="R265" s="81" t="s">
        <v>369</v>
      </c>
      <c r="S265" s="81" t="s">
        <v>882</v>
      </c>
      <c r="T265" s="86" t="str">
        <f>HYPERLINK("http://www.youtube.com/channel/UCerAw4EfTOnYYxLLPZAzMxQ")</f>
        <v>http://www.youtube.com/channel/UCerAw4EfTOnYYxLLPZAzMxQ</v>
      </c>
      <c r="U265" s="81" t="s">
        <v>1087</v>
      </c>
      <c r="V265" s="81" t="s">
        <v>1126</v>
      </c>
      <c r="W265" s="86" t="str">
        <f>HYPERLINK("https://www.youtube.com/watch?v=Gs4NPuKIXdo")</f>
        <v>https://www.youtube.com/watch?v=Gs4NPuKIXdo</v>
      </c>
      <c r="X265" s="81" t="s">
        <v>1183</v>
      </c>
      <c r="Y265" s="81">
        <v>0</v>
      </c>
      <c r="Z265" s="88">
        <v>43536.95967592593</v>
      </c>
      <c r="AA265" s="88">
        <v>43536.95967592593</v>
      </c>
      <c r="AB265" s="81"/>
      <c r="AC265" s="81"/>
      <c r="AD265" s="84" t="s">
        <v>1239</v>
      </c>
      <c r="AE265" s="82">
        <v>1</v>
      </c>
      <c r="AF265" s="83" t="str">
        <f>REPLACE(INDEX(GroupVertices[Group],MATCH(Edges[[#This Row],[Vertex 1]],GroupVertices[Vertex],0)),1,1,"")</f>
        <v>1</v>
      </c>
      <c r="AG265" s="83" t="str">
        <f>REPLACE(INDEX(GroupVertices[Group],MATCH(Edges[[#This Row],[Vertex 2]],GroupVertices[Vertex],0)),1,1,"")</f>
        <v>3</v>
      </c>
      <c r="AH265" s="111">
        <v>0</v>
      </c>
      <c r="AI265" s="112">
        <v>0</v>
      </c>
      <c r="AJ265" s="111">
        <v>1</v>
      </c>
      <c r="AK265" s="112">
        <v>6.666666666666667</v>
      </c>
      <c r="AL265" s="111">
        <v>0</v>
      </c>
      <c r="AM265" s="112">
        <v>0</v>
      </c>
      <c r="AN265" s="111">
        <v>14</v>
      </c>
      <c r="AO265" s="112">
        <v>93.33333333333333</v>
      </c>
      <c r="AP265" s="111">
        <v>15</v>
      </c>
    </row>
    <row r="266" spans="1:42" ht="15">
      <c r="A266" s="65" t="s">
        <v>516</v>
      </c>
      <c r="B266" s="65" t="s">
        <v>369</v>
      </c>
      <c r="C266" s="66" t="s">
        <v>2942</v>
      </c>
      <c r="D266" s="67">
        <v>3</v>
      </c>
      <c r="E266" s="68"/>
      <c r="F266" s="69">
        <v>40</v>
      </c>
      <c r="G266" s="66"/>
      <c r="H266" s="70"/>
      <c r="I266" s="71"/>
      <c r="J266" s="71"/>
      <c r="K266" s="35" t="s">
        <v>66</v>
      </c>
      <c r="L266" s="79">
        <v>266</v>
      </c>
      <c r="M266" s="79"/>
      <c r="N266" s="73"/>
      <c r="O266" s="81" t="s">
        <v>563</v>
      </c>
      <c r="P266" s="81" t="s">
        <v>325</v>
      </c>
      <c r="Q266" s="84" t="s">
        <v>827</v>
      </c>
      <c r="R266" s="81" t="s">
        <v>516</v>
      </c>
      <c r="S266" s="81" t="s">
        <v>1029</v>
      </c>
      <c r="T266" s="86" t="str">
        <f>HYPERLINK("http://www.youtube.com/channel/UCkLPx3Y2qhbDjUwEQRqLv0A")</f>
        <v>http://www.youtube.com/channel/UCkLPx3Y2qhbDjUwEQRqLv0A</v>
      </c>
      <c r="U266" s="81"/>
      <c r="V266" s="81" t="s">
        <v>1126</v>
      </c>
      <c r="W266" s="86" t="str">
        <f>HYPERLINK("https://www.youtube.com/watch?v=Gs4NPuKIXdo")</f>
        <v>https://www.youtube.com/watch?v=Gs4NPuKIXdo</v>
      </c>
      <c r="X266" s="81" t="s">
        <v>1183</v>
      </c>
      <c r="Y266" s="81">
        <v>0</v>
      </c>
      <c r="Z266" s="88">
        <v>43536.700277777774</v>
      </c>
      <c r="AA266" s="88">
        <v>43536.700277777774</v>
      </c>
      <c r="AB266" s="81"/>
      <c r="AC266" s="81"/>
      <c r="AD266" s="84" t="s">
        <v>1239</v>
      </c>
      <c r="AE266" s="82">
        <v>1</v>
      </c>
      <c r="AF266" s="83" t="str">
        <f>REPLACE(INDEX(GroupVertices[Group],MATCH(Edges[[#This Row],[Vertex 1]],GroupVertices[Vertex],0)),1,1,"")</f>
        <v>3</v>
      </c>
      <c r="AG266" s="83" t="str">
        <f>REPLACE(INDEX(GroupVertices[Group],MATCH(Edges[[#This Row],[Vertex 2]],GroupVertices[Vertex],0)),1,1,"")</f>
        <v>1</v>
      </c>
      <c r="AH266" s="111">
        <v>1</v>
      </c>
      <c r="AI266" s="112">
        <v>10</v>
      </c>
      <c r="AJ266" s="111">
        <v>0</v>
      </c>
      <c r="AK266" s="112">
        <v>0</v>
      </c>
      <c r="AL266" s="111">
        <v>0</v>
      </c>
      <c r="AM266" s="112">
        <v>0</v>
      </c>
      <c r="AN266" s="111">
        <v>9</v>
      </c>
      <c r="AO266" s="112">
        <v>90</v>
      </c>
      <c r="AP266" s="111">
        <v>10</v>
      </c>
    </row>
    <row r="267" spans="1:42" ht="15">
      <c r="A267" s="65" t="s">
        <v>516</v>
      </c>
      <c r="B267" s="65" t="s">
        <v>561</v>
      </c>
      <c r="C267" s="66" t="s">
        <v>2942</v>
      </c>
      <c r="D267" s="67">
        <v>3</v>
      </c>
      <c r="E267" s="68"/>
      <c r="F267" s="69">
        <v>40</v>
      </c>
      <c r="G267" s="66"/>
      <c r="H267" s="70"/>
      <c r="I267" s="71"/>
      <c r="J267" s="71"/>
      <c r="K267" s="35" t="s">
        <v>65</v>
      </c>
      <c r="L267" s="79">
        <v>267</v>
      </c>
      <c r="M267" s="79"/>
      <c r="N267" s="73"/>
      <c r="O267" s="81" t="s">
        <v>563</v>
      </c>
      <c r="P267" s="81" t="s">
        <v>325</v>
      </c>
      <c r="Q267" s="84" t="s">
        <v>828</v>
      </c>
      <c r="R267" s="81" t="s">
        <v>516</v>
      </c>
      <c r="S267" s="81" t="s">
        <v>1029</v>
      </c>
      <c r="T267" s="86" t="str">
        <f>HYPERLINK("http://www.youtube.com/channel/UCkLPx3Y2qhbDjUwEQRqLv0A")</f>
        <v>http://www.youtube.com/channel/UCkLPx3Y2qhbDjUwEQRqLv0A</v>
      </c>
      <c r="U267" s="81"/>
      <c r="V267" s="81" t="s">
        <v>1130</v>
      </c>
      <c r="W267" s="86" t="str">
        <f>HYPERLINK("https://www.youtube.com/watch?v=pwsImFyc0lE")</f>
        <v>https://www.youtube.com/watch?v=pwsImFyc0lE</v>
      </c>
      <c r="X267" s="81" t="s">
        <v>1183</v>
      </c>
      <c r="Y267" s="81">
        <v>1</v>
      </c>
      <c r="Z267" s="88">
        <v>43536.69929398148</v>
      </c>
      <c r="AA267" s="88">
        <v>43536.69929398148</v>
      </c>
      <c r="AB267" s="81"/>
      <c r="AC267" s="81"/>
      <c r="AD267" s="84" t="s">
        <v>1239</v>
      </c>
      <c r="AE267" s="82">
        <v>1</v>
      </c>
      <c r="AF267" s="83" t="str">
        <f>REPLACE(INDEX(GroupVertices[Group],MATCH(Edges[[#This Row],[Vertex 1]],GroupVertices[Vertex],0)),1,1,"")</f>
        <v>3</v>
      </c>
      <c r="AG267" s="83" t="str">
        <f>REPLACE(INDEX(GroupVertices[Group],MATCH(Edges[[#This Row],[Vertex 2]],GroupVertices[Vertex],0)),1,1,"")</f>
        <v>3</v>
      </c>
      <c r="AH267" s="111">
        <v>1</v>
      </c>
      <c r="AI267" s="112">
        <v>9.090909090909092</v>
      </c>
      <c r="AJ267" s="111">
        <v>0</v>
      </c>
      <c r="AK267" s="112">
        <v>0</v>
      </c>
      <c r="AL267" s="111">
        <v>0</v>
      </c>
      <c r="AM267" s="112">
        <v>0</v>
      </c>
      <c r="AN267" s="111">
        <v>10</v>
      </c>
      <c r="AO267" s="112">
        <v>90.9090909090909</v>
      </c>
      <c r="AP267" s="111">
        <v>11</v>
      </c>
    </row>
    <row r="268" spans="1:42" ht="15">
      <c r="A268" s="65" t="s">
        <v>351</v>
      </c>
      <c r="B268" s="65" t="s">
        <v>517</v>
      </c>
      <c r="C268" s="66" t="s">
        <v>2942</v>
      </c>
      <c r="D268" s="67">
        <v>3</v>
      </c>
      <c r="E268" s="68"/>
      <c r="F268" s="69">
        <v>40</v>
      </c>
      <c r="G268" s="66"/>
      <c r="H268" s="70"/>
      <c r="I268" s="71"/>
      <c r="J268" s="71"/>
      <c r="K268" s="35" t="s">
        <v>66</v>
      </c>
      <c r="L268" s="79">
        <v>268</v>
      </c>
      <c r="M268" s="79"/>
      <c r="N268" s="73"/>
      <c r="O268" s="81" t="s">
        <v>564</v>
      </c>
      <c r="P268" s="81" t="s">
        <v>566</v>
      </c>
      <c r="Q268" s="84" t="s">
        <v>829</v>
      </c>
      <c r="R268" s="81" t="s">
        <v>351</v>
      </c>
      <c r="S268" s="81" t="s">
        <v>864</v>
      </c>
      <c r="T268" s="86" t="str">
        <f>HYPERLINK("http://www.youtube.com/channel/UCT2t7sQp0Qyi9dxuckjOWAw")</f>
        <v>http://www.youtube.com/channel/UCT2t7sQp0Qyi9dxuckjOWAw</v>
      </c>
      <c r="U268" s="81" t="s">
        <v>1088</v>
      </c>
      <c r="V268" s="81" t="s">
        <v>1094</v>
      </c>
      <c r="W268" s="86" t="str">
        <f>HYPERLINK("https://www.youtube.com/watch?v=3s6qbWY07FI")</f>
        <v>https://www.youtube.com/watch?v=3s6qbWY07FI</v>
      </c>
      <c r="X268" s="81" t="s">
        <v>1183</v>
      </c>
      <c r="Y268" s="81">
        <v>0</v>
      </c>
      <c r="Z268" s="88">
        <v>44671.458506944444</v>
      </c>
      <c r="AA268" s="88">
        <v>44671.458506944444</v>
      </c>
      <c r="AB268" s="81" t="s">
        <v>1209</v>
      </c>
      <c r="AC268" s="81" t="s">
        <v>1234</v>
      </c>
      <c r="AD268" s="84" t="s">
        <v>1239</v>
      </c>
      <c r="AE268" s="82">
        <v>1</v>
      </c>
      <c r="AF268" s="83" t="str">
        <f>REPLACE(INDEX(GroupVertices[Group],MATCH(Edges[[#This Row],[Vertex 1]],GroupVertices[Vertex],0)),1,1,"")</f>
        <v>4</v>
      </c>
      <c r="AG268" s="83" t="str">
        <f>REPLACE(INDEX(GroupVertices[Group],MATCH(Edges[[#This Row],[Vertex 2]],GroupVertices[Vertex],0)),1,1,"")</f>
        <v>4</v>
      </c>
      <c r="AH268" s="111">
        <v>0</v>
      </c>
      <c r="AI268" s="112">
        <v>0</v>
      </c>
      <c r="AJ268" s="111">
        <v>0</v>
      </c>
      <c r="AK268" s="112">
        <v>0</v>
      </c>
      <c r="AL268" s="111">
        <v>0</v>
      </c>
      <c r="AM268" s="112">
        <v>0</v>
      </c>
      <c r="AN268" s="111">
        <v>19</v>
      </c>
      <c r="AO268" s="112">
        <v>100</v>
      </c>
      <c r="AP268" s="111">
        <v>19</v>
      </c>
    </row>
    <row r="269" spans="1:42" ht="15">
      <c r="A269" s="65" t="s">
        <v>517</v>
      </c>
      <c r="B269" s="65" t="s">
        <v>351</v>
      </c>
      <c r="C269" s="66" t="s">
        <v>2942</v>
      </c>
      <c r="D269" s="67">
        <v>3</v>
      </c>
      <c r="E269" s="68"/>
      <c r="F269" s="69">
        <v>40</v>
      </c>
      <c r="G269" s="66"/>
      <c r="H269" s="70"/>
      <c r="I269" s="71"/>
      <c r="J269" s="71"/>
      <c r="K269" s="35" t="s">
        <v>66</v>
      </c>
      <c r="L269" s="79">
        <v>269</v>
      </c>
      <c r="M269" s="79"/>
      <c r="N269" s="73"/>
      <c r="O269" s="81" t="s">
        <v>563</v>
      </c>
      <c r="P269" s="81" t="s">
        <v>325</v>
      </c>
      <c r="Q269" s="84" t="s">
        <v>830</v>
      </c>
      <c r="R269" s="81" t="s">
        <v>517</v>
      </c>
      <c r="S269" s="81" t="s">
        <v>1030</v>
      </c>
      <c r="T269" s="86" t="str">
        <f>HYPERLINK("http://www.youtube.com/channel/UCj-YNRE6g8gXzAaXu-kQ7Og")</f>
        <v>http://www.youtube.com/channel/UCj-YNRE6g8gXzAaXu-kQ7Og</v>
      </c>
      <c r="U269" s="81"/>
      <c r="V269" s="81" t="s">
        <v>1094</v>
      </c>
      <c r="W269" s="86" t="str">
        <f>HYPERLINK("https://www.youtube.com/watch?v=3s6qbWY07FI")</f>
        <v>https://www.youtube.com/watch?v=3s6qbWY07FI</v>
      </c>
      <c r="X269" s="81" t="s">
        <v>1183</v>
      </c>
      <c r="Y269" s="81">
        <v>1</v>
      </c>
      <c r="Z269" s="88">
        <v>44671.29605324074</v>
      </c>
      <c r="AA269" s="88">
        <v>44671.29605324074</v>
      </c>
      <c r="AB269" s="81"/>
      <c r="AC269" s="81"/>
      <c r="AD269" s="84" t="s">
        <v>1239</v>
      </c>
      <c r="AE269" s="82">
        <v>1</v>
      </c>
      <c r="AF269" s="83" t="str">
        <f>REPLACE(INDEX(GroupVertices[Group],MATCH(Edges[[#This Row],[Vertex 1]],GroupVertices[Vertex],0)),1,1,"")</f>
        <v>4</v>
      </c>
      <c r="AG269" s="83" t="str">
        <f>REPLACE(INDEX(GroupVertices[Group],MATCH(Edges[[#This Row],[Vertex 2]],GroupVertices[Vertex],0)),1,1,"")</f>
        <v>4</v>
      </c>
      <c r="AH269" s="111">
        <v>4</v>
      </c>
      <c r="AI269" s="112">
        <v>13.793103448275861</v>
      </c>
      <c r="AJ269" s="111">
        <v>1</v>
      </c>
      <c r="AK269" s="112">
        <v>3.4482758620689653</v>
      </c>
      <c r="AL269" s="111">
        <v>0</v>
      </c>
      <c r="AM269" s="112">
        <v>0</v>
      </c>
      <c r="AN269" s="111">
        <v>24</v>
      </c>
      <c r="AO269" s="112">
        <v>82.75862068965517</v>
      </c>
      <c r="AP269" s="111">
        <v>29</v>
      </c>
    </row>
    <row r="270" spans="1:42" ht="15">
      <c r="A270" s="65" t="s">
        <v>517</v>
      </c>
      <c r="B270" s="65" t="s">
        <v>561</v>
      </c>
      <c r="C270" s="66" t="s">
        <v>2945</v>
      </c>
      <c r="D270" s="67">
        <v>7.2</v>
      </c>
      <c r="E270" s="68"/>
      <c r="F270" s="69">
        <v>25</v>
      </c>
      <c r="G270" s="66"/>
      <c r="H270" s="70"/>
      <c r="I270" s="71"/>
      <c r="J270" s="71"/>
      <c r="K270" s="35" t="s">
        <v>65</v>
      </c>
      <c r="L270" s="79">
        <v>270</v>
      </c>
      <c r="M270" s="79"/>
      <c r="N270" s="73"/>
      <c r="O270" s="81" t="s">
        <v>563</v>
      </c>
      <c r="P270" s="81" t="s">
        <v>325</v>
      </c>
      <c r="Q270" s="84" t="s">
        <v>831</v>
      </c>
      <c r="R270" s="81" t="s">
        <v>517</v>
      </c>
      <c r="S270" s="81" t="s">
        <v>1030</v>
      </c>
      <c r="T270" s="86" t="str">
        <f>HYPERLINK("http://www.youtube.com/channel/UCj-YNRE6g8gXzAaXu-kQ7Og")</f>
        <v>http://www.youtube.com/channel/UCj-YNRE6g8gXzAaXu-kQ7Og</v>
      </c>
      <c r="U270" s="81"/>
      <c r="V270" s="81" t="s">
        <v>1117</v>
      </c>
      <c r="W270" s="86" t="str">
        <f>HYPERLINK("https://www.youtube.com/watch?v=owl9we4ldFI")</f>
        <v>https://www.youtube.com/watch?v=owl9we4ldFI</v>
      </c>
      <c r="X270" s="81" t="s">
        <v>1183</v>
      </c>
      <c r="Y270" s="81">
        <v>0</v>
      </c>
      <c r="Z270" s="88">
        <v>43663.34537037037</v>
      </c>
      <c r="AA270" s="88">
        <v>43663.34537037037</v>
      </c>
      <c r="AB270" s="81"/>
      <c r="AC270" s="81"/>
      <c r="AD270" s="84" t="s">
        <v>1239</v>
      </c>
      <c r="AE270" s="82">
        <v>4</v>
      </c>
      <c r="AF270" s="83" t="str">
        <f>REPLACE(INDEX(GroupVertices[Group],MATCH(Edges[[#This Row],[Vertex 1]],GroupVertices[Vertex],0)),1,1,"")</f>
        <v>4</v>
      </c>
      <c r="AG270" s="83" t="str">
        <f>REPLACE(INDEX(GroupVertices[Group],MATCH(Edges[[#This Row],[Vertex 2]],GroupVertices[Vertex],0)),1,1,"")</f>
        <v>3</v>
      </c>
      <c r="AH270" s="111">
        <v>1</v>
      </c>
      <c r="AI270" s="112">
        <v>5.555555555555555</v>
      </c>
      <c r="AJ270" s="111">
        <v>0</v>
      </c>
      <c r="AK270" s="112">
        <v>0</v>
      </c>
      <c r="AL270" s="111">
        <v>0</v>
      </c>
      <c r="AM270" s="112">
        <v>0</v>
      </c>
      <c r="AN270" s="111">
        <v>17</v>
      </c>
      <c r="AO270" s="112">
        <v>94.44444444444444</v>
      </c>
      <c r="AP270" s="111">
        <v>18</v>
      </c>
    </row>
    <row r="271" spans="1:42" ht="15">
      <c r="A271" s="65" t="s">
        <v>517</v>
      </c>
      <c r="B271" s="65" t="s">
        <v>561</v>
      </c>
      <c r="C271" s="66" t="s">
        <v>2945</v>
      </c>
      <c r="D271" s="67">
        <v>7.2</v>
      </c>
      <c r="E271" s="68"/>
      <c r="F271" s="69">
        <v>25</v>
      </c>
      <c r="G271" s="66"/>
      <c r="H271" s="70"/>
      <c r="I271" s="71"/>
      <c r="J271" s="71"/>
      <c r="K271" s="35" t="s">
        <v>65</v>
      </c>
      <c r="L271" s="79">
        <v>271</v>
      </c>
      <c r="M271" s="79"/>
      <c r="N271" s="73"/>
      <c r="O271" s="81" t="s">
        <v>563</v>
      </c>
      <c r="P271" s="81" t="s">
        <v>325</v>
      </c>
      <c r="Q271" s="84" t="s">
        <v>830</v>
      </c>
      <c r="R271" s="81" t="s">
        <v>517</v>
      </c>
      <c r="S271" s="81" t="s">
        <v>1030</v>
      </c>
      <c r="T271" s="86" t="str">
        <f>HYPERLINK("http://www.youtube.com/channel/UCj-YNRE6g8gXzAaXu-kQ7Og")</f>
        <v>http://www.youtube.com/channel/UCj-YNRE6g8gXzAaXu-kQ7Og</v>
      </c>
      <c r="U271" s="81"/>
      <c r="V271" s="81" t="s">
        <v>1117</v>
      </c>
      <c r="W271" s="86" t="str">
        <f>HYPERLINK("https://www.youtube.com/watch?v=owl9we4ldFI")</f>
        <v>https://www.youtube.com/watch?v=owl9we4ldFI</v>
      </c>
      <c r="X271" s="81" t="s">
        <v>1183</v>
      </c>
      <c r="Y271" s="81">
        <v>0</v>
      </c>
      <c r="Z271" s="88">
        <v>44670.90829861111</v>
      </c>
      <c r="AA271" s="88">
        <v>44670.90829861111</v>
      </c>
      <c r="AB271" s="81"/>
      <c r="AC271" s="81"/>
      <c r="AD271" s="84" t="s">
        <v>1239</v>
      </c>
      <c r="AE271" s="82">
        <v>4</v>
      </c>
      <c r="AF271" s="83" t="str">
        <f>REPLACE(INDEX(GroupVertices[Group],MATCH(Edges[[#This Row],[Vertex 1]],GroupVertices[Vertex],0)),1,1,"")</f>
        <v>4</v>
      </c>
      <c r="AG271" s="83" t="str">
        <f>REPLACE(INDEX(GroupVertices[Group],MATCH(Edges[[#This Row],[Vertex 2]],GroupVertices[Vertex],0)),1,1,"")</f>
        <v>3</v>
      </c>
      <c r="AH271" s="111">
        <v>4</v>
      </c>
      <c r="AI271" s="112">
        <v>13.793103448275861</v>
      </c>
      <c r="AJ271" s="111">
        <v>1</v>
      </c>
      <c r="AK271" s="112">
        <v>3.4482758620689653</v>
      </c>
      <c r="AL271" s="111">
        <v>0</v>
      </c>
      <c r="AM271" s="112">
        <v>0</v>
      </c>
      <c r="AN271" s="111">
        <v>24</v>
      </c>
      <c r="AO271" s="112">
        <v>82.75862068965517</v>
      </c>
      <c r="AP271" s="111">
        <v>29</v>
      </c>
    </row>
    <row r="272" spans="1:42" ht="15">
      <c r="A272" s="65" t="s">
        <v>517</v>
      </c>
      <c r="B272" s="65" t="s">
        <v>555</v>
      </c>
      <c r="C272" s="66" t="s">
        <v>2942</v>
      </c>
      <c r="D272" s="67">
        <v>3</v>
      </c>
      <c r="E272" s="68"/>
      <c r="F272" s="69">
        <v>40</v>
      </c>
      <c r="G272" s="66"/>
      <c r="H272" s="70"/>
      <c r="I272" s="71"/>
      <c r="J272" s="71"/>
      <c r="K272" s="35" t="s">
        <v>65</v>
      </c>
      <c r="L272" s="79">
        <v>272</v>
      </c>
      <c r="M272" s="79"/>
      <c r="N272" s="73"/>
      <c r="O272" s="81" t="s">
        <v>563</v>
      </c>
      <c r="P272" s="81" t="s">
        <v>325</v>
      </c>
      <c r="Q272" s="84" t="s">
        <v>830</v>
      </c>
      <c r="R272" s="81" t="s">
        <v>517</v>
      </c>
      <c r="S272" s="81" t="s">
        <v>1030</v>
      </c>
      <c r="T272" s="86" t="str">
        <f>HYPERLINK("http://www.youtube.com/channel/UCj-YNRE6g8gXzAaXu-kQ7Og")</f>
        <v>http://www.youtube.com/channel/UCj-YNRE6g8gXzAaXu-kQ7Og</v>
      </c>
      <c r="U272" s="81"/>
      <c r="V272" s="81" t="s">
        <v>1119</v>
      </c>
      <c r="W272" s="86" t="str">
        <f>HYPERLINK("https://www.youtube.com/watch?v=leNjC1CQiow")</f>
        <v>https://www.youtube.com/watch?v=leNjC1CQiow</v>
      </c>
      <c r="X272" s="81" t="s">
        <v>1183</v>
      </c>
      <c r="Y272" s="81">
        <v>0</v>
      </c>
      <c r="Z272" s="88">
        <v>44672.14944444445</v>
      </c>
      <c r="AA272" s="88">
        <v>44672.14944444445</v>
      </c>
      <c r="AB272" s="81"/>
      <c r="AC272" s="81"/>
      <c r="AD272" s="84" t="s">
        <v>1239</v>
      </c>
      <c r="AE272" s="82">
        <v>1</v>
      </c>
      <c r="AF272" s="83" t="str">
        <f>REPLACE(INDEX(GroupVertices[Group],MATCH(Edges[[#This Row],[Vertex 1]],GroupVertices[Vertex],0)),1,1,"")</f>
        <v>4</v>
      </c>
      <c r="AG272" s="83" t="str">
        <f>REPLACE(INDEX(GroupVertices[Group],MATCH(Edges[[#This Row],[Vertex 2]],GroupVertices[Vertex],0)),1,1,"")</f>
        <v>4</v>
      </c>
      <c r="AH272" s="111">
        <v>4</v>
      </c>
      <c r="AI272" s="112">
        <v>13.793103448275861</v>
      </c>
      <c r="AJ272" s="111">
        <v>1</v>
      </c>
      <c r="AK272" s="112">
        <v>3.4482758620689653</v>
      </c>
      <c r="AL272" s="111">
        <v>0</v>
      </c>
      <c r="AM272" s="112">
        <v>0</v>
      </c>
      <c r="AN272" s="111">
        <v>24</v>
      </c>
      <c r="AO272" s="112">
        <v>82.75862068965517</v>
      </c>
      <c r="AP272" s="111">
        <v>29</v>
      </c>
    </row>
    <row r="273" spans="1:42" ht="15">
      <c r="A273" s="65" t="s">
        <v>517</v>
      </c>
      <c r="B273" s="65" t="s">
        <v>558</v>
      </c>
      <c r="C273" s="66" t="s">
        <v>2942</v>
      </c>
      <c r="D273" s="67">
        <v>3</v>
      </c>
      <c r="E273" s="68"/>
      <c r="F273" s="69">
        <v>40</v>
      </c>
      <c r="G273" s="66"/>
      <c r="H273" s="70"/>
      <c r="I273" s="71"/>
      <c r="J273" s="71"/>
      <c r="K273" s="35" t="s">
        <v>65</v>
      </c>
      <c r="L273" s="79">
        <v>273</v>
      </c>
      <c r="M273" s="79"/>
      <c r="N273" s="73"/>
      <c r="O273" s="81" t="s">
        <v>563</v>
      </c>
      <c r="P273" s="81" t="s">
        <v>325</v>
      </c>
      <c r="Q273" s="84" t="s">
        <v>830</v>
      </c>
      <c r="R273" s="81" t="s">
        <v>517</v>
      </c>
      <c r="S273" s="81" t="s">
        <v>1030</v>
      </c>
      <c r="T273" s="86" t="str">
        <f>HYPERLINK("http://www.youtube.com/channel/UCj-YNRE6g8gXzAaXu-kQ7Og")</f>
        <v>http://www.youtube.com/channel/UCj-YNRE6g8gXzAaXu-kQ7Og</v>
      </c>
      <c r="U273" s="81"/>
      <c r="V273" s="81" t="s">
        <v>1131</v>
      </c>
      <c r="W273" s="86" t="str">
        <f>HYPERLINK("https://www.youtube.com/watch?v=3x-TXaTF3-Y")</f>
        <v>https://www.youtube.com/watch?v=3x-TXaTF3-Y</v>
      </c>
      <c r="X273" s="81" t="s">
        <v>1183</v>
      </c>
      <c r="Y273" s="81">
        <v>0</v>
      </c>
      <c r="Z273" s="88">
        <v>44671.30048611111</v>
      </c>
      <c r="AA273" s="88">
        <v>44671.30048611111</v>
      </c>
      <c r="AB273" s="81"/>
      <c r="AC273" s="81"/>
      <c r="AD273" s="84" t="s">
        <v>1239</v>
      </c>
      <c r="AE273" s="82">
        <v>1</v>
      </c>
      <c r="AF273" s="83" t="str">
        <f>REPLACE(INDEX(GroupVertices[Group],MATCH(Edges[[#This Row],[Vertex 1]],GroupVertices[Vertex],0)),1,1,"")</f>
        <v>4</v>
      </c>
      <c r="AG273" s="83" t="str">
        <f>REPLACE(INDEX(GroupVertices[Group],MATCH(Edges[[#This Row],[Vertex 2]],GroupVertices[Vertex],0)),1,1,"")</f>
        <v>4</v>
      </c>
      <c r="AH273" s="111">
        <v>4</v>
      </c>
      <c r="AI273" s="112">
        <v>13.793103448275861</v>
      </c>
      <c r="AJ273" s="111">
        <v>1</v>
      </c>
      <c r="AK273" s="112">
        <v>3.4482758620689653</v>
      </c>
      <c r="AL273" s="111">
        <v>0</v>
      </c>
      <c r="AM273" s="112">
        <v>0</v>
      </c>
      <c r="AN273" s="111">
        <v>24</v>
      </c>
      <c r="AO273" s="112">
        <v>82.75862068965517</v>
      </c>
      <c r="AP273" s="111">
        <v>29</v>
      </c>
    </row>
    <row r="274" spans="1:42" ht="15">
      <c r="A274" s="65" t="s">
        <v>517</v>
      </c>
      <c r="B274" s="65" t="s">
        <v>468</v>
      </c>
      <c r="C274" s="66" t="s">
        <v>2942</v>
      </c>
      <c r="D274" s="67">
        <v>3</v>
      </c>
      <c r="E274" s="68"/>
      <c r="F274" s="69">
        <v>40</v>
      </c>
      <c r="G274" s="66"/>
      <c r="H274" s="70"/>
      <c r="I274" s="71"/>
      <c r="J274" s="71"/>
      <c r="K274" s="35" t="s">
        <v>65</v>
      </c>
      <c r="L274" s="79">
        <v>274</v>
      </c>
      <c r="M274" s="79"/>
      <c r="N274" s="73"/>
      <c r="O274" s="81" t="s">
        <v>563</v>
      </c>
      <c r="P274" s="81" t="s">
        <v>325</v>
      </c>
      <c r="Q274" s="84" t="s">
        <v>830</v>
      </c>
      <c r="R274" s="81" t="s">
        <v>517</v>
      </c>
      <c r="S274" s="81" t="s">
        <v>1030</v>
      </c>
      <c r="T274" s="86" t="str">
        <f>HYPERLINK("http://www.youtube.com/channel/UCj-YNRE6g8gXzAaXu-kQ7Og")</f>
        <v>http://www.youtube.com/channel/UCj-YNRE6g8gXzAaXu-kQ7Og</v>
      </c>
      <c r="U274" s="81"/>
      <c r="V274" s="81" t="s">
        <v>1125</v>
      </c>
      <c r="W274" s="86" t="str">
        <f>HYPERLINK("https://www.youtube.com/watch?v=THdrju-UWjo")</f>
        <v>https://www.youtube.com/watch?v=THdrju-UWjo</v>
      </c>
      <c r="X274" s="81" t="s">
        <v>1183</v>
      </c>
      <c r="Y274" s="81">
        <v>1</v>
      </c>
      <c r="Z274" s="88">
        <v>44671.2921412037</v>
      </c>
      <c r="AA274" s="88">
        <v>44671.2921412037</v>
      </c>
      <c r="AB274" s="81"/>
      <c r="AC274" s="81"/>
      <c r="AD274" s="84" t="s">
        <v>1239</v>
      </c>
      <c r="AE274" s="82">
        <v>1</v>
      </c>
      <c r="AF274" s="83" t="str">
        <f>REPLACE(INDEX(GroupVertices[Group],MATCH(Edges[[#This Row],[Vertex 1]],GroupVertices[Vertex],0)),1,1,"")</f>
        <v>4</v>
      </c>
      <c r="AG274" s="83" t="str">
        <f>REPLACE(INDEX(GroupVertices[Group],MATCH(Edges[[#This Row],[Vertex 2]],GroupVertices[Vertex],0)),1,1,"")</f>
        <v>4</v>
      </c>
      <c r="AH274" s="111">
        <v>4</v>
      </c>
      <c r="AI274" s="112">
        <v>13.793103448275861</v>
      </c>
      <c r="AJ274" s="111">
        <v>1</v>
      </c>
      <c r="AK274" s="112">
        <v>3.4482758620689653</v>
      </c>
      <c r="AL274" s="111">
        <v>0</v>
      </c>
      <c r="AM274" s="112">
        <v>0</v>
      </c>
      <c r="AN274" s="111">
        <v>24</v>
      </c>
      <c r="AO274" s="112">
        <v>82.75862068965517</v>
      </c>
      <c r="AP274" s="111">
        <v>29</v>
      </c>
    </row>
    <row r="275" spans="1:42" ht="15">
      <c r="A275" s="65" t="s">
        <v>517</v>
      </c>
      <c r="B275" s="65" t="s">
        <v>560</v>
      </c>
      <c r="C275" s="66" t="s">
        <v>2943</v>
      </c>
      <c r="D275" s="67">
        <v>4.4</v>
      </c>
      <c r="E275" s="68"/>
      <c r="F275" s="69">
        <v>35</v>
      </c>
      <c r="G275" s="66"/>
      <c r="H275" s="70"/>
      <c r="I275" s="71"/>
      <c r="J275" s="71"/>
      <c r="K275" s="35" t="s">
        <v>65</v>
      </c>
      <c r="L275" s="79">
        <v>275</v>
      </c>
      <c r="M275" s="79"/>
      <c r="N275" s="73"/>
      <c r="O275" s="81" t="s">
        <v>563</v>
      </c>
      <c r="P275" s="81" t="s">
        <v>325</v>
      </c>
      <c r="Q275" s="84" t="s">
        <v>832</v>
      </c>
      <c r="R275" s="81" t="s">
        <v>517</v>
      </c>
      <c r="S275" s="81" t="s">
        <v>1030</v>
      </c>
      <c r="T275" s="86" t="str">
        <f>HYPERLINK("http://www.youtube.com/channel/UCj-YNRE6g8gXzAaXu-kQ7Og")</f>
        <v>http://www.youtube.com/channel/UCj-YNRE6g8gXzAaXu-kQ7Og</v>
      </c>
      <c r="U275" s="81"/>
      <c r="V275" s="81" t="s">
        <v>1132</v>
      </c>
      <c r="W275" s="86" t="str">
        <f>HYPERLINK("https://www.youtube.com/watch?v=8lDndBPEDj4")</f>
        <v>https://www.youtube.com/watch?v=8lDndBPEDj4</v>
      </c>
      <c r="X275" s="81" t="s">
        <v>1183</v>
      </c>
      <c r="Y275" s="81">
        <v>0</v>
      </c>
      <c r="Z275" s="88">
        <v>44642.9275462963</v>
      </c>
      <c r="AA275" s="88">
        <v>44642.9275462963</v>
      </c>
      <c r="AB275" s="81"/>
      <c r="AC275" s="81"/>
      <c r="AD275" s="84" t="s">
        <v>1239</v>
      </c>
      <c r="AE275" s="82">
        <v>2</v>
      </c>
      <c r="AF275" s="83" t="str">
        <f>REPLACE(INDEX(GroupVertices[Group],MATCH(Edges[[#This Row],[Vertex 1]],GroupVertices[Vertex],0)),1,1,"")</f>
        <v>4</v>
      </c>
      <c r="AG275" s="83" t="str">
        <f>REPLACE(INDEX(GroupVertices[Group],MATCH(Edges[[#This Row],[Vertex 2]],GroupVertices[Vertex],0)),1,1,"")</f>
        <v>4</v>
      </c>
      <c r="AH275" s="111">
        <v>4</v>
      </c>
      <c r="AI275" s="112">
        <v>14.285714285714286</v>
      </c>
      <c r="AJ275" s="111">
        <v>0</v>
      </c>
      <c r="AK275" s="112">
        <v>0</v>
      </c>
      <c r="AL275" s="111">
        <v>0</v>
      </c>
      <c r="AM275" s="112">
        <v>0</v>
      </c>
      <c r="AN275" s="111">
        <v>24</v>
      </c>
      <c r="AO275" s="112">
        <v>85.71428571428571</v>
      </c>
      <c r="AP275" s="111">
        <v>28</v>
      </c>
    </row>
    <row r="276" spans="1:42" ht="15">
      <c r="A276" s="65" t="s">
        <v>517</v>
      </c>
      <c r="B276" s="65" t="s">
        <v>560</v>
      </c>
      <c r="C276" s="66" t="s">
        <v>2943</v>
      </c>
      <c r="D276" s="67">
        <v>4.4</v>
      </c>
      <c r="E276" s="68"/>
      <c r="F276" s="69">
        <v>35</v>
      </c>
      <c r="G276" s="66"/>
      <c r="H276" s="70"/>
      <c r="I276" s="71"/>
      <c r="J276" s="71"/>
      <c r="K276" s="35" t="s">
        <v>65</v>
      </c>
      <c r="L276" s="79">
        <v>276</v>
      </c>
      <c r="M276" s="79"/>
      <c r="N276" s="73"/>
      <c r="O276" s="81" t="s">
        <v>563</v>
      </c>
      <c r="P276" s="81" t="s">
        <v>325</v>
      </c>
      <c r="Q276" s="84" t="s">
        <v>830</v>
      </c>
      <c r="R276" s="81" t="s">
        <v>517</v>
      </c>
      <c r="S276" s="81" t="s">
        <v>1030</v>
      </c>
      <c r="T276" s="86" t="str">
        <f>HYPERLINK("http://www.youtube.com/channel/UCj-YNRE6g8gXzAaXu-kQ7Og")</f>
        <v>http://www.youtube.com/channel/UCj-YNRE6g8gXzAaXu-kQ7Og</v>
      </c>
      <c r="U276" s="81"/>
      <c r="V276" s="81" t="s">
        <v>1132</v>
      </c>
      <c r="W276" s="86" t="str">
        <f>HYPERLINK("https://www.youtube.com/watch?v=8lDndBPEDj4")</f>
        <v>https://www.youtube.com/watch?v=8lDndBPEDj4</v>
      </c>
      <c r="X276" s="81" t="s">
        <v>1183</v>
      </c>
      <c r="Y276" s="81">
        <v>0</v>
      </c>
      <c r="Z276" s="88">
        <v>44671.77266203704</v>
      </c>
      <c r="AA276" s="88">
        <v>44671.77266203704</v>
      </c>
      <c r="AB276" s="81"/>
      <c r="AC276" s="81"/>
      <c r="AD276" s="84" t="s">
        <v>1239</v>
      </c>
      <c r="AE276" s="82">
        <v>2</v>
      </c>
      <c r="AF276" s="83" t="str">
        <f>REPLACE(INDEX(GroupVertices[Group],MATCH(Edges[[#This Row],[Vertex 1]],GroupVertices[Vertex],0)),1,1,"")</f>
        <v>4</v>
      </c>
      <c r="AG276" s="83" t="str">
        <f>REPLACE(INDEX(GroupVertices[Group],MATCH(Edges[[#This Row],[Vertex 2]],GroupVertices[Vertex],0)),1,1,"")</f>
        <v>4</v>
      </c>
      <c r="AH276" s="111">
        <v>4</v>
      </c>
      <c r="AI276" s="112">
        <v>13.793103448275861</v>
      </c>
      <c r="AJ276" s="111">
        <v>1</v>
      </c>
      <c r="AK276" s="112">
        <v>3.4482758620689653</v>
      </c>
      <c r="AL276" s="111">
        <v>0</v>
      </c>
      <c r="AM276" s="112">
        <v>0</v>
      </c>
      <c r="AN276" s="111">
        <v>24</v>
      </c>
      <c r="AO276" s="112">
        <v>82.75862068965517</v>
      </c>
      <c r="AP276" s="111">
        <v>29</v>
      </c>
    </row>
    <row r="277" spans="1:42" ht="15">
      <c r="A277" s="65" t="s">
        <v>517</v>
      </c>
      <c r="B277" s="65" t="s">
        <v>561</v>
      </c>
      <c r="C277" s="66" t="s">
        <v>2945</v>
      </c>
      <c r="D277" s="67">
        <v>7.2</v>
      </c>
      <c r="E277" s="68"/>
      <c r="F277" s="69">
        <v>25</v>
      </c>
      <c r="G277" s="66"/>
      <c r="H277" s="70"/>
      <c r="I277" s="71"/>
      <c r="J277" s="71"/>
      <c r="K277" s="35" t="s">
        <v>65</v>
      </c>
      <c r="L277" s="79">
        <v>277</v>
      </c>
      <c r="M277" s="79"/>
      <c r="N277" s="73"/>
      <c r="O277" s="81" t="s">
        <v>563</v>
      </c>
      <c r="P277" s="81" t="s">
        <v>325</v>
      </c>
      <c r="Q277" s="84" t="s">
        <v>831</v>
      </c>
      <c r="R277" s="81" t="s">
        <v>517</v>
      </c>
      <c r="S277" s="81" t="s">
        <v>1030</v>
      </c>
      <c r="T277" s="86" t="str">
        <f>HYPERLINK("http://www.youtube.com/channel/UCj-YNRE6g8gXzAaXu-kQ7Og")</f>
        <v>http://www.youtube.com/channel/UCj-YNRE6g8gXzAaXu-kQ7Og</v>
      </c>
      <c r="U277" s="81"/>
      <c r="V277" s="81" t="s">
        <v>1130</v>
      </c>
      <c r="W277" s="86" t="str">
        <f>HYPERLINK("https://www.youtube.com/watch?v=pwsImFyc0lE")</f>
        <v>https://www.youtube.com/watch?v=pwsImFyc0lE</v>
      </c>
      <c r="X277" s="81" t="s">
        <v>1183</v>
      </c>
      <c r="Y277" s="81">
        <v>0</v>
      </c>
      <c r="Z277" s="88">
        <v>43663.345659722225</v>
      </c>
      <c r="AA277" s="88">
        <v>43663.345659722225</v>
      </c>
      <c r="AB277" s="81"/>
      <c r="AC277" s="81"/>
      <c r="AD277" s="84" t="s">
        <v>1239</v>
      </c>
      <c r="AE277" s="82">
        <v>4</v>
      </c>
      <c r="AF277" s="83" t="str">
        <f>REPLACE(INDEX(GroupVertices[Group],MATCH(Edges[[#This Row],[Vertex 1]],GroupVertices[Vertex],0)),1,1,"")</f>
        <v>4</v>
      </c>
      <c r="AG277" s="83" t="str">
        <f>REPLACE(INDEX(GroupVertices[Group],MATCH(Edges[[#This Row],[Vertex 2]],GroupVertices[Vertex],0)),1,1,"")</f>
        <v>3</v>
      </c>
      <c r="AH277" s="111">
        <v>1</v>
      </c>
      <c r="AI277" s="112">
        <v>5.555555555555555</v>
      </c>
      <c r="AJ277" s="111">
        <v>0</v>
      </c>
      <c r="AK277" s="112">
        <v>0</v>
      </c>
      <c r="AL277" s="111">
        <v>0</v>
      </c>
      <c r="AM277" s="112">
        <v>0</v>
      </c>
      <c r="AN277" s="111">
        <v>17</v>
      </c>
      <c r="AO277" s="112">
        <v>94.44444444444444</v>
      </c>
      <c r="AP277" s="111">
        <v>18</v>
      </c>
    </row>
    <row r="278" spans="1:42" ht="15">
      <c r="A278" s="65" t="s">
        <v>517</v>
      </c>
      <c r="B278" s="65" t="s">
        <v>561</v>
      </c>
      <c r="C278" s="66" t="s">
        <v>2945</v>
      </c>
      <c r="D278" s="67">
        <v>7.2</v>
      </c>
      <c r="E278" s="68"/>
      <c r="F278" s="69">
        <v>25</v>
      </c>
      <c r="G278" s="66"/>
      <c r="H278" s="70"/>
      <c r="I278" s="71"/>
      <c r="J278" s="71"/>
      <c r="K278" s="35" t="s">
        <v>65</v>
      </c>
      <c r="L278" s="79">
        <v>278</v>
      </c>
      <c r="M278" s="79"/>
      <c r="N278" s="73"/>
      <c r="O278" s="81" t="s">
        <v>563</v>
      </c>
      <c r="P278" s="81" t="s">
        <v>325</v>
      </c>
      <c r="Q278" s="84" t="s">
        <v>831</v>
      </c>
      <c r="R278" s="81" t="s">
        <v>517</v>
      </c>
      <c r="S278" s="81" t="s">
        <v>1030</v>
      </c>
      <c r="T278" s="86" t="str">
        <f>HYPERLINK("http://www.youtube.com/channel/UCj-YNRE6g8gXzAaXu-kQ7Og")</f>
        <v>http://www.youtube.com/channel/UCj-YNRE6g8gXzAaXu-kQ7Og</v>
      </c>
      <c r="U278" s="81"/>
      <c r="V278" s="81" t="s">
        <v>1130</v>
      </c>
      <c r="W278" s="86" t="str">
        <f>HYPERLINK("https://www.youtube.com/watch?v=pwsImFyc0lE")</f>
        <v>https://www.youtube.com/watch?v=pwsImFyc0lE</v>
      </c>
      <c r="X278" s="81" t="s">
        <v>1183</v>
      </c>
      <c r="Y278" s="81">
        <v>2</v>
      </c>
      <c r="Z278" s="88">
        <v>43663.345659722225</v>
      </c>
      <c r="AA278" s="88">
        <v>43663.345659722225</v>
      </c>
      <c r="AB278" s="81"/>
      <c r="AC278" s="81"/>
      <c r="AD278" s="84" t="s">
        <v>1239</v>
      </c>
      <c r="AE278" s="82">
        <v>4</v>
      </c>
      <c r="AF278" s="83" t="str">
        <f>REPLACE(INDEX(GroupVertices[Group],MATCH(Edges[[#This Row],[Vertex 1]],GroupVertices[Vertex],0)),1,1,"")</f>
        <v>4</v>
      </c>
      <c r="AG278" s="83" t="str">
        <f>REPLACE(INDEX(GroupVertices[Group],MATCH(Edges[[#This Row],[Vertex 2]],GroupVertices[Vertex],0)),1,1,"")</f>
        <v>3</v>
      </c>
      <c r="AH278" s="111">
        <v>1</v>
      </c>
      <c r="AI278" s="112">
        <v>5.555555555555555</v>
      </c>
      <c r="AJ278" s="111">
        <v>0</v>
      </c>
      <c r="AK278" s="112">
        <v>0</v>
      </c>
      <c r="AL278" s="111">
        <v>0</v>
      </c>
      <c r="AM278" s="112">
        <v>0</v>
      </c>
      <c r="AN278" s="111">
        <v>17</v>
      </c>
      <c r="AO278" s="112">
        <v>94.44444444444444</v>
      </c>
      <c r="AP278" s="111">
        <v>18</v>
      </c>
    </row>
    <row r="279" spans="1:42" ht="15">
      <c r="A279" s="65" t="s">
        <v>518</v>
      </c>
      <c r="B279" s="65" t="s">
        <v>561</v>
      </c>
      <c r="C279" s="66" t="s">
        <v>2942</v>
      </c>
      <c r="D279" s="67">
        <v>3</v>
      </c>
      <c r="E279" s="68"/>
      <c r="F279" s="69">
        <v>40</v>
      </c>
      <c r="G279" s="66"/>
      <c r="H279" s="70"/>
      <c r="I279" s="71"/>
      <c r="J279" s="71"/>
      <c r="K279" s="35" t="s">
        <v>65</v>
      </c>
      <c r="L279" s="79">
        <v>279</v>
      </c>
      <c r="M279" s="79"/>
      <c r="N279" s="73"/>
      <c r="O279" s="81" t="s">
        <v>563</v>
      </c>
      <c r="P279" s="81" t="s">
        <v>325</v>
      </c>
      <c r="Q279" s="84" t="s">
        <v>833</v>
      </c>
      <c r="R279" s="81" t="s">
        <v>518</v>
      </c>
      <c r="S279" s="81" t="s">
        <v>1031</v>
      </c>
      <c r="T279" s="86" t="str">
        <f>HYPERLINK("http://www.youtube.com/channel/UCmbTaq_33tRrVi_b7V2zzwg")</f>
        <v>http://www.youtube.com/channel/UCmbTaq_33tRrVi_b7V2zzwg</v>
      </c>
      <c r="U279" s="81"/>
      <c r="V279" s="81" t="s">
        <v>1130</v>
      </c>
      <c r="W279" s="86" t="str">
        <f>HYPERLINK("https://www.youtube.com/watch?v=pwsImFyc0lE")</f>
        <v>https://www.youtube.com/watch?v=pwsImFyc0lE</v>
      </c>
      <c r="X279" s="81" t="s">
        <v>1183</v>
      </c>
      <c r="Y279" s="81">
        <v>1</v>
      </c>
      <c r="Z279" s="88">
        <v>43678.98949074074</v>
      </c>
      <c r="AA279" s="88">
        <v>43678.99037037037</v>
      </c>
      <c r="AB279" s="81"/>
      <c r="AC279" s="81"/>
      <c r="AD279" s="84" t="s">
        <v>1239</v>
      </c>
      <c r="AE279" s="82">
        <v>1</v>
      </c>
      <c r="AF279" s="83" t="str">
        <f>REPLACE(INDEX(GroupVertices[Group],MATCH(Edges[[#This Row],[Vertex 1]],GroupVertices[Vertex],0)),1,1,"")</f>
        <v>3</v>
      </c>
      <c r="AG279" s="83" t="str">
        <f>REPLACE(INDEX(GroupVertices[Group],MATCH(Edges[[#This Row],[Vertex 2]],GroupVertices[Vertex],0)),1,1,"")</f>
        <v>3</v>
      </c>
      <c r="AH279" s="111">
        <v>2</v>
      </c>
      <c r="AI279" s="112">
        <v>25</v>
      </c>
      <c r="AJ279" s="111">
        <v>0</v>
      </c>
      <c r="AK279" s="112">
        <v>0</v>
      </c>
      <c r="AL279" s="111">
        <v>0</v>
      </c>
      <c r="AM279" s="112">
        <v>0</v>
      </c>
      <c r="AN279" s="111">
        <v>6</v>
      </c>
      <c r="AO279" s="112">
        <v>75</v>
      </c>
      <c r="AP279" s="111">
        <v>8</v>
      </c>
    </row>
    <row r="280" spans="1:42" ht="15">
      <c r="A280" s="65" t="s">
        <v>519</v>
      </c>
      <c r="B280" s="65" t="s">
        <v>519</v>
      </c>
      <c r="C280" s="66" t="s">
        <v>2942</v>
      </c>
      <c r="D280" s="67">
        <v>3</v>
      </c>
      <c r="E280" s="68"/>
      <c r="F280" s="69">
        <v>40</v>
      </c>
      <c r="G280" s="66"/>
      <c r="H280" s="70"/>
      <c r="I280" s="71"/>
      <c r="J280" s="71"/>
      <c r="K280" s="35" t="s">
        <v>65</v>
      </c>
      <c r="L280" s="79">
        <v>280</v>
      </c>
      <c r="M280" s="79"/>
      <c r="N280" s="73"/>
      <c r="O280" s="81" t="s">
        <v>565</v>
      </c>
      <c r="P280" s="81"/>
      <c r="Q280" s="81"/>
      <c r="R280" s="81"/>
      <c r="S280" s="81"/>
      <c r="T280" s="81"/>
      <c r="U280" s="81"/>
      <c r="V280" s="81" t="s">
        <v>1133</v>
      </c>
      <c r="W280" s="86" t="str">
        <f>HYPERLINK("https://www.youtube.com/watch?v=qYS-obITp8U")</f>
        <v>https://www.youtube.com/watch?v=qYS-obITp8U</v>
      </c>
      <c r="X280" s="81"/>
      <c r="Y280" s="81"/>
      <c r="Z280" s="88">
        <v>43889.64501157407</v>
      </c>
      <c r="AA280" s="81"/>
      <c r="AB280" s="81"/>
      <c r="AC280" s="81"/>
      <c r="AD280" s="81"/>
      <c r="AE280">
        <v>1</v>
      </c>
      <c r="AF280" s="80" t="str">
        <f>REPLACE(INDEX(GroupVertices[Group],MATCH(Edges[[#This Row],[Vertex 1]],GroupVertices[Vertex],0)),1,1,"")</f>
        <v>2</v>
      </c>
      <c r="AG280" s="80" t="str">
        <f>REPLACE(INDEX(GroupVertices[Group],MATCH(Edges[[#This Row],[Vertex 2]],GroupVertices[Vertex],0)),1,1,"")</f>
        <v>2</v>
      </c>
      <c r="AH280" s="49"/>
      <c r="AI280" s="50"/>
      <c r="AJ280" s="49"/>
      <c r="AK280" s="50"/>
      <c r="AL280" s="49"/>
      <c r="AM280" s="50"/>
      <c r="AN280" s="49"/>
      <c r="AO280" s="50"/>
      <c r="AP280" s="49"/>
    </row>
    <row r="281" spans="1:42" ht="15">
      <c r="A281" s="65" t="s">
        <v>520</v>
      </c>
      <c r="B281" s="65" t="s">
        <v>520</v>
      </c>
      <c r="C281" s="66" t="s">
        <v>2942</v>
      </c>
      <c r="D281" s="67">
        <v>3</v>
      </c>
      <c r="E281" s="68"/>
      <c r="F281" s="69">
        <v>40</v>
      </c>
      <c r="G281" s="66"/>
      <c r="H281" s="70"/>
      <c r="I281" s="71"/>
      <c r="J281" s="71"/>
      <c r="K281" s="35" t="s">
        <v>65</v>
      </c>
      <c r="L281" s="79">
        <v>281</v>
      </c>
      <c r="M281" s="79"/>
      <c r="N281" s="73"/>
      <c r="O281" s="81" t="s">
        <v>565</v>
      </c>
      <c r="P281" s="81"/>
      <c r="Q281" s="81"/>
      <c r="R281" s="81"/>
      <c r="S281" s="81"/>
      <c r="T281" s="81"/>
      <c r="U281" s="81"/>
      <c r="V281" s="81" t="s">
        <v>1134</v>
      </c>
      <c r="W281" s="86" t="str">
        <f>HYPERLINK("https://www.youtube.com/watch?v=AAk39e00SlY")</f>
        <v>https://www.youtube.com/watch?v=AAk39e00SlY</v>
      </c>
      <c r="X281" s="81"/>
      <c r="Y281" s="81"/>
      <c r="Z281" s="88">
        <v>40401.89494212963</v>
      </c>
      <c r="AA281" s="81"/>
      <c r="AB281" s="81"/>
      <c r="AC281" s="81"/>
      <c r="AD281" s="81"/>
      <c r="AE281">
        <v>1</v>
      </c>
      <c r="AF281" s="80" t="str">
        <f>REPLACE(INDEX(GroupVertices[Group],MATCH(Edges[[#This Row],[Vertex 1]],GroupVertices[Vertex],0)),1,1,"")</f>
        <v>2</v>
      </c>
      <c r="AG281" s="80" t="str">
        <f>REPLACE(INDEX(GroupVertices[Group],MATCH(Edges[[#This Row],[Vertex 2]],GroupVertices[Vertex],0)),1,1,"")</f>
        <v>2</v>
      </c>
      <c r="AH281" s="49"/>
      <c r="AI281" s="50"/>
      <c r="AJ281" s="49"/>
      <c r="AK281" s="50"/>
      <c r="AL281" s="49"/>
      <c r="AM281" s="50"/>
      <c r="AN281" s="49"/>
      <c r="AO281" s="50"/>
      <c r="AP281" s="49"/>
    </row>
    <row r="282" spans="1:42" ht="15">
      <c r="A282" s="65" t="s">
        <v>521</v>
      </c>
      <c r="B282" s="65" t="s">
        <v>521</v>
      </c>
      <c r="C282" s="66" t="s">
        <v>2942</v>
      </c>
      <c r="D282" s="67">
        <v>3</v>
      </c>
      <c r="E282" s="68"/>
      <c r="F282" s="69">
        <v>40</v>
      </c>
      <c r="G282" s="66"/>
      <c r="H282" s="70"/>
      <c r="I282" s="71"/>
      <c r="J282" s="71"/>
      <c r="K282" s="35" t="s">
        <v>65</v>
      </c>
      <c r="L282" s="79">
        <v>282</v>
      </c>
      <c r="M282" s="79"/>
      <c r="N282" s="73"/>
      <c r="O282" s="81" t="s">
        <v>565</v>
      </c>
      <c r="P282" s="81"/>
      <c r="Q282" s="81"/>
      <c r="R282" s="81"/>
      <c r="S282" s="81"/>
      <c r="T282" s="81"/>
      <c r="U282" s="81"/>
      <c r="V282" s="81" t="s">
        <v>1135</v>
      </c>
      <c r="W282" s="86" t="str">
        <f>HYPERLINK("https://www.youtube.com/watch?v=vi01cIzeiqw")</f>
        <v>https://www.youtube.com/watch?v=vi01cIzeiqw</v>
      </c>
      <c r="X282" s="81"/>
      <c r="Y282" s="81"/>
      <c r="Z282" s="88">
        <v>42418.171319444446</v>
      </c>
      <c r="AA282" s="81"/>
      <c r="AB282" s="81"/>
      <c r="AC282" s="81"/>
      <c r="AD282" s="81"/>
      <c r="AE282">
        <v>1</v>
      </c>
      <c r="AF282" s="80" t="str">
        <f>REPLACE(INDEX(GroupVertices[Group],MATCH(Edges[[#This Row],[Vertex 1]],GroupVertices[Vertex],0)),1,1,"")</f>
        <v>25</v>
      </c>
      <c r="AG282" s="80" t="str">
        <f>REPLACE(INDEX(GroupVertices[Group],MATCH(Edges[[#This Row],[Vertex 2]],GroupVertices[Vertex],0)),1,1,"")</f>
        <v>25</v>
      </c>
      <c r="AH282" s="49"/>
      <c r="AI282" s="50"/>
      <c r="AJ282" s="49"/>
      <c r="AK282" s="50"/>
      <c r="AL282" s="49"/>
      <c r="AM282" s="50"/>
      <c r="AN282" s="49"/>
      <c r="AO282" s="50"/>
      <c r="AP282" s="49"/>
    </row>
    <row r="283" spans="1:42" ht="15">
      <c r="A283" s="65" t="s">
        <v>522</v>
      </c>
      <c r="B283" s="65" t="s">
        <v>522</v>
      </c>
      <c r="C283" s="66" t="s">
        <v>2942</v>
      </c>
      <c r="D283" s="67">
        <v>3</v>
      </c>
      <c r="E283" s="68"/>
      <c r="F283" s="69">
        <v>40</v>
      </c>
      <c r="G283" s="66"/>
      <c r="H283" s="70"/>
      <c r="I283" s="71"/>
      <c r="J283" s="71"/>
      <c r="K283" s="35" t="s">
        <v>65</v>
      </c>
      <c r="L283" s="79">
        <v>283</v>
      </c>
      <c r="M283" s="79"/>
      <c r="N283" s="73"/>
      <c r="O283" s="81" t="s">
        <v>565</v>
      </c>
      <c r="P283" s="81"/>
      <c r="Q283" s="81"/>
      <c r="R283" s="81"/>
      <c r="S283" s="81"/>
      <c r="T283" s="81"/>
      <c r="U283" s="81"/>
      <c r="V283" s="81" t="s">
        <v>1136</v>
      </c>
      <c r="W283" s="86" t="str">
        <f>HYPERLINK("https://www.youtube.com/watch?v=XmBgsR82uPo")</f>
        <v>https://www.youtube.com/watch?v=XmBgsR82uPo</v>
      </c>
      <c r="X283" s="81"/>
      <c r="Y283" s="81"/>
      <c r="Z283" s="88">
        <v>44508.36746527778</v>
      </c>
      <c r="AA283" s="81"/>
      <c r="AB283" s="81"/>
      <c r="AC283" s="81"/>
      <c r="AD283" s="81"/>
      <c r="AE283">
        <v>1</v>
      </c>
      <c r="AF283" s="80" t="str">
        <f>REPLACE(INDEX(GroupVertices[Group],MATCH(Edges[[#This Row],[Vertex 1]],GroupVertices[Vertex],0)),1,1,"")</f>
        <v>2</v>
      </c>
      <c r="AG283" s="80" t="str">
        <f>REPLACE(INDEX(GroupVertices[Group],MATCH(Edges[[#This Row],[Vertex 2]],GroupVertices[Vertex],0)),1,1,"")</f>
        <v>2</v>
      </c>
      <c r="AH283" s="49"/>
      <c r="AI283" s="50"/>
      <c r="AJ283" s="49"/>
      <c r="AK283" s="50"/>
      <c r="AL283" s="49"/>
      <c r="AM283" s="50"/>
      <c r="AN283" s="49"/>
      <c r="AO283" s="50"/>
      <c r="AP283" s="49"/>
    </row>
    <row r="284" spans="1:42" ht="15">
      <c r="A284" s="65" t="s">
        <v>523</v>
      </c>
      <c r="B284" s="65" t="s">
        <v>523</v>
      </c>
      <c r="C284" s="66" t="s">
        <v>2942</v>
      </c>
      <c r="D284" s="67">
        <v>3</v>
      </c>
      <c r="E284" s="68"/>
      <c r="F284" s="69">
        <v>40</v>
      </c>
      <c r="G284" s="66"/>
      <c r="H284" s="70"/>
      <c r="I284" s="71"/>
      <c r="J284" s="71"/>
      <c r="K284" s="35" t="s">
        <v>65</v>
      </c>
      <c r="L284" s="79">
        <v>284</v>
      </c>
      <c r="M284" s="79"/>
      <c r="N284" s="73"/>
      <c r="O284" s="81" t="s">
        <v>565</v>
      </c>
      <c r="P284" s="81"/>
      <c r="Q284" s="81"/>
      <c r="R284" s="81"/>
      <c r="S284" s="81"/>
      <c r="T284" s="81"/>
      <c r="U284" s="81"/>
      <c r="V284" s="81" t="s">
        <v>1137</v>
      </c>
      <c r="W284" s="86" t="str">
        <f>HYPERLINK("https://www.youtube.com/watch?v=8cNW3OD6I0o")</f>
        <v>https://www.youtube.com/watch?v=8cNW3OD6I0o</v>
      </c>
      <c r="X284" s="81"/>
      <c r="Y284" s="81"/>
      <c r="Z284" s="88">
        <v>43151.483981481484</v>
      </c>
      <c r="AA284" s="81"/>
      <c r="AB284" s="81"/>
      <c r="AC284" s="81"/>
      <c r="AD284" s="81"/>
      <c r="AE284">
        <v>1</v>
      </c>
      <c r="AF284" s="80" t="str">
        <f>REPLACE(INDEX(GroupVertices[Group],MATCH(Edges[[#This Row],[Vertex 1]],GroupVertices[Vertex],0)),1,1,"")</f>
        <v>2</v>
      </c>
      <c r="AG284" s="80" t="str">
        <f>REPLACE(INDEX(GroupVertices[Group],MATCH(Edges[[#This Row],[Vertex 2]],GroupVertices[Vertex],0)),1,1,"")</f>
        <v>2</v>
      </c>
      <c r="AH284" s="49"/>
      <c r="AI284" s="50"/>
      <c r="AJ284" s="49"/>
      <c r="AK284" s="50"/>
      <c r="AL284" s="49"/>
      <c r="AM284" s="50"/>
      <c r="AN284" s="49"/>
      <c r="AO284" s="50"/>
      <c r="AP284" s="49"/>
    </row>
    <row r="285" spans="1:42" ht="15">
      <c r="A285" s="65" t="s">
        <v>524</v>
      </c>
      <c r="B285" s="65" t="s">
        <v>524</v>
      </c>
      <c r="C285" s="66" t="s">
        <v>2942</v>
      </c>
      <c r="D285" s="67">
        <v>3</v>
      </c>
      <c r="E285" s="68"/>
      <c r="F285" s="69">
        <v>40</v>
      </c>
      <c r="G285" s="66"/>
      <c r="H285" s="70"/>
      <c r="I285" s="71"/>
      <c r="J285" s="71"/>
      <c r="K285" s="35" t="s">
        <v>65</v>
      </c>
      <c r="L285" s="79">
        <v>285</v>
      </c>
      <c r="M285" s="79"/>
      <c r="N285" s="73"/>
      <c r="O285" s="81" t="s">
        <v>565</v>
      </c>
      <c r="P285" s="81"/>
      <c r="Q285" s="81"/>
      <c r="R285" s="81"/>
      <c r="S285" s="81"/>
      <c r="T285" s="81"/>
      <c r="U285" s="81"/>
      <c r="V285" s="81" t="s">
        <v>1138</v>
      </c>
      <c r="W285" s="86" t="str">
        <f>HYPERLINK("https://www.youtube.com/watch?v=V5J2bUOoNh8")</f>
        <v>https://www.youtube.com/watch?v=V5J2bUOoNh8</v>
      </c>
      <c r="X285" s="81"/>
      <c r="Y285" s="81"/>
      <c r="Z285" s="88">
        <v>44649.73662037037</v>
      </c>
      <c r="AA285" s="81"/>
      <c r="AB285" s="81"/>
      <c r="AC285" s="81"/>
      <c r="AD285" s="81"/>
      <c r="AE285">
        <v>1</v>
      </c>
      <c r="AF285" s="80" t="str">
        <f>REPLACE(INDEX(GroupVertices[Group],MATCH(Edges[[#This Row],[Vertex 1]],GroupVertices[Vertex],0)),1,1,"")</f>
        <v>2</v>
      </c>
      <c r="AG285" s="80" t="str">
        <f>REPLACE(INDEX(GroupVertices[Group],MATCH(Edges[[#This Row],[Vertex 2]],GroupVertices[Vertex],0)),1,1,"")</f>
        <v>2</v>
      </c>
      <c r="AH285" s="49"/>
      <c r="AI285" s="50"/>
      <c r="AJ285" s="49"/>
      <c r="AK285" s="50"/>
      <c r="AL285" s="49"/>
      <c r="AM285" s="50"/>
      <c r="AN285" s="49"/>
      <c r="AO285" s="50"/>
      <c r="AP285" s="49"/>
    </row>
    <row r="286" spans="1:42" ht="15">
      <c r="A286" s="65" t="s">
        <v>525</v>
      </c>
      <c r="B286" s="65" t="s">
        <v>525</v>
      </c>
      <c r="C286" s="66" t="s">
        <v>2942</v>
      </c>
      <c r="D286" s="67">
        <v>3</v>
      </c>
      <c r="E286" s="68"/>
      <c r="F286" s="69">
        <v>40</v>
      </c>
      <c r="G286" s="66"/>
      <c r="H286" s="70"/>
      <c r="I286" s="71"/>
      <c r="J286" s="71"/>
      <c r="K286" s="35" t="s">
        <v>65</v>
      </c>
      <c r="L286" s="79">
        <v>286</v>
      </c>
      <c r="M286" s="79"/>
      <c r="N286" s="73"/>
      <c r="O286" s="81" t="s">
        <v>565</v>
      </c>
      <c r="P286" s="81"/>
      <c r="Q286" s="81"/>
      <c r="R286" s="81"/>
      <c r="S286" s="81"/>
      <c r="T286" s="81"/>
      <c r="U286" s="81"/>
      <c r="V286" s="81" t="s">
        <v>1089</v>
      </c>
      <c r="W286" s="86" t="str">
        <f>HYPERLINK("https://www.youtube.com/watch?v=hN3-wTOxrsY")</f>
        <v>https://www.youtube.com/watch?v=hN3-wTOxrsY</v>
      </c>
      <c r="X286" s="81"/>
      <c r="Y286" s="81"/>
      <c r="Z286" s="88">
        <v>41417.94684027778</v>
      </c>
      <c r="AA286" s="81"/>
      <c r="AB286" s="81"/>
      <c r="AC286" s="81"/>
      <c r="AD286" s="81"/>
      <c r="AE286">
        <v>1</v>
      </c>
      <c r="AF286" s="80" t="str">
        <f>REPLACE(INDEX(GroupVertices[Group],MATCH(Edges[[#This Row],[Vertex 1]],GroupVertices[Vertex],0)),1,1,"")</f>
        <v>11</v>
      </c>
      <c r="AG286" s="80" t="str">
        <f>REPLACE(INDEX(GroupVertices[Group],MATCH(Edges[[#This Row],[Vertex 2]],GroupVertices[Vertex],0)),1,1,"")</f>
        <v>11</v>
      </c>
      <c r="AH286" s="49"/>
      <c r="AI286" s="50"/>
      <c r="AJ286" s="49"/>
      <c r="AK286" s="50"/>
      <c r="AL286" s="49"/>
      <c r="AM286" s="50"/>
      <c r="AN286" s="49"/>
      <c r="AO286" s="50"/>
      <c r="AP286" s="49"/>
    </row>
    <row r="287" spans="1:42" ht="15">
      <c r="A287" s="65" t="s">
        <v>526</v>
      </c>
      <c r="B287" s="65" t="s">
        <v>526</v>
      </c>
      <c r="C287" s="66" t="s">
        <v>2942</v>
      </c>
      <c r="D287" s="67">
        <v>3</v>
      </c>
      <c r="E287" s="68"/>
      <c r="F287" s="69">
        <v>40</v>
      </c>
      <c r="G287" s="66"/>
      <c r="H287" s="70"/>
      <c r="I287" s="71"/>
      <c r="J287" s="71"/>
      <c r="K287" s="35" t="s">
        <v>65</v>
      </c>
      <c r="L287" s="79">
        <v>287</v>
      </c>
      <c r="M287" s="79"/>
      <c r="N287" s="73"/>
      <c r="O287" s="81" t="s">
        <v>565</v>
      </c>
      <c r="P287" s="81"/>
      <c r="Q287" s="81"/>
      <c r="R287" s="81"/>
      <c r="S287" s="81"/>
      <c r="T287" s="81"/>
      <c r="U287" s="81"/>
      <c r="V287" s="81" t="s">
        <v>1091</v>
      </c>
      <c r="W287" s="86" t="str">
        <f>HYPERLINK("https://www.youtube.com/watch?v=hTnnEnpQkkk")</f>
        <v>https://www.youtube.com/watch?v=hTnnEnpQkkk</v>
      </c>
      <c r="X287" s="81"/>
      <c r="Y287" s="81"/>
      <c r="Z287" s="88">
        <v>42039.86461805556</v>
      </c>
      <c r="AA287" s="81"/>
      <c r="AB287" s="81"/>
      <c r="AC287" s="81"/>
      <c r="AD287" s="81"/>
      <c r="AE287">
        <v>1</v>
      </c>
      <c r="AF287" s="80" t="str">
        <f>REPLACE(INDEX(GroupVertices[Group],MATCH(Edges[[#This Row],[Vertex 1]],GroupVertices[Vertex],0)),1,1,"")</f>
        <v>14</v>
      </c>
      <c r="AG287" s="80" t="str">
        <f>REPLACE(INDEX(GroupVertices[Group],MATCH(Edges[[#This Row],[Vertex 2]],GroupVertices[Vertex],0)),1,1,"")</f>
        <v>14</v>
      </c>
      <c r="AH287" s="49"/>
      <c r="AI287" s="50"/>
      <c r="AJ287" s="49"/>
      <c r="AK287" s="50"/>
      <c r="AL287" s="49"/>
      <c r="AM287" s="50"/>
      <c r="AN287" s="49"/>
      <c r="AO287" s="50"/>
      <c r="AP287" s="49"/>
    </row>
    <row r="288" spans="1:42" ht="15">
      <c r="A288" s="65" t="s">
        <v>527</v>
      </c>
      <c r="B288" s="65" t="s">
        <v>527</v>
      </c>
      <c r="C288" s="66" t="s">
        <v>2942</v>
      </c>
      <c r="D288" s="67">
        <v>3</v>
      </c>
      <c r="E288" s="68"/>
      <c r="F288" s="69">
        <v>40</v>
      </c>
      <c r="G288" s="66"/>
      <c r="H288" s="70"/>
      <c r="I288" s="71"/>
      <c r="J288" s="71"/>
      <c r="K288" s="35" t="s">
        <v>65</v>
      </c>
      <c r="L288" s="79">
        <v>288</v>
      </c>
      <c r="M288" s="79"/>
      <c r="N288" s="73"/>
      <c r="O288" s="81" t="s">
        <v>565</v>
      </c>
      <c r="P288" s="81"/>
      <c r="Q288" s="81"/>
      <c r="R288" s="81"/>
      <c r="S288" s="81"/>
      <c r="T288" s="81"/>
      <c r="U288" s="81"/>
      <c r="V288" s="81" t="s">
        <v>1139</v>
      </c>
      <c r="W288" s="86" t="str">
        <f>HYPERLINK("https://www.youtube.com/watch?v=R544_0CS46g")</f>
        <v>https://www.youtube.com/watch?v=R544_0CS46g</v>
      </c>
      <c r="X288" s="81"/>
      <c r="Y288" s="81"/>
      <c r="Z288" s="88">
        <v>41561.60041666667</v>
      </c>
      <c r="AA288" s="81"/>
      <c r="AB288" s="81"/>
      <c r="AC288" s="81"/>
      <c r="AD288" s="81"/>
      <c r="AE288">
        <v>1</v>
      </c>
      <c r="AF288" s="80" t="str">
        <f>REPLACE(INDEX(GroupVertices[Group],MATCH(Edges[[#This Row],[Vertex 1]],GroupVertices[Vertex],0)),1,1,"")</f>
        <v>2</v>
      </c>
      <c r="AG288" s="80" t="str">
        <f>REPLACE(INDEX(GroupVertices[Group],MATCH(Edges[[#This Row],[Vertex 2]],GroupVertices[Vertex],0)),1,1,"")</f>
        <v>2</v>
      </c>
      <c r="AH288" s="49"/>
      <c r="AI288" s="50"/>
      <c r="AJ288" s="49"/>
      <c r="AK288" s="50"/>
      <c r="AL288" s="49"/>
      <c r="AM288" s="50"/>
      <c r="AN288" s="49"/>
      <c r="AO288" s="50"/>
      <c r="AP288" s="49"/>
    </row>
    <row r="289" spans="1:42" ht="15">
      <c r="A289" s="65" t="s">
        <v>528</v>
      </c>
      <c r="B289" s="65" t="s">
        <v>528</v>
      </c>
      <c r="C289" s="66" t="s">
        <v>2943</v>
      </c>
      <c r="D289" s="67">
        <v>4.4</v>
      </c>
      <c r="E289" s="68"/>
      <c r="F289" s="69">
        <v>35</v>
      </c>
      <c r="G289" s="66"/>
      <c r="H289" s="70"/>
      <c r="I289" s="71"/>
      <c r="J289" s="71"/>
      <c r="K289" s="35" t="s">
        <v>65</v>
      </c>
      <c r="L289" s="79">
        <v>289</v>
      </c>
      <c r="M289" s="79"/>
      <c r="N289" s="73"/>
      <c r="O289" s="81" t="s">
        <v>565</v>
      </c>
      <c r="P289" s="81"/>
      <c r="Q289" s="81"/>
      <c r="R289" s="81"/>
      <c r="S289" s="81"/>
      <c r="T289" s="81"/>
      <c r="U289" s="81"/>
      <c r="V289" s="81" t="s">
        <v>1140</v>
      </c>
      <c r="W289" s="86" t="str">
        <f>HYPERLINK("https://www.youtube.com/watch?v=imzmS6mzOws")</f>
        <v>https://www.youtube.com/watch?v=imzmS6mzOws</v>
      </c>
      <c r="X289" s="81"/>
      <c r="Y289" s="81"/>
      <c r="Z289" s="88">
        <v>42599.98983796296</v>
      </c>
      <c r="AA289" s="81"/>
      <c r="AB289" s="81"/>
      <c r="AC289" s="81"/>
      <c r="AD289" s="81"/>
      <c r="AE289">
        <v>2</v>
      </c>
      <c r="AF289" s="80" t="str">
        <f>REPLACE(INDEX(GroupVertices[Group],MATCH(Edges[[#This Row],[Vertex 1]],GroupVertices[Vertex],0)),1,1,"")</f>
        <v>2</v>
      </c>
      <c r="AG289" s="80" t="str">
        <f>REPLACE(INDEX(GroupVertices[Group],MATCH(Edges[[#This Row],[Vertex 2]],GroupVertices[Vertex],0)),1,1,"")</f>
        <v>2</v>
      </c>
      <c r="AH289" s="49"/>
      <c r="AI289" s="50"/>
      <c r="AJ289" s="49"/>
      <c r="AK289" s="50"/>
      <c r="AL289" s="49"/>
      <c r="AM289" s="50"/>
      <c r="AN289" s="49"/>
      <c r="AO289" s="50"/>
      <c r="AP289" s="49"/>
    </row>
    <row r="290" spans="1:42" ht="15">
      <c r="A290" s="65" t="s">
        <v>528</v>
      </c>
      <c r="B290" s="65" t="s">
        <v>528</v>
      </c>
      <c r="C290" s="66" t="s">
        <v>2943</v>
      </c>
      <c r="D290" s="67">
        <v>4.4</v>
      </c>
      <c r="E290" s="68"/>
      <c r="F290" s="69">
        <v>35</v>
      </c>
      <c r="G290" s="66"/>
      <c r="H290" s="70"/>
      <c r="I290" s="71"/>
      <c r="J290" s="71"/>
      <c r="K290" s="35" t="s">
        <v>65</v>
      </c>
      <c r="L290" s="79">
        <v>290</v>
      </c>
      <c r="M290" s="79"/>
      <c r="N290" s="73"/>
      <c r="O290" s="81" t="s">
        <v>565</v>
      </c>
      <c r="P290" s="81"/>
      <c r="Q290" s="81"/>
      <c r="R290" s="81"/>
      <c r="S290" s="81"/>
      <c r="T290" s="81"/>
      <c r="U290" s="81"/>
      <c r="V290" s="81" t="s">
        <v>1141</v>
      </c>
      <c r="W290" s="86" t="str">
        <f>HYPERLINK("https://www.youtube.com/watch?v=mGfzlUpCpxw")</f>
        <v>https://www.youtube.com/watch?v=mGfzlUpCpxw</v>
      </c>
      <c r="X290" s="81"/>
      <c r="Y290" s="81"/>
      <c r="Z290" s="88">
        <v>42620.808645833335</v>
      </c>
      <c r="AA290" s="81"/>
      <c r="AB290" s="81"/>
      <c r="AC290" s="81"/>
      <c r="AD290" s="81"/>
      <c r="AE290">
        <v>2</v>
      </c>
      <c r="AF290" s="80" t="str">
        <f>REPLACE(INDEX(GroupVertices[Group],MATCH(Edges[[#This Row],[Vertex 1]],GroupVertices[Vertex],0)),1,1,"")</f>
        <v>2</v>
      </c>
      <c r="AG290" s="80" t="str">
        <f>REPLACE(INDEX(GroupVertices[Group],MATCH(Edges[[#This Row],[Vertex 2]],GroupVertices[Vertex],0)),1,1,"")</f>
        <v>2</v>
      </c>
      <c r="AH290" s="49"/>
      <c r="AI290" s="50"/>
      <c r="AJ290" s="49"/>
      <c r="AK290" s="50"/>
      <c r="AL290" s="49"/>
      <c r="AM290" s="50"/>
      <c r="AN290" s="49"/>
      <c r="AO290" s="50"/>
      <c r="AP290" s="49"/>
    </row>
    <row r="291" spans="1:42" ht="15">
      <c r="A291" s="65" t="s">
        <v>529</v>
      </c>
      <c r="B291" s="65" t="s">
        <v>529</v>
      </c>
      <c r="C291" s="66" t="s">
        <v>2942</v>
      </c>
      <c r="D291" s="67">
        <v>3</v>
      </c>
      <c r="E291" s="68"/>
      <c r="F291" s="69">
        <v>40</v>
      </c>
      <c r="G291" s="66"/>
      <c r="H291" s="70"/>
      <c r="I291" s="71"/>
      <c r="J291" s="71"/>
      <c r="K291" s="35" t="s">
        <v>65</v>
      </c>
      <c r="L291" s="79">
        <v>291</v>
      </c>
      <c r="M291" s="79"/>
      <c r="N291" s="73"/>
      <c r="O291" s="81" t="s">
        <v>565</v>
      </c>
      <c r="P291" s="81"/>
      <c r="Q291" s="81"/>
      <c r="R291" s="81"/>
      <c r="S291" s="81"/>
      <c r="T291" s="81"/>
      <c r="U291" s="81"/>
      <c r="V291" s="81" t="s">
        <v>1092</v>
      </c>
      <c r="W291" s="86" t="str">
        <f>HYPERLINK("https://www.youtube.com/watch?v=5_mfdaFBRy4")</f>
        <v>https://www.youtube.com/watch?v=5_mfdaFBRy4</v>
      </c>
      <c r="X291" s="81"/>
      <c r="Y291" s="81"/>
      <c r="Z291" s="88">
        <v>42135.806608796294</v>
      </c>
      <c r="AA291" s="81"/>
      <c r="AB291" s="81"/>
      <c r="AC291" s="81"/>
      <c r="AD291" s="81"/>
      <c r="AE291">
        <v>1</v>
      </c>
      <c r="AF291" s="80" t="str">
        <f>REPLACE(INDEX(GroupVertices[Group],MATCH(Edges[[#This Row],[Vertex 1]],GroupVertices[Vertex],0)),1,1,"")</f>
        <v>24</v>
      </c>
      <c r="AG291" s="80" t="str">
        <f>REPLACE(INDEX(GroupVertices[Group],MATCH(Edges[[#This Row],[Vertex 2]],GroupVertices[Vertex],0)),1,1,"")</f>
        <v>24</v>
      </c>
      <c r="AH291" s="49"/>
      <c r="AI291" s="50"/>
      <c r="AJ291" s="49"/>
      <c r="AK291" s="50"/>
      <c r="AL291" s="49"/>
      <c r="AM291" s="50"/>
      <c r="AN291" s="49"/>
      <c r="AO291" s="50"/>
      <c r="AP291" s="49"/>
    </row>
    <row r="292" spans="1:42" ht="15">
      <c r="A292" s="65" t="s">
        <v>530</v>
      </c>
      <c r="B292" s="65" t="s">
        <v>530</v>
      </c>
      <c r="C292" s="66" t="s">
        <v>2942</v>
      </c>
      <c r="D292" s="67">
        <v>3</v>
      </c>
      <c r="E292" s="68"/>
      <c r="F292" s="69">
        <v>40</v>
      </c>
      <c r="G292" s="66"/>
      <c r="H292" s="70"/>
      <c r="I292" s="71"/>
      <c r="J292" s="71"/>
      <c r="K292" s="35" t="s">
        <v>65</v>
      </c>
      <c r="L292" s="79">
        <v>292</v>
      </c>
      <c r="M292" s="79"/>
      <c r="N292" s="73"/>
      <c r="O292" s="81" t="s">
        <v>565</v>
      </c>
      <c r="P292" s="81"/>
      <c r="Q292" s="81"/>
      <c r="R292" s="81"/>
      <c r="S292" s="81"/>
      <c r="T292" s="81"/>
      <c r="U292" s="81"/>
      <c r="V292" s="81" t="s">
        <v>1142</v>
      </c>
      <c r="W292" s="86" t="str">
        <f>HYPERLINK("https://www.youtube.com/watch?v=M-7plTokyJ4")</f>
        <v>https://www.youtube.com/watch?v=M-7plTokyJ4</v>
      </c>
      <c r="X292" s="81"/>
      <c r="Y292" s="81"/>
      <c r="Z292" s="88">
        <v>44472.91237268518</v>
      </c>
      <c r="AA292" s="81"/>
      <c r="AB292" s="81"/>
      <c r="AC292" s="81"/>
      <c r="AD292" s="81"/>
      <c r="AE292">
        <v>1</v>
      </c>
      <c r="AF292" s="80" t="str">
        <f>REPLACE(INDEX(GroupVertices[Group],MATCH(Edges[[#This Row],[Vertex 1]],GroupVertices[Vertex],0)),1,1,"")</f>
        <v>2</v>
      </c>
      <c r="AG292" s="80" t="str">
        <f>REPLACE(INDEX(GroupVertices[Group],MATCH(Edges[[#This Row],[Vertex 2]],GroupVertices[Vertex],0)),1,1,"")</f>
        <v>2</v>
      </c>
      <c r="AH292" s="49"/>
      <c r="AI292" s="50"/>
      <c r="AJ292" s="49"/>
      <c r="AK292" s="50"/>
      <c r="AL292" s="49"/>
      <c r="AM292" s="50"/>
      <c r="AN292" s="49"/>
      <c r="AO292" s="50"/>
      <c r="AP292" s="49"/>
    </row>
    <row r="293" spans="1:42" ht="15">
      <c r="A293" s="65" t="s">
        <v>531</v>
      </c>
      <c r="B293" s="65" t="s">
        <v>531</v>
      </c>
      <c r="C293" s="66" t="s">
        <v>2942</v>
      </c>
      <c r="D293" s="67">
        <v>3</v>
      </c>
      <c r="E293" s="68"/>
      <c r="F293" s="69">
        <v>40</v>
      </c>
      <c r="G293" s="66"/>
      <c r="H293" s="70"/>
      <c r="I293" s="71"/>
      <c r="J293" s="71"/>
      <c r="K293" s="35" t="s">
        <v>65</v>
      </c>
      <c r="L293" s="79">
        <v>293</v>
      </c>
      <c r="M293" s="79"/>
      <c r="N293" s="73"/>
      <c r="O293" s="81" t="s">
        <v>565</v>
      </c>
      <c r="P293" s="81"/>
      <c r="Q293" s="81"/>
      <c r="R293" s="81"/>
      <c r="S293" s="81"/>
      <c r="T293" s="81"/>
      <c r="U293" s="81"/>
      <c r="V293" s="81" t="s">
        <v>1093</v>
      </c>
      <c r="W293" s="86" t="str">
        <f>HYPERLINK("https://www.youtube.com/watch?v=0M3T65Iw3Ac")</f>
        <v>https://www.youtube.com/watch?v=0M3T65Iw3Ac</v>
      </c>
      <c r="X293" s="81"/>
      <c r="Y293" s="81"/>
      <c r="Z293" s="88">
        <v>39947.694756944446</v>
      </c>
      <c r="AA293" s="81"/>
      <c r="AB293" s="81"/>
      <c r="AC293" s="81"/>
      <c r="AD293" s="81"/>
      <c r="AE293">
        <v>1</v>
      </c>
      <c r="AF293" s="80" t="str">
        <f>REPLACE(INDEX(GroupVertices[Group],MATCH(Edges[[#This Row],[Vertex 1]],GroupVertices[Vertex],0)),1,1,"")</f>
        <v>23</v>
      </c>
      <c r="AG293" s="80" t="str">
        <f>REPLACE(INDEX(GroupVertices[Group],MATCH(Edges[[#This Row],[Vertex 2]],GroupVertices[Vertex],0)),1,1,"")</f>
        <v>23</v>
      </c>
      <c r="AH293" s="49"/>
      <c r="AI293" s="50"/>
      <c r="AJ293" s="49"/>
      <c r="AK293" s="50"/>
      <c r="AL293" s="49"/>
      <c r="AM293" s="50"/>
      <c r="AN293" s="49"/>
      <c r="AO293" s="50"/>
      <c r="AP293" s="49"/>
    </row>
    <row r="294" spans="1:42" ht="15">
      <c r="A294" s="65" t="s">
        <v>532</v>
      </c>
      <c r="B294" s="65" t="s">
        <v>532</v>
      </c>
      <c r="C294" s="66" t="s">
        <v>2942</v>
      </c>
      <c r="D294" s="67">
        <v>3</v>
      </c>
      <c r="E294" s="68"/>
      <c r="F294" s="69">
        <v>40</v>
      </c>
      <c r="G294" s="66"/>
      <c r="H294" s="70"/>
      <c r="I294" s="71"/>
      <c r="J294" s="71"/>
      <c r="K294" s="35" t="s">
        <v>65</v>
      </c>
      <c r="L294" s="79">
        <v>294</v>
      </c>
      <c r="M294" s="79"/>
      <c r="N294" s="73"/>
      <c r="O294" s="81" t="s">
        <v>565</v>
      </c>
      <c r="P294" s="81"/>
      <c r="Q294" s="81"/>
      <c r="R294" s="81"/>
      <c r="S294" s="81"/>
      <c r="T294" s="81"/>
      <c r="U294" s="81"/>
      <c r="V294" s="81" t="s">
        <v>1143</v>
      </c>
      <c r="W294" s="86" t="str">
        <f>HYPERLINK("https://www.youtube.com/watch?v=fhuWyA2B_m4")</f>
        <v>https://www.youtube.com/watch?v=fhuWyA2B_m4</v>
      </c>
      <c r="X294" s="81"/>
      <c r="Y294" s="81"/>
      <c r="Z294" s="88">
        <v>42430.78876157408</v>
      </c>
      <c r="AA294" s="81"/>
      <c r="AB294" s="81"/>
      <c r="AC294" s="81"/>
      <c r="AD294" s="81"/>
      <c r="AE294">
        <v>1</v>
      </c>
      <c r="AF294" s="80" t="str">
        <f>REPLACE(INDEX(GroupVertices[Group],MATCH(Edges[[#This Row],[Vertex 1]],GroupVertices[Vertex],0)),1,1,"")</f>
        <v>2</v>
      </c>
      <c r="AG294" s="80" t="str">
        <f>REPLACE(INDEX(GroupVertices[Group],MATCH(Edges[[#This Row],[Vertex 2]],GroupVertices[Vertex],0)),1,1,"")</f>
        <v>2</v>
      </c>
      <c r="AH294" s="49"/>
      <c r="AI294" s="50"/>
      <c r="AJ294" s="49"/>
      <c r="AK294" s="50"/>
      <c r="AL294" s="49"/>
      <c r="AM294" s="50"/>
      <c r="AN294" s="49"/>
      <c r="AO294" s="50"/>
      <c r="AP294" s="49"/>
    </row>
    <row r="295" spans="1:42" ht="15">
      <c r="A295" s="65" t="s">
        <v>533</v>
      </c>
      <c r="B295" s="65" t="s">
        <v>533</v>
      </c>
      <c r="C295" s="66" t="s">
        <v>2942</v>
      </c>
      <c r="D295" s="67">
        <v>3</v>
      </c>
      <c r="E295" s="68"/>
      <c r="F295" s="69">
        <v>40</v>
      </c>
      <c r="G295" s="66"/>
      <c r="H295" s="70"/>
      <c r="I295" s="71"/>
      <c r="J295" s="71"/>
      <c r="K295" s="35" t="s">
        <v>65</v>
      </c>
      <c r="L295" s="79">
        <v>295</v>
      </c>
      <c r="M295" s="79"/>
      <c r="N295" s="73"/>
      <c r="O295" s="81" t="s">
        <v>565</v>
      </c>
      <c r="P295" s="81"/>
      <c r="Q295" s="81"/>
      <c r="R295" s="81"/>
      <c r="S295" s="81"/>
      <c r="T295" s="81"/>
      <c r="U295" s="81"/>
      <c r="V295" s="81" t="s">
        <v>1144</v>
      </c>
      <c r="W295" s="86" t="str">
        <f>HYPERLINK("https://www.youtube.com/watch?v=Ec0agEZ557k")</f>
        <v>https://www.youtube.com/watch?v=Ec0agEZ557k</v>
      </c>
      <c r="X295" s="81"/>
      <c r="Y295" s="81"/>
      <c r="Z295" s="88">
        <v>41293.681122685186</v>
      </c>
      <c r="AA295" s="81"/>
      <c r="AB295" s="81"/>
      <c r="AC295" s="81"/>
      <c r="AD295" s="81"/>
      <c r="AE295">
        <v>1</v>
      </c>
      <c r="AF295" s="80" t="str">
        <f>REPLACE(INDEX(GroupVertices[Group],MATCH(Edges[[#This Row],[Vertex 1]],GroupVertices[Vertex],0)),1,1,"")</f>
        <v>2</v>
      </c>
      <c r="AG295" s="80" t="str">
        <f>REPLACE(INDEX(GroupVertices[Group],MATCH(Edges[[#This Row],[Vertex 2]],GroupVertices[Vertex],0)),1,1,"")</f>
        <v>2</v>
      </c>
      <c r="AH295" s="49"/>
      <c r="AI295" s="50"/>
      <c r="AJ295" s="49"/>
      <c r="AK295" s="50"/>
      <c r="AL295" s="49"/>
      <c r="AM295" s="50"/>
      <c r="AN295" s="49"/>
      <c r="AO295" s="50"/>
      <c r="AP295" s="49"/>
    </row>
    <row r="296" spans="1:42" ht="15">
      <c r="A296" s="65" t="s">
        <v>353</v>
      </c>
      <c r="B296" s="65" t="s">
        <v>353</v>
      </c>
      <c r="C296" s="66" t="s">
        <v>2947</v>
      </c>
      <c r="D296" s="67">
        <v>10</v>
      </c>
      <c r="E296" s="68"/>
      <c r="F296" s="69">
        <v>15</v>
      </c>
      <c r="G296" s="66"/>
      <c r="H296" s="70"/>
      <c r="I296" s="71"/>
      <c r="J296" s="71"/>
      <c r="K296" s="35" t="s">
        <v>65</v>
      </c>
      <c r="L296" s="79">
        <v>296</v>
      </c>
      <c r="M296" s="79"/>
      <c r="N296" s="73"/>
      <c r="O296" s="81" t="s">
        <v>563</v>
      </c>
      <c r="P296" s="81" t="s">
        <v>325</v>
      </c>
      <c r="Q296" s="84" t="s">
        <v>834</v>
      </c>
      <c r="R296" s="81" t="s">
        <v>353</v>
      </c>
      <c r="S296" s="81" t="s">
        <v>866</v>
      </c>
      <c r="T296" s="86" t="str">
        <f>HYPERLINK("http://www.youtube.com/channel/UCfYrvWfah8SKHvX-fQ_oLWQ")</f>
        <v>http://www.youtube.com/channel/UCfYrvWfah8SKHvX-fQ_oLWQ</v>
      </c>
      <c r="U296" s="81"/>
      <c r="V296" s="81" t="s">
        <v>1095</v>
      </c>
      <c r="W296" s="86" t="str">
        <f>HYPERLINK("https://www.youtube.com/watch?v=o-D-Duv8Mcs")</f>
        <v>https://www.youtube.com/watch?v=o-D-Duv8Mcs</v>
      </c>
      <c r="X296" s="81" t="s">
        <v>1183</v>
      </c>
      <c r="Y296" s="81">
        <v>1</v>
      </c>
      <c r="Z296" s="88">
        <v>43923.709756944445</v>
      </c>
      <c r="AA296" s="88">
        <v>43923.709756944445</v>
      </c>
      <c r="AB296" s="81" t="s">
        <v>1210</v>
      </c>
      <c r="AC296" s="81" t="s">
        <v>1235</v>
      </c>
      <c r="AD296" s="84" t="s">
        <v>1239</v>
      </c>
      <c r="AE296" s="82">
        <v>7</v>
      </c>
      <c r="AF296" s="83" t="str">
        <f>REPLACE(INDEX(GroupVertices[Group],MATCH(Edges[[#This Row],[Vertex 1]],GroupVertices[Vertex],0)),1,1,"")</f>
        <v>17</v>
      </c>
      <c r="AG296" s="83" t="str">
        <f>REPLACE(INDEX(GroupVertices[Group],MATCH(Edges[[#This Row],[Vertex 2]],GroupVertices[Vertex],0)),1,1,"")</f>
        <v>17</v>
      </c>
      <c r="AH296" s="111">
        <v>0</v>
      </c>
      <c r="AI296" s="112">
        <v>0</v>
      </c>
      <c r="AJ296" s="111">
        <v>0</v>
      </c>
      <c r="AK296" s="112">
        <v>0</v>
      </c>
      <c r="AL296" s="111">
        <v>0</v>
      </c>
      <c r="AM296" s="112">
        <v>0</v>
      </c>
      <c r="AN296" s="111">
        <v>35</v>
      </c>
      <c r="AO296" s="112">
        <v>100</v>
      </c>
      <c r="AP296" s="111">
        <v>35</v>
      </c>
    </row>
    <row r="297" spans="1:42" ht="15">
      <c r="A297" s="65" t="s">
        <v>353</v>
      </c>
      <c r="B297" s="65" t="s">
        <v>353</v>
      </c>
      <c r="C297" s="66" t="s">
        <v>2947</v>
      </c>
      <c r="D297" s="67">
        <v>10</v>
      </c>
      <c r="E297" s="68"/>
      <c r="F297" s="69">
        <v>15</v>
      </c>
      <c r="G297" s="66"/>
      <c r="H297" s="70"/>
      <c r="I297" s="71"/>
      <c r="J297" s="71"/>
      <c r="K297" s="35" t="s">
        <v>65</v>
      </c>
      <c r="L297" s="79">
        <v>297</v>
      </c>
      <c r="M297" s="79"/>
      <c r="N297" s="73"/>
      <c r="O297" s="81" t="s">
        <v>563</v>
      </c>
      <c r="P297" s="81" t="s">
        <v>325</v>
      </c>
      <c r="Q297" s="84" t="s">
        <v>835</v>
      </c>
      <c r="R297" s="81" t="s">
        <v>353</v>
      </c>
      <c r="S297" s="81" t="s">
        <v>866</v>
      </c>
      <c r="T297" s="86" t="str">
        <f>HYPERLINK("http://www.youtube.com/channel/UCfYrvWfah8SKHvX-fQ_oLWQ")</f>
        <v>http://www.youtube.com/channel/UCfYrvWfah8SKHvX-fQ_oLWQ</v>
      </c>
      <c r="U297" s="81"/>
      <c r="V297" s="81" t="s">
        <v>1095</v>
      </c>
      <c r="W297" s="86" t="str">
        <f>HYPERLINK("https://www.youtube.com/watch?v=o-D-Duv8Mcs")</f>
        <v>https://www.youtube.com/watch?v=o-D-Duv8Mcs</v>
      </c>
      <c r="X297" s="81" t="s">
        <v>1183</v>
      </c>
      <c r="Y297" s="81">
        <v>1</v>
      </c>
      <c r="Z297" s="88">
        <v>43923.71009259259</v>
      </c>
      <c r="AA297" s="88">
        <v>43923.71009259259</v>
      </c>
      <c r="AB297" s="81" t="s">
        <v>1211</v>
      </c>
      <c r="AC297" s="81" t="s">
        <v>1236</v>
      </c>
      <c r="AD297" s="84" t="s">
        <v>1239</v>
      </c>
      <c r="AE297" s="82">
        <v>7</v>
      </c>
      <c r="AF297" s="83" t="str">
        <f>REPLACE(INDEX(GroupVertices[Group],MATCH(Edges[[#This Row],[Vertex 1]],GroupVertices[Vertex],0)),1,1,"")</f>
        <v>17</v>
      </c>
      <c r="AG297" s="83" t="str">
        <f>REPLACE(INDEX(GroupVertices[Group],MATCH(Edges[[#This Row],[Vertex 2]],GroupVertices[Vertex],0)),1,1,"")</f>
        <v>17</v>
      </c>
      <c r="AH297" s="111">
        <v>0</v>
      </c>
      <c r="AI297" s="112">
        <v>0</v>
      </c>
      <c r="AJ297" s="111">
        <v>0</v>
      </c>
      <c r="AK297" s="112">
        <v>0</v>
      </c>
      <c r="AL297" s="111">
        <v>0</v>
      </c>
      <c r="AM297" s="112">
        <v>0</v>
      </c>
      <c r="AN297" s="111">
        <v>14</v>
      </c>
      <c r="AO297" s="112">
        <v>100</v>
      </c>
      <c r="AP297" s="111">
        <v>14</v>
      </c>
    </row>
    <row r="298" spans="1:42" ht="15">
      <c r="A298" s="65" t="s">
        <v>353</v>
      </c>
      <c r="B298" s="65" t="s">
        <v>353</v>
      </c>
      <c r="C298" s="66" t="s">
        <v>2947</v>
      </c>
      <c r="D298" s="67">
        <v>10</v>
      </c>
      <c r="E298" s="68"/>
      <c r="F298" s="69">
        <v>15</v>
      </c>
      <c r="G298" s="66"/>
      <c r="H298" s="70"/>
      <c r="I298" s="71"/>
      <c r="J298" s="71"/>
      <c r="K298" s="35" t="s">
        <v>65</v>
      </c>
      <c r="L298" s="79">
        <v>298</v>
      </c>
      <c r="M298" s="79"/>
      <c r="N298" s="73"/>
      <c r="O298" s="81" t="s">
        <v>563</v>
      </c>
      <c r="P298" s="81" t="s">
        <v>325</v>
      </c>
      <c r="Q298" s="84" t="s">
        <v>836</v>
      </c>
      <c r="R298" s="81" t="s">
        <v>353</v>
      </c>
      <c r="S298" s="81" t="s">
        <v>866</v>
      </c>
      <c r="T298" s="86" t="str">
        <f>HYPERLINK("http://www.youtube.com/channel/UCfYrvWfah8SKHvX-fQ_oLWQ")</f>
        <v>http://www.youtube.com/channel/UCfYrvWfah8SKHvX-fQ_oLWQ</v>
      </c>
      <c r="U298" s="81"/>
      <c r="V298" s="81" t="s">
        <v>1095</v>
      </c>
      <c r="W298" s="86" t="str">
        <f>HYPERLINK("https://www.youtube.com/watch?v=o-D-Duv8Mcs")</f>
        <v>https://www.youtube.com/watch?v=o-D-Duv8Mcs</v>
      </c>
      <c r="X298" s="81" t="s">
        <v>1183</v>
      </c>
      <c r="Y298" s="81">
        <v>0</v>
      </c>
      <c r="Z298" s="88">
        <v>43923.71135416667</v>
      </c>
      <c r="AA298" s="88">
        <v>43923.71135416667</v>
      </c>
      <c r="AB298" s="81" t="s">
        <v>1212</v>
      </c>
      <c r="AC298" s="81" t="s">
        <v>1235</v>
      </c>
      <c r="AD298" s="84" t="s">
        <v>1239</v>
      </c>
      <c r="AE298" s="82">
        <v>7</v>
      </c>
      <c r="AF298" s="83" t="str">
        <f>REPLACE(INDEX(GroupVertices[Group],MATCH(Edges[[#This Row],[Vertex 1]],GroupVertices[Vertex],0)),1,1,"")</f>
        <v>17</v>
      </c>
      <c r="AG298" s="83" t="str">
        <f>REPLACE(INDEX(GroupVertices[Group],MATCH(Edges[[#This Row],[Vertex 2]],GroupVertices[Vertex],0)),1,1,"")</f>
        <v>17</v>
      </c>
      <c r="AH298" s="111">
        <v>0</v>
      </c>
      <c r="AI298" s="112">
        <v>0</v>
      </c>
      <c r="AJ298" s="111">
        <v>0</v>
      </c>
      <c r="AK298" s="112">
        <v>0</v>
      </c>
      <c r="AL298" s="111">
        <v>0</v>
      </c>
      <c r="AM298" s="112">
        <v>0</v>
      </c>
      <c r="AN298" s="111">
        <v>23</v>
      </c>
      <c r="AO298" s="112">
        <v>100</v>
      </c>
      <c r="AP298" s="111">
        <v>23</v>
      </c>
    </row>
    <row r="299" spans="1:42" ht="15">
      <c r="A299" s="65" t="s">
        <v>353</v>
      </c>
      <c r="B299" s="65" t="s">
        <v>353</v>
      </c>
      <c r="C299" s="66" t="s">
        <v>2947</v>
      </c>
      <c r="D299" s="67">
        <v>10</v>
      </c>
      <c r="E299" s="68"/>
      <c r="F299" s="69">
        <v>15</v>
      </c>
      <c r="G299" s="66"/>
      <c r="H299" s="70"/>
      <c r="I299" s="71"/>
      <c r="J299" s="71"/>
      <c r="K299" s="35" t="s">
        <v>65</v>
      </c>
      <c r="L299" s="79">
        <v>299</v>
      </c>
      <c r="M299" s="79"/>
      <c r="N299" s="73"/>
      <c r="O299" s="81" t="s">
        <v>563</v>
      </c>
      <c r="P299" s="81" t="s">
        <v>325</v>
      </c>
      <c r="Q299" s="84" t="s">
        <v>837</v>
      </c>
      <c r="R299" s="81" t="s">
        <v>353</v>
      </c>
      <c r="S299" s="81" t="s">
        <v>866</v>
      </c>
      <c r="T299" s="86" t="str">
        <f>HYPERLINK("http://www.youtube.com/channel/UCfYrvWfah8SKHvX-fQ_oLWQ")</f>
        <v>http://www.youtube.com/channel/UCfYrvWfah8SKHvX-fQ_oLWQ</v>
      </c>
      <c r="U299" s="81"/>
      <c r="V299" s="81" t="s">
        <v>1095</v>
      </c>
      <c r="W299" s="86" t="str">
        <f>HYPERLINK("https://www.youtube.com/watch?v=o-D-Duv8Mcs")</f>
        <v>https://www.youtube.com/watch?v=o-D-Duv8Mcs</v>
      </c>
      <c r="X299" s="81" t="s">
        <v>1183</v>
      </c>
      <c r="Y299" s="81">
        <v>1</v>
      </c>
      <c r="Z299" s="88">
        <v>43923.7221875</v>
      </c>
      <c r="AA299" s="88">
        <v>43923.7221875</v>
      </c>
      <c r="AB299" s="81" t="s">
        <v>1213</v>
      </c>
      <c r="AC299" s="81" t="s">
        <v>1227</v>
      </c>
      <c r="AD299" s="84" t="s">
        <v>1239</v>
      </c>
      <c r="AE299" s="82">
        <v>7</v>
      </c>
      <c r="AF299" s="83" t="str">
        <f>REPLACE(INDEX(GroupVertices[Group],MATCH(Edges[[#This Row],[Vertex 1]],GroupVertices[Vertex],0)),1,1,"")</f>
        <v>17</v>
      </c>
      <c r="AG299" s="83" t="str">
        <f>REPLACE(INDEX(GroupVertices[Group],MATCH(Edges[[#This Row],[Vertex 2]],GroupVertices[Vertex],0)),1,1,"")</f>
        <v>17</v>
      </c>
      <c r="AH299" s="111">
        <v>0</v>
      </c>
      <c r="AI299" s="112">
        <v>0</v>
      </c>
      <c r="AJ299" s="111">
        <v>0</v>
      </c>
      <c r="AK299" s="112">
        <v>0</v>
      </c>
      <c r="AL299" s="111">
        <v>0</v>
      </c>
      <c r="AM299" s="112">
        <v>0</v>
      </c>
      <c r="AN299" s="111">
        <v>27</v>
      </c>
      <c r="AO299" s="112">
        <v>100</v>
      </c>
      <c r="AP299" s="111">
        <v>27</v>
      </c>
    </row>
    <row r="300" spans="1:42" ht="15">
      <c r="A300" s="65" t="s">
        <v>353</v>
      </c>
      <c r="B300" s="65" t="s">
        <v>353</v>
      </c>
      <c r="C300" s="66" t="s">
        <v>2947</v>
      </c>
      <c r="D300" s="67">
        <v>10</v>
      </c>
      <c r="E300" s="68"/>
      <c r="F300" s="69">
        <v>15</v>
      </c>
      <c r="G300" s="66"/>
      <c r="H300" s="70"/>
      <c r="I300" s="71"/>
      <c r="J300" s="71"/>
      <c r="K300" s="35" t="s">
        <v>65</v>
      </c>
      <c r="L300" s="79">
        <v>300</v>
      </c>
      <c r="M300" s="79"/>
      <c r="N300" s="73"/>
      <c r="O300" s="81" t="s">
        <v>563</v>
      </c>
      <c r="P300" s="81" t="s">
        <v>325</v>
      </c>
      <c r="Q300" s="84" t="s">
        <v>838</v>
      </c>
      <c r="R300" s="81" t="s">
        <v>353</v>
      </c>
      <c r="S300" s="81" t="s">
        <v>866</v>
      </c>
      <c r="T300" s="86" t="str">
        <f>HYPERLINK("http://www.youtube.com/channel/UCfYrvWfah8SKHvX-fQ_oLWQ")</f>
        <v>http://www.youtube.com/channel/UCfYrvWfah8SKHvX-fQ_oLWQ</v>
      </c>
      <c r="U300" s="81"/>
      <c r="V300" s="81" t="s">
        <v>1095</v>
      </c>
      <c r="W300" s="86" t="str">
        <f>HYPERLINK("https://www.youtube.com/watch?v=o-D-Duv8Mcs")</f>
        <v>https://www.youtube.com/watch?v=o-D-Duv8Mcs</v>
      </c>
      <c r="X300" s="81" t="s">
        <v>1183</v>
      </c>
      <c r="Y300" s="81">
        <v>1</v>
      </c>
      <c r="Z300" s="88">
        <v>43923.846875</v>
      </c>
      <c r="AA300" s="88">
        <v>43923.846875</v>
      </c>
      <c r="AB300" s="81" t="s">
        <v>1214</v>
      </c>
      <c r="AC300" s="81" t="s">
        <v>1237</v>
      </c>
      <c r="AD300" s="84" t="s">
        <v>1239</v>
      </c>
      <c r="AE300" s="82">
        <v>7</v>
      </c>
      <c r="AF300" s="83" t="str">
        <f>REPLACE(INDEX(GroupVertices[Group],MATCH(Edges[[#This Row],[Vertex 1]],GroupVertices[Vertex],0)),1,1,"")</f>
        <v>17</v>
      </c>
      <c r="AG300" s="83" t="str">
        <f>REPLACE(INDEX(GroupVertices[Group],MATCH(Edges[[#This Row],[Vertex 2]],GroupVertices[Vertex],0)),1,1,"")</f>
        <v>17</v>
      </c>
      <c r="AH300" s="111">
        <v>1</v>
      </c>
      <c r="AI300" s="112">
        <v>4.166666666666667</v>
      </c>
      <c r="AJ300" s="111">
        <v>0</v>
      </c>
      <c r="AK300" s="112">
        <v>0</v>
      </c>
      <c r="AL300" s="111">
        <v>0</v>
      </c>
      <c r="AM300" s="112">
        <v>0</v>
      </c>
      <c r="AN300" s="111">
        <v>23</v>
      </c>
      <c r="AO300" s="112">
        <v>95.83333333333333</v>
      </c>
      <c r="AP300" s="111">
        <v>24</v>
      </c>
    </row>
    <row r="301" spans="1:42" ht="15">
      <c r="A301" s="65" t="s">
        <v>353</v>
      </c>
      <c r="B301" s="65" t="s">
        <v>353</v>
      </c>
      <c r="C301" s="66" t="s">
        <v>2947</v>
      </c>
      <c r="D301" s="67">
        <v>10</v>
      </c>
      <c r="E301" s="68"/>
      <c r="F301" s="69">
        <v>15</v>
      </c>
      <c r="G301" s="66"/>
      <c r="H301" s="70"/>
      <c r="I301" s="71"/>
      <c r="J301" s="71"/>
      <c r="K301" s="35" t="s">
        <v>65</v>
      </c>
      <c r="L301" s="79">
        <v>301</v>
      </c>
      <c r="M301" s="79"/>
      <c r="N301" s="73"/>
      <c r="O301" s="81" t="s">
        <v>563</v>
      </c>
      <c r="P301" s="81" t="s">
        <v>325</v>
      </c>
      <c r="Q301" s="84" t="s">
        <v>839</v>
      </c>
      <c r="R301" s="81" t="s">
        <v>353</v>
      </c>
      <c r="S301" s="81" t="s">
        <v>866</v>
      </c>
      <c r="T301" s="86" t="str">
        <f>HYPERLINK("http://www.youtube.com/channel/UCfYrvWfah8SKHvX-fQ_oLWQ")</f>
        <v>http://www.youtube.com/channel/UCfYrvWfah8SKHvX-fQ_oLWQ</v>
      </c>
      <c r="U301" s="81"/>
      <c r="V301" s="81" t="s">
        <v>1095</v>
      </c>
      <c r="W301" s="86" t="str">
        <f>HYPERLINK("https://www.youtube.com/watch?v=o-D-Duv8Mcs")</f>
        <v>https://www.youtube.com/watch?v=o-D-Duv8Mcs</v>
      </c>
      <c r="X301" s="81" t="s">
        <v>1183</v>
      </c>
      <c r="Y301" s="81">
        <v>3</v>
      </c>
      <c r="Z301" s="88">
        <v>43924.4662962963</v>
      </c>
      <c r="AA301" s="88">
        <v>43924.4662962963</v>
      </c>
      <c r="AB301" s="81"/>
      <c r="AC301" s="81"/>
      <c r="AD301" s="84" t="s">
        <v>1239</v>
      </c>
      <c r="AE301" s="82">
        <v>7</v>
      </c>
      <c r="AF301" s="83" t="str">
        <f>REPLACE(INDEX(GroupVertices[Group],MATCH(Edges[[#This Row],[Vertex 1]],GroupVertices[Vertex],0)),1,1,"")</f>
        <v>17</v>
      </c>
      <c r="AG301" s="83" t="str">
        <f>REPLACE(INDEX(GroupVertices[Group],MATCH(Edges[[#This Row],[Vertex 2]],GroupVertices[Vertex],0)),1,1,"")</f>
        <v>17</v>
      </c>
      <c r="AH301" s="111">
        <v>0</v>
      </c>
      <c r="AI301" s="112">
        <v>0</v>
      </c>
      <c r="AJ301" s="111">
        <v>1</v>
      </c>
      <c r="AK301" s="112">
        <v>4.761904761904762</v>
      </c>
      <c r="AL301" s="111">
        <v>0</v>
      </c>
      <c r="AM301" s="112">
        <v>0</v>
      </c>
      <c r="AN301" s="111">
        <v>20</v>
      </c>
      <c r="AO301" s="112">
        <v>95.23809523809524</v>
      </c>
      <c r="AP301" s="111">
        <v>21</v>
      </c>
    </row>
    <row r="302" spans="1:42" ht="15">
      <c r="A302" s="65" t="s">
        <v>353</v>
      </c>
      <c r="B302" s="65" t="s">
        <v>353</v>
      </c>
      <c r="C302" s="66" t="s">
        <v>2947</v>
      </c>
      <c r="D302" s="67">
        <v>10</v>
      </c>
      <c r="E302" s="68"/>
      <c r="F302" s="69">
        <v>15</v>
      </c>
      <c r="G302" s="66"/>
      <c r="H302" s="70"/>
      <c r="I302" s="71"/>
      <c r="J302" s="71"/>
      <c r="K302" s="35" t="s">
        <v>65</v>
      </c>
      <c r="L302" s="79">
        <v>302</v>
      </c>
      <c r="M302" s="79"/>
      <c r="N302" s="73"/>
      <c r="O302" s="81" t="s">
        <v>565</v>
      </c>
      <c r="P302" s="81"/>
      <c r="Q302" s="81"/>
      <c r="R302" s="81"/>
      <c r="S302" s="81"/>
      <c r="T302" s="81"/>
      <c r="U302" s="81"/>
      <c r="V302" s="81" t="s">
        <v>1095</v>
      </c>
      <c r="W302" s="86" t="str">
        <f>HYPERLINK("https://www.youtube.com/watch?v=o-D-Duv8Mcs")</f>
        <v>https://www.youtube.com/watch?v=o-D-Duv8Mcs</v>
      </c>
      <c r="X302" s="81"/>
      <c r="Y302" s="81"/>
      <c r="Z302" s="88">
        <v>43923.70427083333</v>
      </c>
      <c r="AA302" s="81"/>
      <c r="AB302" s="81"/>
      <c r="AC302" s="81"/>
      <c r="AD302" s="81"/>
      <c r="AE302">
        <v>7</v>
      </c>
      <c r="AF302" s="80" t="str">
        <f>REPLACE(INDEX(GroupVertices[Group],MATCH(Edges[[#This Row],[Vertex 1]],GroupVertices[Vertex],0)),1,1,"")</f>
        <v>17</v>
      </c>
      <c r="AG302" s="80" t="str">
        <f>REPLACE(INDEX(GroupVertices[Group],MATCH(Edges[[#This Row],[Vertex 2]],GroupVertices[Vertex],0)),1,1,"")</f>
        <v>17</v>
      </c>
      <c r="AH302" s="49"/>
      <c r="AI302" s="50"/>
      <c r="AJ302" s="49"/>
      <c r="AK302" s="50"/>
      <c r="AL302" s="49"/>
      <c r="AM302" s="50"/>
      <c r="AN302" s="49"/>
      <c r="AO302" s="50"/>
      <c r="AP302" s="49"/>
    </row>
    <row r="303" spans="1:42" ht="15">
      <c r="A303" s="65" t="s">
        <v>450</v>
      </c>
      <c r="B303" s="65" t="s">
        <v>358</v>
      </c>
      <c r="C303" s="66" t="s">
        <v>2942</v>
      </c>
      <c r="D303" s="67">
        <v>3</v>
      </c>
      <c r="E303" s="68"/>
      <c r="F303" s="69">
        <v>40</v>
      </c>
      <c r="G303" s="66"/>
      <c r="H303" s="70"/>
      <c r="I303" s="71"/>
      <c r="J303" s="71"/>
      <c r="K303" s="35" t="s">
        <v>65</v>
      </c>
      <c r="L303" s="79">
        <v>303</v>
      </c>
      <c r="M303" s="79"/>
      <c r="N303" s="73"/>
      <c r="O303" s="81" t="s">
        <v>563</v>
      </c>
      <c r="P303" s="81" t="s">
        <v>325</v>
      </c>
      <c r="Q303" s="84" t="s">
        <v>840</v>
      </c>
      <c r="R303" s="81" t="s">
        <v>450</v>
      </c>
      <c r="S303" s="81" t="s">
        <v>963</v>
      </c>
      <c r="T303" s="86" t="str">
        <f>HYPERLINK("http://www.youtube.com/channel/UCOQy7XDYjkjhb0QwVMwf-7A")</f>
        <v>http://www.youtube.com/channel/UCOQy7XDYjkjhb0QwVMwf-7A</v>
      </c>
      <c r="U303" s="81"/>
      <c r="V303" s="81" t="s">
        <v>1096</v>
      </c>
      <c r="W303" s="86" t="str">
        <f>HYPERLINK("https://www.youtube.com/watch?v=39yXz72qdow")</f>
        <v>https://www.youtube.com/watch?v=39yXz72qdow</v>
      </c>
      <c r="X303" s="81" t="s">
        <v>1183</v>
      </c>
      <c r="Y303" s="81">
        <v>0</v>
      </c>
      <c r="Z303" s="88">
        <v>41004.85256944445</v>
      </c>
      <c r="AA303" s="88">
        <v>41004.85256944445</v>
      </c>
      <c r="AB303" s="81"/>
      <c r="AC303" s="81"/>
      <c r="AD303" s="84" t="s">
        <v>1239</v>
      </c>
      <c r="AE303" s="82">
        <v>1</v>
      </c>
      <c r="AF303" s="83" t="str">
        <f>REPLACE(INDEX(GroupVertices[Group],MATCH(Edges[[#This Row],[Vertex 1]],GroupVertices[Vertex],0)),1,1,"")</f>
        <v>6</v>
      </c>
      <c r="AG303" s="83" t="str">
        <f>REPLACE(INDEX(GroupVertices[Group],MATCH(Edges[[#This Row],[Vertex 2]],GroupVertices[Vertex],0)),1,1,"")</f>
        <v>9</v>
      </c>
      <c r="AH303" s="111">
        <v>4</v>
      </c>
      <c r="AI303" s="112">
        <v>5.128205128205129</v>
      </c>
      <c r="AJ303" s="111">
        <v>0</v>
      </c>
      <c r="AK303" s="112">
        <v>0</v>
      </c>
      <c r="AL303" s="111">
        <v>0</v>
      </c>
      <c r="AM303" s="112">
        <v>0</v>
      </c>
      <c r="AN303" s="111">
        <v>74</v>
      </c>
      <c r="AO303" s="112">
        <v>94.87179487179488</v>
      </c>
      <c r="AP303" s="111">
        <v>78</v>
      </c>
    </row>
    <row r="304" spans="1:42" ht="15">
      <c r="A304" s="65" t="s">
        <v>358</v>
      </c>
      <c r="B304" s="65" t="s">
        <v>358</v>
      </c>
      <c r="C304" s="66" t="s">
        <v>2942</v>
      </c>
      <c r="D304" s="67">
        <v>3</v>
      </c>
      <c r="E304" s="68"/>
      <c r="F304" s="69">
        <v>40</v>
      </c>
      <c r="G304" s="66"/>
      <c r="H304" s="70"/>
      <c r="I304" s="71"/>
      <c r="J304" s="71"/>
      <c r="K304" s="35" t="s">
        <v>65</v>
      </c>
      <c r="L304" s="79">
        <v>304</v>
      </c>
      <c r="M304" s="79"/>
      <c r="N304" s="73"/>
      <c r="O304" s="81" t="s">
        <v>565</v>
      </c>
      <c r="P304" s="81"/>
      <c r="Q304" s="81"/>
      <c r="R304" s="81"/>
      <c r="S304" s="81"/>
      <c r="T304" s="81"/>
      <c r="U304" s="81"/>
      <c r="V304" s="81" t="s">
        <v>1096</v>
      </c>
      <c r="W304" s="86" t="str">
        <f>HYPERLINK("https://www.youtube.com/watch?v=39yXz72qdow")</f>
        <v>https://www.youtube.com/watch?v=39yXz72qdow</v>
      </c>
      <c r="X304" s="81"/>
      <c r="Y304" s="81"/>
      <c r="Z304" s="88">
        <v>41004.665983796294</v>
      </c>
      <c r="AA304" s="81"/>
      <c r="AB304" s="81"/>
      <c r="AC304" s="81"/>
      <c r="AD304" s="81"/>
      <c r="AE304">
        <v>1</v>
      </c>
      <c r="AF304" s="80" t="str">
        <f>REPLACE(INDEX(GroupVertices[Group],MATCH(Edges[[#This Row],[Vertex 1]],GroupVertices[Vertex],0)),1,1,"")</f>
        <v>9</v>
      </c>
      <c r="AG304" s="80" t="str">
        <f>REPLACE(INDEX(GroupVertices[Group],MATCH(Edges[[#This Row],[Vertex 2]],GroupVertices[Vertex],0)),1,1,"")</f>
        <v>9</v>
      </c>
      <c r="AH304" s="49"/>
      <c r="AI304" s="50"/>
      <c r="AJ304" s="49"/>
      <c r="AK304" s="50"/>
      <c r="AL304" s="49"/>
      <c r="AM304" s="50"/>
      <c r="AN304" s="49"/>
      <c r="AO304" s="50"/>
      <c r="AP304" s="49"/>
    </row>
    <row r="305" spans="1:42" ht="15">
      <c r="A305" s="65" t="s">
        <v>534</v>
      </c>
      <c r="B305" s="65" t="s">
        <v>534</v>
      </c>
      <c r="C305" s="66" t="s">
        <v>2942</v>
      </c>
      <c r="D305" s="67">
        <v>3</v>
      </c>
      <c r="E305" s="68"/>
      <c r="F305" s="69">
        <v>40</v>
      </c>
      <c r="G305" s="66"/>
      <c r="H305" s="70"/>
      <c r="I305" s="71"/>
      <c r="J305" s="71"/>
      <c r="K305" s="35" t="s">
        <v>65</v>
      </c>
      <c r="L305" s="79">
        <v>305</v>
      </c>
      <c r="M305" s="79"/>
      <c r="N305" s="73"/>
      <c r="O305" s="81" t="s">
        <v>565</v>
      </c>
      <c r="P305" s="81"/>
      <c r="Q305" s="81"/>
      <c r="R305" s="81"/>
      <c r="S305" s="81"/>
      <c r="T305" s="81"/>
      <c r="U305" s="81"/>
      <c r="V305" s="81" t="s">
        <v>1145</v>
      </c>
      <c r="W305" s="86" t="str">
        <f>HYPERLINK("https://www.youtube.com/watch?v=PbYZl4BZjJ8")</f>
        <v>https://www.youtube.com/watch?v=PbYZl4BZjJ8</v>
      </c>
      <c r="X305" s="81"/>
      <c r="Y305" s="81"/>
      <c r="Z305" s="88">
        <v>41585.53822916667</v>
      </c>
      <c r="AA305" s="81"/>
      <c r="AB305" s="81"/>
      <c r="AC305" s="81"/>
      <c r="AD305" s="81"/>
      <c r="AE305">
        <v>1</v>
      </c>
      <c r="AF305" s="80" t="str">
        <f>REPLACE(INDEX(GroupVertices[Group],MATCH(Edges[[#This Row],[Vertex 1]],GroupVertices[Vertex],0)),1,1,"")</f>
        <v>2</v>
      </c>
      <c r="AG305" s="80" t="str">
        <f>REPLACE(INDEX(GroupVertices[Group],MATCH(Edges[[#This Row],[Vertex 2]],GroupVertices[Vertex],0)),1,1,"")</f>
        <v>2</v>
      </c>
      <c r="AH305" s="49"/>
      <c r="AI305" s="50"/>
      <c r="AJ305" s="49"/>
      <c r="AK305" s="50"/>
      <c r="AL305" s="49"/>
      <c r="AM305" s="50"/>
      <c r="AN305" s="49"/>
      <c r="AO305" s="50"/>
      <c r="AP305" s="49"/>
    </row>
    <row r="306" spans="1:42" ht="15">
      <c r="A306" s="65" t="s">
        <v>535</v>
      </c>
      <c r="B306" s="65" t="s">
        <v>535</v>
      </c>
      <c r="C306" s="66" t="s">
        <v>2942</v>
      </c>
      <c r="D306" s="67">
        <v>3</v>
      </c>
      <c r="E306" s="68"/>
      <c r="F306" s="69">
        <v>40</v>
      </c>
      <c r="G306" s="66"/>
      <c r="H306" s="70"/>
      <c r="I306" s="71"/>
      <c r="J306" s="71"/>
      <c r="K306" s="35" t="s">
        <v>65</v>
      </c>
      <c r="L306" s="79">
        <v>306</v>
      </c>
      <c r="M306" s="79"/>
      <c r="N306" s="73"/>
      <c r="O306" s="81" t="s">
        <v>565</v>
      </c>
      <c r="P306" s="81"/>
      <c r="Q306" s="81"/>
      <c r="R306" s="81"/>
      <c r="S306" s="81"/>
      <c r="T306" s="81"/>
      <c r="U306" s="81"/>
      <c r="V306" s="81" t="s">
        <v>1146</v>
      </c>
      <c r="W306" s="86" t="str">
        <f>HYPERLINK("https://www.youtube.com/watch?v=6syIwTVbrt0")</f>
        <v>https://www.youtube.com/watch?v=6syIwTVbrt0</v>
      </c>
      <c r="X306" s="81"/>
      <c r="Y306" s="81"/>
      <c r="Z306" s="88">
        <v>42916.066087962965</v>
      </c>
      <c r="AA306" s="81"/>
      <c r="AB306" s="81"/>
      <c r="AC306" s="81"/>
      <c r="AD306" s="81"/>
      <c r="AE306">
        <v>1</v>
      </c>
      <c r="AF306" s="80" t="str">
        <f>REPLACE(INDEX(GroupVertices[Group],MATCH(Edges[[#This Row],[Vertex 1]],GroupVertices[Vertex],0)),1,1,"")</f>
        <v>2</v>
      </c>
      <c r="AG306" s="80" t="str">
        <f>REPLACE(INDEX(GroupVertices[Group],MATCH(Edges[[#This Row],[Vertex 2]],GroupVertices[Vertex],0)),1,1,"")</f>
        <v>2</v>
      </c>
      <c r="AH306" s="49"/>
      <c r="AI306" s="50"/>
      <c r="AJ306" s="49"/>
      <c r="AK306" s="50"/>
      <c r="AL306" s="49"/>
      <c r="AM306" s="50"/>
      <c r="AN306" s="49"/>
      <c r="AO306" s="50"/>
      <c r="AP306" s="49"/>
    </row>
    <row r="307" spans="1:42" ht="15">
      <c r="A307" s="65" t="s">
        <v>536</v>
      </c>
      <c r="B307" s="65" t="s">
        <v>536</v>
      </c>
      <c r="C307" s="66" t="s">
        <v>2942</v>
      </c>
      <c r="D307" s="67">
        <v>3</v>
      </c>
      <c r="E307" s="68"/>
      <c r="F307" s="69">
        <v>40</v>
      </c>
      <c r="G307" s="66"/>
      <c r="H307" s="70"/>
      <c r="I307" s="71"/>
      <c r="J307" s="71"/>
      <c r="K307" s="35" t="s">
        <v>65</v>
      </c>
      <c r="L307" s="79">
        <v>307</v>
      </c>
      <c r="M307" s="79"/>
      <c r="N307" s="73"/>
      <c r="O307" s="81" t="s">
        <v>565</v>
      </c>
      <c r="P307" s="81"/>
      <c r="Q307" s="81"/>
      <c r="R307" s="81"/>
      <c r="S307" s="81"/>
      <c r="T307" s="81"/>
      <c r="U307" s="81"/>
      <c r="V307" s="81" t="s">
        <v>1098</v>
      </c>
      <c r="W307" s="86" t="str">
        <f>HYPERLINK("https://www.youtube.com/watch?v=hVfI1U7uHR4")</f>
        <v>https://www.youtube.com/watch?v=hVfI1U7uHR4</v>
      </c>
      <c r="X307" s="81"/>
      <c r="Y307" s="81"/>
      <c r="Z307" s="88">
        <v>43226.8975</v>
      </c>
      <c r="AA307" s="81"/>
      <c r="AB307" s="81"/>
      <c r="AC307" s="81"/>
      <c r="AD307" s="81"/>
      <c r="AE307">
        <v>1</v>
      </c>
      <c r="AF307" s="80" t="str">
        <f>REPLACE(INDEX(GroupVertices[Group],MATCH(Edges[[#This Row],[Vertex 1]],GroupVertices[Vertex],0)),1,1,"")</f>
        <v>13</v>
      </c>
      <c r="AG307" s="80" t="str">
        <f>REPLACE(INDEX(GroupVertices[Group],MATCH(Edges[[#This Row],[Vertex 2]],GroupVertices[Vertex],0)),1,1,"")</f>
        <v>13</v>
      </c>
      <c r="AH307" s="49"/>
      <c r="AI307" s="50"/>
      <c r="AJ307" s="49"/>
      <c r="AK307" s="50"/>
      <c r="AL307" s="49"/>
      <c r="AM307" s="50"/>
      <c r="AN307" s="49"/>
      <c r="AO307" s="50"/>
      <c r="AP307" s="49"/>
    </row>
    <row r="308" spans="1:42" ht="15">
      <c r="A308" s="65" t="s">
        <v>537</v>
      </c>
      <c r="B308" s="65" t="s">
        <v>537</v>
      </c>
      <c r="C308" s="66" t="s">
        <v>2943</v>
      </c>
      <c r="D308" s="67">
        <v>4.4</v>
      </c>
      <c r="E308" s="68"/>
      <c r="F308" s="69">
        <v>35</v>
      </c>
      <c r="G308" s="66"/>
      <c r="H308" s="70"/>
      <c r="I308" s="71"/>
      <c r="J308" s="71"/>
      <c r="K308" s="35" t="s">
        <v>65</v>
      </c>
      <c r="L308" s="79">
        <v>308</v>
      </c>
      <c r="M308" s="79"/>
      <c r="N308" s="73"/>
      <c r="O308" s="81" t="s">
        <v>563</v>
      </c>
      <c r="P308" s="81" t="s">
        <v>325</v>
      </c>
      <c r="Q308" s="84" t="s">
        <v>841</v>
      </c>
      <c r="R308" s="81" t="s">
        <v>537</v>
      </c>
      <c r="S308" s="81" t="s">
        <v>1032</v>
      </c>
      <c r="T308" s="86" t="str">
        <f>HYPERLINK("http://www.youtube.com/channel/UCcBoleECTMUEbXqg2AZNHdg")</f>
        <v>http://www.youtube.com/channel/UCcBoleECTMUEbXqg2AZNHdg</v>
      </c>
      <c r="U308" s="81"/>
      <c r="V308" s="81" t="s">
        <v>1147</v>
      </c>
      <c r="W308" s="86" t="str">
        <f>HYPERLINK("https://www.youtube.com/watch?v=4joYD7ye-R0")</f>
        <v>https://www.youtube.com/watch?v=4joYD7ye-R0</v>
      </c>
      <c r="X308" s="81" t="s">
        <v>1183</v>
      </c>
      <c r="Y308" s="81">
        <v>0</v>
      </c>
      <c r="Z308" s="88">
        <v>42213.09746527778</v>
      </c>
      <c r="AA308" s="88">
        <v>42213.09746527778</v>
      </c>
      <c r="AB308" s="81"/>
      <c r="AC308" s="81"/>
      <c r="AD308" s="84" t="s">
        <v>1239</v>
      </c>
      <c r="AE308" s="82">
        <v>2</v>
      </c>
      <c r="AF308" s="83" t="str">
        <f>REPLACE(INDEX(GroupVertices[Group],MATCH(Edges[[#This Row],[Vertex 1]],GroupVertices[Vertex],0)),1,1,"")</f>
        <v>2</v>
      </c>
      <c r="AG308" s="83" t="str">
        <f>REPLACE(INDEX(GroupVertices[Group],MATCH(Edges[[#This Row],[Vertex 2]],GroupVertices[Vertex],0)),1,1,"")</f>
        <v>2</v>
      </c>
      <c r="AH308" s="111">
        <v>0</v>
      </c>
      <c r="AI308" s="112">
        <v>0</v>
      </c>
      <c r="AJ308" s="111">
        <v>0</v>
      </c>
      <c r="AK308" s="112">
        <v>0</v>
      </c>
      <c r="AL308" s="111">
        <v>0</v>
      </c>
      <c r="AM308" s="112">
        <v>0</v>
      </c>
      <c r="AN308" s="111">
        <v>21</v>
      </c>
      <c r="AO308" s="112">
        <v>100</v>
      </c>
      <c r="AP308" s="111">
        <v>21</v>
      </c>
    </row>
    <row r="309" spans="1:42" ht="15">
      <c r="A309" s="65" t="s">
        <v>537</v>
      </c>
      <c r="B309" s="65" t="s">
        <v>537</v>
      </c>
      <c r="C309" s="66" t="s">
        <v>2943</v>
      </c>
      <c r="D309" s="67">
        <v>4.4</v>
      </c>
      <c r="E309" s="68"/>
      <c r="F309" s="69">
        <v>35</v>
      </c>
      <c r="G309" s="66"/>
      <c r="H309" s="70"/>
      <c r="I309" s="71"/>
      <c r="J309" s="71"/>
      <c r="K309" s="35" t="s">
        <v>65</v>
      </c>
      <c r="L309" s="79">
        <v>309</v>
      </c>
      <c r="M309" s="79"/>
      <c r="N309" s="73"/>
      <c r="O309" s="81" t="s">
        <v>565</v>
      </c>
      <c r="P309" s="81"/>
      <c r="Q309" s="81"/>
      <c r="R309" s="81"/>
      <c r="S309" s="81"/>
      <c r="T309" s="81"/>
      <c r="U309" s="81"/>
      <c r="V309" s="81" t="s">
        <v>1147</v>
      </c>
      <c r="W309" s="86" t="str">
        <f>HYPERLINK("https://www.youtube.com/watch?v=4joYD7ye-R0")</f>
        <v>https://www.youtube.com/watch?v=4joYD7ye-R0</v>
      </c>
      <c r="X309" s="81"/>
      <c r="Y309" s="81"/>
      <c r="Z309" s="88">
        <v>42213.0952662037</v>
      </c>
      <c r="AA309" s="81"/>
      <c r="AB309" s="81"/>
      <c r="AC309" s="81"/>
      <c r="AD309" s="81"/>
      <c r="AE309">
        <v>2</v>
      </c>
      <c r="AF309" s="80" t="str">
        <f>REPLACE(INDEX(GroupVertices[Group],MATCH(Edges[[#This Row],[Vertex 1]],GroupVertices[Vertex],0)),1,1,"")</f>
        <v>2</v>
      </c>
      <c r="AG309" s="80" t="str">
        <f>REPLACE(INDEX(GroupVertices[Group],MATCH(Edges[[#This Row],[Vertex 2]],GroupVertices[Vertex],0)),1,1,"")</f>
        <v>2</v>
      </c>
      <c r="AH309" s="49"/>
      <c r="AI309" s="50"/>
      <c r="AJ309" s="49"/>
      <c r="AK309" s="50"/>
      <c r="AL309" s="49"/>
      <c r="AM309" s="50"/>
      <c r="AN309" s="49"/>
      <c r="AO309" s="50"/>
      <c r="AP309" s="49"/>
    </row>
    <row r="310" spans="1:42" ht="15">
      <c r="A310" s="65" t="s">
        <v>351</v>
      </c>
      <c r="B310" s="65" t="s">
        <v>351</v>
      </c>
      <c r="C310" s="66" t="s">
        <v>2944</v>
      </c>
      <c r="D310" s="67">
        <v>5.8</v>
      </c>
      <c r="E310" s="68"/>
      <c r="F310" s="69">
        <v>30</v>
      </c>
      <c r="G310" s="66"/>
      <c r="H310" s="70"/>
      <c r="I310" s="71"/>
      <c r="J310" s="71"/>
      <c r="K310" s="35" t="s">
        <v>65</v>
      </c>
      <c r="L310" s="79">
        <v>310</v>
      </c>
      <c r="M310" s="79"/>
      <c r="N310" s="73"/>
      <c r="O310" s="81" t="s">
        <v>563</v>
      </c>
      <c r="P310" s="81" t="s">
        <v>325</v>
      </c>
      <c r="Q310" s="84" t="s">
        <v>842</v>
      </c>
      <c r="R310" s="81" t="s">
        <v>351</v>
      </c>
      <c r="S310" s="81" t="s">
        <v>864</v>
      </c>
      <c r="T310" s="86" t="str">
        <f>HYPERLINK("http://www.youtube.com/channel/UCT2t7sQp0Qyi9dxuckjOWAw")</f>
        <v>http://www.youtube.com/channel/UCT2t7sQp0Qyi9dxuckjOWAw</v>
      </c>
      <c r="U310" s="81"/>
      <c r="V310" s="81" t="s">
        <v>1148</v>
      </c>
      <c r="W310" s="86" t="str">
        <f>HYPERLINK("https://www.youtube.com/watch?v=ETE3foyjx_E")</f>
        <v>https://www.youtube.com/watch?v=ETE3foyjx_E</v>
      </c>
      <c r="X310" s="81" t="s">
        <v>1183</v>
      </c>
      <c r="Y310" s="81">
        <v>0</v>
      </c>
      <c r="Z310" s="88">
        <v>43764.70290509259</v>
      </c>
      <c r="AA310" s="88">
        <v>43764.70290509259</v>
      </c>
      <c r="AB310" s="81" t="s">
        <v>1215</v>
      </c>
      <c r="AC310" s="81" t="s">
        <v>1235</v>
      </c>
      <c r="AD310" s="84" t="s">
        <v>1239</v>
      </c>
      <c r="AE310" s="82">
        <v>3</v>
      </c>
      <c r="AF310" s="83" t="str">
        <f>REPLACE(INDEX(GroupVertices[Group],MATCH(Edges[[#This Row],[Vertex 1]],GroupVertices[Vertex],0)),1,1,"")</f>
        <v>4</v>
      </c>
      <c r="AG310" s="83" t="str">
        <f>REPLACE(INDEX(GroupVertices[Group],MATCH(Edges[[#This Row],[Vertex 2]],GroupVertices[Vertex],0)),1,1,"")</f>
        <v>4</v>
      </c>
      <c r="AH310" s="111">
        <v>0</v>
      </c>
      <c r="AI310" s="112">
        <v>0</v>
      </c>
      <c r="AJ310" s="111">
        <v>0</v>
      </c>
      <c r="AK310" s="112">
        <v>0</v>
      </c>
      <c r="AL310" s="111">
        <v>0</v>
      </c>
      <c r="AM310" s="112">
        <v>0</v>
      </c>
      <c r="AN310" s="111">
        <v>29</v>
      </c>
      <c r="AO310" s="112">
        <v>100</v>
      </c>
      <c r="AP310" s="111">
        <v>29</v>
      </c>
    </row>
    <row r="311" spans="1:42" ht="15">
      <c r="A311" s="65" t="s">
        <v>351</v>
      </c>
      <c r="B311" s="65" t="s">
        <v>351</v>
      </c>
      <c r="C311" s="66" t="s">
        <v>2944</v>
      </c>
      <c r="D311" s="67">
        <v>5.8</v>
      </c>
      <c r="E311" s="68"/>
      <c r="F311" s="69">
        <v>30</v>
      </c>
      <c r="G311" s="66"/>
      <c r="H311" s="70"/>
      <c r="I311" s="71"/>
      <c r="J311" s="71"/>
      <c r="K311" s="35" t="s">
        <v>65</v>
      </c>
      <c r="L311" s="79">
        <v>311</v>
      </c>
      <c r="M311" s="79"/>
      <c r="N311" s="73"/>
      <c r="O311" s="81" t="s">
        <v>565</v>
      </c>
      <c r="P311" s="81"/>
      <c r="Q311" s="81"/>
      <c r="R311" s="81"/>
      <c r="S311" s="81"/>
      <c r="T311" s="81"/>
      <c r="U311" s="81"/>
      <c r="V311" s="81" t="s">
        <v>1094</v>
      </c>
      <c r="W311" s="86" t="str">
        <f>HYPERLINK("https://www.youtube.com/watch?v=3s6qbWY07FI")</f>
        <v>https://www.youtube.com/watch?v=3s6qbWY07FI</v>
      </c>
      <c r="X311" s="81"/>
      <c r="Y311" s="81"/>
      <c r="Z311" s="88">
        <v>43971.31354166667</v>
      </c>
      <c r="AA311" s="81"/>
      <c r="AB311" s="81"/>
      <c r="AC311" s="81"/>
      <c r="AD311" s="81"/>
      <c r="AE311">
        <v>3</v>
      </c>
      <c r="AF311" s="80" t="str">
        <f>REPLACE(INDEX(GroupVertices[Group],MATCH(Edges[[#This Row],[Vertex 1]],GroupVertices[Vertex],0)),1,1,"")</f>
        <v>4</v>
      </c>
      <c r="AG311" s="80" t="str">
        <f>REPLACE(INDEX(GroupVertices[Group],MATCH(Edges[[#This Row],[Vertex 2]],GroupVertices[Vertex],0)),1,1,"")</f>
        <v>4</v>
      </c>
      <c r="AH311" s="49"/>
      <c r="AI311" s="50"/>
      <c r="AJ311" s="49"/>
      <c r="AK311" s="50"/>
      <c r="AL311" s="49"/>
      <c r="AM311" s="50"/>
      <c r="AN311" s="49"/>
      <c r="AO311" s="50"/>
      <c r="AP311" s="49"/>
    </row>
    <row r="312" spans="1:42" ht="15">
      <c r="A312" s="65" t="s">
        <v>351</v>
      </c>
      <c r="B312" s="65" t="s">
        <v>351</v>
      </c>
      <c r="C312" s="66" t="s">
        <v>2944</v>
      </c>
      <c r="D312" s="67">
        <v>5.8</v>
      </c>
      <c r="E312" s="68"/>
      <c r="F312" s="69">
        <v>30</v>
      </c>
      <c r="G312" s="66"/>
      <c r="H312" s="70"/>
      <c r="I312" s="71"/>
      <c r="J312" s="71"/>
      <c r="K312" s="35" t="s">
        <v>65</v>
      </c>
      <c r="L312" s="79">
        <v>312</v>
      </c>
      <c r="M312" s="79"/>
      <c r="N312" s="73"/>
      <c r="O312" s="81" t="s">
        <v>565</v>
      </c>
      <c r="P312" s="81"/>
      <c r="Q312" s="81"/>
      <c r="R312" s="81"/>
      <c r="S312" s="81"/>
      <c r="T312" s="81"/>
      <c r="U312" s="81"/>
      <c r="V312" s="81" t="s">
        <v>1148</v>
      </c>
      <c r="W312" s="86" t="str">
        <f>HYPERLINK("https://www.youtube.com/watch?v=ETE3foyjx_E")</f>
        <v>https://www.youtube.com/watch?v=ETE3foyjx_E</v>
      </c>
      <c r="X312" s="81"/>
      <c r="Y312" s="81"/>
      <c r="Z312" s="88">
        <v>43765.46471064815</v>
      </c>
      <c r="AA312" s="81"/>
      <c r="AB312" s="81"/>
      <c r="AC312" s="81"/>
      <c r="AD312" s="81"/>
      <c r="AE312">
        <v>3</v>
      </c>
      <c r="AF312" s="80" t="str">
        <f>REPLACE(INDEX(GroupVertices[Group],MATCH(Edges[[#This Row],[Vertex 1]],GroupVertices[Vertex],0)),1,1,"")</f>
        <v>4</v>
      </c>
      <c r="AG312" s="80" t="str">
        <f>REPLACE(INDEX(GroupVertices[Group],MATCH(Edges[[#This Row],[Vertex 2]],GroupVertices[Vertex],0)),1,1,"")</f>
        <v>4</v>
      </c>
      <c r="AH312" s="49"/>
      <c r="AI312" s="50"/>
      <c r="AJ312" s="49"/>
      <c r="AK312" s="50"/>
      <c r="AL312" s="49"/>
      <c r="AM312" s="50"/>
      <c r="AN312" s="49"/>
      <c r="AO312" s="50"/>
      <c r="AP312" s="49"/>
    </row>
    <row r="313" spans="1:42" ht="15">
      <c r="A313" s="65" t="s">
        <v>538</v>
      </c>
      <c r="B313" s="65" t="s">
        <v>538</v>
      </c>
      <c r="C313" s="66" t="s">
        <v>2946</v>
      </c>
      <c r="D313" s="67">
        <v>10</v>
      </c>
      <c r="E313" s="68"/>
      <c r="F313" s="69">
        <v>15</v>
      </c>
      <c r="G313" s="66"/>
      <c r="H313" s="70"/>
      <c r="I313" s="71"/>
      <c r="J313" s="71"/>
      <c r="K313" s="35" t="s">
        <v>65</v>
      </c>
      <c r="L313" s="79">
        <v>313</v>
      </c>
      <c r="M313" s="79"/>
      <c r="N313" s="73"/>
      <c r="O313" s="81" t="s">
        <v>565</v>
      </c>
      <c r="P313" s="81"/>
      <c r="Q313" s="81"/>
      <c r="R313" s="81"/>
      <c r="S313" s="81"/>
      <c r="T313" s="81"/>
      <c r="U313" s="81"/>
      <c r="V313" s="81" t="s">
        <v>1149</v>
      </c>
      <c r="W313" s="86" t="str">
        <f>HYPERLINK("https://www.youtube.com/watch?v=IUlPHNXUDFI")</f>
        <v>https://www.youtube.com/watch?v=IUlPHNXUDFI</v>
      </c>
      <c r="X313" s="81"/>
      <c r="Y313" s="81"/>
      <c r="Z313" s="88">
        <v>41883.77269675926</v>
      </c>
      <c r="AA313" s="81"/>
      <c r="AB313" s="81"/>
      <c r="AC313" s="81"/>
      <c r="AD313" s="81"/>
      <c r="AE313">
        <v>6</v>
      </c>
      <c r="AF313" s="80" t="str">
        <f>REPLACE(INDEX(GroupVertices[Group],MATCH(Edges[[#This Row],[Vertex 1]],GroupVertices[Vertex],0)),1,1,"")</f>
        <v>2</v>
      </c>
      <c r="AG313" s="80" t="str">
        <f>REPLACE(INDEX(GroupVertices[Group],MATCH(Edges[[#This Row],[Vertex 2]],GroupVertices[Vertex],0)),1,1,"")</f>
        <v>2</v>
      </c>
      <c r="AH313" s="49"/>
      <c r="AI313" s="50"/>
      <c r="AJ313" s="49"/>
      <c r="AK313" s="50"/>
      <c r="AL313" s="49"/>
      <c r="AM313" s="50"/>
      <c r="AN313" s="49"/>
      <c r="AO313" s="50"/>
      <c r="AP313" s="49"/>
    </row>
    <row r="314" spans="1:42" ht="15">
      <c r="A314" s="65" t="s">
        <v>538</v>
      </c>
      <c r="B314" s="65" t="s">
        <v>538</v>
      </c>
      <c r="C314" s="66" t="s">
        <v>2946</v>
      </c>
      <c r="D314" s="67">
        <v>10</v>
      </c>
      <c r="E314" s="68"/>
      <c r="F314" s="69">
        <v>15</v>
      </c>
      <c r="G314" s="66"/>
      <c r="H314" s="70"/>
      <c r="I314" s="71"/>
      <c r="J314" s="71"/>
      <c r="K314" s="35" t="s">
        <v>65</v>
      </c>
      <c r="L314" s="79">
        <v>314</v>
      </c>
      <c r="M314" s="79"/>
      <c r="N314" s="73"/>
      <c r="O314" s="81" t="s">
        <v>565</v>
      </c>
      <c r="P314" s="81"/>
      <c r="Q314" s="81"/>
      <c r="R314" s="81"/>
      <c r="S314" s="81"/>
      <c r="T314" s="81"/>
      <c r="U314" s="81"/>
      <c r="V314" s="81" t="s">
        <v>1150</v>
      </c>
      <c r="W314" s="86" t="str">
        <f>HYPERLINK("https://www.youtube.com/watch?v=WoFbiZxNGt4")</f>
        <v>https://www.youtube.com/watch?v=WoFbiZxNGt4</v>
      </c>
      <c r="X314" s="81"/>
      <c r="Y314" s="81"/>
      <c r="Z314" s="88">
        <v>41861.02108796296</v>
      </c>
      <c r="AA314" s="81"/>
      <c r="AB314" s="81"/>
      <c r="AC314" s="81"/>
      <c r="AD314" s="81"/>
      <c r="AE314">
        <v>6</v>
      </c>
      <c r="AF314" s="80" t="str">
        <f>REPLACE(INDEX(GroupVertices[Group],MATCH(Edges[[#This Row],[Vertex 1]],GroupVertices[Vertex],0)),1,1,"")</f>
        <v>2</v>
      </c>
      <c r="AG314" s="80" t="str">
        <f>REPLACE(INDEX(GroupVertices[Group],MATCH(Edges[[#This Row],[Vertex 2]],GroupVertices[Vertex],0)),1,1,"")</f>
        <v>2</v>
      </c>
      <c r="AH314" s="49"/>
      <c r="AI314" s="50"/>
      <c r="AJ314" s="49"/>
      <c r="AK314" s="50"/>
      <c r="AL314" s="49"/>
      <c r="AM314" s="50"/>
      <c r="AN314" s="49"/>
      <c r="AO314" s="50"/>
      <c r="AP314" s="49"/>
    </row>
    <row r="315" spans="1:42" ht="15">
      <c r="A315" s="65" t="s">
        <v>538</v>
      </c>
      <c r="B315" s="65" t="s">
        <v>538</v>
      </c>
      <c r="C315" s="66" t="s">
        <v>2946</v>
      </c>
      <c r="D315" s="67">
        <v>10</v>
      </c>
      <c r="E315" s="68"/>
      <c r="F315" s="69">
        <v>15</v>
      </c>
      <c r="G315" s="66"/>
      <c r="H315" s="70"/>
      <c r="I315" s="71"/>
      <c r="J315" s="71"/>
      <c r="K315" s="35" t="s">
        <v>65</v>
      </c>
      <c r="L315" s="79">
        <v>315</v>
      </c>
      <c r="M315" s="79"/>
      <c r="N315" s="73"/>
      <c r="O315" s="81" t="s">
        <v>565</v>
      </c>
      <c r="P315" s="81"/>
      <c r="Q315" s="81"/>
      <c r="R315" s="81"/>
      <c r="S315" s="81"/>
      <c r="T315" s="81"/>
      <c r="U315" s="81"/>
      <c r="V315" s="81" t="s">
        <v>1151</v>
      </c>
      <c r="W315" s="86" t="str">
        <f>HYPERLINK("https://www.youtube.com/watch?v=MtpFeGA-57Y")</f>
        <v>https://www.youtube.com/watch?v=MtpFeGA-57Y</v>
      </c>
      <c r="X315" s="81"/>
      <c r="Y315" s="81"/>
      <c r="Z315" s="88">
        <v>41874.993055555555</v>
      </c>
      <c r="AA315" s="81"/>
      <c r="AB315" s="81"/>
      <c r="AC315" s="81"/>
      <c r="AD315" s="81"/>
      <c r="AE315">
        <v>6</v>
      </c>
      <c r="AF315" s="80" t="str">
        <f>REPLACE(INDEX(GroupVertices[Group],MATCH(Edges[[#This Row],[Vertex 1]],GroupVertices[Vertex],0)),1,1,"")</f>
        <v>2</v>
      </c>
      <c r="AG315" s="80" t="str">
        <f>REPLACE(INDEX(GroupVertices[Group],MATCH(Edges[[#This Row],[Vertex 2]],GroupVertices[Vertex],0)),1,1,"")</f>
        <v>2</v>
      </c>
      <c r="AH315" s="49"/>
      <c r="AI315" s="50"/>
      <c r="AJ315" s="49"/>
      <c r="AK315" s="50"/>
      <c r="AL315" s="49"/>
      <c r="AM315" s="50"/>
      <c r="AN315" s="49"/>
      <c r="AO315" s="50"/>
      <c r="AP315" s="49"/>
    </row>
    <row r="316" spans="1:42" ht="15">
      <c r="A316" s="65" t="s">
        <v>538</v>
      </c>
      <c r="B316" s="65" t="s">
        <v>538</v>
      </c>
      <c r="C316" s="66" t="s">
        <v>2946</v>
      </c>
      <c r="D316" s="67">
        <v>10</v>
      </c>
      <c r="E316" s="68"/>
      <c r="F316" s="69">
        <v>15</v>
      </c>
      <c r="G316" s="66"/>
      <c r="H316" s="70"/>
      <c r="I316" s="71"/>
      <c r="J316" s="71"/>
      <c r="K316" s="35" t="s">
        <v>65</v>
      </c>
      <c r="L316" s="79">
        <v>316</v>
      </c>
      <c r="M316" s="79"/>
      <c r="N316" s="73"/>
      <c r="O316" s="81" t="s">
        <v>565</v>
      </c>
      <c r="P316" s="81"/>
      <c r="Q316" s="81"/>
      <c r="R316" s="81"/>
      <c r="S316" s="81"/>
      <c r="T316" s="81"/>
      <c r="U316" s="81"/>
      <c r="V316" s="81" t="s">
        <v>1152</v>
      </c>
      <c r="W316" s="86" t="str">
        <f>HYPERLINK("https://www.youtube.com/watch?v=zg1s4bF59Ss")</f>
        <v>https://www.youtube.com/watch?v=zg1s4bF59Ss</v>
      </c>
      <c r="X316" s="81"/>
      <c r="Y316" s="81"/>
      <c r="Z316" s="88">
        <v>41853.90180555556</v>
      </c>
      <c r="AA316" s="81"/>
      <c r="AB316" s="81"/>
      <c r="AC316" s="81"/>
      <c r="AD316" s="81"/>
      <c r="AE316">
        <v>6</v>
      </c>
      <c r="AF316" s="80" t="str">
        <f>REPLACE(INDEX(GroupVertices[Group],MATCH(Edges[[#This Row],[Vertex 1]],GroupVertices[Vertex],0)),1,1,"")</f>
        <v>2</v>
      </c>
      <c r="AG316" s="80" t="str">
        <f>REPLACE(INDEX(GroupVertices[Group],MATCH(Edges[[#This Row],[Vertex 2]],GroupVertices[Vertex],0)),1,1,"")</f>
        <v>2</v>
      </c>
      <c r="AH316" s="49"/>
      <c r="AI316" s="50"/>
      <c r="AJ316" s="49"/>
      <c r="AK316" s="50"/>
      <c r="AL316" s="49"/>
      <c r="AM316" s="50"/>
      <c r="AN316" s="49"/>
      <c r="AO316" s="50"/>
      <c r="AP316" s="49"/>
    </row>
    <row r="317" spans="1:42" ht="15">
      <c r="A317" s="65" t="s">
        <v>538</v>
      </c>
      <c r="B317" s="65" t="s">
        <v>538</v>
      </c>
      <c r="C317" s="66" t="s">
        <v>2946</v>
      </c>
      <c r="D317" s="67">
        <v>10</v>
      </c>
      <c r="E317" s="68"/>
      <c r="F317" s="69">
        <v>15</v>
      </c>
      <c r="G317" s="66"/>
      <c r="H317" s="70"/>
      <c r="I317" s="71"/>
      <c r="J317" s="71"/>
      <c r="K317" s="35" t="s">
        <v>65</v>
      </c>
      <c r="L317" s="79">
        <v>317</v>
      </c>
      <c r="M317" s="79"/>
      <c r="N317" s="73"/>
      <c r="O317" s="81" t="s">
        <v>565</v>
      </c>
      <c r="P317" s="81"/>
      <c r="Q317" s="81"/>
      <c r="R317" s="81"/>
      <c r="S317" s="81"/>
      <c r="T317" s="81"/>
      <c r="U317" s="81"/>
      <c r="V317" s="81" t="s">
        <v>1153</v>
      </c>
      <c r="W317" s="86" t="str">
        <f>HYPERLINK("https://www.youtube.com/watch?v=gYfi-UXg0RE")</f>
        <v>https://www.youtube.com/watch?v=gYfi-UXg0RE</v>
      </c>
      <c r="X317" s="81"/>
      <c r="Y317" s="81"/>
      <c r="Z317" s="88">
        <v>41931.01070601852</v>
      </c>
      <c r="AA317" s="81"/>
      <c r="AB317" s="81"/>
      <c r="AC317" s="81"/>
      <c r="AD317" s="81"/>
      <c r="AE317">
        <v>6</v>
      </c>
      <c r="AF317" s="80" t="str">
        <f>REPLACE(INDEX(GroupVertices[Group],MATCH(Edges[[#This Row],[Vertex 1]],GroupVertices[Vertex],0)),1,1,"")</f>
        <v>2</v>
      </c>
      <c r="AG317" s="80" t="str">
        <f>REPLACE(INDEX(GroupVertices[Group],MATCH(Edges[[#This Row],[Vertex 2]],GroupVertices[Vertex],0)),1,1,"")</f>
        <v>2</v>
      </c>
      <c r="AH317" s="49"/>
      <c r="AI317" s="50"/>
      <c r="AJ317" s="49"/>
      <c r="AK317" s="50"/>
      <c r="AL317" s="49"/>
      <c r="AM317" s="50"/>
      <c r="AN317" s="49"/>
      <c r="AO317" s="50"/>
      <c r="AP317" s="49"/>
    </row>
    <row r="318" spans="1:42" ht="15">
      <c r="A318" s="65" t="s">
        <v>538</v>
      </c>
      <c r="B318" s="65" t="s">
        <v>538</v>
      </c>
      <c r="C318" s="66" t="s">
        <v>2946</v>
      </c>
      <c r="D318" s="67">
        <v>10</v>
      </c>
      <c r="E318" s="68"/>
      <c r="F318" s="69">
        <v>15</v>
      </c>
      <c r="G318" s="66"/>
      <c r="H318" s="70"/>
      <c r="I318" s="71"/>
      <c r="J318" s="71"/>
      <c r="K318" s="35" t="s">
        <v>65</v>
      </c>
      <c r="L318" s="79">
        <v>318</v>
      </c>
      <c r="M318" s="79"/>
      <c r="N318" s="73"/>
      <c r="O318" s="81" t="s">
        <v>565</v>
      </c>
      <c r="P318" s="81"/>
      <c r="Q318" s="81"/>
      <c r="R318" s="81"/>
      <c r="S318" s="81"/>
      <c r="T318" s="81"/>
      <c r="U318" s="81"/>
      <c r="V318" s="81" t="s">
        <v>1154</v>
      </c>
      <c r="W318" s="86" t="str">
        <f>HYPERLINK("https://www.youtube.com/watch?v=BYS8gVQMH7I")</f>
        <v>https://www.youtube.com/watch?v=BYS8gVQMH7I</v>
      </c>
      <c r="X318" s="81"/>
      <c r="Y318" s="81"/>
      <c r="Z318" s="88">
        <v>41889.209502314814</v>
      </c>
      <c r="AA318" s="81"/>
      <c r="AB318" s="81"/>
      <c r="AC318" s="81"/>
      <c r="AD318" s="81"/>
      <c r="AE318">
        <v>6</v>
      </c>
      <c r="AF318" s="80" t="str">
        <f>REPLACE(INDEX(GroupVertices[Group],MATCH(Edges[[#This Row],[Vertex 1]],GroupVertices[Vertex],0)),1,1,"")</f>
        <v>2</v>
      </c>
      <c r="AG318" s="80" t="str">
        <f>REPLACE(INDEX(GroupVertices[Group],MATCH(Edges[[#This Row],[Vertex 2]],GroupVertices[Vertex],0)),1,1,"")</f>
        <v>2</v>
      </c>
      <c r="AH318" s="49"/>
      <c r="AI318" s="50"/>
      <c r="AJ318" s="49"/>
      <c r="AK318" s="50"/>
      <c r="AL318" s="49"/>
      <c r="AM318" s="50"/>
      <c r="AN318" s="49"/>
      <c r="AO318" s="50"/>
      <c r="AP318" s="49"/>
    </row>
    <row r="319" spans="1:42" ht="15">
      <c r="A319" s="65" t="s">
        <v>450</v>
      </c>
      <c r="B319" s="65" t="s">
        <v>539</v>
      </c>
      <c r="C319" s="66" t="s">
        <v>2942</v>
      </c>
      <c r="D319" s="67">
        <v>3</v>
      </c>
      <c r="E319" s="68"/>
      <c r="F319" s="69">
        <v>40</v>
      </c>
      <c r="G319" s="66"/>
      <c r="H319" s="70"/>
      <c r="I319" s="71"/>
      <c r="J319" s="71"/>
      <c r="K319" s="35" t="s">
        <v>65</v>
      </c>
      <c r="L319" s="79">
        <v>319</v>
      </c>
      <c r="M319" s="79"/>
      <c r="N319" s="73"/>
      <c r="O319" s="81" t="s">
        <v>563</v>
      </c>
      <c r="P319" s="81" t="s">
        <v>325</v>
      </c>
      <c r="Q319" s="84" t="s">
        <v>843</v>
      </c>
      <c r="R319" s="81" t="s">
        <v>450</v>
      </c>
      <c r="S319" s="81" t="s">
        <v>963</v>
      </c>
      <c r="T319" s="86" t="str">
        <f>HYPERLINK("http://www.youtube.com/channel/UCOQy7XDYjkjhb0QwVMwf-7A")</f>
        <v>http://www.youtube.com/channel/UCOQy7XDYjkjhb0QwVMwf-7A</v>
      </c>
      <c r="U319" s="81"/>
      <c r="V319" s="81" t="s">
        <v>1155</v>
      </c>
      <c r="W319" s="86" t="str">
        <f>HYPERLINK("https://www.youtube.com/watch?v=yMCTnhBUpOg")</f>
        <v>https://www.youtube.com/watch?v=yMCTnhBUpOg</v>
      </c>
      <c r="X319" s="81" t="s">
        <v>1183</v>
      </c>
      <c r="Y319" s="81">
        <v>0</v>
      </c>
      <c r="Z319" s="88">
        <v>42585.780636574076</v>
      </c>
      <c r="AA319" s="88">
        <v>42585.780636574076</v>
      </c>
      <c r="AB319" s="81"/>
      <c r="AC319" s="81"/>
      <c r="AD319" s="84" t="s">
        <v>1239</v>
      </c>
      <c r="AE319" s="82">
        <v>1</v>
      </c>
      <c r="AF319" s="83" t="str">
        <f>REPLACE(INDEX(GroupVertices[Group],MATCH(Edges[[#This Row],[Vertex 1]],GroupVertices[Vertex],0)),1,1,"")</f>
        <v>6</v>
      </c>
      <c r="AG319" s="83" t="str">
        <f>REPLACE(INDEX(GroupVertices[Group],MATCH(Edges[[#This Row],[Vertex 2]],GroupVertices[Vertex],0)),1,1,"")</f>
        <v>6</v>
      </c>
      <c r="AH319" s="111">
        <v>0</v>
      </c>
      <c r="AI319" s="112">
        <v>0</v>
      </c>
      <c r="AJ319" s="111">
        <v>0</v>
      </c>
      <c r="AK319" s="112">
        <v>0</v>
      </c>
      <c r="AL319" s="111">
        <v>0</v>
      </c>
      <c r="AM319" s="112">
        <v>0</v>
      </c>
      <c r="AN319" s="111">
        <v>11</v>
      </c>
      <c r="AO319" s="112">
        <v>100</v>
      </c>
      <c r="AP319" s="111">
        <v>11</v>
      </c>
    </row>
    <row r="320" spans="1:42" ht="15">
      <c r="A320" s="65" t="s">
        <v>539</v>
      </c>
      <c r="B320" s="65" t="s">
        <v>539</v>
      </c>
      <c r="C320" s="66" t="s">
        <v>2943</v>
      </c>
      <c r="D320" s="67">
        <v>4.4</v>
      </c>
      <c r="E320" s="68"/>
      <c r="F320" s="69">
        <v>35</v>
      </c>
      <c r="G320" s="66"/>
      <c r="H320" s="70"/>
      <c r="I320" s="71"/>
      <c r="J320" s="71"/>
      <c r="K320" s="35" t="s">
        <v>65</v>
      </c>
      <c r="L320" s="79">
        <v>320</v>
      </c>
      <c r="M320" s="79"/>
      <c r="N320" s="73"/>
      <c r="O320" s="81" t="s">
        <v>565</v>
      </c>
      <c r="P320" s="81"/>
      <c r="Q320" s="81"/>
      <c r="R320" s="81"/>
      <c r="S320" s="81"/>
      <c r="T320" s="81"/>
      <c r="U320" s="81"/>
      <c r="V320" s="81" t="s">
        <v>1155</v>
      </c>
      <c r="W320" s="86" t="str">
        <f>HYPERLINK("https://www.youtube.com/watch?v=yMCTnhBUpOg")</f>
        <v>https://www.youtube.com/watch?v=yMCTnhBUpOg</v>
      </c>
      <c r="X320" s="81"/>
      <c r="Y320" s="81"/>
      <c r="Z320" s="88">
        <v>42585.71538194444</v>
      </c>
      <c r="AA320" s="81"/>
      <c r="AB320" s="81"/>
      <c r="AC320" s="81"/>
      <c r="AD320" s="81"/>
      <c r="AE320">
        <v>2</v>
      </c>
      <c r="AF320" s="80" t="str">
        <f>REPLACE(INDEX(GroupVertices[Group],MATCH(Edges[[#This Row],[Vertex 1]],GroupVertices[Vertex],0)),1,1,"")</f>
        <v>6</v>
      </c>
      <c r="AG320" s="80" t="str">
        <f>REPLACE(INDEX(GroupVertices[Group],MATCH(Edges[[#This Row],[Vertex 2]],GroupVertices[Vertex],0)),1,1,"")</f>
        <v>6</v>
      </c>
      <c r="AH320" s="49"/>
      <c r="AI320" s="50"/>
      <c r="AJ320" s="49"/>
      <c r="AK320" s="50"/>
      <c r="AL320" s="49"/>
      <c r="AM320" s="50"/>
      <c r="AN320" s="49"/>
      <c r="AO320" s="50"/>
      <c r="AP320" s="49"/>
    </row>
    <row r="321" spans="1:42" ht="15">
      <c r="A321" s="65" t="s">
        <v>539</v>
      </c>
      <c r="B321" s="65" t="s">
        <v>539</v>
      </c>
      <c r="C321" s="66" t="s">
        <v>2943</v>
      </c>
      <c r="D321" s="67">
        <v>4.4</v>
      </c>
      <c r="E321" s="68"/>
      <c r="F321" s="69">
        <v>35</v>
      </c>
      <c r="G321" s="66"/>
      <c r="H321" s="70"/>
      <c r="I321" s="71"/>
      <c r="J321" s="71"/>
      <c r="K321" s="35" t="s">
        <v>65</v>
      </c>
      <c r="L321" s="79">
        <v>321</v>
      </c>
      <c r="M321" s="79"/>
      <c r="N321" s="73"/>
      <c r="O321" s="81" t="s">
        <v>565</v>
      </c>
      <c r="P321" s="81"/>
      <c r="Q321" s="81"/>
      <c r="R321" s="81"/>
      <c r="S321" s="81"/>
      <c r="T321" s="81"/>
      <c r="U321" s="81"/>
      <c r="V321" s="81" t="s">
        <v>1156</v>
      </c>
      <c r="W321" s="86" t="str">
        <f>HYPERLINK("https://www.youtube.com/watch?v=jBXGN265uPI")</f>
        <v>https://www.youtube.com/watch?v=jBXGN265uPI</v>
      </c>
      <c r="X321" s="81"/>
      <c r="Y321" s="81"/>
      <c r="Z321" s="88">
        <v>42593.91232638889</v>
      </c>
      <c r="AA321" s="81"/>
      <c r="AB321" s="81"/>
      <c r="AC321" s="81"/>
      <c r="AD321" s="81"/>
      <c r="AE321">
        <v>2</v>
      </c>
      <c r="AF321" s="80" t="str">
        <f>REPLACE(INDEX(GroupVertices[Group],MATCH(Edges[[#This Row],[Vertex 1]],GroupVertices[Vertex],0)),1,1,"")</f>
        <v>6</v>
      </c>
      <c r="AG321" s="80" t="str">
        <f>REPLACE(INDEX(GroupVertices[Group],MATCH(Edges[[#This Row],[Vertex 2]],GroupVertices[Vertex],0)),1,1,"")</f>
        <v>6</v>
      </c>
      <c r="AH321" s="49"/>
      <c r="AI321" s="50"/>
      <c r="AJ321" s="49"/>
      <c r="AK321" s="50"/>
      <c r="AL321" s="49"/>
      <c r="AM321" s="50"/>
      <c r="AN321" s="49"/>
      <c r="AO321" s="50"/>
      <c r="AP321" s="49"/>
    </row>
    <row r="322" spans="1:42" ht="15">
      <c r="A322" s="65" t="s">
        <v>540</v>
      </c>
      <c r="B322" s="65" t="s">
        <v>540</v>
      </c>
      <c r="C322" s="66" t="s">
        <v>2942</v>
      </c>
      <c r="D322" s="67">
        <v>3</v>
      </c>
      <c r="E322" s="68"/>
      <c r="F322" s="69">
        <v>40</v>
      </c>
      <c r="G322" s="66"/>
      <c r="H322" s="70"/>
      <c r="I322" s="71"/>
      <c r="J322" s="71"/>
      <c r="K322" s="35" t="s">
        <v>65</v>
      </c>
      <c r="L322" s="79">
        <v>322</v>
      </c>
      <c r="M322" s="79"/>
      <c r="N322" s="73"/>
      <c r="O322" s="81" t="s">
        <v>565</v>
      </c>
      <c r="P322" s="81"/>
      <c r="Q322" s="81"/>
      <c r="R322" s="81"/>
      <c r="S322" s="81"/>
      <c r="T322" s="81"/>
      <c r="U322" s="81"/>
      <c r="V322" s="81" t="s">
        <v>1157</v>
      </c>
      <c r="W322" s="86" t="str">
        <f>HYPERLINK("https://www.youtube.com/watch?v=_LzT3A2_wDA")</f>
        <v>https://www.youtube.com/watch?v=_LzT3A2_wDA</v>
      </c>
      <c r="X322" s="81"/>
      <c r="Y322" s="81"/>
      <c r="Z322" s="88">
        <v>42126.15991898148</v>
      </c>
      <c r="AA322" s="81"/>
      <c r="AB322" s="81"/>
      <c r="AC322" s="81"/>
      <c r="AD322" s="81"/>
      <c r="AE322">
        <v>1</v>
      </c>
      <c r="AF322" s="80" t="str">
        <f>REPLACE(INDEX(GroupVertices[Group],MATCH(Edges[[#This Row],[Vertex 1]],GroupVertices[Vertex],0)),1,1,"")</f>
        <v>2</v>
      </c>
      <c r="AG322" s="80" t="str">
        <f>REPLACE(INDEX(GroupVertices[Group],MATCH(Edges[[#This Row],[Vertex 2]],GroupVertices[Vertex],0)),1,1,"")</f>
        <v>2</v>
      </c>
      <c r="AH322" s="49"/>
      <c r="AI322" s="50"/>
      <c r="AJ322" s="49"/>
      <c r="AK322" s="50"/>
      <c r="AL322" s="49"/>
      <c r="AM322" s="50"/>
      <c r="AN322" s="49"/>
      <c r="AO322" s="50"/>
      <c r="AP322" s="49"/>
    </row>
    <row r="323" spans="1:42" ht="15">
      <c r="A323" s="65" t="s">
        <v>541</v>
      </c>
      <c r="B323" s="65" t="s">
        <v>541</v>
      </c>
      <c r="C323" s="66" t="s">
        <v>2942</v>
      </c>
      <c r="D323" s="67">
        <v>3</v>
      </c>
      <c r="E323" s="68"/>
      <c r="F323" s="69">
        <v>40</v>
      </c>
      <c r="G323" s="66"/>
      <c r="H323" s="70"/>
      <c r="I323" s="71"/>
      <c r="J323" s="71"/>
      <c r="K323" s="35" t="s">
        <v>65</v>
      </c>
      <c r="L323" s="79">
        <v>323</v>
      </c>
      <c r="M323" s="79"/>
      <c r="N323" s="73"/>
      <c r="O323" s="81" t="s">
        <v>565</v>
      </c>
      <c r="P323" s="81"/>
      <c r="Q323" s="81"/>
      <c r="R323" s="81"/>
      <c r="S323" s="81"/>
      <c r="T323" s="81"/>
      <c r="U323" s="81"/>
      <c r="V323" s="81" t="s">
        <v>1158</v>
      </c>
      <c r="W323" s="86" t="str">
        <f>HYPERLINK("https://www.youtube.com/watch?v=pCYpAmk_2-Y")</f>
        <v>https://www.youtube.com/watch?v=pCYpAmk_2-Y</v>
      </c>
      <c r="X323" s="81"/>
      <c r="Y323" s="81"/>
      <c r="Z323" s="88">
        <v>41361.819074074076</v>
      </c>
      <c r="AA323" s="81"/>
      <c r="AB323" s="81"/>
      <c r="AC323" s="81"/>
      <c r="AD323" s="81"/>
      <c r="AE323">
        <v>1</v>
      </c>
      <c r="AF323" s="80" t="str">
        <f>REPLACE(INDEX(GroupVertices[Group],MATCH(Edges[[#This Row],[Vertex 1]],GroupVertices[Vertex],0)),1,1,"")</f>
        <v>2</v>
      </c>
      <c r="AG323" s="80" t="str">
        <f>REPLACE(INDEX(GroupVertices[Group],MATCH(Edges[[#This Row],[Vertex 2]],GroupVertices[Vertex],0)),1,1,"")</f>
        <v>2</v>
      </c>
      <c r="AH323" s="49"/>
      <c r="AI323" s="50"/>
      <c r="AJ323" s="49"/>
      <c r="AK323" s="50"/>
      <c r="AL323" s="49"/>
      <c r="AM323" s="50"/>
      <c r="AN323" s="49"/>
      <c r="AO323" s="50"/>
      <c r="AP323" s="49"/>
    </row>
    <row r="324" spans="1:42" ht="15">
      <c r="A324" s="65" t="s">
        <v>542</v>
      </c>
      <c r="B324" s="65" t="s">
        <v>542</v>
      </c>
      <c r="C324" s="66" t="s">
        <v>2943</v>
      </c>
      <c r="D324" s="67">
        <v>4.4</v>
      </c>
      <c r="E324" s="68"/>
      <c r="F324" s="69">
        <v>35</v>
      </c>
      <c r="G324" s="66"/>
      <c r="H324" s="70"/>
      <c r="I324" s="71"/>
      <c r="J324" s="71"/>
      <c r="K324" s="35" t="s">
        <v>65</v>
      </c>
      <c r="L324" s="79">
        <v>324</v>
      </c>
      <c r="M324" s="79"/>
      <c r="N324" s="73"/>
      <c r="O324" s="81" t="s">
        <v>563</v>
      </c>
      <c r="P324" s="81" t="s">
        <v>325</v>
      </c>
      <c r="Q324" s="84" t="s">
        <v>844</v>
      </c>
      <c r="R324" s="81" t="s">
        <v>542</v>
      </c>
      <c r="S324" s="81" t="s">
        <v>1033</v>
      </c>
      <c r="T324" s="86" t="str">
        <f>HYPERLINK("http://www.youtube.com/channel/UCRZps3dH47Yd7pj8LmS7vmg")</f>
        <v>http://www.youtube.com/channel/UCRZps3dH47Yd7pj8LmS7vmg</v>
      </c>
      <c r="U324" s="81"/>
      <c r="V324" s="81" t="s">
        <v>1100</v>
      </c>
      <c r="W324" s="86" t="str">
        <f>HYPERLINK("https://www.youtube.com/watch?v=x9IzmOWAlnA")</f>
        <v>https://www.youtube.com/watch?v=x9IzmOWAlnA</v>
      </c>
      <c r="X324" s="81" t="s">
        <v>1183</v>
      </c>
      <c r="Y324" s="81">
        <v>0</v>
      </c>
      <c r="Z324" s="88">
        <v>44518.50592592593</v>
      </c>
      <c r="AA324" s="88">
        <v>44518.50592592593</v>
      </c>
      <c r="AB324" s="81" t="s">
        <v>1216</v>
      </c>
      <c r="AC324" s="81" t="s">
        <v>1238</v>
      </c>
      <c r="AD324" s="84" t="s">
        <v>1239</v>
      </c>
      <c r="AE324" s="82">
        <v>2</v>
      </c>
      <c r="AF324" s="83" t="str">
        <f>REPLACE(INDEX(GroupVertices[Group],MATCH(Edges[[#This Row],[Vertex 1]],GroupVertices[Vertex],0)),1,1,"")</f>
        <v>21</v>
      </c>
      <c r="AG324" s="83" t="str">
        <f>REPLACE(INDEX(GroupVertices[Group],MATCH(Edges[[#This Row],[Vertex 2]],GroupVertices[Vertex],0)),1,1,"")</f>
        <v>21</v>
      </c>
      <c r="AH324" s="111">
        <v>0</v>
      </c>
      <c r="AI324" s="112">
        <v>0</v>
      </c>
      <c r="AJ324" s="111">
        <v>0</v>
      </c>
      <c r="AK324" s="112">
        <v>0</v>
      </c>
      <c r="AL324" s="111">
        <v>0</v>
      </c>
      <c r="AM324" s="112">
        <v>0</v>
      </c>
      <c r="AN324" s="111">
        <v>57</v>
      </c>
      <c r="AO324" s="112">
        <v>100</v>
      </c>
      <c r="AP324" s="111">
        <v>57</v>
      </c>
    </row>
    <row r="325" spans="1:42" ht="15">
      <c r="A325" s="65" t="s">
        <v>542</v>
      </c>
      <c r="B325" s="65" t="s">
        <v>542</v>
      </c>
      <c r="C325" s="66" t="s">
        <v>2943</v>
      </c>
      <c r="D325" s="67">
        <v>4.4</v>
      </c>
      <c r="E325" s="68"/>
      <c r="F325" s="69">
        <v>35</v>
      </c>
      <c r="G325" s="66"/>
      <c r="H325" s="70"/>
      <c r="I325" s="71"/>
      <c r="J325" s="71"/>
      <c r="K325" s="35" t="s">
        <v>65</v>
      </c>
      <c r="L325" s="79">
        <v>325</v>
      </c>
      <c r="M325" s="79"/>
      <c r="N325" s="73"/>
      <c r="O325" s="81" t="s">
        <v>565</v>
      </c>
      <c r="P325" s="81"/>
      <c r="Q325" s="81"/>
      <c r="R325" s="81"/>
      <c r="S325" s="81"/>
      <c r="T325" s="81"/>
      <c r="U325" s="81"/>
      <c r="V325" s="81" t="s">
        <v>1100</v>
      </c>
      <c r="W325" s="86" t="str">
        <f>HYPERLINK("https://www.youtube.com/watch?v=x9IzmOWAlnA")</f>
        <v>https://www.youtube.com/watch?v=x9IzmOWAlnA</v>
      </c>
      <c r="X325" s="81"/>
      <c r="Y325" s="81"/>
      <c r="Z325" s="88">
        <v>42382.638391203705</v>
      </c>
      <c r="AA325" s="81"/>
      <c r="AB325" s="81"/>
      <c r="AC325" s="81"/>
      <c r="AD325" s="81"/>
      <c r="AE325">
        <v>2</v>
      </c>
      <c r="AF325" s="80" t="str">
        <f>REPLACE(INDEX(GroupVertices[Group],MATCH(Edges[[#This Row],[Vertex 1]],GroupVertices[Vertex],0)),1,1,"")</f>
        <v>21</v>
      </c>
      <c r="AG325" s="80" t="str">
        <f>REPLACE(INDEX(GroupVertices[Group],MATCH(Edges[[#This Row],[Vertex 2]],GroupVertices[Vertex],0)),1,1,"")</f>
        <v>21</v>
      </c>
      <c r="AH325" s="49"/>
      <c r="AI325" s="50"/>
      <c r="AJ325" s="49"/>
      <c r="AK325" s="50"/>
      <c r="AL325" s="49"/>
      <c r="AM325" s="50"/>
      <c r="AN325" s="49"/>
      <c r="AO325" s="50"/>
      <c r="AP325" s="49"/>
    </row>
    <row r="326" spans="1:42" ht="15">
      <c r="A326" s="65" t="s">
        <v>543</v>
      </c>
      <c r="B326" s="65" t="s">
        <v>543</v>
      </c>
      <c r="C326" s="66" t="s">
        <v>2942</v>
      </c>
      <c r="D326" s="67">
        <v>3</v>
      </c>
      <c r="E326" s="68"/>
      <c r="F326" s="69">
        <v>40</v>
      </c>
      <c r="G326" s="66"/>
      <c r="H326" s="70"/>
      <c r="I326" s="71"/>
      <c r="J326" s="71"/>
      <c r="K326" s="35" t="s">
        <v>65</v>
      </c>
      <c r="L326" s="79">
        <v>326</v>
      </c>
      <c r="M326" s="79"/>
      <c r="N326" s="73"/>
      <c r="O326" s="81" t="s">
        <v>565</v>
      </c>
      <c r="P326" s="81"/>
      <c r="Q326" s="81"/>
      <c r="R326" s="81"/>
      <c r="S326" s="81"/>
      <c r="T326" s="81"/>
      <c r="U326" s="81"/>
      <c r="V326" s="81" t="s">
        <v>1101</v>
      </c>
      <c r="W326" s="86" t="str">
        <f>HYPERLINK("https://www.youtube.com/watch?v=WHociTCrX48")</f>
        <v>https://www.youtube.com/watch?v=WHociTCrX48</v>
      </c>
      <c r="X326" s="81"/>
      <c r="Y326" s="81"/>
      <c r="Z326" s="88">
        <v>41198.31849537037</v>
      </c>
      <c r="AA326" s="81"/>
      <c r="AB326" s="81"/>
      <c r="AC326" s="81"/>
      <c r="AD326" s="81"/>
      <c r="AE326">
        <v>1</v>
      </c>
      <c r="AF326" s="80" t="str">
        <f>REPLACE(INDEX(GroupVertices[Group],MATCH(Edges[[#This Row],[Vertex 1]],GroupVertices[Vertex],0)),1,1,"")</f>
        <v>8</v>
      </c>
      <c r="AG326" s="80" t="str">
        <f>REPLACE(INDEX(GroupVertices[Group],MATCH(Edges[[#This Row],[Vertex 2]],GroupVertices[Vertex],0)),1,1,"")</f>
        <v>8</v>
      </c>
      <c r="AH326" s="49"/>
      <c r="AI326" s="50"/>
      <c r="AJ326" s="49"/>
      <c r="AK326" s="50"/>
      <c r="AL326" s="49"/>
      <c r="AM326" s="50"/>
      <c r="AN326" s="49"/>
      <c r="AO326" s="50"/>
      <c r="AP326" s="49"/>
    </row>
    <row r="327" spans="1:42" ht="15">
      <c r="A327" s="65" t="s">
        <v>544</v>
      </c>
      <c r="B327" s="65" t="s">
        <v>544</v>
      </c>
      <c r="C327" s="66" t="s">
        <v>2942</v>
      </c>
      <c r="D327" s="67">
        <v>3</v>
      </c>
      <c r="E327" s="68"/>
      <c r="F327" s="69">
        <v>40</v>
      </c>
      <c r="G327" s="66"/>
      <c r="H327" s="70"/>
      <c r="I327" s="71"/>
      <c r="J327" s="71"/>
      <c r="K327" s="35" t="s">
        <v>65</v>
      </c>
      <c r="L327" s="79">
        <v>327</v>
      </c>
      <c r="M327" s="79"/>
      <c r="N327" s="73"/>
      <c r="O327" s="81" t="s">
        <v>565</v>
      </c>
      <c r="P327" s="81"/>
      <c r="Q327" s="81"/>
      <c r="R327" s="81"/>
      <c r="S327" s="81"/>
      <c r="T327" s="81"/>
      <c r="U327" s="81"/>
      <c r="V327" s="81" t="s">
        <v>1102</v>
      </c>
      <c r="W327" s="86" t="str">
        <f>HYPERLINK("https://www.youtube.com/watch?v=aJuHtKjYySE")</f>
        <v>https://www.youtube.com/watch?v=aJuHtKjYySE</v>
      </c>
      <c r="X327" s="81"/>
      <c r="Y327" s="81"/>
      <c r="Z327" s="88">
        <v>44507.359143518515</v>
      </c>
      <c r="AA327" s="81"/>
      <c r="AB327" s="81"/>
      <c r="AC327" s="81"/>
      <c r="AD327" s="81"/>
      <c r="AE327">
        <v>1</v>
      </c>
      <c r="AF327" s="80" t="str">
        <f>REPLACE(INDEX(GroupVertices[Group],MATCH(Edges[[#This Row],[Vertex 1]],GroupVertices[Vertex],0)),1,1,"")</f>
        <v>20</v>
      </c>
      <c r="AG327" s="80" t="str">
        <f>REPLACE(INDEX(GroupVertices[Group],MATCH(Edges[[#This Row],[Vertex 2]],GroupVertices[Vertex],0)),1,1,"")</f>
        <v>20</v>
      </c>
      <c r="AH327" s="49"/>
      <c r="AI327" s="50"/>
      <c r="AJ327" s="49"/>
      <c r="AK327" s="50"/>
      <c r="AL327" s="49"/>
      <c r="AM327" s="50"/>
      <c r="AN327" s="49"/>
      <c r="AO327" s="50"/>
      <c r="AP327" s="49"/>
    </row>
    <row r="328" spans="1:42" ht="15">
      <c r="A328" s="65" t="s">
        <v>545</v>
      </c>
      <c r="B328" s="65" t="s">
        <v>545</v>
      </c>
      <c r="C328" s="66" t="s">
        <v>2945</v>
      </c>
      <c r="D328" s="67">
        <v>7.2</v>
      </c>
      <c r="E328" s="68"/>
      <c r="F328" s="69">
        <v>25</v>
      </c>
      <c r="G328" s="66"/>
      <c r="H328" s="70"/>
      <c r="I328" s="71"/>
      <c r="J328" s="71"/>
      <c r="K328" s="35" t="s">
        <v>65</v>
      </c>
      <c r="L328" s="79">
        <v>328</v>
      </c>
      <c r="M328" s="79"/>
      <c r="N328" s="73"/>
      <c r="O328" s="81" t="s">
        <v>565</v>
      </c>
      <c r="P328" s="81"/>
      <c r="Q328" s="81"/>
      <c r="R328" s="81"/>
      <c r="S328" s="81"/>
      <c r="T328" s="81"/>
      <c r="U328" s="81"/>
      <c r="V328" s="81" t="s">
        <v>1159</v>
      </c>
      <c r="W328" s="86" t="str">
        <f>HYPERLINK("https://www.youtube.com/watch?v=89xmLtfm7G4")</f>
        <v>https://www.youtube.com/watch?v=89xmLtfm7G4</v>
      </c>
      <c r="X328" s="81"/>
      <c r="Y328" s="81"/>
      <c r="Z328" s="88">
        <v>43487.91877314815</v>
      </c>
      <c r="AA328" s="81"/>
      <c r="AB328" s="81"/>
      <c r="AC328" s="81"/>
      <c r="AD328" s="81"/>
      <c r="AE328">
        <v>4</v>
      </c>
      <c r="AF328" s="80" t="str">
        <f>REPLACE(INDEX(GroupVertices[Group],MATCH(Edges[[#This Row],[Vertex 1]],GroupVertices[Vertex],0)),1,1,"")</f>
        <v>2</v>
      </c>
      <c r="AG328" s="80" t="str">
        <f>REPLACE(INDEX(GroupVertices[Group],MATCH(Edges[[#This Row],[Vertex 2]],GroupVertices[Vertex],0)),1,1,"")</f>
        <v>2</v>
      </c>
      <c r="AH328" s="49"/>
      <c r="AI328" s="50"/>
      <c r="AJ328" s="49"/>
      <c r="AK328" s="50"/>
      <c r="AL328" s="49"/>
      <c r="AM328" s="50"/>
      <c r="AN328" s="49"/>
      <c r="AO328" s="50"/>
      <c r="AP328" s="49"/>
    </row>
    <row r="329" spans="1:42" ht="15">
      <c r="A329" s="65" t="s">
        <v>545</v>
      </c>
      <c r="B329" s="65" t="s">
        <v>545</v>
      </c>
      <c r="C329" s="66" t="s">
        <v>2945</v>
      </c>
      <c r="D329" s="67">
        <v>7.2</v>
      </c>
      <c r="E329" s="68"/>
      <c r="F329" s="69">
        <v>25</v>
      </c>
      <c r="G329" s="66"/>
      <c r="H329" s="70"/>
      <c r="I329" s="71"/>
      <c r="J329" s="71"/>
      <c r="K329" s="35" t="s">
        <v>65</v>
      </c>
      <c r="L329" s="79">
        <v>329</v>
      </c>
      <c r="M329" s="79"/>
      <c r="N329" s="73"/>
      <c r="O329" s="81" t="s">
        <v>565</v>
      </c>
      <c r="P329" s="81"/>
      <c r="Q329" s="81"/>
      <c r="R329" s="81"/>
      <c r="S329" s="81"/>
      <c r="T329" s="81"/>
      <c r="U329" s="81"/>
      <c r="V329" s="81" t="s">
        <v>1160</v>
      </c>
      <c r="W329" s="86" t="str">
        <f>HYPERLINK("https://www.youtube.com/watch?v=zkOZhLTTZMU")</f>
        <v>https://www.youtube.com/watch?v=zkOZhLTTZMU</v>
      </c>
      <c r="X329" s="81"/>
      <c r="Y329" s="81"/>
      <c r="Z329" s="88">
        <v>43487.91594907407</v>
      </c>
      <c r="AA329" s="81"/>
      <c r="AB329" s="81"/>
      <c r="AC329" s="81"/>
      <c r="AD329" s="81"/>
      <c r="AE329">
        <v>4</v>
      </c>
      <c r="AF329" s="80" t="str">
        <f>REPLACE(INDEX(GroupVertices[Group],MATCH(Edges[[#This Row],[Vertex 1]],GroupVertices[Vertex],0)),1,1,"")</f>
        <v>2</v>
      </c>
      <c r="AG329" s="80" t="str">
        <f>REPLACE(INDEX(GroupVertices[Group],MATCH(Edges[[#This Row],[Vertex 2]],GroupVertices[Vertex],0)),1,1,"")</f>
        <v>2</v>
      </c>
      <c r="AH329" s="49"/>
      <c r="AI329" s="50"/>
      <c r="AJ329" s="49"/>
      <c r="AK329" s="50"/>
      <c r="AL329" s="49"/>
      <c r="AM329" s="50"/>
      <c r="AN329" s="49"/>
      <c r="AO329" s="50"/>
      <c r="AP329" s="49"/>
    </row>
    <row r="330" spans="1:42" ht="15">
      <c r="A330" s="65" t="s">
        <v>545</v>
      </c>
      <c r="B330" s="65" t="s">
        <v>545</v>
      </c>
      <c r="C330" s="66" t="s">
        <v>2945</v>
      </c>
      <c r="D330" s="67">
        <v>7.2</v>
      </c>
      <c r="E330" s="68"/>
      <c r="F330" s="69">
        <v>25</v>
      </c>
      <c r="G330" s="66"/>
      <c r="H330" s="70"/>
      <c r="I330" s="71"/>
      <c r="J330" s="71"/>
      <c r="K330" s="35" t="s">
        <v>65</v>
      </c>
      <c r="L330" s="79">
        <v>330</v>
      </c>
      <c r="M330" s="79"/>
      <c r="N330" s="73"/>
      <c r="O330" s="81" t="s">
        <v>565</v>
      </c>
      <c r="P330" s="81"/>
      <c r="Q330" s="81"/>
      <c r="R330" s="81"/>
      <c r="S330" s="81"/>
      <c r="T330" s="81"/>
      <c r="U330" s="81"/>
      <c r="V330" s="81" t="s">
        <v>1161</v>
      </c>
      <c r="W330" s="86" t="str">
        <f>HYPERLINK("https://www.youtube.com/watch?v=Udl9m3kua9Y")</f>
        <v>https://www.youtube.com/watch?v=Udl9m3kua9Y</v>
      </c>
      <c r="X330" s="81"/>
      <c r="Y330" s="81"/>
      <c r="Z330" s="88">
        <v>44262.15788194445</v>
      </c>
      <c r="AA330" s="81"/>
      <c r="AB330" s="81"/>
      <c r="AC330" s="81"/>
      <c r="AD330" s="81"/>
      <c r="AE330">
        <v>4</v>
      </c>
      <c r="AF330" s="80" t="str">
        <f>REPLACE(INDEX(GroupVertices[Group],MATCH(Edges[[#This Row],[Vertex 1]],GroupVertices[Vertex],0)),1,1,"")</f>
        <v>2</v>
      </c>
      <c r="AG330" s="80" t="str">
        <f>REPLACE(INDEX(GroupVertices[Group],MATCH(Edges[[#This Row],[Vertex 2]],GroupVertices[Vertex],0)),1,1,"")</f>
        <v>2</v>
      </c>
      <c r="AH330" s="49"/>
      <c r="AI330" s="50"/>
      <c r="AJ330" s="49"/>
      <c r="AK330" s="50"/>
      <c r="AL330" s="49"/>
      <c r="AM330" s="50"/>
      <c r="AN330" s="49"/>
      <c r="AO330" s="50"/>
      <c r="AP330" s="49"/>
    </row>
    <row r="331" spans="1:42" ht="15">
      <c r="A331" s="65" t="s">
        <v>545</v>
      </c>
      <c r="B331" s="65" t="s">
        <v>545</v>
      </c>
      <c r="C331" s="66" t="s">
        <v>2945</v>
      </c>
      <c r="D331" s="67">
        <v>7.2</v>
      </c>
      <c r="E331" s="68"/>
      <c r="F331" s="69">
        <v>25</v>
      </c>
      <c r="G331" s="66"/>
      <c r="H331" s="70"/>
      <c r="I331" s="71"/>
      <c r="J331" s="71"/>
      <c r="K331" s="35" t="s">
        <v>65</v>
      </c>
      <c r="L331" s="79">
        <v>331</v>
      </c>
      <c r="M331" s="79"/>
      <c r="N331" s="73"/>
      <c r="O331" s="81" t="s">
        <v>565</v>
      </c>
      <c r="P331" s="81"/>
      <c r="Q331" s="81"/>
      <c r="R331" s="81"/>
      <c r="S331" s="81"/>
      <c r="T331" s="81"/>
      <c r="U331" s="81"/>
      <c r="V331" s="81" t="s">
        <v>1162</v>
      </c>
      <c r="W331" s="86" t="str">
        <f>HYPERLINK("https://www.youtube.com/watch?v=kCApYWeu-kE")</f>
        <v>https://www.youtube.com/watch?v=kCApYWeu-kE</v>
      </c>
      <c r="X331" s="81"/>
      <c r="Y331" s="81"/>
      <c r="Z331" s="88">
        <v>44025.28072916667</v>
      </c>
      <c r="AA331" s="81"/>
      <c r="AB331" s="81"/>
      <c r="AC331" s="81"/>
      <c r="AD331" s="81"/>
      <c r="AE331">
        <v>4</v>
      </c>
      <c r="AF331" s="80" t="str">
        <f>REPLACE(INDEX(GroupVertices[Group],MATCH(Edges[[#This Row],[Vertex 1]],GroupVertices[Vertex],0)),1,1,"")</f>
        <v>2</v>
      </c>
      <c r="AG331" s="80" t="str">
        <f>REPLACE(INDEX(GroupVertices[Group],MATCH(Edges[[#This Row],[Vertex 2]],GroupVertices[Vertex],0)),1,1,"")</f>
        <v>2</v>
      </c>
      <c r="AH331" s="49"/>
      <c r="AI331" s="50"/>
      <c r="AJ331" s="49"/>
      <c r="AK331" s="50"/>
      <c r="AL331" s="49"/>
      <c r="AM331" s="50"/>
      <c r="AN331" s="49"/>
      <c r="AO331" s="50"/>
      <c r="AP331" s="49"/>
    </row>
    <row r="332" spans="1:42" ht="15">
      <c r="A332" s="65" t="s">
        <v>546</v>
      </c>
      <c r="B332" s="65" t="s">
        <v>546</v>
      </c>
      <c r="C332" s="66" t="s">
        <v>2942</v>
      </c>
      <c r="D332" s="67">
        <v>3</v>
      </c>
      <c r="E332" s="68"/>
      <c r="F332" s="69">
        <v>40</v>
      </c>
      <c r="G332" s="66"/>
      <c r="H332" s="70"/>
      <c r="I332" s="71"/>
      <c r="J332" s="71"/>
      <c r="K332" s="35" t="s">
        <v>65</v>
      </c>
      <c r="L332" s="79">
        <v>332</v>
      </c>
      <c r="M332" s="79"/>
      <c r="N332" s="73"/>
      <c r="O332" s="81" t="s">
        <v>565</v>
      </c>
      <c r="P332" s="81"/>
      <c r="Q332" s="81"/>
      <c r="R332" s="81"/>
      <c r="S332" s="81"/>
      <c r="T332" s="81"/>
      <c r="U332" s="81"/>
      <c r="V332" s="81" t="s">
        <v>1103</v>
      </c>
      <c r="W332" s="86" t="str">
        <f>HYPERLINK("https://www.youtube.com/watch?v=ZYLWHRa8Et4")</f>
        <v>https://www.youtube.com/watch?v=ZYLWHRa8Et4</v>
      </c>
      <c r="X332" s="81"/>
      <c r="Y332" s="81"/>
      <c r="Z332" s="88">
        <v>40764.71113425926</v>
      </c>
      <c r="AA332" s="81"/>
      <c r="AB332" s="81"/>
      <c r="AC332" s="81"/>
      <c r="AD332" s="81"/>
      <c r="AE332">
        <v>1</v>
      </c>
      <c r="AF332" s="80" t="str">
        <f>REPLACE(INDEX(GroupVertices[Group],MATCH(Edges[[#This Row],[Vertex 1]],GroupVertices[Vertex],0)),1,1,"")</f>
        <v>16</v>
      </c>
      <c r="AG332" s="80" t="str">
        <f>REPLACE(INDEX(GroupVertices[Group],MATCH(Edges[[#This Row],[Vertex 2]],GroupVertices[Vertex],0)),1,1,"")</f>
        <v>16</v>
      </c>
      <c r="AH332" s="49"/>
      <c r="AI332" s="50"/>
      <c r="AJ332" s="49"/>
      <c r="AK332" s="50"/>
      <c r="AL332" s="49"/>
      <c r="AM332" s="50"/>
      <c r="AN332" s="49"/>
      <c r="AO332" s="50"/>
      <c r="AP332" s="49"/>
    </row>
    <row r="333" spans="1:42" ht="15">
      <c r="A333" s="65" t="s">
        <v>547</v>
      </c>
      <c r="B333" s="65" t="s">
        <v>547</v>
      </c>
      <c r="C333" s="66" t="s">
        <v>2942</v>
      </c>
      <c r="D333" s="67">
        <v>3</v>
      </c>
      <c r="E333" s="68"/>
      <c r="F333" s="69">
        <v>40</v>
      </c>
      <c r="G333" s="66"/>
      <c r="H333" s="70"/>
      <c r="I333" s="71"/>
      <c r="J333" s="71"/>
      <c r="K333" s="35" t="s">
        <v>65</v>
      </c>
      <c r="L333" s="79">
        <v>333</v>
      </c>
      <c r="M333" s="79"/>
      <c r="N333" s="73"/>
      <c r="O333" s="81" t="s">
        <v>565</v>
      </c>
      <c r="P333" s="81"/>
      <c r="Q333" s="81"/>
      <c r="R333" s="81"/>
      <c r="S333" s="81"/>
      <c r="T333" s="81"/>
      <c r="U333" s="81"/>
      <c r="V333" s="81" t="s">
        <v>1163</v>
      </c>
      <c r="W333" s="86" t="str">
        <f>HYPERLINK("https://www.youtube.com/watch?v=8b-U81FWPI4")</f>
        <v>https://www.youtube.com/watch?v=8b-U81FWPI4</v>
      </c>
      <c r="X333" s="81"/>
      <c r="Y333" s="81"/>
      <c r="Z333" s="88">
        <v>43935.29789351852</v>
      </c>
      <c r="AA333" s="81"/>
      <c r="AB333" s="81"/>
      <c r="AC333" s="81"/>
      <c r="AD333" s="81"/>
      <c r="AE333">
        <v>1</v>
      </c>
      <c r="AF333" s="80" t="str">
        <f>REPLACE(INDEX(GroupVertices[Group],MATCH(Edges[[#This Row],[Vertex 1]],GroupVertices[Vertex],0)),1,1,"")</f>
        <v>2</v>
      </c>
      <c r="AG333" s="80" t="str">
        <f>REPLACE(INDEX(GroupVertices[Group],MATCH(Edges[[#This Row],[Vertex 2]],GroupVertices[Vertex],0)),1,1,"")</f>
        <v>2</v>
      </c>
      <c r="AH333" s="49"/>
      <c r="AI333" s="50"/>
      <c r="AJ333" s="49"/>
      <c r="AK333" s="50"/>
      <c r="AL333" s="49"/>
      <c r="AM333" s="50"/>
      <c r="AN333" s="49"/>
      <c r="AO333" s="50"/>
      <c r="AP333" s="49"/>
    </row>
    <row r="334" spans="1:42" ht="15">
      <c r="A334" s="65" t="s">
        <v>548</v>
      </c>
      <c r="B334" s="65" t="s">
        <v>548</v>
      </c>
      <c r="C334" s="66" t="s">
        <v>2942</v>
      </c>
      <c r="D334" s="67">
        <v>3</v>
      </c>
      <c r="E334" s="68"/>
      <c r="F334" s="69">
        <v>40</v>
      </c>
      <c r="G334" s="66"/>
      <c r="H334" s="70"/>
      <c r="I334" s="71"/>
      <c r="J334" s="71"/>
      <c r="K334" s="35" t="s">
        <v>65</v>
      </c>
      <c r="L334" s="79">
        <v>334</v>
      </c>
      <c r="M334" s="79"/>
      <c r="N334" s="73"/>
      <c r="O334" s="81" t="s">
        <v>565</v>
      </c>
      <c r="P334" s="81"/>
      <c r="Q334" s="81"/>
      <c r="R334" s="81"/>
      <c r="S334" s="81"/>
      <c r="T334" s="81"/>
      <c r="U334" s="81"/>
      <c r="V334" s="81" t="s">
        <v>1104</v>
      </c>
      <c r="W334" s="86" t="str">
        <f>HYPERLINK("https://www.youtube.com/watch?v=1VVN0ZlxXmI")</f>
        <v>https://www.youtube.com/watch?v=1VVN0ZlxXmI</v>
      </c>
      <c r="X334" s="81"/>
      <c r="Y334" s="81"/>
      <c r="Z334" s="88">
        <v>42131.26899305556</v>
      </c>
      <c r="AA334" s="81"/>
      <c r="AB334" s="81"/>
      <c r="AC334" s="81"/>
      <c r="AD334" s="81"/>
      <c r="AE334">
        <v>1</v>
      </c>
      <c r="AF334" s="80" t="str">
        <f>REPLACE(INDEX(GroupVertices[Group],MATCH(Edges[[#This Row],[Vertex 1]],GroupVertices[Vertex],0)),1,1,"")</f>
        <v>19</v>
      </c>
      <c r="AG334" s="80" t="str">
        <f>REPLACE(INDEX(GroupVertices[Group],MATCH(Edges[[#This Row],[Vertex 2]],GroupVertices[Vertex],0)),1,1,"")</f>
        <v>19</v>
      </c>
      <c r="AH334" s="49"/>
      <c r="AI334" s="50"/>
      <c r="AJ334" s="49"/>
      <c r="AK334" s="50"/>
      <c r="AL334" s="49"/>
      <c r="AM334" s="50"/>
      <c r="AN334" s="49"/>
      <c r="AO334" s="50"/>
      <c r="AP334" s="49"/>
    </row>
    <row r="335" spans="1:42" ht="15">
      <c r="A335" s="65" t="s">
        <v>549</v>
      </c>
      <c r="B335" s="65" t="s">
        <v>549</v>
      </c>
      <c r="C335" s="66" t="s">
        <v>2942</v>
      </c>
      <c r="D335" s="67">
        <v>3</v>
      </c>
      <c r="E335" s="68"/>
      <c r="F335" s="69">
        <v>40</v>
      </c>
      <c r="G335" s="66"/>
      <c r="H335" s="70"/>
      <c r="I335" s="71"/>
      <c r="J335" s="71"/>
      <c r="K335" s="35" t="s">
        <v>65</v>
      </c>
      <c r="L335" s="79">
        <v>335</v>
      </c>
      <c r="M335" s="79"/>
      <c r="N335" s="73"/>
      <c r="O335" s="81" t="s">
        <v>565</v>
      </c>
      <c r="P335" s="81"/>
      <c r="Q335" s="81"/>
      <c r="R335" s="81"/>
      <c r="S335" s="81"/>
      <c r="T335" s="81"/>
      <c r="U335" s="81"/>
      <c r="V335" s="81" t="s">
        <v>1164</v>
      </c>
      <c r="W335" s="86" t="str">
        <f>HYPERLINK("https://www.youtube.com/watch?v=Ksggp3-Grdo")</f>
        <v>https://www.youtube.com/watch?v=Ksggp3-Grdo</v>
      </c>
      <c r="X335" s="81"/>
      <c r="Y335" s="81"/>
      <c r="Z335" s="88">
        <v>42849.976539351854</v>
      </c>
      <c r="AA335" s="81"/>
      <c r="AB335" s="81"/>
      <c r="AC335" s="81"/>
      <c r="AD335" s="81"/>
      <c r="AE335">
        <v>1</v>
      </c>
      <c r="AF335" s="80" t="str">
        <f>REPLACE(INDEX(GroupVertices[Group],MATCH(Edges[[#This Row],[Vertex 1]],GroupVertices[Vertex],0)),1,1,"")</f>
        <v>2</v>
      </c>
      <c r="AG335" s="80" t="str">
        <f>REPLACE(INDEX(GroupVertices[Group],MATCH(Edges[[#This Row],[Vertex 2]],GroupVertices[Vertex],0)),1,1,"")</f>
        <v>2</v>
      </c>
      <c r="AH335" s="49"/>
      <c r="AI335" s="50"/>
      <c r="AJ335" s="49"/>
      <c r="AK335" s="50"/>
      <c r="AL335" s="49"/>
      <c r="AM335" s="50"/>
      <c r="AN335" s="49"/>
      <c r="AO335" s="50"/>
      <c r="AP335" s="49"/>
    </row>
    <row r="336" spans="1:42" ht="15">
      <c r="A336" s="65" t="s">
        <v>550</v>
      </c>
      <c r="B336" s="65" t="s">
        <v>550</v>
      </c>
      <c r="C336" s="66" t="s">
        <v>2943</v>
      </c>
      <c r="D336" s="67">
        <v>4.4</v>
      </c>
      <c r="E336" s="68"/>
      <c r="F336" s="69">
        <v>35</v>
      </c>
      <c r="G336" s="66"/>
      <c r="H336" s="70"/>
      <c r="I336" s="71"/>
      <c r="J336" s="71"/>
      <c r="K336" s="35" t="s">
        <v>65</v>
      </c>
      <c r="L336" s="79">
        <v>336</v>
      </c>
      <c r="M336" s="79"/>
      <c r="N336" s="73"/>
      <c r="O336" s="81" t="s">
        <v>565</v>
      </c>
      <c r="P336" s="81"/>
      <c r="Q336" s="81"/>
      <c r="R336" s="81"/>
      <c r="S336" s="81"/>
      <c r="T336" s="81"/>
      <c r="U336" s="81"/>
      <c r="V336" s="81" t="s">
        <v>1165</v>
      </c>
      <c r="W336" s="86" t="str">
        <f>HYPERLINK("https://www.youtube.com/watch?v=JWbyuFZSm2Y")</f>
        <v>https://www.youtube.com/watch?v=JWbyuFZSm2Y</v>
      </c>
      <c r="X336" s="81"/>
      <c r="Y336" s="81"/>
      <c r="Z336" s="88">
        <v>41620.790717592594</v>
      </c>
      <c r="AA336" s="81"/>
      <c r="AB336" s="81"/>
      <c r="AC336" s="81"/>
      <c r="AD336" s="81"/>
      <c r="AE336">
        <v>2</v>
      </c>
      <c r="AF336" s="80" t="str">
        <f>REPLACE(INDEX(GroupVertices[Group],MATCH(Edges[[#This Row],[Vertex 1]],GroupVertices[Vertex],0)),1,1,"")</f>
        <v>10</v>
      </c>
      <c r="AG336" s="80" t="str">
        <f>REPLACE(INDEX(GroupVertices[Group],MATCH(Edges[[#This Row],[Vertex 2]],GroupVertices[Vertex],0)),1,1,"")</f>
        <v>10</v>
      </c>
      <c r="AH336" s="49"/>
      <c r="AI336" s="50"/>
      <c r="AJ336" s="49"/>
      <c r="AK336" s="50"/>
      <c r="AL336" s="49"/>
      <c r="AM336" s="50"/>
      <c r="AN336" s="49"/>
      <c r="AO336" s="50"/>
      <c r="AP336" s="49"/>
    </row>
    <row r="337" spans="1:42" ht="15">
      <c r="A337" s="65" t="s">
        <v>550</v>
      </c>
      <c r="B337" s="65" t="s">
        <v>550</v>
      </c>
      <c r="C337" s="66" t="s">
        <v>2943</v>
      </c>
      <c r="D337" s="67">
        <v>4.4</v>
      </c>
      <c r="E337" s="68"/>
      <c r="F337" s="69">
        <v>35</v>
      </c>
      <c r="G337" s="66"/>
      <c r="H337" s="70"/>
      <c r="I337" s="71"/>
      <c r="J337" s="71"/>
      <c r="K337" s="35" t="s">
        <v>65</v>
      </c>
      <c r="L337" s="79">
        <v>337</v>
      </c>
      <c r="M337" s="79"/>
      <c r="N337" s="73"/>
      <c r="O337" s="81" t="s">
        <v>565</v>
      </c>
      <c r="P337" s="81"/>
      <c r="Q337" s="81"/>
      <c r="R337" s="81"/>
      <c r="S337" s="81"/>
      <c r="T337" s="81"/>
      <c r="U337" s="81"/>
      <c r="V337" s="81" t="s">
        <v>1108</v>
      </c>
      <c r="W337" s="86" t="str">
        <f>HYPERLINK("https://www.youtube.com/watch?v=tzkLBf9t7MY")</f>
        <v>https://www.youtube.com/watch?v=tzkLBf9t7MY</v>
      </c>
      <c r="X337" s="81"/>
      <c r="Y337" s="81"/>
      <c r="Z337" s="88">
        <v>41620.78015046296</v>
      </c>
      <c r="AA337" s="81"/>
      <c r="AB337" s="81"/>
      <c r="AC337" s="81"/>
      <c r="AD337" s="81"/>
      <c r="AE337">
        <v>2</v>
      </c>
      <c r="AF337" s="80" t="str">
        <f>REPLACE(INDEX(GroupVertices[Group],MATCH(Edges[[#This Row],[Vertex 1]],GroupVertices[Vertex],0)),1,1,"")</f>
        <v>10</v>
      </c>
      <c r="AG337" s="80" t="str">
        <f>REPLACE(INDEX(GroupVertices[Group],MATCH(Edges[[#This Row],[Vertex 2]],GroupVertices[Vertex],0)),1,1,"")</f>
        <v>10</v>
      </c>
      <c r="AH337" s="49"/>
      <c r="AI337" s="50"/>
      <c r="AJ337" s="49"/>
      <c r="AK337" s="50"/>
      <c r="AL337" s="49"/>
      <c r="AM337" s="50"/>
      <c r="AN337" s="49"/>
      <c r="AO337" s="50"/>
      <c r="AP337" s="49"/>
    </row>
    <row r="338" spans="1:42" ht="15">
      <c r="A338" s="65" t="s">
        <v>551</v>
      </c>
      <c r="B338" s="65" t="s">
        <v>551</v>
      </c>
      <c r="C338" s="66" t="s">
        <v>2942</v>
      </c>
      <c r="D338" s="67">
        <v>3</v>
      </c>
      <c r="E338" s="68"/>
      <c r="F338" s="69">
        <v>40</v>
      </c>
      <c r="G338" s="66"/>
      <c r="H338" s="70"/>
      <c r="I338" s="71"/>
      <c r="J338" s="71"/>
      <c r="K338" s="35" t="s">
        <v>65</v>
      </c>
      <c r="L338" s="79">
        <v>338</v>
      </c>
      <c r="M338" s="79"/>
      <c r="N338" s="73"/>
      <c r="O338" s="81" t="s">
        <v>565</v>
      </c>
      <c r="P338" s="81"/>
      <c r="Q338" s="81"/>
      <c r="R338" s="81"/>
      <c r="S338" s="81"/>
      <c r="T338" s="81"/>
      <c r="U338" s="81"/>
      <c r="V338" s="81" t="s">
        <v>1110</v>
      </c>
      <c r="W338" s="86" t="str">
        <f>HYPERLINK("https://www.youtube.com/watch?v=GYSgH1g_YQI")</f>
        <v>https://www.youtube.com/watch?v=GYSgH1g_YQI</v>
      </c>
      <c r="X338" s="81"/>
      <c r="Y338" s="81"/>
      <c r="Z338" s="88">
        <v>42627.98878472222</v>
      </c>
      <c r="AA338" s="81"/>
      <c r="AB338" s="81"/>
      <c r="AC338" s="81"/>
      <c r="AD338" s="81"/>
      <c r="AE338">
        <v>1</v>
      </c>
      <c r="AF338" s="80" t="str">
        <f>REPLACE(INDEX(GroupVertices[Group],MATCH(Edges[[#This Row],[Vertex 1]],GroupVertices[Vertex],0)),1,1,"")</f>
        <v>5</v>
      </c>
      <c r="AG338" s="80" t="str">
        <f>REPLACE(INDEX(GroupVertices[Group],MATCH(Edges[[#This Row],[Vertex 2]],GroupVertices[Vertex],0)),1,1,"")</f>
        <v>5</v>
      </c>
      <c r="AH338" s="49"/>
      <c r="AI338" s="50"/>
      <c r="AJ338" s="49"/>
      <c r="AK338" s="50"/>
      <c r="AL338" s="49"/>
      <c r="AM338" s="50"/>
      <c r="AN338" s="49"/>
      <c r="AO338" s="50"/>
      <c r="AP338" s="49"/>
    </row>
    <row r="339" spans="1:42" ht="15">
      <c r="A339" s="65" t="s">
        <v>552</v>
      </c>
      <c r="B339" s="65" t="s">
        <v>552</v>
      </c>
      <c r="C339" s="66" t="s">
        <v>2942</v>
      </c>
      <c r="D339" s="67">
        <v>3</v>
      </c>
      <c r="E339" s="68"/>
      <c r="F339" s="69">
        <v>40</v>
      </c>
      <c r="G339" s="66"/>
      <c r="H339" s="70"/>
      <c r="I339" s="71"/>
      <c r="J339" s="71"/>
      <c r="K339" s="35" t="s">
        <v>65</v>
      </c>
      <c r="L339" s="79">
        <v>339</v>
      </c>
      <c r="M339" s="79"/>
      <c r="N339" s="73"/>
      <c r="O339" s="81" t="s">
        <v>565</v>
      </c>
      <c r="P339" s="81"/>
      <c r="Q339" s="81"/>
      <c r="R339" s="81"/>
      <c r="S339" s="81"/>
      <c r="T339" s="81"/>
      <c r="U339" s="81"/>
      <c r="V339" s="81" t="s">
        <v>1113</v>
      </c>
      <c r="W339" s="86" t="str">
        <f>HYPERLINK("https://www.youtube.com/watch?v=TrCcbMEkJM0")</f>
        <v>https://www.youtube.com/watch?v=TrCcbMEkJM0</v>
      </c>
      <c r="X339" s="81"/>
      <c r="Y339" s="81"/>
      <c r="Z339" s="88">
        <v>44320.58349537037</v>
      </c>
      <c r="AA339" s="81"/>
      <c r="AB339" s="81"/>
      <c r="AC339" s="81"/>
      <c r="AD339" s="81"/>
      <c r="AE339">
        <v>1</v>
      </c>
      <c r="AF339" s="80" t="str">
        <f>REPLACE(INDEX(GroupVertices[Group],MATCH(Edges[[#This Row],[Vertex 1]],GroupVertices[Vertex],0)),1,1,"")</f>
        <v>15</v>
      </c>
      <c r="AG339" s="80" t="str">
        <f>REPLACE(INDEX(GroupVertices[Group],MATCH(Edges[[#This Row],[Vertex 2]],GroupVertices[Vertex],0)),1,1,"")</f>
        <v>15</v>
      </c>
      <c r="AH339" s="49"/>
      <c r="AI339" s="50"/>
      <c r="AJ339" s="49"/>
      <c r="AK339" s="50"/>
      <c r="AL339" s="49"/>
      <c r="AM339" s="50"/>
      <c r="AN339" s="49"/>
      <c r="AO339" s="50"/>
      <c r="AP339" s="49"/>
    </row>
    <row r="340" spans="1:42" ht="15">
      <c r="A340" s="65" t="s">
        <v>430</v>
      </c>
      <c r="B340" s="65" t="s">
        <v>430</v>
      </c>
      <c r="C340" s="66" t="s">
        <v>2948</v>
      </c>
      <c r="D340" s="67">
        <v>8.6</v>
      </c>
      <c r="E340" s="68"/>
      <c r="F340" s="69">
        <v>20</v>
      </c>
      <c r="G340" s="66"/>
      <c r="H340" s="70"/>
      <c r="I340" s="71"/>
      <c r="J340" s="71"/>
      <c r="K340" s="35" t="s">
        <v>65</v>
      </c>
      <c r="L340" s="79">
        <v>340</v>
      </c>
      <c r="M340" s="79"/>
      <c r="N340" s="73"/>
      <c r="O340" s="81" t="s">
        <v>565</v>
      </c>
      <c r="P340" s="81"/>
      <c r="Q340" s="81"/>
      <c r="R340" s="81"/>
      <c r="S340" s="81"/>
      <c r="T340" s="81"/>
      <c r="U340" s="81"/>
      <c r="V340" s="81" t="s">
        <v>1166</v>
      </c>
      <c r="W340" s="86" t="str">
        <f>HYPERLINK("https://www.youtube.com/watch?v=Cp5dejUrVUE")</f>
        <v>https://www.youtube.com/watch?v=Cp5dejUrVUE</v>
      </c>
      <c r="X340" s="81"/>
      <c r="Y340" s="81"/>
      <c r="Z340" s="88">
        <v>43148.93346064815</v>
      </c>
      <c r="AA340" s="81"/>
      <c r="AB340" s="81"/>
      <c r="AC340" s="81"/>
      <c r="AD340" s="81"/>
      <c r="AE340">
        <v>5</v>
      </c>
      <c r="AF340" s="80" t="str">
        <f>REPLACE(INDEX(GroupVertices[Group],MATCH(Edges[[#This Row],[Vertex 1]],GroupVertices[Vertex],0)),1,1,"")</f>
        <v>7</v>
      </c>
      <c r="AG340" s="80" t="str">
        <f>REPLACE(INDEX(GroupVertices[Group],MATCH(Edges[[#This Row],[Vertex 2]],GroupVertices[Vertex],0)),1,1,"")</f>
        <v>7</v>
      </c>
      <c r="AH340" s="49"/>
      <c r="AI340" s="50"/>
      <c r="AJ340" s="49"/>
      <c r="AK340" s="50"/>
      <c r="AL340" s="49"/>
      <c r="AM340" s="50"/>
      <c r="AN340" s="49"/>
      <c r="AO340" s="50"/>
      <c r="AP340" s="49"/>
    </row>
    <row r="341" spans="1:42" ht="15">
      <c r="A341" s="65" t="s">
        <v>430</v>
      </c>
      <c r="B341" s="65" t="s">
        <v>430</v>
      </c>
      <c r="C341" s="66" t="s">
        <v>2948</v>
      </c>
      <c r="D341" s="67">
        <v>8.6</v>
      </c>
      <c r="E341" s="68"/>
      <c r="F341" s="69">
        <v>20</v>
      </c>
      <c r="G341" s="66"/>
      <c r="H341" s="70"/>
      <c r="I341" s="71"/>
      <c r="J341" s="71"/>
      <c r="K341" s="35" t="s">
        <v>65</v>
      </c>
      <c r="L341" s="79">
        <v>341</v>
      </c>
      <c r="M341" s="79"/>
      <c r="N341" s="73"/>
      <c r="O341" s="81" t="s">
        <v>565</v>
      </c>
      <c r="P341" s="81"/>
      <c r="Q341" s="81"/>
      <c r="R341" s="81"/>
      <c r="S341" s="81"/>
      <c r="T341" s="81"/>
      <c r="U341" s="81"/>
      <c r="V341" s="81" t="s">
        <v>1167</v>
      </c>
      <c r="W341" s="86" t="str">
        <f>HYPERLINK("https://www.youtube.com/watch?v=GDEZBIXOz_c")</f>
        <v>https://www.youtube.com/watch?v=GDEZBIXOz_c</v>
      </c>
      <c r="X341" s="81"/>
      <c r="Y341" s="81"/>
      <c r="Z341" s="88">
        <v>42423.58553240741</v>
      </c>
      <c r="AA341" s="81"/>
      <c r="AB341" s="81"/>
      <c r="AC341" s="81"/>
      <c r="AD341" s="81"/>
      <c r="AE341">
        <v>5</v>
      </c>
      <c r="AF341" s="80" t="str">
        <f>REPLACE(INDEX(GroupVertices[Group],MATCH(Edges[[#This Row],[Vertex 1]],GroupVertices[Vertex],0)),1,1,"")</f>
        <v>7</v>
      </c>
      <c r="AG341" s="80" t="str">
        <f>REPLACE(INDEX(GroupVertices[Group],MATCH(Edges[[#This Row],[Vertex 2]],GroupVertices[Vertex],0)),1,1,"")</f>
        <v>7</v>
      </c>
      <c r="AH341" s="49"/>
      <c r="AI341" s="50"/>
      <c r="AJ341" s="49"/>
      <c r="AK341" s="50"/>
      <c r="AL341" s="49"/>
      <c r="AM341" s="50"/>
      <c r="AN341" s="49"/>
      <c r="AO341" s="50"/>
      <c r="AP341" s="49"/>
    </row>
    <row r="342" spans="1:42" ht="15">
      <c r="A342" s="65" t="s">
        <v>430</v>
      </c>
      <c r="B342" s="65" t="s">
        <v>430</v>
      </c>
      <c r="C342" s="66" t="s">
        <v>2948</v>
      </c>
      <c r="D342" s="67">
        <v>8.6</v>
      </c>
      <c r="E342" s="68"/>
      <c r="F342" s="69">
        <v>20</v>
      </c>
      <c r="G342" s="66"/>
      <c r="H342" s="70"/>
      <c r="I342" s="71"/>
      <c r="J342" s="71"/>
      <c r="K342" s="35" t="s">
        <v>65</v>
      </c>
      <c r="L342" s="79">
        <v>342</v>
      </c>
      <c r="M342" s="79"/>
      <c r="N342" s="73"/>
      <c r="O342" s="81" t="s">
        <v>565</v>
      </c>
      <c r="P342" s="81"/>
      <c r="Q342" s="81"/>
      <c r="R342" s="81"/>
      <c r="S342" s="81"/>
      <c r="T342" s="81"/>
      <c r="U342" s="81"/>
      <c r="V342" s="81" t="s">
        <v>1168</v>
      </c>
      <c r="W342" s="86" t="str">
        <f>HYPERLINK("https://www.youtube.com/watch?v=9YcbpzQ3f8I")</f>
        <v>https://www.youtube.com/watch?v=9YcbpzQ3f8I</v>
      </c>
      <c r="X342" s="81"/>
      <c r="Y342" s="81"/>
      <c r="Z342" s="88">
        <v>42082.90818287037</v>
      </c>
      <c r="AA342" s="81"/>
      <c r="AB342" s="81"/>
      <c r="AC342" s="81"/>
      <c r="AD342" s="81"/>
      <c r="AE342">
        <v>5</v>
      </c>
      <c r="AF342" s="80" t="str">
        <f>REPLACE(INDEX(GroupVertices[Group],MATCH(Edges[[#This Row],[Vertex 1]],GroupVertices[Vertex],0)),1,1,"")</f>
        <v>7</v>
      </c>
      <c r="AG342" s="80" t="str">
        <f>REPLACE(INDEX(GroupVertices[Group],MATCH(Edges[[#This Row],[Vertex 2]],GroupVertices[Vertex],0)),1,1,"")</f>
        <v>7</v>
      </c>
      <c r="AH342" s="49"/>
      <c r="AI342" s="50"/>
      <c r="AJ342" s="49"/>
      <c r="AK342" s="50"/>
      <c r="AL342" s="49"/>
      <c r="AM342" s="50"/>
      <c r="AN342" s="49"/>
      <c r="AO342" s="50"/>
      <c r="AP342" s="49"/>
    </row>
    <row r="343" spans="1:42" ht="15">
      <c r="A343" s="65" t="s">
        <v>430</v>
      </c>
      <c r="B343" s="65" t="s">
        <v>430</v>
      </c>
      <c r="C343" s="66" t="s">
        <v>2948</v>
      </c>
      <c r="D343" s="67">
        <v>8.6</v>
      </c>
      <c r="E343" s="68"/>
      <c r="F343" s="69">
        <v>20</v>
      </c>
      <c r="G343" s="66"/>
      <c r="H343" s="70"/>
      <c r="I343" s="71"/>
      <c r="J343" s="71"/>
      <c r="K343" s="35" t="s">
        <v>65</v>
      </c>
      <c r="L343" s="79">
        <v>343</v>
      </c>
      <c r="M343" s="79"/>
      <c r="N343" s="73"/>
      <c r="O343" s="81" t="s">
        <v>565</v>
      </c>
      <c r="P343" s="81"/>
      <c r="Q343" s="81"/>
      <c r="R343" s="81"/>
      <c r="S343" s="81"/>
      <c r="T343" s="81"/>
      <c r="U343" s="81"/>
      <c r="V343" s="81" t="s">
        <v>1112</v>
      </c>
      <c r="W343" s="86" t="str">
        <f>HYPERLINK("https://www.youtube.com/watch?v=yknqOhpUtzQ")</f>
        <v>https://www.youtube.com/watch?v=yknqOhpUtzQ</v>
      </c>
      <c r="X343" s="81"/>
      <c r="Y343" s="81"/>
      <c r="Z343" s="88">
        <v>42082.907789351855</v>
      </c>
      <c r="AA343" s="81"/>
      <c r="AB343" s="81"/>
      <c r="AC343" s="81"/>
      <c r="AD343" s="81"/>
      <c r="AE343">
        <v>5</v>
      </c>
      <c r="AF343" s="80" t="str">
        <f>REPLACE(INDEX(GroupVertices[Group],MATCH(Edges[[#This Row],[Vertex 1]],GroupVertices[Vertex],0)),1,1,"")</f>
        <v>7</v>
      </c>
      <c r="AG343" s="80" t="str">
        <f>REPLACE(INDEX(GroupVertices[Group],MATCH(Edges[[#This Row],[Vertex 2]],GroupVertices[Vertex],0)),1,1,"")</f>
        <v>7</v>
      </c>
      <c r="AH343" s="49"/>
      <c r="AI343" s="50"/>
      <c r="AJ343" s="49"/>
      <c r="AK343" s="50"/>
      <c r="AL343" s="49"/>
      <c r="AM343" s="50"/>
      <c r="AN343" s="49"/>
      <c r="AO343" s="50"/>
      <c r="AP343" s="49"/>
    </row>
    <row r="344" spans="1:42" ht="15">
      <c r="A344" s="65" t="s">
        <v>430</v>
      </c>
      <c r="B344" s="65" t="s">
        <v>430</v>
      </c>
      <c r="C344" s="66" t="s">
        <v>2948</v>
      </c>
      <c r="D344" s="67">
        <v>8.6</v>
      </c>
      <c r="E344" s="68"/>
      <c r="F344" s="69">
        <v>20</v>
      </c>
      <c r="G344" s="66"/>
      <c r="H344" s="70"/>
      <c r="I344" s="71"/>
      <c r="J344" s="71"/>
      <c r="K344" s="35" t="s">
        <v>65</v>
      </c>
      <c r="L344" s="79">
        <v>344</v>
      </c>
      <c r="M344" s="79"/>
      <c r="N344" s="73"/>
      <c r="O344" s="81" t="s">
        <v>565</v>
      </c>
      <c r="P344" s="81"/>
      <c r="Q344" s="81"/>
      <c r="R344" s="81"/>
      <c r="S344" s="81"/>
      <c r="T344" s="81"/>
      <c r="U344" s="81"/>
      <c r="V344" s="81" t="s">
        <v>1114</v>
      </c>
      <c r="W344" s="86" t="str">
        <f>HYPERLINK("https://www.youtube.com/watch?v=0snyC8fNhXo")</f>
        <v>https://www.youtube.com/watch?v=0snyC8fNhXo</v>
      </c>
      <c r="X344" s="81"/>
      <c r="Y344" s="81"/>
      <c r="Z344" s="88">
        <v>42082.907314814816</v>
      </c>
      <c r="AA344" s="81"/>
      <c r="AB344" s="81"/>
      <c r="AC344" s="81"/>
      <c r="AD344" s="81"/>
      <c r="AE344">
        <v>5</v>
      </c>
      <c r="AF344" s="80" t="str">
        <f>REPLACE(INDEX(GroupVertices[Group],MATCH(Edges[[#This Row],[Vertex 1]],GroupVertices[Vertex],0)),1,1,"")</f>
        <v>7</v>
      </c>
      <c r="AG344" s="80" t="str">
        <f>REPLACE(INDEX(GroupVertices[Group],MATCH(Edges[[#This Row],[Vertex 2]],GroupVertices[Vertex],0)),1,1,"")</f>
        <v>7</v>
      </c>
      <c r="AH344" s="49"/>
      <c r="AI344" s="50"/>
      <c r="AJ344" s="49"/>
      <c r="AK344" s="50"/>
      <c r="AL344" s="49"/>
      <c r="AM344" s="50"/>
      <c r="AN344" s="49"/>
      <c r="AO344" s="50"/>
      <c r="AP344" s="49"/>
    </row>
    <row r="345" spans="1:42" ht="15">
      <c r="A345" s="65" t="s">
        <v>553</v>
      </c>
      <c r="B345" s="65" t="s">
        <v>553</v>
      </c>
      <c r="C345" s="66" t="s">
        <v>2942</v>
      </c>
      <c r="D345" s="67">
        <v>3</v>
      </c>
      <c r="E345" s="68"/>
      <c r="F345" s="69">
        <v>40</v>
      </c>
      <c r="G345" s="66"/>
      <c r="H345" s="70"/>
      <c r="I345" s="71"/>
      <c r="J345" s="71"/>
      <c r="K345" s="35" t="s">
        <v>65</v>
      </c>
      <c r="L345" s="79">
        <v>345</v>
      </c>
      <c r="M345" s="79"/>
      <c r="N345" s="73"/>
      <c r="O345" s="81" t="s">
        <v>565</v>
      </c>
      <c r="P345" s="81"/>
      <c r="Q345" s="81"/>
      <c r="R345" s="81"/>
      <c r="S345" s="81"/>
      <c r="T345" s="81"/>
      <c r="U345" s="81"/>
      <c r="V345" s="81" t="s">
        <v>1129</v>
      </c>
      <c r="W345" s="86" t="str">
        <f>HYPERLINK("https://www.youtube.com/watch?v=DfVp1zDYNLg")</f>
        <v>https://www.youtube.com/watch?v=DfVp1zDYNLg</v>
      </c>
      <c r="X345" s="81"/>
      <c r="Y345" s="81"/>
      <c r="Z345" s="88">
        <v>41325.114756944444</v>
      </c>
      <c r="AA345" s="81"/>
      <c r="AB345" s="81"/>
      <c r="AC345" s="81"/>
      <c r="AD345" s="81"/>
      <c r="AE345">
        <v>1</v>
      </c>
      <c r="AF345" s="80" t="str">
        <f>REPLACE(INDEX(GroupVertices[Group],MATCH(Edges[[#This Row],[Vertex 1]],GroupVertices[Vertex],0)),1,1,"")</f>
        <v>3</v>
      </c>
      <c r="AG345" s="80" t="str">
        <f>REPLACE(INDEX(GroupVertices[Group],MATCH(Edges[[#This Row],[Vertex 2]],GroupVertices[Vertex],0)),1,1,"")</f>
        <v>3</v>
      </c>
      <c r="AH345" s="49"/>
      <c r="AI345" s="50"/>
      <c r="AJ345" s="49"/>
      <c r="AK345" s="50"/>
      <c r="AL345" s="49"/>
      <c r="AM345" s="50"/>
      <c r="AN345" s="49"/>
      <c r="AO345" s="50"/>
      <c r="AP345" s="49"/>
    </row>
    <row r="346" spans="1:42" ht="15">
      <c r="A346" s="65" t="s">
        <v>554</v>
      </c>
      <c r="B346" s="65" t="s">
        <v>554</v>
      </c>
      <c r="C346" s="66" t="s">
        <v>2942</v>
      </c>
      <c r="D346" s="67">
        <v>3</v>
      </c>
      <c r="E346" s="68"/>
      <c r="F346" s="69">
        <v>40</v>
      </c>
      <c r="G346" s="66"/>
      <c r="H346" s="70"/>
      <c r="I346" s="71"/>
      <c r="J346" s="71"/>
      <c r="K346" s="35" t="s">
        <v>65</v>
      </c>
      <c r="L346" s="79">
        <v>346</v>
      </c>
      <c r="M346" s="79"/>
      <c r="N346" s="73"/>
      <c r="O346" s="81" t="s">
        <v>565</v>
      </c>
      <c r="P346" s="81"/>
      <c r="Q346" s="81"/>
      <c r="R346" s="81"/>
      <c r="S346" s="81"/>
      <c r="T346" s="81"/>
      <c r="U346" s="81"/>
      <c r="V346" s="81" t="s">
        <v>1169</v>
      </c>
      <c r="W346" s="86" t="str">
        <f>HYPERLINK("https://www.youtube.com/watch?v=loKrwwx7OWQ")</f>
        <v>https://www.youtube.com/watch?v=loKrwwx7OWQ</v>
      </c>
      <c r="X346" s="81"/>
      <c r="Y346" s="81"/>
      <c r="Z346" s="88">
        <v>40581.614583333336</v>
      </c>
      <c r="AA346" s="81"/>
      <c r="AB346" s="81"/>
      <c r="AC346" s="81"/>
      <c r="AD346" s="81"/>
      <c r="AE346">
        <v>1</v>
      </c>
      <c r="AF346" s="80" t="str">
        <f>REPLACE(INDEX(GroupVertices[Group],MATCH(Edges[[#This Row],[Vertex 1]],GroupVertices[Vertex],0)),1,1,"")</f>
        <v>2</v>
      </c>
      <c r="AG346" s="80" t="str">
        <f>REPLACE(INDEX(GroupVertices[Group],MATCH(Edges[[#This Row],[Vertex 2]],GroupVertices[Vertex],0)),1,1,"")</f>
        <v>2</v>
      </c>
      <c r="AH346" s="49"/>
      <c r="AI346" s="50"/>
      <c r="AJ346" s="49"/>
      <c r="AK346" s="50"/>
      <c r="AL346" s="49"/>
      <c r="AM346" s="50"/>
      <c r="AN346" s="49"/>
      <c r="AO346" s="50"/>
      <c r="AP346" s="49"/>
    </row>
    <row r="347" spans="1:42" ht="15">
      <c r="A347" s="65" t="s">
        <v>555</v>
      </c>
      <c r="B347" s="65" t="s">
        <v>555</v>
      </c>
      <c r="C347" s="66" t="s">
        <v>2942</v>
      </c>
      <c r="D347" s="67">
        <v>3</v>
      </c>
      <c r="E347" s="68"/>
      <c r="F347" s="69">
        <v>40</v>
      </c>
      <c r="G347" s="66"/>
      <c r="H347" s="70"/>
      <c r="I347" s="71"/>
      <c r="J347" s="71"/>
      <c r="K347" s="35" t="s">
        <v>65</v>
      </c>
      <c r="L347" s="79">
        <v>347</v>
      </c>
      <c r="M347" s="79"/>
      <c r="N347" s="73"/>
      <c r="O347" s="81" t="s">
        <v>565</v>
      </c>
      <c r="P347" s="81"/>
      <c r="Q347" s="81"/>
      <c r="R347" s="81"/>
      <c r="S347" s="81"/>
      <c r="T347" s="81"/>
      <c r="U347" s="81"/>
      <c r="V347" s="81" t="s">
        <v>1119</v>
      </c>
      <c r="W347" s="86" t="str">
        <f>HYPERLINK("https://www.youtube.com/watch?v=leNjC1CQiow")</f>
        <v>https://www.youtube.com/watch?v=leNjC1CQiow</v>
      </c>
      <c r="X347" s="81"/>
      <c r="Y347" s="81"/>
      <c r="Z347" s="88">
        <v>43564.77590277778</v>
      </c>
      <c r="AA347" s="81"/>
      <c r="AB347" s="81"/>
      <c r="AC347" s="81"/>
      <c r="AD347" s="81"/>
      <c r="AE347">
        <v>1</v>
      </c>
      <c r="AF347" s="80" t="str">
        <f>REPLACE(INDEX(GroupVertices[Group],MATCH(Edges[[#This Row],[Vertex 1]],GroupVertices[Vertex],0)),1,1,"")</f>
        <v>4</v>
      </c>
      <c r="AG347" s="80" t="str">
        <f>REPLACE(INDEX(GroupVertices[Group],MATCH(Edges[[#This Row],[Vertex 2]],GroupVertices[Vertex],0)),1,1,"")</f>
        <v>4</v>
      </c>
      <c r="AH347" s="49"/>
      <c r="AI347" s="50"/>
      <c r="AJ347" s="49"/>
      <c r="AK347" s="50"/>
      <c r="AL347" s="49"/>
      <c r="AM347" s="50"/>
      <c r="AN347" s="49"/>
      <c r="AO347" s="50"/>
      <c r="AP347" s="49"/>
    </row>
    <row r="348" spans="1:42" ht="15">
      <c r="A348" s="65" t="s">
        <v>441</v>
      </c>
      <c r="B348" s="65" t="s">
        <v>441</v>
      </c>
      <c r="C348" s="66" t="s">
        <v>2943</v>
      </c>
      <c r="D348" s="67">
        <v>4.4</v>
      </c>
      <c r="E348" s="68"/>
      <c r="F348" s="69">
        <v>35</v>
      </c>
      <c r="G348" s="66"/>
      <c r="H348" s="70"/>
      <c r="I348" s="71"/>
      <c r="J348" s="71"/>
      <c r="K348" s="35" t="s">
        <v>65</v>
      </c>
      <c r="L348" s="79">
        <v>348</v>
      </c>
      <c r="M348" s="79"/>
      <c r="N348" s="73"/>
      <c r="O348" s="81" t="s">
        <v>563</v>
      </c>
      <c r="P348" s="81" t="s">
        <v>325</v>
      </c>
      <c r="Q348" s="84" t="s">
        <v>845</v>
      </c>
      <c r="R348" s="81" t="s">
        <v>441</v>
      </c>
      <c r="S348" s="81" t="s">
        <v>954</v>
      </c>
      <c r="T348" s="86" t="str">
        <f>HYPERLINK("http://www.youtube.com/channel/UCaz5lJl4O-DlZ0Ype11GGDQ")</f>
        <v>http://www.youtube.com/channel/UCaz5lJl4O-DlZ0Ype11GGDQ</v>
      </c>
      <c r="U348" s="81"/>
      <c r="V348" s="81" t="s">
        <v>1120</v>
      </c>
      <c r="W348" s="86" t="str">
        <f>HYPERLINK("https://www.youtube.com/watch?v=-dB0rwt6_U8")</f>
        <v>https://www.youtube.com/watch?v=-dB0rwt6_U8</v>
      </c>
      <c r="X348" s="81" t="s">
        <v>1183</v>
      </c>
      <c r="Y348" s="81">
        <v>1</v>
      </c>
      <c r="Z348" s="88">
        <v>44200.973229166666</v>
      </c>
      <c r="AA348" s="88">
        <v>44200.973229166666</v>
      </c>
      <c r="AB348" s="81" t="s">
        <v>1217</v>
      </c>
      <c r="AC348" s="81" t="s">
        <v>1235</v>
      </c>
      <c r="AD348" s="84" t="s">
        <v>1239</v>
      </c>
      <c r="AE348" s="82">
        <v>2</v>
      </c>
      <c r="AF348" s="83" t="str">
        <f>REPLACE(INDEX(GroupVertices[Group],MATCH(Edges[[#This Row],[Vertex 1]],GroupVertices[Vertex],0)),1,1,"")</f>
        <v>5</v>
      </c>
      <c r="AG348" s="83" t="str">
        <f>REPLACE(INDEX(GroupVertices[Group],MATCH(Edges[[#This Row],[Vertex 2]],GroupVertices[Vertex],0)),1,1,"")</f>
        <v>5</v>
      </c>
      <c r="AH348" s="111">
        <v>0</v>
      </c>
      <c r="AI348" s="112">
        <v>0</v>
      </c>
      <c r="AJ348" s="111">
        <v>0</v>
      </c>
      <c r="AK348" s="112">
        <v>0</v>
      </c>
      <c r="AL348" s="111">
        <v>0</v>
      </c>
      <c r="AM348" s="112">
        <v>0</v>
      </c>
      <c r="AN348" s="111">
        <v>109</v>
      </c>
      <c r="AO348" s="112">
        <v>100</v>
      </c>
      <c r="AP348" s="111">
        <v>109</v>
      </c>
    </row>
    <row r="349" spans="1:42" ht="15">
      <c r="A349" s="65" t="s">
        <v>441</v>
      </c>
      <c r="B349" s="65" t="s">
        <v>441</v>
      </c>
      <c r="C349" s="66" t="s">
        <v>2943</v>
      </c>
      <c r="D349" s="67">
        <v>4.4</v>
      </c>
      <c r="E349" s="68"/>
      <c r="F349" s="69">
        <v>35</v>
      </c>
      <c r="G349" s="66"/>
      <c r="H349" s="70"/>
      <c r="I349" s="71"/>
      <c r="J349" s="71"/>
      <c r="K349" s="35" t="s">
        <v>65</v>
      </c>
      <c r="L349" s="79">
        <v>349</v>
      </c>
      <c r="M349" s="79"/>
      <c r="N349" s="73"/>
      <c r="O349" s="81" t="s">
        <v>565</v>
      </c>
      <c r="P349" s="81"/>
      <c r="Q349" s="81"/>
      <c r="R349" s="81"/>
      <c r="S349" s="81"/>
      <c r="T349" s="81"/>
      <c r="U349" s="81"/>
      <c r="V349" s="81" t="s">
        <v>1120</v>
      </c>
      <c r="W349" s="86" t="str">
        <f>HYPERLINK("https://www.youtube.com/watch?v=-dB0rwt6_U8")</f>
        <v>https://www.youtube.com/watch?v=-dB0rwt6_U8</v>
      </c>
      <c r="X349" s="81"/>
      <c r="Y349" s="81"/>
      <c r="Z349" s="88">
        <v>43535.548483796294</v>
      </c>
      <c r="AA349" s="81"/>
      <c r="AB349" s="81"/>
      <c r="AC349" s="81"/>
      <c r="AD349" s="81"/>
      <c r="AE349">
        <v>2</v>
      </c>
      <c r="AF349" s="80" t="str">
        <f>REPLACE(INDEX(GroupVertices[Group],MATCH(Edges[[#This Row],[Vertex 1]],GroupVertices[Vertex],0)),1,1,"")</f>
        <v>5</v>
      </c>
      <c r="AG349" s="80" t="str">
        <f>REPLACE(INDEX(GroupVertices[Group],MATCH(Edges[[#This Row],[Vertex 2]],GroupVertices[Vertex],0)),1,1,"")</f>
        <v>5</v>
      </c>
      <c r="AH349" s="49"/>
      <c r="AI349" s="50"/>
      <c r="AJ349" s="49"/>
      <c r="AK349" s="50"/>
      <c r="AL349" s="49"/>
      <c r="AM349" s="50"/>
      <c r="AN349" s="49"/>
      <c r="AO349" s="50"/>
      <c r="AP349" s="49"/>
    </row>
    <row r="350" spans="1:42" ht="15">
      <c r="A350" s="65" t="s">
        <v>556</v>
      </c>
      <c r="B350" s="65" t="s">
        <v>556</v>
      </c>
      <c r="C350" s="66" t="s">
        <v>2942</v>
      </c>
      <c r="D350" s="67">
        <v>3</v>
      </c>
      <c r="E350" s="68"/>
      <c r="F350" s="69">
        <v>40</v>
      </c>
      <c r="G350" s="66"/>
      <c r="H350" s="70"/>
      <c r="I350" s="71"/>
      <c r="J350" s="71"/>
      <c r="K350" s="35" t="s">
        <v>65</v>
      </c>
      <c r="L350" s="79">
        <v>350</v>
      </c>
      <c r="M350" s="79"/>
      <c r="N350" s="73"/>
      <c r="O350" s="81" t="s">
        <v>565</v>
      </c>
      <c r="P350" s="81"/>
      <c r="Q350" s="81"/>
      <c r="R350" s="81"/>
      <c r="S350" s="81"/>
      <c r="T350" s="81"/>
      <c r="U350" s="81"/>
      <c r="V350" s="81" t="s">
        <v>1170</v>
      </c>
      <c r="W350" s="86" t="str">
        <f>HYPERLINK("https://www.youtube.com/watch?v=gv96pG-FpNs")</f>
        <v>https://www.youtube.com/watch?v=gv96pG-FpNs</v>
      </c>
      <c r="X350" s="81"/>
      <c r="Y350" s="81"/>
      <c r="Z350" s="88">
        <v>44662.58981481481</v>
      </c>
      <c r="AA350" s="81"/>
      <c r="AB350" s="81"/>
      <c r="AC350" s="81"/>
      <c r="AD350" s="81"/>
      <c r="AE350">
        <v>1</v>
      </c>
      <c r="AF350" s="80" t="str">
        <f>REPLACE(INDEX(GroupVertices[Group],MATCH(Edges[[#This Row],[Vertex 1]],GroupVertices[Vertex],0)),1,1,"")</f>
        <v>2</v>
      </c>
      <c r="AG350" s="80" t="str">
        <f>REPLACE(INDEX(GroupVertices[Group],MATCH(Edges[[#This Row],[Vertex 2]],GroupVertices[Vertex],0)),1,1,"")</f>
        <v>2</v>
      </c>
      <c r="AH350" s="49"/>
      <c r="AI350" s="50"/>
      <c r="AJ350" s="49"/>
      <c r="AK350" s="50"/>
      <c r="AL350" s="49"/>
      <c r="AM350" s="50"/>
      <c r="AN350" s="49"/>
      <c r="AO350" s="50"/>
      <c r="AP350" s="49"/>
    </row>
    <row r="351" spans="1:42" ht="15">
      <c r="A351" s="65" t="s">
        <v>450</v>
      </c>
      <c r="B351" s="65" t="s">
        <v>450</v>
      </c>
      <c r="C351" s="66" t="s">
        <v>2949</v>
      </c>
      <c r="D351" s="67">
        <v>10</v>
      </c>
      <c r="E351" s="68"/>
      <c r="F351" s="69">
        <v>15</v>
      </c>
      <c r="G351" s="66"/>
      <c r="H351" s="70"/>
      <c r="I351" s="71"/>
      <c r="J351" s="71"/>
      <c r="K351" s="35" t="s">
        <v>65</v>
      </c>
      <c r="L351" s="79">
        <v>351</v>
      </c>
      <c r="M351" s="79"/>
      <c r="N351" s="73"/>
      <c r="O351" s="81" t="s">
        <v>563</v>
      </c>
      <c r="P351" s="81" t="s">
        <v>325</v>
      </c>
      <c r="Q351" s="84" t="s">
        <v>846</v>
      </c>
      <c r="R351" s="81" t="s">
        <v>450</v>
      </c>
      <c r="S351" s="81" t="s">
        <v>963</v>
      </c>
      <c r="T351" s="86" t="str">
        <f>HYPERLINK("http://www.youtube.com/channel/UCOQy7XDYjkjhb0QwVMwf-7A")</f>
        <v>http://www.youtube.com/channel/UCOQy7XDYjkjhb0QwVMwf-7A</v>
      </c>
      <c r="U351" s="81"/>
      <c r="V351" s="81" t="s">
        <v>1090</v>
      </c>
      <c r="W351" s="86" t="str">
        <f>HYPERLINK("https://www.youtube.com/watch?v=PmDKuAnKiGA")</f>
        <v>https://www.youtube.com/watch?v=PmDKuAnKiGA</v>
      </c>
      <c r="X351" s="81" t="s">
        <v>1183</v>
      </c>
      <c r="Y351" s="81">
        <v>0</v>
      </c>
      <c r="Z351" s="88">
        <v>43497.795694444445</v>
      </c>
      <c r="AA351" s="88">
        <v>43497.795694444445</v>
      </c>
      <c r="AB351" s="81"/>
      <c r="AC351" s="81"/>
      <c r="AD351" s="84" t="s">
        <v>1239</v>
      </c>
      <c r="AE351" s="82">
        <v>9</v>
      </c>
      <c r="AF351" s="83" t="str">
        <f>REPLACE(INDEX(GroupVertices[Group],MATCH(Edges[[#This Row],[Vertex 1]],GroupVertices[Vertex],0)),1,1,"")</f>
        <v>6</v>
      </c>
      <c r="AG351" s="83" t="str">
        <f>REPLACE(INDEX(GroupVertices[Group],MATCH(Edges[[#This Row],[Vertex 2]],GroupVertices[Vertex],0)),1,1,"")</f>
        <v>6</v>
      </c>
      <c r="AH351" s="111">
        <v>0</v>
      </c>
      <c r="AI351" s="112">
        <v>0</v>
      </c>
      <c r="AJ351" s="111">
        <v>1</v>
      </c>
      <c r="AK351" s="112">
        <v>2.127659574468085</v>
      </c>
      <c r="AL351" s="111">
        <v>0</v>
      </c>
      <c r="AM351" s="112">
        <v>0</v>
      </c>
      <c r="AN351" s="111">
        <v>46</v>
      </c>
      <c r="AO351" s="112">
        <v>97.87234042553192</v>
      </c>
      <c r="AP351" s="111">
        <v>47</v>
      </c>
    </row>
    <row r="352" spans="1:42" ht="15">
      <c r="A352" s="65" t="s">
        <v>450</v>
      </c>
      <c r="B352" s="65" t="s">
        <v>369</v>
      </c>
      <c r="C352" s="66" t="s">
        <v>2942</v>
      </c>
      <c r="D352" s="67">
        <v>3</v>
      </c>
      <c r="E352" s="68"/>
      <c r="F352" s="69">
        <v>40</v>
      </c>
      <c r="G352" s="66"/>
      <c r="H352" s="70"/>
      <c r="I352" s="71"/>
      <c r="J352" s="71"/>
      <c r="K352" s="35" t="s">
        <v>65</v>
      </c>
      <c r="L352" s="79">
        <v>352</v>
      </c>
      <c r="M352" s="79"/>
      <c r="N352" s="73"/>
      <c r="O352" s="81" t="s">
        <v>563</v>
      </c>
      <c r="P352" s="81" t="s">
        <v>325</v>
      </c>
      <c r="Q352" s="84" t="s">
        <v>847</v>
      </c>
      <c r="R352" s="81" t="s">
        <v>450</v>
      </c>
      <c r="S352" s="81" t="s">
        <v>963</v>
      </c>
      <c r="T352" s="86" t="str">
        <f>HYPERLINK("http://www.youtube.com/channel/UCOQy7XDYjkjhb0QwVMwf-7A")</f>
        <v>http://www.youtube.com/channel/UCOQy7XDYjkjhb0QwVMwf-7A</v>
      </c>
      <c r="U352" s="81"/>
      <c r="V352" s="81" t="s">
        <v>1116</v>
      </c>
      <c r="W352" s="86" t="str">
        <f>HYPERLINK("https://www.youtube.com/watch?v=t8YHRVf60BU")</f>
        <v>https://www.youtube.com/watch?v=t8YHRVf60BU</v>
      </c>
      <c r="X352" s="81" t="s">
        <v>1183</v>
      </c>
      <c r="Y352" s="81">
        <v>0</v>
      </c>
      <c r="Z352" s="88">
        <v>41161.68179398148</v>
      </c>
      <c r="AA352" s="88">
        <v>41161.68179398148</v>
      </c>
      <c r="AB352" s="81"/>
      <c r="AC352" s="81"/>
      <c r="AD352" s="84" t="s">
        <v>1239</v>
      </c>
      <c r="AE352" s="82">
        <v>1</v>
      </c>
      <c r="AF352" s="83" t="str">
        <f>REPLACE(INDEX(GroupVertices[Group],MATCH(Edges[[#This Row],[Vertex 1]],GroupVertices[Vertex],0)),1,1,"")</f>
        <v>6</v>
      </c>
      <c r="AG352" s="83" t="str">
        <f>REPLACE(INDEX(GroupVertices[Group],MATCH(Edges[[#This Row],[Vertex 2]],GroupVertices[Vertex],0)),1,1,"")</f>
        <v>1</v>
      </c>
      <c r="AH352" s="111">
        <v>0</v>
      </c>
      <c r="AI352" s="112">
        <v>0</v>
      </c>
      <c r="AJ352" s="111">
        <v>0</v>
      </c>
      <c r="AK352" s="112">
        <v>0</v>
      </c>
      <c r="AL352" s="111">
        <v>0</v>
      </c>
      <c r="AM352" s="112">
        <v>0</v>
      </c>
      <c r="AN352" s="111">
        <v>16</v>
      </c>
      <c r="AO352" s="112">
        <v>100</v>
      </c>
      <c r="AP352" s="111">
        <v>16</v>
      </c>
    </row>
    <row r="353" spans="1:42" ht="15">
      <c r="A353" s="65" t="s">
        <v>450</v>
      </c>
      <c r="B353" s="65" t="s">
        <v>450</v>
      </c>
      <c r="C353" s="66" t="s">
        <v>2949</v>
      </c>
      <c r="D353" s="67">
        <v>10</v>
      </c>
      <c r="E353" s="68"/>
      <c r="F353" s="69">
        <v>15</v>
      </c>
      <c r="G353" s="66"/>
      <c r="H353" s="70"/>
      <c r="I353" s="71"/>
      <c r="J353" s="71"/>
      <c r="K353" s="35" t="s">
        <v>65</v>
      </c>
      <c r="L353" s="79">
        <v>353</v>
      </c>
      <c r="M353" s="79"/>
      <c r="N353" s="73"/>
      <c r="O353" s="81" t="s">
        <v>565</v>
      </c>
      <c r="P353" s="81"/>
      <c r="Q353" s="81"/>
      <c r="R353" s="81"/>
      <c r="S353" s="81"/>
      <c r="T353" s="81"/>
      <c r="U353" s="81"/>
      <c r="V353" s="81" t="s">
        <v>1090</v>
      </c>
      <c r="W353" s="86" t="str">
        <f>HYPERLINK("https://www.youtube.com/watch?v=PmDKuAnKiGA")</f>
        <v>https://www.youtube.com/watch?v=PmDKuAnKiGA</v>
      </c>
      <c r="X353" s="81"/>
      <c r="Y353" s="81"/>
      <c r="Z353" s="88">
        <v>42248.89140046296</v>
      </c>
      <c r="AA353" s="81"/>
      <c r="AB353" s="81"/>
      <c r="AC353" s="81"/>
      <c r="AD353" s="81"/>
      <c r="AE353">
        <v>9</v>
      </c>
      <c r="AF353" s="80" t="str">
        <f>REPLACE(INDEX(GroupVertices[Group],MATCH(Edges[[#This Row],[Vertex 1]],GroupVertices[Vertex],0)),1,1,"")</f>
        <v>6</v>
      </c>
      <c r="AG353" s="80" t="str">
        <f>REPLACE(INDEX(GroupVertices[Group],MATCH(Edges[[#This Row],[Vertex 2]],GroupVertices[Vertex],0)),1,1,"")</f>
        <v>6</v>
      </c>
      <c r="AH353" s="49"/>
      <c r="AI353" s="50"/>
      <c r="AJ353" s="49"/>
      <c r="AK353" s="50"/>
      <c r="AL353" s="49"/>
      <c r="AM353" s="50"/>
      <c r="AN353" s="49"/>
      <c r="AO353" s="50"/>
      <c r="AP353" s="49"/>
    </row>
    <row r="354" spans="1:42" ht="15">
      <c r="A354" s="65" t="s">
        <v>450</v>
      </c>
      <c r="B354" s="65" t="s">
        <v>450</v>
      </c>
      <c r="C354" s="66" t="s">
        <v>2949</v>
      </c>
      <c r="D354" s="67">
        <v>10</v>
      </c>
      <c r="E354" s="68"/>
      <c r="F354" s="69">
        <v>15</v>
      </c>
      <c r="G354" s="66"/>
      <c r="H354" s="70"/>
      <c r="I354" s="71"/>
      <c r="J354" s="71"/>
      <c r="K354" s="35" t="s">
        <v>65</v>
      </c>
      <c r="L354" s="79">
        <v>354</v>
      </c>
      <c r="M354" s="79"/>
      <c r="N354" s="73"/>
      <c r="O354" s="81" t="s">
        <v>565</v>
      </c>
      <c r="P354" s="81"/>
      <c r="Q354" s="81"/>
      <c r="R354" s="81"/>
      <c r="S354" s="81"/>
      <c r="T354" s="81"/>
      <c r="U354" s="81"/>
      <c r="V354" s="81" t="s">
        <v>1171</v>
      </c>
      <c r="W354" s="86" t="str">
        <f>HYPERLINK("https://www.youtube.com/watch?v=EEZfb4WC_uE")</f>
        <v>https://www.youtube.com/watch?v=EEZfb4WC_uE</v>
      </c>
      <c r="X354" s="81"/>
      <c r="Y354" s="81"/>
      <c r="Z354" s="88">
        <v>43216.744988425926</v>
      </c>
      <c r="AA354" s="81"/>
      <c r="AB354" s="81"/>
      <c r="AC354" s="81"/>
      <c r="AD354" s="81"/>
      <c r="AE354">
        <v>9</v>
      </c>
      <c r="AF354" s="80" t="str">
        <f>REPLACE(INDEX(GroupVertices[Group],MATCH(Edges[[#This Row],[Vertex 1]],GroupVertices[Vertex],0)),1,1,"")</f>
        <v>6</v>
      </c>
      <c r="AG354" s="80" t="str">
        <f>REPLACE(INDEX(GroupVertices[Group],MATCH(Edges[[#This Row],[Vertex 2]],GroupVertices[Vertex],0)),1,1,"")</f>
        <v>6</v>
      </c>
      <c r="AH354" s="49"/>
      <c r="AI354" s="50"/>
      <c r="AJ354" s="49"/>
      <c r="AK354" s="50"/>
      <c r="AL354" s="49"/>
      <c r="AM354" s="50"/>
      <c r="AN354" s="49"/>
      <c r="AO354" s="50"/>
      <c r="AP354" s="49"/>
    </row>
    <row r="355" spans="1:42" ht="15">
      <c r="A355" s="65" t="s">
        <v>450</v>
      </c>
      <c r="B355" s="65" t="s">
        <v>450</v>
      </c>
      <c r="C355" s="66" t="s">
        <v>2949</v>
      </c>
      <c r="D355" s="67">
        <v>10</v>
      </c>
      <c r="E355" s="68"/>
      <c r="F355" s="69">
        <v>15</v>
      </c>
      <c r="G355" s="66"/>
      <c r="H355" s="70"/>
      <c r="I355" s="71"/>
      <c r="J355" s="71"/>
      <c r="K355" s="35" t="s">
        <v>65</v>
      </c>
      <c r="L355" s="79">
        <v>355</v>
      </c>
      <c r="M355" s="79"/>
      <c r="N355" s="73"/>
      <c r="O355" s="81" t="s">
        <v>565</v>
      </c>
      <c r="P355" s="81"/>
      <c r="Q355" s="81"/>
      <c r="R355" s="81"/>
      <c r="S355" s="81"/>
      <c r="T355" s="81"/>
      <c r="U355" s="81"/>
      <c r="V355" s="81" t="s">
        <v>1172</v>
      </c>
      <c r="W355" s="86" t="str">
        <f>HYPERLINK("https://www.youtube.com/watch?v=jUz1XgQaXVE")</f>
        <v>https://www.youtube.com/watch?v=jUz1XgQaXVE</v>
      </c>
      <c r="X355" s="81"/>
      <c r="Y355" s="81"/>
      <c r="Z355" s="88">
        <v>42918.82383101852</v>
      </c>
      <c r="AA355" s="81"/>
      <c r="AB355" s="81"/>
      <c r="AC355" s="81"/>
      <c r="AD355" s="81"/>
      <c r="AE355">
        <v>9</v>
      </c>
      <c r="AF355" s="80" t="str">
        <f>REPLACE(INDEX(GroupVertices[Group],MATCH(Edges[[#This Row],[Vertex 1]],GroupVertices[Vertex],0)),1,1,"")</f>
        <v>6</v>
      </c>
      <c r="AG355" s="80" t="str">
        <f>REPLACE(INDEX(GroupVertices[Group],MATCH(Edges[[#This Row],[Vertex 2]],GroupVertices[Vertex],0)),1,1,"")</f>
        <v>6</v>
      </c>
      <c r="AH355" s="49"/>
      <c r="AI355" s="50"/>
      <c r="AJ355" s="49"/>
      <c r="AK355" s="50"/>
      <c r="AL355" s="49"/>
      <c r="AM355" s="50"/>
      <c r="AN355" s="49"/>
      <c r="AO355" s="50"/>
      <c r="AP355" s="49"/>
    </row>
    <row r="356" spans="1:42" ht="15">
      <c r="A356" s="65" t="s">
        <v>450</v>
      </c>
      <c r="B356" s="65" t="s">
        <v>450</v>
      </c>
      <c r="C356" s="66" t="s">
        <v>2949</v>
      </c>
      <c r="D356" s="67">
        <v>10</v>
      </c>
      <c r="E356" s="68"/>
      <c r="F356" s="69">
        <v>15</v>
      </c>
      <c r="G356" s="66"/>
      <c r="H356" s="70"/>
      <c r="I356" s="71"/>
      <c r="J356" s="71"/>
      <c r="K356" s="35" t="s">
        <v>65</v>
      </c>
      <c r="L356" s="79">
        <v>356</v>
      </c>
      <c r="M356" s="79"/>
      <c r="N356" s="73"/>
      <c r="O356" s="81" t="s">
        <v>565</v>
      </c>
      <c r="P356" s="81"/>
      <c r="Q356" s="81"/>
      <c r="R356" s="81"/>
      <c r="S356" s="81"/>
      <c r="T356" s="81"/>
      <c r="U356" s="81"/>
      <c r="V356" s="81" t="s">
        <v>1173</v>
      </c>
      <c r="W356" s="86" t="str">
        <f>HYPERLINK("https://www.youtube.com/watch?v=Y_20YJMfpWE")</f>
        <v>https://www.youtube.com/watch?v=Y_20YJMfpWE</v>
      </c>
      <c r="X356" s="81"/>
      <c r="Y356" s="81"/>
      <c r="Z356" s="88">
        <v>42898.89332175926</v>
      </c>
      <c r="AA356" s="81"/>
      <c r="AB356" s="81"/>
      <c r="AC356" s="81"/>
      <c r="AD356" s="81"/>
      <c r="AE356">
        <v>9</v>
      </c>
      <c r="AF356" s="80" t="str">
        <f>REPLACE(INDEX(GroupVertices[Group],MATCH(Edges[[#This Row],[Vertex 1]],GroupVertices[Vertex],0)),1,1,"")</f>
        <v>6</v>
      </c>
      <c r="AG356" s="80" t="str">
        <f>REPLACE(INDEX(GroupVertices[Group],MATCH(Edges[[#This Row],[Vertex 2]],GroupVertices[Vertex],0)),1,1,"")</f>
        <v>6</v>
      </c>
      <c r="AH356" s="49"/>
      <c r="AI356" s="50"/>
      <c r="AJ356" s="49"/>
      <c r="AK356" s="50"/>
      <c r="AL356" s="49"/>
      <c r="AM356" s="50"/>
      <c r="AN356" s="49"/>
      <c r="AO356" s="50"/>
      <c r="AP356" s="49"/>
    </row>
    <row r="357" spans="1:42" ht="15">
      <c r="A357" s="65" t="s">
        <v>450</v>
      </c>
      <c r="B357" s="65" t="s">
        <v>450</v>
      </c>
      <c r="C357" s="66" t="s">
        <v>2949</v>
      </c>
      <c r="D357" s="67">
        <v>10</v>
      </c>
      <c r="E357" s="68"/>
      <c r="F357" s="69">
        <v>15</v>
      </c>
      <c r="G357" s="66"/>
      <c r="H357" s="70"/>
      <c r="I357" s="71"/>
      <c r="J357" s="71"/>
      <c r="K357" s="35" t="s">
        <v>65</v>
      </c>
      <c r="L357" s="79">
        <v>357</v>
      </c>
      <c r="M357" s="79"/>
      <c r="N357" s="73"/>
      <c r="O357" s="81" t="s">
        <v>565</v>
      </c>
      <c r="P357" s="81"/>
      <c r="Q357" s="81"/>
      <c r="R357" s="81"/>
      <c r="S357" s="81"/>
      <c r="T357" s="81"/>
      <c r="U357" s="81"/>
      <c r="V357" s="81" t="s">
        <v>1174</v>
      </c>
      <c r="W357" s="86" t="str">
        <f>HYPERLINK("https://www.youtube.com/watch?v=D2yECwk_gq8")</f>
        <v>https://www.youtube.com/watch?v=D2yECwk_gq8</v>
      </c>
      <c r="X357" s="81"/>
      <c r="Y357" s="81"/>
      <c r="Z357" s="88">
        <v>42897.70261574074</v>
      </c>
      <c r="AA357" s="81"/>
      <c r="AB357" s="81"/>
      <c r="AC357" s="81"/>
      <c r="AD357" s="81"/>
      <c r="AE357">
        <v>9</v>
      </c>
      <c r="AF357" s="80" t="str">
        <f>REPLACE(INDEX(GroupVertices[Group],MATCH(Edges[[#This Row],[Vertex 1]],GroupVertices[Vertex],0)),1,1,"")</f>
        <v>6</v>
      </c>
      <c r="AG357" s="80" t="str">
        <f>REPLACE(INDEX(GroupVertices[Group],MATCH(Edges[[#This Row],[Vertex 2]],GroupVertices[Vertex],0)),1,1,"")</f>
        <v>6</v>
      </c>
      <c r="AH357" s="49"/>
      <c r="AI357" s="50"/>
      <c r="AJ357" s="49"/>
      <c r="AK357" s="50"/>
      <c r="AL357" s="49"/>
      <c r="AM357" s="50"/>
      <c r="AN357" s="49"/>
      <c r="AO357" s="50"/>
      <c r="AP357" s="49"/>
    </row>
    <row r="358" spans="1:42" ht="15">
      <c r="A358" s="65" t="s">
        <v>450</v>
      </c>
      <c r="B358" s="65" t="s">
        <v>450</v>
      </c>
      <c r="C358" s="66" t="s">
        <v>2949</v>
      </c>
      <c r="D358" s="67">
        <v>10</v>
      </c>
      <c r="E358" s="68"/>
      <c r="F358" s="69">
        <v>15</v>
      </c>
      <c r="G358" s="66"/>
      <c r="H358" s="70"/>
      <c r="I358" s="71"/>
      <c r="J358" s="71"/>
      <c r="K358" s="35" t="s">
        <v>65</v>
      </c>
      <c r="L358" s="79">
        <v>358</v>
      </c>
      <c r="M358" s="79"/>
      <c r="N358" s="73"/>
      <c r="O358" s="81" t="s">
        <v>565</v>
      </c>
      <c r="P358" s="81"/>
      <c r="Q358" s="81"/>
      <c r="R358" s="81"/>
      <c r="S358" s="81"/>
      <c r="T358" s="81"/>
      <c r="U358" s="81"/>
      <c r="V358" s="81" t="s">
        <v>1175</v>
      </c>
      <c r="W358" s="86" t="str">
        <f>HYPERLINK("https://www.youtube.com/watch?v=5qNwGSCUqHo")</f>
        <v>https://www.youtube.com/watch?v=5qNwGSCUqHo</v>
      </c>
      <c r="X358" s="81"/>
      <c r="Y358" s="81"/>
      <c r="Z358" s="88">
        <v>43477.971597222226</v>
      </c>
      <c r="AA358" s="81"/>
      <c r="AB358" s="81"/>
      <c r="AC358" s="81"/>
      <c r="AD358" s="81"/>
      <c r="AE358">
        <v>9</v>
      </c>
      <c r="AF358" s="80" t="str">
        <f>REPLACE(INDEX(GroupVertices[Group],MATCH(Edges[[#This Row],[Vertex 1]],GroupVertices[Vertex],0)),1,1,"")</f>
        <v>6</v>
      </c>
      <c r="AG358" s="80" t="str">
        <f>REPLACE(INDEX(GroupVertices[Group],MATCH(Edges[[#This Row],[Vertex 2]],GroupVertices[Vertex],0)),1,1,"")</f>
        <v>6</v>
      </c>
      <c r="AH358" s="49"/>
      <c r="AI358" s="50"/>
      <c r="AJ358" s="49"/>
      <c r="AK358" s="50"/>
      <c r="AL358" s="49"/>
      <c r="AM358" s="50"/>
      <c r="AN358" s="49"/>
      <c r="AO358" s="50"/>
      <c r="AP358" s="49"/>
    </row>
    <row r="359" spans="1:42" ht="15">
      <c r="A359" s="65" t="s">
        <v>450</v>
      </c>
      <c r="B359" s="65" t="s">
        <v>450</v>
      </c>
      <c r="C359" s="66" t="s">
        <v>2949</v>
      </c>
      <c r="D359" s="67">
        <v>10</v>
      </c>
      <c r="E359" s="68"/>
      <c r="F359" s="69">
        <v>15</v>
      </c>
      <c r="G359" s="66"/>
      <c r="H359" s="70"/>
      <c r="I359" s="71"/>
      <c r="J359" s="71"/>
      <c r="K359" s="35" t="s">
        <v>65</v>
      </c>
      <c r="L359" s="79">
        <v>359</v>
      </c>
      <c r="M359" s="79"/>
      <c r="N359" s="73"/>
      <c r="O359" s="81" t="s">
        <v>565</v>
      </c>
      <c r="P359" s="81"/>
      <c r="Q359" s="81"/>
      <c r="R359" s="81"/>
      <c r="S359" s="81"/>
      <c r="T359" s="81"/>
      <c r="U359" s="81"/>
      <c r="V359" s="81" t="s">
        <v>1121</v>
      </c>
      <c r="W359" s="86" t="str">
        <f>HYPERLINK("https://www.youtube.com/watch?v=xKhYGRpbwOc")</f>
        <v>https://www.youtube.com/watch?v=xKhYGRpbwOc</v>
      </c>
      <c r="X359" s="81"/>
      <c r="Y359" s="81"/>
      <c r="Z359" s="88">
        <v>40437.026608796295</v>
      </c>
      <c r="AA359" s="81"/>
      <c r="AB359" s="81"/>
      <c r="AC359" s="81"/>
      <c r="AD359" s="81"/>
      <c r="AE359">
        <v>9</v>
      </c>
      <c r="AF359" s="80" t="str">
        <f>REPLACE(INDEX(GroupVertices[Group],MATCH(Edges[[#This Row],[Vertex 1]],GroupVertices[Vertex],0)),1,1,"")</f>
        <v>6</v>
      </c>
      <c r="AG359" s="80" t="str">
        <f>REPLACE(INDEX(GroupVertices[Group],MATCH(Edges[[#This Row],[Vertex 2]],GroupVertices[Vertex],0)),1,1,"")</f>
        <v>6</v>
      </c>
      <c r="AH359" s="49"/>
      <c r="AI359" s="50"/>
      <c r="AJ359" s="49"/>
      <c r="AK359" s="50"/>
      <c r="AL359" s="49"/>
      <c r="AM359" s="50"/>
      <c r="AN359" s="49"/>
      <c r="AO359" s="50"/>
      <c r="AP359" s="49"/>
    </row>
    <row r="360" spans="1:42" ht="15">
      <c r="A360" s="65" t="s">
        <v>450</v>
      </c>
      <c r="B360" s="65" t="s">
        <v>450</v>
      </c>
      <c r="C360" s="66" t="s">
        <v>2949</v>
      </c>
      <c r="D360" s="67">
        <v>10</v>
      </c>
      <c r="E360" s="68"/>
      <c r="F360" s="69">
        <v>15</v>
      </c>
      <c r="G360" s="66"/>
      <c r="H360" s="70"/>
      <c r="I360" s="71"/>
      <c r="J360" s="71"/>
      <c r="K360" s="35" t="s">
        <v>65</v>
      </c>
      <c r="L360" s="79">
        <v>360</v>
      </c>
      <c r="M360" s="79"/>
      <c r="N360" s="73"/>
      <c r="O360" s="81" t="s">
        <v>565</v>
      </c>
      <c r="P360" s="81"/>
      <c r="Q360" s="81"/>
      <c r="R360" s="81"/>
      <c r="S360" s="81"/>
      <c r="T360" s="81"/>
      <c r="U360" s="81"/>
      <c r="V360" s="81" t="s">
        <v>1176</v>
      </c>
      <c r="W360" s="86" t="str">
        <f>HYPERLINK("https://www.youtube.com/watch?v=4ae-mqDr7co")</f>
        <v>https://www.youtube.com/watch?v=4ae-mqDr7co</v>
      </c>
      <c r="X360" s="81"/>
      <c r="Y360" s="81"/>
      <c r="Z360" s="88">
        <v>43478.28633101852</v>
      </c>
      <c r="AA360" s="81"/>
      <c r="AB360" s="81"/>
      <c r="AC360" s="81"/>
      <c r="AD360" s="81"/>
      <c r="AE360">
        <v>9</v>
      </c>
      <c r="AF360" s="80" t="str">
        <f>REPLACE(INDEX(GroupVertices[Group],MATCH(Edges[[#This Row],[Vertex 1]],GroupVertices[Vertex],0)),1,1,"")</f>
        <v>6</v>
      </c>
      <c r="AG360" s="80" t="str">
        <f>REPLACE(INDEX(GroupVertices[Group],MATCH(Edges[[#This Row],[Vertex 2]],GroupVertices[Vertex],0)),1,1,"")</f>
        <v>6</v>
      </c>
      <c r="AH360" s="49"/>
      <c r="AI360" s="50"/>
      <c r="AJ360" s="49"/>
      <c r="AK360" s="50"/>
      <c r="AL360" s="49"/>
      <c r="AM360" s="50"/>
      <c r="AN360" s="49"/>
      <c r="AO360" s="50"/>
      <c r="AP360" s="49"/>
    </row>
    <row r="361" spans="1:42" ht="15">
      <c r="A361" s="65" t="s">
        <v>557</v>
      </c>
      <c r="B361" s="65" t="s">
        <v>557</v>
      </c>
      <c r="C361" s="66" t="s">
        <v>2942</v>
      </c>
      <c r="D361" s="67">
        <v>3</v>
      </c>
      <c r="E361" s="68"/>
      <c r="F361" s="69">
        <v>40</v>
      </c>
      <c r="G361" s="66"/>
      <c r="H361" s="70"/>
      <c r="I361" s="71"/>
      <c r="J361" s="71"/>
      <c r="K361" s="35" t="s">
        <v>65</v>
      </c>
      <c r="L361" s="79">
        <v>361</v>
      </c>
      <c r="M361" s="79"/>
      <c r="N361" s="73"/>
      <c r="O361" s="81" t="s">
        <v>565</v>
      </c>
      <c r="P361" s="81"/>
      <c r="Q361" s="81"/>
      <c r="R361" s="81"/>
      <c r="S361" s="81"/>
      <c r="T361" s="81"/>
      <c r="U361" s="81"/>
      <c r="V361" s="81" t="s">
        <v>1177</v>
      </c>
      <c r="W361" s="86" t="str">
        <f>HYPERLINK("https://www.youtube.com/watch?v=ByE9IG1PtOs")</f>
        <v>https://www.youtube.com/watch?v=ByE9IG1PtOs</v>
      </c>
      <c r="X361" s="81"/>
      <c r="Y361" s="81"/>
      <c r="Z361" s="88">
        <v>41501.487442129626</v>
      </c>
      <c r="AA361" s="81"/>
      <c r="AB361" s="81"/>
      <c r="AC361" s="81"/>
      <c r="AD361" s="81"/>
      <c r="AE361">
        <v>1</v>
      </c>
      <c r="AF361" s="80" t="str">
        <f>REPLACE(INDEX(GroupVertices[Group],MATCH(Edges[[#This Row],[Vertex 1]],GroupVertices[Vertex],0)),1,1,"")</f>
        <v>2</v>
      </c>
      <c r="AG361" s="80" t="str">
        <f>REPLACE(INDEX(GroupVertices[Group],MATCH(Edges[[#This Row],[Vertex 2]],GroupVertices[Vertex],0)),1,1,"")</f>
        <v>2</v>
      </c>
      <c r="AH361" s="49"/>
      <c r="AI361" s="50"/>
      <c r="AJ361" s="49"/>
      <c r="AK361" s="50"/>
      <c r="AL361" s="49"/>
      <c r="AM361" s="50"/>
      <c r="AN361" s="49"/>
      <c r="AO361" s="50"/>
      <c r="AP361" s="49"/>
    </row>
    <row r="362" spans="1:42" ht="15">
      <c r="A362" s="65" t="s">
        <v>558</v>
      </c>
      <c r="B362" s="65" t="s">
        <v>558</v>
      </c>
      <c r="C362" s="66" t="s">
        <v>2943</v>
      </c>
      <c r="D362" s="67">
        <v>4.4</v>
      </c>
      <c r="E362" s="68"/>
      <c r="F362" s="69">
        <v>35</v>
      </c>
      <c r="G362" s="66"/>
      <c r="H362" s="70"/>
      <c r="I362" s="71"/>
      <c r="J362" s="71"/>
      <c r="K362" s="35" t="s">
        <v>65</v>
      </c>
      <c r="L362" s="79">
        <v>362</v>
      </c>
      <c r="M362" s="79"/>
      <c r="N362" s="73"/>
      <c r="O362" s="81" t="s">
        <v>565</v>
      </c>
      <c r="P362" s="81"/>
      <c r="Q362" s="81"/>
      <c r="R362" s="81"/>
      <c r="S362" s="81"/>
      <c r="T362" s="81"/>
      <c r="U362" s="81"/>
      <c r="V362" s="81" t="s">
        <v>1178</v>
      </c>
      <c r="W362" s="86" t="str">
        <f>HYPERLINK("https://www.youtube.com/watch?v=GUjqCaLet34")</f>
        <v>https://www.youtube.com/watch?v=GUjqCaLet34</v>
      </c>
      <c r="X362" s="81"/>
      <c r="Y362" s="81"/>
      <c r="Z362" s="88">
        <v>44653.884722222225</v>
      </c>
      <c r="AA362" s="81"/>
      <c r="AB362" s="81"/>
      <c r="AC362" s="81"/>
      <c r="AD362" s="81"/>
      <c r="AE362">
        <v>2</v>
      </c>
      <c r="AF362" s="80" t="str">
        <f>REPLACE(INDEX(GroupVertices[Group],MATCH(Edges[[#This Row],[Vertex 1]],GroupVertices[Vertex],0)),1,1,"")</f>
        <v>4</v>
      </c>
      <c r="AG362" s="80" t="str">
        <f>REPLACE(INDEX(GroupVertices[Group],MATCH(Edges[[#This Row],[Vertex 2]],GroupVertices[Vertex],0)),1,1,"")</f>
        <v>4</v>
      </c>
      <c r="AH362" s="49"/>
      <c r="AI362" s="50"/>
      <c r="AJ362" s="49"/>
      <c r="AK362" s="50"/>
      <c r="AL362" s="49"/>
      <c r="AM362" s="50"/>
      <c r="AN362" s="49"/>
      <c r="AO362" s="50"/>
      <c r="AP362" s="49"/>
    </row>
    <row r="363" spans="1:42" ht="15">
      <c r="A363" s="65" t="s">
        <v>558</v>
      </c>
      <c r="B363" s="65" t="s">
        <v>558</v>
      </c>
      <c r="C363" s="66" t="s">
        <v>2943</v>
      </c>
      <c r="D363" s="67">
        <v>4.4</v>
      </c>
      <c r="E363" s="68"/>
      <c r="F363" s="69">
        <v>35</v>
      </c>
      <c r="G363" s="66"/>
      <c r="H363" s="70"/>
      <c r="I363" s="71"/>
      <c r="J363" s="71"/>
      <c r="K363" s="35" t="s">
        <v>65</v>
      </c>
      <c r="L363" s="79">
        <v>363</v>
      </c>
      <c r="M363" s="79"/>
      <c r="N363" s="73"/>
      <c r="O363" s="81" t="s">
        <v>565</v>
      </c>
      <c r="P363" s="81"/>
      <c r="Q363" s="81"/>
      <c r="R363" s="81"/>
      <c r="S363" s="81"/>
      <c r="T363" s="81"/>
      <c r="U363" s="81"/>
      <c r="V363" s="81" t="s">
        <v>1131</v>
      </c>
      <c r="W363" s="86" t="str">
        <f>HYPERLINK("https://www.youtube.com/watch?v=3x-TXaTF3-Y")</f>
        <v>https://www.youtube.com/watch?v=3x-TXaTF3-Y</v>
      </c>
      <c r="X363" s="81"/>
      <c r="Y363" s="81"/>
      <c r="Z363" s="88">
        <v>44328.82902777778</v>
      </c>
      <c r="AA363" s="81"/>
      <c r="AB363" s="81"/>
      <c r="AC363" s="81"/>
      <c r="AD363" s="81"/>
      <c r="AE363">
        <v>2</v>
      </c>
      <c r="AF363" s="80" t="str">
        <f>REPLACE(INDEX(GroupVertices[Group],MATCH(Edges[[#This Row],[Vertex 1]],GroupVertices[Vertex],0)),1,1,"")</f>
        <v>4</v>
      </c>
      <c r="AG363" s="80" t="str">
        <f>REPLACE(INDEX(GroupVertices[Group],MATCH(Edges[[#This Row],[Vertex 2]],GroupVertices[Vertex],0)),1,1,"")</f>
        <v>4</v>
      </c>
      <c r="AH363" s="49"/>
      <c r="AI363" s="50"/>
      <c r="AJ363" s="49"/>
      <c r="AK363" s="50"/>
      <c r="AL363" s="49"/>
      <c r="AM363" s="50"/>
      <c r="AN363" s="49"/>
      <c r="AO363" s="50"/>
      <c r="AP363" s="49"/>
    </row>
    <row r="364" spans="1:42" ht="15">
      <c r="A364" s="65" t="s">
        <v>559</v>
      </c>
      <c r="B364" s="65" t="s">
        <v>559</v>
      </c>
      <c r="C364" s="66" t="s">
        <v>2942</v>
      </c>
      <c r="D364" s="67">
        <v>3</v>
      </c>
      <c r="E364" s="68"/>
      <c r="F364" s="69">
        <v>40</v>
      </c>
      <c r="G364" s="66"/>
      <c r="H364" s="70"/>
      <c r="I364" s="71"/>
      <c r="J364" s="71"/>
      <c r="K364" s="35" t="s">
        <v>65</v>
      </c>
      <c r="L364" s="79">
        <v>364</v>
      </c>
      <c r="M364" s="79"/>
      <c r="N364" s="73"/>
      <c r="O364" s="81" t="s">
        <v>565</v>
      </c>
      <c r="P364" s="81"/>
      <c r="Q364" s="81"/>
      <c r="R364" s="81"/>
      <c r="S364" s="81"/>
      <c r="T364" s="81"/>
      <c r="U364" s="81"/>
      <c r="V364" s="81" t="s">
        <v>1123</v>
      </c>
      <c r="W364" s="86" t="str">
        <f>HYPERLINK("https://www.youtube.com/watch?v=o53sJ939r7A")</f>
        <v>https://www.youtube.com/watch?v=o53sJ939r7A</v>
      </c>
      <c r="X364" s="81"/>
      <c r="Y364" s="81"/>
      <c r="Z364" s="88">
        <v>43893.549259259256</v>
      </c>
      <c r="AA364" s="81"/>
      <c r="AB364" s="81"/>
      <c r="AC364" s="81"/>
      <c r="AD364" s="81"/>
      <c r="AE364">
        <v>1</v>
      </c>
      <c r="AF364" s="80" t="str">
        <f>REPLACE(INDEX(GroupVertices[Group],MATCH(Edges[[#This Row],[Vertex 1]],GroupVertices[Vertex],0)),1,1,"")</f>
        <v>12</v>
      </c>
      <c r="AG364" s="80" t="str">
        <f>REPLACE(INDEX(GroupVertices[Group],MATCH(Edges[[#This Row],[Vertex 2]],GroupVertices[Vertex],0)),1,1,"")</f>
        <v>12</v>
      </c>
      <c r="AH364" s="49"/>
      <c r="AI364" s="50"/>
      <c r="AJ364" s="49"/>
      <c r="AK364" s="50"/>
      <c r="AL364" s="49"/>
      <c r="AM364" s="50"/>
      <c r="AN364" s="49"/>
      <c r="AO364" s="50"/>
      <c r="AP364" s="49"/>
    </row>
    <row r="365" spans="1:42" ht="15">
      <c r="A365" s="65" t="s">
        <v>468</v>
      </c>
      <c r="B365" s="65" t="s">
        <v>468</v>
      </c>
      <c r="C365" s="66" t="s">
        <v>2942</v>
      </c>
      <c r="D365" s="67">
        <v>3</v>
      </c>
      <c r="E365" s="68"/>
      <c r="F365" s="69">
        <v>40</v>
      </c>
      <c r="G365" s="66"/>
      <c r="H365" s="70"/>
      <c r="I365" s="71"/>
      <c r="J365" s="71"/>
      <c r="K365" s="35" t="s">
        <v>65</v>
      </c>
      <c r="L365" s="79">
        <v>365</v>
      </c>
      <c r="M365" s="79"/>
      <c r="N365" s="73"/>
      <c r="O365" s="81" t="s">
        <v>565</v>
      </c>
      <c r="P365" s="81"/>
      <c r="Q365" s="81"/>
      <c r="R365" s="81"/>
      <c r="S365" s="81"/>
      <c r="T365" s="81"/>
      <c r="U365" s="81"/>
      <c r="V365" s="81" t="s">
        <v>1125</v>
      </c>
      <c r="W365" s="86" t="str">
        <f>HYPERLINK("https://www.youtube.com/watch?v=THdrju-UWjo")</f>
        <v>https://www.youtube.com/watch?v=THdrju-UWjo</v>
      </c>
      <c r="X365" s="81"/>
      <c r="Y365" s="81"/>
      <c r="Z365" s="88">
        <v>44210.203252314815</v>
      </c>
      <c r="AA365" s="81"/>
      <c r="AB365" s="81"/>
      <c r="AC365" s="81"/>
      <c r="AD365" s="81"/>
      <c r="AE365">
        <v>1</v>
      </c>
      <c r="AF365" s="80" t="str">
        <f>REPLACE(INDEX(GroupVertices[Group],MATCH(Edges[[#This Row],[Vertex 1]],GroupVertices[Vertex],0)),1,1,"")</f>
        <v>4</v>
      </c>
      <c r="AG365" s="80" t="str">
        <f>REPLACE(INDEX(GroupVertices[Group],MATCH(Edges[[#This Row],[Vertex 2]],GroupVertices[Vertex],0)),1,1,"")</f>
        <v>4</v>
      </c>
      <c r="AH365" s="49"/>
      <c r="AI365" s="50"/>
      <c r="AJ365" s="49"/>
      <c r="AK365" s="50"/>
      <c r="AL365" s="49"/>
      <c r="AM365" s="50"/>
      <c r="AN365" s="49"/>
      <c r="AO365" s="50"/>
      <c r="AP365" s="49"/>
    </row>
    <row r="366" spans="1:42" ht="15">
      <c r="A366" s="65" t="s">
        <v>560</v>
      </c>
      <c r="B366" s="65" t="s">
        <v>560</v>
      </c>
      <c r="C366" s="66" t="s">
        <v>2948</v>
      </c>
      <c r="D366" s="67">
        <v>8.6</v>
      </c>
      <c r="E366" s="68"/>
      <c r="F366" s="69">
        <v>20</v>
      </c>
      <c r="G366" s="66"/>
      <c r="H366" s="70"/>
      <c r="I366" s="71"/>
      <c r="J366" s="71"/>
      <c r="K366" s="35" t="s">
        <v>65</v>
      </c>
      <c r="L366" s="79">
        <v>366</v>
      </c>
      <c r="M366" s="79"/>
      <c r="N366" s="73"/>
      <c r="O366" s="81" t="s">
        <v>565</v>
      </c>
      <c r="P366" s="81"/>
      <c r="Q366" s="81"/>
      <c r="R366" s="81"/>
      <c r="S366" s="81"/>
      <c r="T366" s="81"/>
      <c r="U366" s="81"/>
      <c r="V366" s="81" t="s">
        <v>1179</v>
      </c>
      <c r="W366" s="86" t="str">
        <f>HYPERLINK("https://www.youtube.com/watch?v=b6cQRd_1Umg")</f>
        <v>https://www.youtube.com/watch?v=b6cQRd_1Umg</v>
      </c>
      <c r="X366" s="81"/>
      <c r="Y366" s="81"/>
      <c r="Z366" s="88">
        <v>44712.70118055555</v>
      </c>
      <c r="AA366" s="81"/>
      <c r="AB366" s="81"/>
      <c r="AC366" s="81"/>
      <c r="AD366" s="81"/>
      <c r="AE366">
        <v>5</v>
      </c>
      <c r="AF366" s="80" t="str">
        <f>REPLACE(INDEX(GroupVertices[Group],MATCH(Edges[[#This Row],[Vertex 1]],GroupVertices[Vertex],0)),1,1,"")</f>
        <v>4</v>
      </c>
      <c r="AG366" s="80" t="str">
        <f>REPLACE(INDEX(GroupVertices[Group],MATCH(Edges[[#This Row],[Vertex 2]],GroupVertices[Vertex],0)),1,1,"")</f>
        <v>4</v>
      </c>
      <c r="AH366" s="49"/>
      <c r="AI366" s="50"/>
      <c r="AJ366" s="49"/>
      <c r="AK366" s="50"/>
      <c r="AL366" s="49"/>
      <c r="AM366" s="50"/>
      <c r="AN366" s="49"/>
      <c r="AO366" s="50"/>
      <c r="AP366" s="49"/>
    </row>
    <row r="367" spans="1:42" ht="15">
      <c r="A367" s="65" t="s">
        <v>560</v>
      </c>
      <c r="B367" s="65" t="s">
        <v>560</v>
      </c>
      <c r="C367" s="66" t="s">
        <v>2948</v>
      </c>
      <c r="D367" s="67">
        <v>8.6</v>
      </c>
      <c r="E367" s="68"/>
      <c r="F367" s="69">
        <v>20</v>
      </c>
      <c r="G367" s="66"/>
      <c r="H367" s="70"/>
      <c r="I367" s="71"/>
      <c r="J367" s="71"/>
      <c r="K367" s="35" t="s">
        <v>65</v>
      </c>
      <c r="L367" s="79">
        <v>367</v>
      </c>
      <c r="M367" s="79"/>
      <c r="N367" s="73"/>
      <c r="O367" s="81" t="s">
        <v>565</v>
      </c>
      <c r="P367" s="81"/>
      <c r="Q367" s="81"/>
      <c r="R367" s="81"/>
      <c r="S367" s="81"/>
      <c r="T367" s="81"/>
      <c r="U367" s="81"/>
      <c r="V367" s="81" t="s">
        <v>1180</v>
      </c>
      <c r="W367" s="86" t="str">
        <f>HYPERLINK("https://www.youtube.com/watch?v=JiEZOB3VElw")</f>
        <v>https://www.youtube.com/watch?v=JiEZOB3VElw</v>
      </c>
      <c r="X367" s="81"/>
      <c r="Y367" s="81"/>
      <c r="Z367" s="88">
        <v>44026.66577546296</v>
      </c>
      <c r="AA367" s="81"/>
      <c r="AB367" s="81"/>
      <c r="AC367" s="81"/>
      <c r="AD367" s="81"/>
      <c r="AE367">
        <v>5</v>
      </c>
      <c r="AF367" s="80" t="str">
        <f>REPLACE(INDEX(GroupVertices[Group],MATCH(Edges[[#This Row],[Vertex 1]],GroupVertices[Vertex],0)),1,1,"")</f>
        <v>4</v>
      </c>
      <c r="AG367" s="80" t="str">
        <f>REPLACE(INDEX(GroupVertices[Group],MATCH(Edges[[#This Row],[Vertex 2]],GroupVertices[Vertex],0)),1,1,"")</f>
        <v>4</v>
      </c>
      <c r="AH367" s="49"/>
      <c r="AI367" s="50"/>
      <c r="AJ367" s="49"/>
      <c r="AK367" s="50"/>
      <c r="AL367" s="49"/>
      <c r="AM367" s="50"/>
      <c r="AN367" s="49"/>
      <c r="AO367" s="50"/>
      <c r="AP367" s="49"/>
    </row>
    <row r="368" spans="1:42" ht="15">
      <c r="A368" s="65" t="s">
        <v>560</v>
      </c>
      <c r="B368" s="65" t="s">
        <v>560</v>
      </c>
      <c r="C368" s="66" t="s">
        <v>2948</v>
      </c>
      <c r="D368" s="67">
        <v>8.6</v>
      </c>
      <c r="E368" s="68"/>
      <c r="F368" s="69">
        <v>20</v>
      </c>
      <c r="G368" s="66"/>
      <c r="H368" s="70"/>
      <c r="I368" s="71"/>
      <c r="J368" s="71"/>
      <c r="K368" s="35" t="s">
        <v>65</v>
      </c>
      <c r="L368" s="79">
        <v>368</v>
      </c>
      <c r="M368" s="79"/>
      <c r="N368" s="73"/>
      <c r="O368" s="81" t="s">
        <v>565</v>
      </c>
      <c r="P368" s="81"/>
      <c r="Q368" s="81"/>
      <c r="R368" s="81"/>
      <c r="S368" s="81"/>
      <c r="T368" s="81"/>
      <c r="U368" s="81"/>
      <c r="V368" s="81" t="s">
        <v>1118</v>
      </c>
      <c r="W368" s="86" t="str">
        <f>HYPERLINK("https://www.youtube.com/watch?v=mjAq8eA7uOM")</f>
        <v>https://www.youtube.com/watch?v=mjAq8eA7uOM</v>
      </c>
      <c r="X368" s="81"/>
      <c r="Y368" s="81"/>
      <c r="Z368" s="88">
        <v>42922.659780092596</v>
      </c>
      <c r="AA368" s="81"/>
      <c r="AB368" s="81"/>
      <c r="AC368" s="81"/>
      <c r="AD368" s="81"/>
      <c r="AE368">
        <v>5</v>
      </c>
      <c r="AF368" s="80" t="str">
        <f>REPLACE(INDEX(GroupVertices[Group],MATCH(Edges[[#This Row],[Vertex 1]],GroupVertices[Vertex],0)),1,1,"")</f>
        <v>4</v>
      </c>
      <c r="AG368" s="80" t="str">
        <f>REPLACE(INDEX(GroupVertices[Group],MATCH(Edges[[#This Row],[Vertex 2]],GroupVertices[Vertex],0)),1,1,"")</f>
        <v>4</v>
      </c>
      <c r="AH368" s="49"/>
      <c r="AI368" s="50"/>
      <c r="AJ368" s="49"/>
      <c r="AK368" s="50"/>
      <c r="AL368" s="49"/>
      <c r="AM368" s="50"/>
      <c r="AN368" s="49"/>
      <c r="AO368" s="50"/>
      <c r="AP368" s="49"/>
    </row>
    <row r="369" spans="1:42" ht="15">
      <c r="A369" s="65" t="s">
        <v>560</v>
      </c>
      <c r="B369" s="65" t="s">
        <v>560</v>
      </c>
      <c r="C369" s="66" t="s">
        <v>2948</v>
      </c>
      <c r="D369" s="67">
        <v>8.6</v>
      </c>
      <c r="E369" s="68"/>
      <c r="F369" s="69">
        <v>20</v>
      </c>
      <c r="G369" s="66"/>
      <c r="H369" s="70"/>
      <c r="I369" s="71"/>
      <c r="J369" s="71"/>
      <c r="K369" s="35" t="s">
        <v>65</v>
      </c>
      <c r="L369" s="79">
        <v>369</v>
      </c>
      <c r="M369" s="79"/>
      <c r="N369" s="73"/>
      <c r="O369" s="81" t="s">
        <v>565</v>
      </c>
      <c r="P369" s="81"/>
      <c r="Q369" s="81"/>
      <c r="R369" s="81"/>
      <c r="S369" s="81"/>
      <c r="T369" s="81"/>
      <c r="U369" s="81"/>
      <c r="V369" s="81" t="s">
        <v>1122</v>
      </c>
      <c r="W369" s="86" t="str">
        <f>HYPERLINK("https://www.youtube.com/watch?v=l0n5rKT0ztI")</f>
        <v>https://www.youtube.com/watch?v=l0n5rKT0ztI</v>
      </c>
      <c r="X369" s="81"/>
      <c r="Y369" s="81"/>
      <c r="Z369" s="88">
        <v>44138.78126157408</v>
      </c>
      <c r="AA369" s="81"/>
      <c r="AB369" s="81"/>
      <c r="AC369" s="81"/>
      <c r="AD369" s="81"/>
      <c r="AE369">
        <v>5</v>
      </c>
      <c r="AF369" s="80" t="str">
        <f>REPLACE(INDEX(GroupVertices[Group],MATCH(Edges[[#This Row],[Vertex 1]],GroupVertices[Vertex],0)),1,1,"")</f>
        <v>4</v>
      </c>
      <c r="AG369" s="80" t="str">
        <f>REPLACE(INDEX(GroupVertices[Group],MATCH(Edges[[#This Row],[Vertex 2]],GroupVertices[Vertex],0)),1,1,"")</f>
        <v>4</v>
      </c>
      <c r="AH369" s="49"/>
      <c r="AI369" s="50"/>
      <c r="AJ369" s="49"/>
      <c r="AK369" s="50"/>
      <c r="AL369" s="49"/>
      <c r="AM369" s="50"/>
      <c r="AN369" s="49"/>
      <c r="AO369" s="50"/>
      <c r="AP369" s="49"/>
    </row>
    <row r="370" spans="1:42" ht="15">
      <c r="A370" s="65" t="s">
        <v>560</v>
      </c>
      <c r="B370" s="65" t="s">
        <v>560</v>
      </c>
      <c r="C370" s="66" t="s">
        <v>2948</v>
      </c>
      <c r="D370" s="67">
        <v>8.6</v>
      </c>
      <c r="E370" s="68"/>
      <c r="F370" s="69">
        <v>20</v>
      </c>
      <c r="G370" s="66"/>
      <c r="H370" s="70"/>
      <c r="I370" s="71"/>
      <c r="J370" s="71"/>
      <c r="K370" s="35" t="s">
        <v>65</v>
      </c>
      <c r="L370" s="79">
        <v>370</v>
      </c>
      <c r="M370" s="79"/>
      <c r="N370" s="73"/>
      <c r="O370" s="81" t="s">
        <v>565</v>
      </c>
      <c r="P370" s="81"/>
      <c r="Q370" s="81"/>
      <c r="R370" s="81"/>
      <c r="S370" s="81"/>
      <c r="T370" s="81"/>
      <c r="U370" s="81"/>
      <c r="V370" s="81" t="s">
        <v>1132</v>
      </c>
      <c r="W370" s="86" t="str">
        <f>HYPERLINK("https://www.youtube.com/watch?v=8lDndBPEDj4")</f>
        <v>https://www.youtube.com/watch?v=8lDndBPEDj4</v>
      </c>
      <c r="X370" s="81"/>
      <c r="Y370" s="81"/>
      <c r="Z370" s="88">
        <v>44236.72523148148</v>
      </c>
      <c r="AA370" s="81"/>
      <c r="AB370" s="81"/>
      <c r="AC370" s="81"/>
      <c r="AD370" s="81"/>
      <c r="AE370">
        <v>5</v>
      </c>
      <c r="AF370" s="80" t="str">
        <f>REPLACE(INDEX(GroupVertices[Group],MATCH(Edges[[#This Row],[Vertex 1]],GroupVertices[Vertex],0)),1,1,"")</f>
        <v>4</v>
      </c>
      <c r="AG370" s="80" t="str">
        <f>REPLACE(INDEX(GroupVertices[Group],MATCH(Edges[[#This Row],[Vertex 2]],GroupVertices[Vertex],0)),1,1,"")</f>
        <v>4</v>
      </c>
      <c r="AH370" s="49"/>
      <c r="AI370" s="50"/>
      <c r="AJ370" s="49"/>
      <c r="AK370" s="50"/>
      <c r="AL370" s="49"/>
      <c r="AM370" s="50"/>
      <c r="AN370" s="49"/>
      <c r="AO370" s="50"/>
      <c r="AP370" s="49"/>
    </row>
    <row r="371" spans="1:42" ht="15">
      <c r="A371" s="65" t="s">
        <v>369</v>
      </c>
      <c r="B371" s="65" t="s">
        <v>369</v>
      </c>
      <c r="C371" s="66" t="s">
        <v>2950</v>
      </c>
      <c r="D371" s="67">
        <v>10</v>
      </c>
      <c r="E371" s="68"/>
      <c r="F371" s="69">
        <v>15</v>
      </c>
      <c r="G371" s="66"/>
      <c r="H371" s="70"/>
      <c r="I371" s="71"/>
      <c r="J371" s="71"/>
      <c r="K371" s="35" t="s">
        <v>65</v>
      </c>
      <c r="L371" s="79">
        <v>371</v>
      </c>
      <c r="M371" s="79"/>
      <c r="N371" s="73"/>
      <c r="O371" s="81" t="s">
        <v>563</v>
      </c>
      <c r="P371" s="81" t="s">
        <v>325</v>
      </c>
      <c r="Q371" s="84" t="s">
        <v>848</v>
      </c>
      <c r="R371" s="81" t="s">
        <v>369</v>
      </c>
      <c r="S371" s="81" t="s">
        <v>882</v>
      </c>
      <c r="T371" s="86" t="str">
        <f>HYPERLINK("http://www.youtube.com/channel/UCerAw4EfTOnYYxLLPZAzMxQ")</f>
        <v>http://www.youtube.com/channel/UCerAw4EfTOnYYxLLPZAzMxQ</v>
      </c>
      <c r="U371" s="81"/>
      <c r="V371" s="81" t="s">
        <v>1116</v>
      </c>
      <c r="W371" s="86" t="str">
        <f>HYPERLINK("https://www.youtube.com/watch?v=t8YHRVf60BU")</f>
        <v>https://www.youtube.com/watch?v=t8YHRVf60BU</v>
      </c>
      <c r="X371" s="81" t="s">
        <v>1183</v>
      </c>
      <c r="Y371" s="81">
        <v>0</v>
      </c>
      <c r="Z371" s="88">
        <v>41161.850625</v>
      </c>
      <c r="AA371" s="88">
        <v>41161.850625</v>
      </c>
      <c r="AB371" s="81"/>
      <c r="AC371" s="81"/>
      <c r="AD371" s="84" t="s">
        <v>1239</v>
      </c>
      <c r="AE371" s="82">
        <v>17</v>
      </c>
      <c r="AF371" s="83" t="str">
        <f>REPLACE(INDEX(GroupVertices[Group],MATCH(Edges[[#This Row],[Vertex 1]],GroupVertices[Vertex],0)),1,1,"")</f>
        <v>1</v>
      </c>
      <c r="AG371" s="83" t="str">
        <f>REPLACE(INDEX(GroupVertices[Group],MATCH(Edges[[#This Row],[Vertex 2]],GroupVertices[Vertex],0)),1,1,"")</f>
        <v>1</v>
      </c>
      <c r="AH371" s="111">
        <v>2</v>
      </c>
      <c r="AI371" s="112">
        <v>8</v>
      </c>
      <c r="AJ371" s="111">
        <v>0</v>
      </c>
      <c r="AK371" s="112">
        <v>0</v>
      </c>
      <c r="AL371" s="111">
        <v>0</v>
      </c>
      <c r="AM371" s="112">
        <v>0</v>
      </c>
      <c r="AN371" s="111">
        <v>23</v>
      </c>
      <c r="AO371" s="112">
        <v>92</v>
      </c>
      <c r="AP371" s="111">
        <v>25</v>
      </c>
    </row>
    <row r="372" spans="1:42" ht="15">
      <c r="A372" s="65" t="s">
        <v>369</v>
      </c>
      <c r="B372" s="65" t="s">
        <v>369</v>
      </c>
      <c r="C372" s="66" t="s">
        <v>2950</v>
      </c>
      <c r="D372" s="67">
        <v>10</v>
      </c>
      <c r="E372" s="68"/>
      <c r="F372" s="69">
        <v>15</v>
      </c>
      <c r="G372" s="66"/>
      <c r="H372" s="70"/>
      <c r="I372" s="71"/>
      <c r="J372" s="71"/>
      <c r="K372" s="35" t="s">
        <v>65</v>
      </c>
      <c r="L372" s="79">
        <v>372</v>
      </c>
      <c r="M372" s="79"/>
      <c r="N372" s="73"/>
      <c r="O372" s="81" t="s">
        <v>563</v>
      </c>
      <c r="P372" s="81" t="s">
        <v>325</v>
      </c>
      <c r="Q372" s="84" t="s">
        <v>849</v>
      </c>
      <c r="R372" s="81" t="s">
        <v>369</v>
      </c>
      <c r="S372" s="81" t="s">
        <v>882</v>
      </c>
      <c r="T372" s="86" t="str">
        <f>HYPERLINK("http://www.youtube.com/channel/UCerAw4EfTOnYYxLLPZAzMxQ")</f>
        <v>http://www.youtube.com/channel/UCerAw4EfTOnYYxLLPZAzMxQ</v>
      </c>
      <c r="U372" s="81"/>
      <c r="V372" s="81" t="s">
        <v>1124</v>
      </c>
      <c r="W372" s="86" t="str">
        <f>HYPERLINK("https://www.youtube.com/watch?v=08MqGSL9TNQ")</f>
        <v>https://www.youtube.com/watch?v=08MqGSL9TNQ</v>
      </c>
      <c r="X372" s="81" t="s">
        <v>1183</v>
      </c>
      <c r="Y372" s="81">
        <v>0</v>
      </c>
      <c r="Z372" s="88">
        <v>41551.543854166666</v>
      </c>
      <c r="AA372" s="88">
        <v>41551.543854166666</v>
      </c>
      <c r="AB372" s="81"/>
      <c r="AC372" s="81"/>
      <c r="AD372" s="84" t="s">
        <v>1239</v>
      </c>
      <c r="AE372" s="82">
        <v>17</v>
      </c>
      <c r="AF372" s="83" t="str">
        <f>REPLACE(INDEX(GroupVertices[Group],MATCH(Edges[[#This Row],[Vertex 1]],GroupVertices[Vertex],0)),1,1,"")</f>
        <v>1</v>
      </c>
      <c r="AG372" s="83" t="str">
        <f>REPLACE(INDEX(GroupVertices[Group],MATCH(Edges[[#This Row],[Vertex 2]],GroupVertices[Vertex],0)),1,1,"")</f>
        <v>1</v>
      </c>
      <c r="AH372" s="111">
        <v>3</v>
      </c>
      <c r="AI372" s="112">
        <v>4.411764705882353</v>
      </c>
      <c r="AJ372" s="111">
        <v>0</v>
      </c>
      <c r="AK372" s="112">
        <v>0</v>
      </c>
      <c r="AL372" s="111">
        <v>0</v>
      </c>
      <c r="AM372" s="112">
        <v>0</v>
      </c>
      <c r="AN372" s="111">
        <v>65</v>
      </c>
      <c r="AO372" s="112">
        <v>95.58823529411765</v>
      </c>
      <c r="AP372" s="111">
        <v>68</v>
      </c>
    </row>
    <row r="373" spans="1:42" ht="15">
      <c r="A373" s="65" t="s">
        <v>369</v>
      </c>
      <c r="B373" s="65" t="s">
        <v>369</v>
      </c>
      <c r="C373" s="66" t="s">
        <v>2950</v>
      </c>
      <c r="D373" s="67">
        <v>10</v>
      </c>
      <c r="E373" s="68"/>
      <c r="F373" s="69">
        <v>15</v>
      </c>
      <c r="G373" s="66"/>
      <c r="H373" s="70"/>
      <c r="I373" s="71"/>
      <c r="J373" s="71"/>
      <c r="K373" s="35" t="s">
        <v>65</v>
      </c>
      <c r="L373" s="79">
        <v>373</v>
      </c>
      <c r="M373" s="79"/>
      <c r="N373" s="73"/>
      <c r="O373" s="81" t="s">
        <v>563</v>
      </c>
      <c r="P373" s="81" t="s">
        <v>325</v>
      </c>
      <c r="Q373" s="84" t="s">
        <v>850</v>
      </c>
      <c r="R373" s="81" t="s">
        <v>369</v>
      </c>
      <c r="S373" s="81" t="s">
        <v>882</v>
      </c>
      <c r="T373" s="86" t="str">
        <f>HYPERLINK("http://www.youtube.com/channel/UCerAw4EfTOnYYxLLPZAzMxQ")</f>
        <v>http://www.youtube.com/channel/UCerAw4EfTOnYYxLLPZAzMxQ</v>
      </c>
      <c r="U373" s="81"/>
      <c r="V373" s="81" t="s">
        <v>1126</v>
      </c>
      <c r="W373" s="86" t="str">
        <f>HYPERLINK("https://www.youtube.com/watch?v=Gs4NPuKIXdo")</f>
        <v>https://www.youtube.com/watch?v=Gs4NPuKIXdo</v>
      </c>
      <c r="X373" s="81" t="s">
        <v>1183</v>
      </c>
      <c r="Y373" s="81">
        <v>0</v>
      </c>
      <c r="Z373" s="88">
        <v>43437.627384259256</v>
      </c>
      <c r="AA373" s="88">
        <v>43437.627384259256</v>
      </c>
      <c r="AB373" s="81" t="s">
        <v>1200</v>
      </c>
      <c r="AC373" s="81" t="s">
        <v>1231</v>
      </c>
      <c r="AD373" s="84" t="s">
        <v>1239</v>
      </c>
      <c r="AE373" s="82">
        <v>17</v>
      </c>
      <c r="AF373" s="83" t="str">
        <f>REPLACE(INDEX(GroupVertices[Group],MATCH(Edges[[#This Row],[Vertex 1]],GroupVertices[Vertex],0)),1,1,"")</f>
        <v>1</v>
      </c>
      <c r="AG373" s="83" t="str">
        <f>REPLACE(INDEX(GroupVertices[Group],MATCH(Edges[[#This Row],[Vertex 2]],GroupVertices[Vertex],0)),1,1,"")</f>
        <v>1</v>
      </c>
      <c r="AH373" s="111">
        <v>0</v>
      </c>
      <c r="AI373" s="112">
        <v>0</v>
      </c>
      <c r="AJ373" s="111">
        <v>0</v>
      </c>
      <c r="AK373" s="112">
        <v>0</v>
      </c>
      <c r="AL373" s="111">
        <v>0</v>
      </c>
      <c r="AM373" s="112">
        <v>0</v>
      </c>
      <c r="AN373" s="111">
        <v>35</v>
      </c>
      <c r="AO373" s="112">
        <v>100</v>
      </c>
      <c r="AP373" s="111">
        <v>35</v>
      </c>
    </row>
    <row r="374" spans="1:42" ht="15">
      <c r="A374" s="65" t="s">
        <v>369</v>
      </c>
      <c r="B374" s="65" t="s">
        <v>369</v>
      </c>
      <c r="C374" s="66" t="s">
        <v>2950</v>
      </c>
      <c r="D374" s="67">
        <v>10</v>
      </c>
      <c r="E374" s="68"/>
      <c r="F374" s="69">
        <v>15</v>
      </c>
      <c r="G374" s="66"/>
      <c r="H374" s="70"/>
      <c r="I374" s="71"/>
      <c r="J374" s="71"/>
      <c r="K374" s="35" t="s">
        <v>65</v>
      </c>
      <c r="L374" s="79">
        <v>374</v>
      </c>
      <c r="M374" s="79"/>
      <c r="N374" s="73"/>
      <c r="O374" s="81" t="s">
        <v>565</v>
      </c>
      <c r="P374" s="81"/>
      <c r="Q374" s="81"/>
      <c r="R374" s="81"/>
      <c r="S374" s="81"/>
      <c r="T374" s="81"/>
      <c r="U374" s="81"/>
      <c r="V374" s="81" t="s">
        <v>1181</v>
      </c>
      <c r="W374" s="86" t="str">
        <f>HYPERLINK("https://www.youtube.com/watch?v=SUkcT9CYCMQ")</f>
        <v>https://www.youtube.com/watch?v=SUkcT9CYCMQ</v>
      </c>
      <c r="X374" s="81"/>
      <c r="Y374" s="81"/>
      <c r="Z374" s="88">
        <v>41736.92805555555</v>
      </c>
      <c r="AA374" s="81"/>
      <c r="AB374" s="81"/>
      <c r="AC374" s="81"/>
      <c r="AD374" s="81"/>
      <c r="AE374">
        <v>17</v>
      </c>
      <c r="AF374" s="80" t="str">
        <f>REPLACE(INDEX(GroupVertices[Group],MATCH(Edges[[#This Row],[Vertex 1]],GroupVertices[Vertex],0)),1,1,"")</f>
        <v>1</v>
      </c>
      <c r="AG374" s="80" t="str">
        <f>REPLACE(INDEX(GroupVertices[Group],MATCH(Edges[[#This Row],[Vertex 2]],GroupVertices[Vertex],0)),1,1,"")</f>
        <v>1</v>
      </c>
      <c r="AH374" s="49"/>
      <c r="AI374" s="50"/>
      <c r="AJ374" s="49"/>
      <c r="AK374" s="50"/>
      <c r="AL374" s="49"/>
      <c r="AM374" s="50"/>
      <c r="AN374" s="49"/>
      <c r="AO374" s="50"/>
      <c r="AP374" s="49"/>
    </row>
    <row r="375" spans="1:42" ht="15">
      <c r="A375" s="65" t="s">
        <v>369</v>
      </c>
      <c r="B375" s="65" t="s">
        <v>369</v>
      </c>
      <c r="C375" s="66" t="s">
        <v>2950</v>
      </c>
      <c r="D375" s="67">
        <v>10</v>
      </c>
      <c r="E375" s="68"/>
      <c r="F375" s="69">
        <v>15</v>
      </c>
      <c r="G375" s="66"/>
      <c r="H375" s="70"/>
      <c r="I375" s="71"/>
      <c r="J375" s="71"/>
      <c r="K375" s="35" t="s">
        <v>65</v>
      </c>
      <c r="L375" s="79">
        <v>375</v>
      </c>
      <c r="M375" s="79"/>
      <c r="N375" s="73"/>
      <c r="O375" s="81" t="s">
        <v>565</v>
      </c>
      <c r="P375" s="81"/>
      <c r="Q375" s="81"/>
      <c r="R375" s="81"/>
      <c r="S375" s="81"/>
      <c r="T375" s="81"/>
      <c r="U375" s="81"/>
      <c r="V375" s="81" t="s">
        <v>1097</v>
      </c>
      <c r="W375" s="86" t="str">
        <f>HYPERLINK("https://www.youtube.com/watch?v=vp7VXgvVAPg")</f>
        <v>https://www.youtube.com/watch?v=vp7VXgvVAPg</v>
      </c>
      <c r="X375" s="81"/>
      <c r="Y375" s="81"/>
      <c r="Z375" s="88">
        <v>41182.560902777775</v>
      </c>
      <c r="AA375" s="81"/>
      <c r="AB375" s="81"/>
      <c r="AC375" s="81"/>
      <c r="AD375" s="81"/>
      <c r="AE375">
        <v>17</v>
      </c>
      <c r="AF375" s="80" t="str">
        <f>REPLACE(INDEX(GroupVertices[Group],MATCH(Edges[[#This Row],[Vertex 1]],GroupVertices[Vertex],0)),1,1,"")</f>
        <v>1</v>
      </c>
      <c r="AG375" s="80" t="str">
        <f>REPLACE(INDEX(GroupVertices[Group],MATCH(Edges[[#This Row],[Vertex 2]],GroupVertices[Vertex],0)),1,1,"")</f>
        <v>1</v>
      </c>
      <c r="AH375" s="49"/>
      <c r="AI375" s="50"/>
      <c r="AJ375" s="49"/>
      <c r="AK375" s="50"/>
      <c r="AL375" s="49"/>
      <c r="AM375" s="50"/>
      <c r="AN375" s="49"/>
      <c r="AO375" s="50"/>
      <c r="AP375" s="49"/>
    </row>
    <row r="376" spans="1:42" ht="15">
      <c r="A376" s="65" t="s">
        <v>369</v>
      </c>
      <c r="B376" s="65" t="s">
        <v>369</v>
      </c>
      <c r="C376" s="66" t="s">
        <v>2950</v>
      </c>
      <c r="D376" s="67">
        <v>10</v>
      </c>
      <c r="E376" s="68"/>
      <c r="F376" s="69">
        <v>15</v>
      </c>
      <c r="G376" s="66"/>
      <c r="H376" s="70"/>
      <c r="I376" s="71"/>
      <c r="J376" s="71"/>
      <c r="K376" s="35" t="s">
        <v>65</v>
      </c>
      <c r="L376" s="79">
        <v>376</v>
      </c>
      <c r="M376" s="79"/>
      <c r="N376" s="73"/>
      <c r="O376" s="81" t="s">
        <v>565</v>
      </c>
      <c r="P376" s="81"/>
      <c r="Q376" s="81"/>
      <c r="R376" s="81"/>
      <c r="S376" s="81"/>
      <c r="T376" s="81"/>
      <c r="U376" s="81"/>
      <c r="V376" s="81" t="s">
        <v>1182</v>
      </c>
      <c r="W376" s="86" t="str">
        <f>HYPERLINK("https://www.youtube.com/watch?v=lBqT_KdC7YQ")</f>
        <v>https://www.youtube.com/watch?v=lBqT_KdC7YQ</v>
      </c>
      <c r="X376" s="81"/>
      <c r="Y376" s="81"/>
      <c r="Z376" s="88">
        <v>41175.979421296295</v>
      </c>
      <c r="AA376" s="81"/>
      <c r="AB376" s="81"/>
      <c r="AC376" s="81"/>
      <c r="AD376" s="81"/>
      <c r="AE376">
        <v>17</v>
      </c>
      <c r="AF376" s="80" t="str">
        <f>REPLACE(INDEX(GroupVertices[Group],MATCH(Edges[[#This Row],[Vertex 1]],GroupVertices[Vertex],0)),1,1,"")</f>
        <v>1</v>
      </c>
      <c r="AG376" s="80" t="str">
        <f>REPLACE(INDEX(GroupVertices[Group],MATCH(Edges[[#This Row],[Vertex 2]],GroupVertices[Vertex],0)),1,1,"")</f>
        <v>1</v>
      </c>
      <c r="AH376" s="49"/>
      <c r="AI376" s="50"/>
      <c r="AJ376" s="49"/>
      <c r="AK376" s="50"/>
      <c r="AL376" s="49"/>
      <c r="AM376" s="50"/>
      <c r="AN376" s="49"/>
      <c r="AO376" s="50"/>
      <c r="AP376" s="49"/>
    </row>
    <row r="377" spans="1:42" ht="15">
      <c r="A377" s="65" t="s">
        <v>369</v>
      </c>
      <c r="B377" s="65" t="s">
        <v>369</v>
      </c>
      <c r="C377" s="66" t="s">
        <v>2950</v>
      </c>
      <c r="D377" s="67">
        <v>10</v>
      </c>
      <c r="E377" s="68"/>
      <c r="F377" s="69">
        <v>15</v>
      </c>
      <c r="G377" s="66"/>
      <c r="H377" s="70"/>
      <c r="I377" s="71"/>
      <c r="J377" s="71"/>
      <c r="K377" s="35" t="s">
        <v>65</v>
      </c>
      <c r="L377" s="79">
        <v>377</v>
      </c>
      <c r="M377" s="79"/>
      <c r="N377" s="73"/>
      <c r="O377" s="81" t="s">
        <v>565</v>
      </c>
      <c r="P377" s="81"/>
      <c r="Q377" s="81"/>
      <c r="R377" s="81"/>
      <c r="S377" s="81"/>
      <c r="T377" s="81"/>
      <c r="U377" s="81"/>
      <c r="V377" s="81" t="s">
        <v>1099</v>
      </c>
      <c r="W377" s="86" t="str">
        <f>HYPERLINK("https://www.youtube.com/watch?v=bCENPBWjEaE")</f>
        <v>https://www.youtube.com/watch?v=bCENPBWjEaE</v>
      </c>
      <c r="X377" s="81"/>
      <c r="Y377" s="81"/>
      <c r="Z377" s="88">
        <v>44299.18239583333</v>
      </c>
      <c r="AA377" s="81"/>
      <c r="AB377" s="81"/>
      <c r="AC377" s="81"/>
      <c r="AD377" s="81"/>
      <c r="AE377">
        <v>17</v>
      </c>
      <c r="AF377" s="80" t="str">
        <f>REPLACE(INDEX(GroupVertices[Group],MATCH(Edges[[#This Row],[Vertex 1]],GroupVertices[Vertex],0)),1,1,"")</f>
        <v>1</v>
      </c>
      <c r="AG377" s="80" t="str">
        <f>REPLACE(INDEX(GroupVertices[Group],MATCH(Edges[[#This Row],[Vertex 2]],GroupVertices[Vertex],0)),1,1,"")</f>
        <v>1</v>
      </c>
      <c r="AH377" s="49"/>
      <c r="AI377" s="50"/>
      <c r="AJ377" s="49"/>
      <c r="AK377" s="50"/>
      <c r="AL377" s="49"/>
      <c r="AM377" s="50"/>
      <c r="AN377" s="49"/>
      <c r="AO377" s="50"/>
      <c r="AP377" s="49"/>
    </row>
    <row r="378" spans="1:42" ht="15">
      <c r="A378" s="65" t="s">
        <v>369</v>
      </c>
      <c r="B378" s="65" t="s">
        <v>369</v>
      </c>
      <c r="C378" s="66" t="s">
        <v>2950</v>
      </c>
      <c r="D378" s="67">
        <v>10</v>
      </c>
      <c r="E378" s="68"/>
      <c r="F378" s="69">
        <v>15</v>
      </c>
      <c r="G378" s="66"/>
      <c r="H378" s="70"/>
      <c r="I378" s="71"/>
      <c r="J378" s="71"/>
      <c r="K378" s="35" t="s">
        <v>65</v>
      </c>
      <c r="L378" s="79">
        <v>378</v>
      </c>
      <c r="M378" s="79"/>
      <c r="N378" s="73"/>
      <c r="O378" s="81" t="s">
        <v>565</v>
      </c>
      <c r="P378" s="81"/>
      <c r="Q378" s="81"/>
      <c r="R378" s="81"/>
      <c r="S378" s="81"/>
      <c r="T378" s="81"/>
      <c r="U378" s="81"/>
      <c r="V378" s="81" t="s">
        <v>1105</v>
      </c>
      <c r="W378" s="86" t="str">
        <f>HYPERLINK("https://www.youtube.com/watch?v=lbb2lMCSg64")</f>
        <v>https://www.youtube.com/watch?v=lbb2lMCSg64</v>
      </c>
      <c r="X378" s="81"/>
      <c r="Y378" s="81"/>
      <c r="Z378" s="88">
        <v>41578.82792824074</v>
      </c>
      <c r="AA378" s="81"/>
      <c r="AB378" s="81"/>
      <c r="AC378" s="81"/>
      <c r="AD378" s="81"/>
      <c r="AE378">
        <v>17</v>
      </c>
      <c r="AF378" s="80" t="str">
        <f>REPLACE(INDEX(GroupVertices[Group],MATCH(Edges[[#This Row],[Vertex 1]],GroupVertices[Vertex],0)),1,1,"")</f>
        <v>1</v>
      </c>
      <c r="AG378" s="80" t="str">
        <f>REPLACE(INDEX(GroupVertices[Group],MATCH(Edges[[#This Row],[Vertex 2]],GroupVertices[Vertex],0)),1,1,"")</f>
        <v>1</v>
      </c>
      <c r="AH378" s="49"/>
      <c r="AI378" s="50"/>
      <c r="AJ378" s="49"/>
      <c r="AK378" s="50"/>
      <c r="AL378" s="49"/>
      <c r="AM378" s="50"/>
      <c r="AN378" s="49"/>
      <c r="AO378" s="50"/>
      <c r="AP378" s="49"/>
    </row>
    <row r="379" spans="1:42" ht="15">
      <c r="A379" s="65" t="s">
        <v>369</v>
      </c>
      <c r="B379" s="65" t="s">
        <v>369</v>
      </c>
      <c r="C379" s="66" t="s">
        <v>2950</v>
      </c>
      <c r="D379" s="67">
        <v>10</v>
      </c>
      <c r="E379" s="68"/>
      <c r="F379" s="69">
        <v>15</v>
      </c>
      <c r="G379" s="66"/>
      <c r="H379" s="70"/>
      <c r="I379" s="71"/>
      <c r="J379" s="71"/>
      <c r="K379" s="35" t="s">
        <v>65</v>
      </c>
      <c r="L379" s="79">
        <v>379</v>
      </c>
      <c r="M379" s="79"/>
      <c r="N379" s="73"/>
      <c r="O379" s="81" t="s">
        <v>565</v>
      </c>
      <c r="P379" s="81"/>
      <c r="Q379" s="81"/>
      <c r="R379" s="81"/>
      <c r="S379" s="81"/>
      <c r="T379" s="81"/>
      <c r="U379" s="81"/>
      <c r="V379" s="81" t="s">
        <v>1106</v>
      </c>
      <c r="W379" s="86" t="str">
        <f>HYPERLINK("https://www.youtube.com/watch?v=1yCjhTuLA1o")</f>
        <v>https://www.youtube.com/watch?v=1yCjhTuLA1o</v>
      </c>
      <c r="X379" s="81"/>
      <c r="Y379" s="81"/>
      <c r="Z379" s="88">
        <v>41532.54828703704</v>
      </c>
      <c r="AA379" s="81"/>
      <c r="AB379" s="81"/>
      <c r="AC379" s="81"/>
      <c r="AD379" s="81"/>
      <c r="AE379">
        <v>17</v>
      </c>
      <c r="AF379" s="80" t="str">
        <f>REPLACE(INDEX(GroupVertices[Group],MATCH(Edges[[#This Row],[Vertex 1]],GroupVertices[Vertex],0)),1,1,"")</f>
        <v>1</v>
      </c>
      <c r="AG379" s="80" t="str">
        <f>REPLACE(INDEX(GroupVertices[Group],MATCH(Edges[[#This Row],[Vertex 2]],GroupVertices[Vertex],0)),1,1,"")</f>
        <v>1</v>
      </c>
      <c r="AH379" s="49"/>
      <c r="AI379" s="50"/>
      <c r="AJ379" s="49"/>
      <c r="AK379" s="50"/>
      <c r="AL379" s="49"/>
      <c r="AM379" s="50"/>
      <c r="AN379" s="49"/>
      <c r="AO379" s="50"/>
      <c r="AP379" s="49"/>
    </row>
    <row r="380" spans="1:42" ht="15">
      <c r="A380" s="65" t="s">
        <v>369</v>
      </c>
      <c r="B380" s="65" t="s">
        <v>369</v>
      </c>
      <c r="C380" s="66" t="s">
        <v>2950</v>
      </c>
      <c r="D380" s="67">
        <v>10</v>
      </c>
      <c r="E380" s="68"/>
      <c r="F380" s="69">
        <v>15</v>
      </c>
      <c r="G380" s="66"/>
      <c r="H380" s="70"/>
      <c r="I380" s="71"/>
      <c r="J380" s="71"/>
      <c r="K380" s="35" t="s">
        <v>65</v>
      </c>
      <c r="L380" s="79">
        <v>380</v>
      </c>
      <c r="M380" s="79"/>
      <c r="N380" s="73"/>
      <c r="O380" s="81" t="s">
        <v>565</v>
      </c>
      <c r="P380" s="81"/>
      <c r="Q380" s="81"/>
      <c r="R380" s="81"/>
      <c r="S380" s="81"/>
      <c r="T380" s="81"/>
      <c r="U380" s="81"/>
      <c r="V380" s="81" t="s">
        <v>1107</v>
      </c>
      <c r="W380" s="86" t="str">
        <f>HYPERLINK("https://www.youtube.com/watch?v=AyMwPYpmYng")</f>
        <v>https://www.youtube.com/watch?v=AyMwPYpmYng</v>
      </c>
      <c r="X380" s="81"/>
      <c r="Y380" s="81"/>
      <c r="Z380" s="88">
        <v>42325.22400462963</v>
      </c>
      <c r="AA380" s="81"/>
      <c r="AB380" s="81"/>
      <c r="AC380" s="81"/>
      <c r="AD380" s="81"/>
      <c r="AE380">
        <v>17</v>
      </c>
      <c r="AF380" s="80" t="str">
        <f>REPLACE(INDEX(GroupVertices[Group],MATCH(Edges[[#This Row],[Vertex 1]],GroupVertices[Vertex],0)),1,1,"")</f>
        <v>1</v>
      </c>
      <c r="AG380" s="80" t="str">
        <f>REPLACE(INDEX(GroupVertices[Group],MATCH(Edges[[#This Row],[Vertex 2]],GroupVertices[Vertex],0)),1,1,"")</f>
        <v>1</v>
      </c>
      <c r="AH380" s="49"/>
      <c r="AI380" s="50"/>
      <c r="AJ380" s="49"/>
      <c r="AK380" s="50"/>
      <c r="AL380" s="49"/>
      <c r="AM380" s="50"/>
      <c r="AN380" s="49"/>
      <c r="AO380" s="50"/>
      <c r="AP380" s="49"/>
    </row>
    <row r="381" spans="1:42" ht="15">
      <c r="A381" s="65" t="s">
        <v>369</v>
      </c>
      <c r="B381" s="65" t="s">
        <v>369</v>
      </c>
      <c r="C381" s="66" t="s">
        <v>2950</v>
      </c>
      <c r="D381" s="67">
        <v>10</v>
      </c>
      <c r="E381" s="68"/>
      <c r="F381" s="69">
        <v>15</v>
      </c>
      <c r="G381" s="66"/>
      <c r="H381" s="70"/>
      <c r="I381" s="71"/>
      <c r="J381" s="71"/>
      <c r="K381" s="35" t="s">
        <v>65</v>
      </c>
      <c r="L381" s="79">
        <v>381</v>
      </c>
      <c r="M381" s="79"/>
      <c r="N381" s="73"/>
      <c r="O381" s="81" t="s">
        <v>565</v>
      </c>
      <c r="P381" s="81"/>
      <c r="Q381" s="81"/>
      <c r="R381" s="81"/>
      <c r="S381" s="81"/>
      <c r="T381" s="81"/>
      <c r="U381" s="81"/>
      <c r="V381" s="81" t="s">
        <v>1111</v>
      </c>
      <c r="W381" s="86" t="str">
        <f>HYPERLINK("https://www.youtube.com/watch?v=_ci5QaUkAfw")</f>
        <v>https://www.youtube.com/watch?v=_ci5QaUkAfw</v>
      </c>
      <c r="X381" s="81"/>
      <c r="Y381" s="81"/>
      <c r="Z381" s="88">
        <v>41674.15106481482</v>
      </c>
      <c r="AA381" s="81"/>
      <c r="AB381" s="81"/>
      <c r="AC381" s="81"/>
      <c r="AD381" s="81"/>
      <c r="AE381">
        <v>17</v>
      </c>
      <c r="AF381" s="80" t="str">
        <f>REPLACE(INDEX(GroupVertices[Group],MATCH(Edges[[#This Row],[Vertex 1]],GroupVertices[Vertex],0)),1,1,"")</f>
        <v>1</v>
      </c>
      <c r="AG381" s="80" t="str">
        <f>REPLACE(INDEX(GroupVertices[Group],MATCH(Edges[[#This Row],[Vertex 2]],GroupVertices[Vertex],0)),1,1,"")</f>
        <v>1</v>
      </c>
      <c r="AH381" s="49"/>
      <c r="AI381" s="50"/>
      <c r="AJ381" s="49"/>
      <c r="AK381" s="50"/>
      <c r="AL381" s="49"/>
      <c r="AM381" s="50"/>
      <c r="AN381" s="49"/>
      <c r="AO381" s="50"/>
      <c r="AP381" s="49"/>
    </row>
    <row r="382" spans="1:42" ht="15">
      <c r="A382" s="65" t="s">
        <v>369</v>
      </c>
      <c r="B382" s="65" t="s">
        <v>369</v>
      </c>
      <c r="C382" s="66" t="s">
        <v>2950</v>
      </c>
      <c r="D382" s="67">
        <v>10</v>
      </c>
      <c r="E382" s="68"/>
      <c r="F382" s="69">
        <v>15</v>
      </c>
      <c r="G382" s="66"/>
      <c r="H382" s="70"/>
      <c r="I382" s="71"/>
      <c r="J382" s="71"/>
      <c r="K382" s="35" t="s">
        <v>65</v>
      </c>
      <c r="L382" s="79">
        <v>382</v>
      </c>
      <c r="M382" s="79"/>
      <c r="N382" s="73"/>
      <c r="O382" s="81" t="s">
        <v>565</v>
      </c>
      <c r="P382" s="81"/>
      <c r="Q382" s="81"/>
      <c r="R382" s="81"/>
      <c r="S382" s="81"/>
      <c r="T382" s="81"/>
      <c r="U382" s="81"/>
      <c r="V382" s="81" t="s">
        <v>1115</v>
      </c>
      <c r="W382" s="86" t="str">
        <f>HYPERLINK("https://www.youtube.com/watch?v=CwQ8IrHZDgA")</f>
        <v>https://www.youtube.com/watch?v=CwQ8IrHZDgA</v>
      </c>
      <c r="X382" s="81"/>
      <c r="Y382" s="81"/>
      <c r="Z382" s="88">
        <v>42318.24689814815</v>
      </c>
      <c r="AA382" s="81"/>
      <c r="AB382" s="81"/>
      <c r="AC382" s="81"/>
      <c r="AD382" s="81"/>
      <c r="AE382">
        <v>17</v>
      </c>
      <c r="AF382" s="80" t="str">
        <f>REPLACE(INDEX(GroupVertices[Group],MATCH(Edges[[#This Row],[Vertex 1]],GroupVertices[Vertex],0)),1,1,"")</f>
        <v>1</v>
      </c>
      <c r="AG382" s="80" t="str">
        <f>REPLACE(INDEX(GroupVertices[Group],MATCH(Edges[[#This Row],[Vertex 2]],GroupVertices[Vertex],0)),1,1,"")</f>
        <v>1</v>
      </c>
      <c r="AH382" s="49"/>
      <c r="AI382" s="50"/>
      <c r="AJ382" s="49"/>
      <c r="AK382" s="50"/>
      <c r="AL382" s="49"/>
      <c r="AM382" s="50"/>
      <c r="AN382" s="49"/>
      <c r="AO382" s="50"/>
      <c r="AP382" s="49"/>
    </row>
    <row r="383" spans="1:42" ht="15">
      <c r="A383" s="65" t="s">
        <v>369</v>
      </c>
      <c r="B383" s="65" t="s">
        <v>369</v>
      </c>
      <c r="C383" s="66" t="s">
        <v>2950</v>
      </c>
      <c r="D383" s="67">
        <v>10</v>
      </c>
      <c r="E383" s="68"/>
      <c r="F383" s="69">
        <v>15</v>
      </c>
      <c r="G383" s="66"/>
      <c r="H383" s="70"/>
      <c r="I383" s="71"/>
      <c r="J383" s="71"/>
      <c r="K383" s="35" t="s">
        <v>65</v>
      </c>
      <c r="L383" s="79">
        <v>383</v>
      </c>
      <c r="M383" s="79"/>
      <c r="N383" s="73"/>
      <c r="O383" s="81" t="s">
        <v>565</v>
      </c>
      <c r="P383" s="81"/>
      <c r="Q383" s="81"/>
      <c r="R383" s="81"/>
      <c r="S383" s="81"/>
      <c r="T383" s="81"/>
      <c r="U383" s="81"/>
      <c r="V383" s="81" t="s">
        <v>1116</v>
      </c>
      <c r="W383" s="86" t="str">
        <f>HYPERLINK("https://www.youtube.com/watch?v=t8YHRVf60BU")</f>
        <v>https://www.youtube.com/watch?v=t8YHRVf60BU</v>
      </c>
      <c r="X383" s="81"/>
      <c r="Y383" s="81"/>
      <c r="Z383" s="88">
        <v>41160.96424768519</v>
      </c>
      <c r="AA383" s="81"/>
      <c r="AB383" s="81"/>
      <c r="AC383" s="81"/>
      <c r="AD383" s="81"/>
      <c r="AE383">
        <v>17</v>
      </c>
      <c r="AF383" s="80" t="str">
        <f>REPLACE(INDEX(GroupVertices[Group],MATCH(Edges[[#This Row],[Vertex 1]],GroupVertices[Vertex],0)),1,1,"")</f>
        <v>1</v>
      </c>
      <c r="AG383" s="80" t="str">
        <f>REPLACE(INDEX(GroupVertices[Group],MATCH(Edges[[#This Row],[Vertex 2]],GroupVertices[Vertex],0)),1,1,"")</f>
        <v>1</v>
      </c>
      <c r="AH383" s="49"/>
      <c r="AI383" s="50"/>
      <c r="AJ383" s="49"/>
      <c r="AK383" s="50"/>
      <c r="AL383" s="49"/>
      <c r="AM383" s="50"/>
      <c r="AN383" s="49"/>
      <c r="AO383" s="50"/>
      <c r="AP383" s="49"/>
    </row>
    <row r="384" spans="1:42" ht="15">
      <c r="A384" s="65" t="s">
        <v>369</v>
      </c>
      <c r="B384" s="65" t="s">
        <v>369</v>
      </c>
      <c r="C384" s="66" t="s">
        <v>2950</v>
      </c>
      <c r="D384" s="67">
        <v>10</v>
      </c>
      <c r="E384" s="68"/>
      <c r="F384" s="69">
        <v>15</v>
      </c>
      <c r="G384" s="66"/>
      <c r="H384" s="70"/>
      <c r="I384" s="71"/>
      <c r="J384" s="71"/>
      <c r="K384" s="35" t="s">
        <v>65</v>
      </c>
      <c r="L384" s="79">
        <v>384</v>
      </c>
      <c r="M384" s="79"/>
      <c r="N384" s="73"/>
      <c r="O384" s="81" t="s">
        <v>565</v>
      </c>
      <c r="P384" s="81"/>
      <c r="Q384" s="81"/>
      <c r="R384" s="81"/>
      <c r="S384" s="81"/>
      <c r="T384" s="81"/>
      <c r="U384" s="81"/>
      <c r="V384" s="81" t="s">
        <v>1124</v>
      </c>
      <c r="W384" s="86" t="str">
        <f>HYPERLINK("https://www.youtube.com/watch?v=08MqGSL9TNQ")</f>
        <v>https://www.youtube.com/watch?v=08MqGSL9TNQ</v>
      </c>
      <c r="X384" s="81"/>
      <c r="Y384" s="81"/>
      <c r="Z384" s="88">
        <v>41357.90636574074</v>
      </c>
      <c r="AA384" s="81"/>
      <c r="AB384" s="81"/>
      <c r="AC384" s="81"/>
      <c r="AD384" s="81"/>
      <c r="AE384">
        <v>17</v>
      </c>
      <c r="AF384" s="80" t="str">
        <f>REPLACE(INDEX(GroupVertices[Group],MATCH(Edges[[#This Row],[Vertex 1]],GroupVertices[Vertex],0)),1,1,"")</f>
        <v>1</v>
      </c>
      <c r="AG384" s="80" t="str">
        <f>REPLACE(INDEX(GroupVertices[Group],MATCH(Edges[[#This Row],[Vertex 2]],GroupVertices[Vertex],0)),1,1,"")</f>
        <v>1</v>
      </c>
      <c r="AH384" s="49"/>
      <c r="AI384" s="50"/>
      <c r="AJ384" s="49"/>
      <c r="AK384" s="50"/>
      <c r="AL384" s="49"/>
      <c r="AM384" s="50"/>
      <c r="AN384" s="49"/>
      <c r="AO384" s="50"/>
      <c r="AP384" s="49"/>
    </row>
    <row r="385" spans="1:42" ht="15">
      <c r="A385" s="65" t="s">
        <v>369</v>
      </c>
      <c r="B385" s="65" t="s">
        <v>369</v>
      </c>
      <c r="C385" s="66" t="s">
        <v>2950</v>
      </c>
      <c r="D385" s="67">
        <v>10</v>
      </c>
      <c r="E385" s="68"/>
      <c r="F385" s="69">
        <v>15</v>
      </c>
      <c r="G385" s="66"/>
      <c r="H385" s="70"/>
      <c r="I385" s="71"/>
      <c r="J385" s="71"/>
      <c r="K385" s="35" t="s">
        <v>65</v>
      </c>
      <c r="L385" s="79">
        <v>385</v>
      </c>
      <c r="M385" s="79"/>
      <c r="N385" s="73"/>
      <c r="O385" s="81" t="s">
        <v>565</v>
      </c>
      <c r="P385" s="81"/>
      <c r="Q385" s="81"/>
      <c r="R385" s="81"/>
      <c r="S385" s="81"/>
      <c r="T385" s="81"/>
      <c r="U385" s="81"/>
      <c r="V385" s="81" t="s">
        <v>1126</v>
      </c>
      <c r="W385" s="86" t="str">
        <f>HYPERLINK("https://www.youtube.com/watch?v=Gs4NPuKIXdo")</f>
        <v>https://www.youtube.com/watch?v=Gs4NPuKIXdo</v>
      </c>
      <c r="X385" s="81"/>
      <c r="Y385" s="81"/>
      <c r="Z385" s="88">
        <v>42261.17663194444</v>
      </c>
      <c r="AA385" s="81"/>
      <c r="AB385" s="81"/>
      <c r="AC385" s="81"/>
      <c r="AD385" s="81"/>
      <c r="AE385">
        <v>17</v>
      </c>
      <c r="AF385" s="80" t="str">
        <f>REPLACE(INDEX(GroupVertices[Group],MATCH(Edges[[#This Row],[Vertex 1]],GroupVertices[Vertex],0)),1,1,"")</f>
        <v>1</v>
      </c>
      <c r="AG385" s="80" t="str">
        <f>REPLACE(INDEX(GroupVertices[Group],MATCH(Edges[[#This Row],[Vertex 2]],GroupVertices[Vertex],0)),1,1,"")</f>
        <v>1</v>
      </c>
      <c r="AH385" s="49"/>
      <c r="AI385" s="50"/>
      <c r="AJ385" s="49"/>
      <c r="AK385" s="50"/>
      <c r="AL385" s="49"/>
      <c r="AM385" s="50"/>
      <c r="AN385" s="49"/>
      <c r="AO385" s="50"/>
      <c r="AP385" s="49"/>
    </row>
    <row r="386" spans="1:42" ht="15">
      <c r="A386" s="65" t="s">
        <v>369</v>
      </c>
      <c r="B386" s="65" t="s">
        <v>369</v>
      </c>
      <c r="C386" s="66" t="s">
        <v>2950</v>
      </c>
      <c r="D386" s="67">
        <v>10</v>
      </c>
      <c r="E386" s="68"/>
      <c r="F386" s="69">
        <v>15</v>
      </c>
      <c r="G386" s="66"/>
      <c r="H386" s="70"/>
      <c r="I386" s="71"/>
      <c r="J386" s="71"/>
      <c r="K386" s="35" t="s">
        <v>65</v>
      </c>
      <c r="L386" s="79">
        <v>386</v>
      </c>
      <c r="M386" s="79"/>
      <c r="N386" s="73"/>
      <c r="O386" s="81" t="s">
        <v>565</v>
      </c>
      <c r="P386" s="81"/>
      <c r="Q386" s="81"/>
      <c r="R386" s="81"/>
      <c r="S386" s="81"/>
      <c r="T386" s="81"/>
      <c r="U386" s="81"/>
      <c r="V386" s="81" t="s">
        <v>1127</v>
      </c>
      <c r="W386" s="86" t="str">
        <f>HYPERLINK("https://www.youtube.com/watch?v=zEgrruOITHw")</f>
        <v>https://www.youtube.com/watch?v=zEgrruOITHw</v>
      </c>
      <c r="X386" s="81"/>
      <c r="Y386" s="81"/>
      <c r="Z386" s="88">
        <v>41540.986712962964</v>
      </c>
      <c r="AA386" s="81"/>
      <c r="AB386" s="81"/>
      <c r="AC386" s="81"/>
      <c r="AD386" s="81"/>
      <c r="AE386">
        <v>17</v>
      </c>
      <c r="AF386" s="80" t="str">
        <f>REPLACE(INDEX(GroupVertices[Group],MATCH(Edges[[#This Row],[Vertex 1]],GroupVertices[Vertex],0)),1,1,"")</f>
        <v>1</v>
      </c>
      <c r="AG386" s="80" t="str">
        <f>REPLACE(INDEX(GroupVertices[Group],MATCH(Edges[[#This Row],[Vertex 2]],GroupVertices[Vertex],0)),1,1,"")</f>
        <v>1</v>
      </c>
      <c r="AH386" s="49"/>
      <c r="AI386" s="50"/>
      <c r="AJ386" s="49"/>
      <c r="AK386" s="50"/>
      <c r="AL386" s="49"/>
      <c r="AM386" s="50"/>
      <c r="AN386" s="49"/>
      <c r="AO386" s="50"/>
      <c r="AP386" s="49"/>
    </row>
    <row r="387" spans="1:42" ht="15">
      <c r="A387" s="65" t="s">
        <v>369</v>
      </c>
      <c r="B387" s="65" t="s">
        <v>369</v>
      </c>
      <c r="C387" s="66" t="s">
        <v>2950</v>
      </c>
      <c r="D387" s="67">
        <v>10</v>
      </c>
      <c r="E387" s="68"/>
      <c r="F387" s="69">
        <v>15</v>
      </c>
      <c r="G387" s="66"/>
      <c r="H387" s="70"/>
      <c r="I387" s="71"/>
      <c r="J387" s="71"/>
      <c r="K387" s="35" t="s">
        <v>65</v>
      </c>
      <c r="L387" s="79">
        <v>387</v>
      </c>
      <c r="M387" s="79"/>
      <c r="N387" s="73"/>
      <c r="O387" s="81" t="s">
        <v>565</v>
      </c>
      <c r="P387" s="81"/>
      <c r="Q387" s="81"/>
      <c r="R387" s="81"/>
      <c r="S387" s="81"/>
      <c r="T387" s="81"/>
      <c r="U387" s="81"/>
      <c r="V387" s="81" t="s">
        <v>1128</v>
      </c>
      <c r="W387" s="86" t="str">
        <f>HYPERLINK("https://www.youtube.com/watch?v=PC-PgkhpsNc")</f>
        <v>https://www.youtube.com/watch?v=PC-PgkhpsNc</v>
      </c>
      <c r="X387" s="81"/>
      <c r="Y387" s="81"/>
      <c r="Z387" s="88">
        <v>41372.50519675926</v>
      </c>
      <c r="AA387" s="81"/>
      <c r="AB387" s="81"/>
      <c r="AC387" s="81"/>
      <c r="AD387" s="81"/>
      <c r="AE387">
        <v>17</v>
      </c>
      <c r="AF387" s="80" t="str">
        <f>REPLACE(INDEX(GroupVertices[Group],MATCH(Edges[[#This Row],[Vertex 1]],GroupVertices[Vertex],0)),1,1,"")</f>
        <v>1</v>
      </c>
      <c r="AG387" s="80" t="str">
        <f>REPLACE(INDEX(GroupVertices[Group],MATCH(Edges[[#This Row],[Vertex 2]],GroupVertices[Vertex],0)),1,1,"")</f>
        <v>1</v>
      </c>
      <c r="AH387" s="49"/>
      <c r="AI387" s="50"/>
      <c r="AJ387" s="49"/>
      <c r="AK387" s="50"/>
      <c r="AL387" s="49"/>
      <c r="AM387" s="50"/>
      <c r="AN387" s="49"/>
      <c r="AO387" s="50"/>
      <c r="AP387" s="49"/>
    </row>
    <row r="388" spans="1:42" ht="15">
      <c r="A388" s="65" t="s">
        <v>561</v>
      </c>
      <c r="B388" s="65" t="s">
        <v>561</v>
      </c>
      <c r="C388" s="66" t="s">
        <v>2944</v>
      </c>
      <c r="D388" s="67">
        <v>5.8</v>
      </c>
      <c r="E388" s="68"/>
      <c r="F388" s="69">
        <v>30</v>
      </c>
      <c r="G388" s="66"/>
      <c r="H388" s="70"/>
      <c r="I388" s="71"/>
      <c r="J388" s="71"/>
      <c r="K388" s="35" t="s">
        <v>65</v>
      </c>
      <c r="L388" s="79">
        <v>388</v>
      </c>
      <c r="M388" s="79"/>
      <c r="N388" s="73"/>
      <c r="O388" s="81" t="s">
        <v>565</v>
      </c>
      <c r="P388" s="81"/>
      <c r="Q388" s="81"/>
      <c r="R388" s="81"/>
      <c r="S388" s="81"/>
      <c r="T388" s="81"/>
      <c r="U388" s="81"/>
      <c r="V388" s="81" t="s">
        <v>1109</v>
      </c>
      <c r="W388" s="86" t="str">
        <f>HYPERLINK("https://www.youtube.com/watch?v=zMlwGOki4Yg")</f>
        <v>https://www.youtube.com/watch?v=zMlwGOki4Yg</v>
      </c>
      <c r="X388" s="81"/>
      <c r="Y388" s="81"/>
      <c r="Z388" s="88">
        <v>41005.986238425925</v>
      </c>
      <c r="AA388" s="81"/>
      <c r="AB388" s="81"/>
      <c r="AC388" s="81"/>
      <c r="AD388" s="81"/>
      <c r="AE388">
        <v>3</v>
      </c>
      <c r="AF388" s="80" t="str">
        <f>REPLACE(INDEX(GroupVertices[Group],MATCH(Edges[[#This Row],[Vertex 1]],GroupVertices[Vertex],0)),1,1,"")</f>
        <v>3</v>
      </c>
      <c r="AG388" s="80" t="str">
        <f>REPLACE(INDEX(GroupVertices[Group],MATCH(Edges[[#This Row],[Vertex 2]],GroupVertices[Vertex],0)),1,1,"")</f>
        <v>3</v>
      </c>
      <c r="AH388" s="49"/>
      <c r="AI388" s="50"/>
      <c r="AJ388" s="49"/>
      <c r="AK388" s="50"/>
      <c r="AL388" s="49"/>
      <c r="AM388" s="50"/>
      <c r="AN388" s="49"/>
      <c r="AO388" s="50"/>
      <c r="AP388" s="49"/>
    </row>
    <row r="389" spans="1:42" ht="15">
      <c r="A389" s="65" t="s">
        <v>561</v>
      </c>
      <c r="B389" s="65" t="s">
        <v>561</v>
      </c>
      <c r="C389" s="66" t="s">
        <v>2944</v>
      </c>
      <c r="D389" s="67">
        <v>5.8</v>
      </c>
      <c r="E389" s="68"/>
      <c r="F389" s="69">
        <v>30</v>
      </c>
      <c r="G389" s="66"/>
      <c r="H389" s="70"/>
      <c r="I389" s="71"/>
      <c r="J389" s="71"/>
      <c r="K389" s="35" t="s">
        <v>65</v>
      </c>
      <c r="L389" s="79">
        <v>389</v>
      </c>
      <c r="M389" s="79"/>
      <c r="N389" s="73"/>
      <c r="O389" s="81" t="s">
        <v>565</v>
      </c>
      <c r="P389" s="81"/>
      <c r="Q389" s="81"/>
      <c r="R389" s="81"/>
      <c r="S389" s="81"/>
      <c r="T389" s="81"/>
      <c r="U389" s="81"/>
      <c r="V389" s="81" t="s">
        <v>1117</v>
      </c>
      <c r="W389" s="86" t="str">
        <f>HYPERLINK("https://www.youtube.com/watch?v=owl9we4ldFI")</f>
        <v>https://www.youtube.com/watch?v=owl9we4ldFI</v>
      </c>
      <c r="X389" s="81"/>
      <c r="Y389" s="81"/>
      <c r="Z389" s="88">
        <v>41005.96177083333</v>
      </c>
      <c r="AA389" s="81"/>
      <c r="AB389" s="81"/>
      <c r="AC389" s="81"/>
      <c r="AD389" s="81"/>
      <c r="AE389">
        <v>3</v>
      </c>
      <c r="AF389" s="80" t="str">
        <f>REPLACE(INDEX(GroupVertices[Group],MATCH(Edges[[#This Row],[Vertex 1]],GroupVertices[Vertex],0)),1,1,"")</f>
        <v>3</v>
      </c>
      <c r="AG389" s="80" t="str">
        <f>REPLACE(INDEX(GroupVertices[Group],MATCH(Edges[[#This Row],[Vertex 2]],GroupVertices[Vertex],0)),1,1,"")</f>
        <v>3</v>
      </c>
      <c r="AH389" s="49"/>
      <c r="AI389" s="50"/>
      <c r="AJ389" s="49"/>
      <c r="AK389" s="50"/>
      <c r="AL389" s="49"/>
      <c r="AM389" s="50"/>
      <c r="AN389" s="49"/>
      <c r="AO389" s="50"/>
      <c r="AP389" s="49"/>
    </row>
    <row r="390" spans="1:42" ht="15">
      <c r="A390" s="65" t="s">
        <v>561</v>
      </c>
      <c r="B390" s="65" t="s">
        <v>561</v>
      </c>
      <c r="C390" s="66" t="s">
        <v>2944</v>
      </c>
      <c r="D390" s="67">
        <v>5.8</v>
      </c>
      <c r="E390" s="68"/>
      <c r="F390" s="69">
        <v>30</v>
      </c>
      <c r="G390" s="66"/>
      <c r="H390" s="70"/>
      <c r="I390" s="71"/>
      <c r="J390" s="71"/>
      <c r="K390" s="35" t="s">
        <v>65</v>
      </c>
      <c r="L390" s="79">
        <v>390</v>
      </c>
      <c r="M390" s="79"/>
      <c r="N390" s="73"/>
      <c r="O390" s="81" t="s">
        <v>565</v>
      </c>
      <c r="P390" s="81"/>
      <c r="Q390" s="81"/>
      <c r="R390" s="81"/>
      <c r="S390" s="81"/>
      <c r="T390" s="81"/>
      <c r="U390" s="81"/>
      <c r="V390" s="81" t="s">
        <v>1130</v>
      </c>
      <c r="W390" s="86" t="str">
        <f>HYPERLINK("https://www.youtube.com/watch?v=pwsImFyc0lE")</f>
        <v>https://www.youtube.com/watch?v=pwsImFyc0lE</v>
      </c>
      <c r="X390" s="81"/>
      <c r="Y390" s="81"/>
      <c r="Z390" s="88">
        <v>41005.94207175926</v>
      </c>
      <c r="AA390" s="81"/>
      <c r="AB390" s="81"/>
      <c r="AC390" s="81"/>
      <c r="AD390" s="81"/>
      <c r="AE390">
        <v>3</v>
      </c>
      <c r="AF390" s="80" t="str">
        <f>REPLACE(INDEX(GroupVertices[Group],MATCH(Edges[[#This Row],[Vertex 1]],GroupVertices[Vertex],0)),1,1,"")</f>
        <v>3</v>
      </c>
      <c r="AG390" s="80" t="str">
        <f>REPLACE(INDEX(GroupVertices[Group],MATCH(Edges[[#This Row],[Vertex 2]],GroupVertices[Vertex],0)),1,1,"")</f>
        <v>3</v>
      </c>
      <c r="AH390" s="49"/>
      <c r="AI390" s="50"/>
      <c r="AJ390" s="49"/>
      <c r="AK390" s="50"/>
      <c r="AL390" s="49"/>
      <c r="AM390" s="50"/>
      <c r="AN390" s="49"/>
      <c r="AO390" s="50"/>
      <c r="AP390"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0"/>
    <dataValidation allowBlank="1" showErrorMessage="1" sqref="N2:N39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0"/>
    <dataValidation allowBlank="1" showInputMessage="1" promptTitle="Edge Color" prompt="To select an optional edge color, right-click and select Select Color on the right-click menu." sqref="C3:C390"/>
    <dataValidation allowBlank="1" showInputMessage="1" promptTitle="Edge Width" prompt="Enter an optional edge width between 1 and 10." errorTitle="Invalid Edge Width" error="The optional edge width must be a whole number between 1 and 10." sqref="D3:D390"/>
    <dataValidation allowBlank="1" showInputMessage="1" promptTitle="Edge Opacity" prompt="Enter an optional edge opacity between 0 (transparent) and 100 (opaque)." errorTitle="Invalid Edge Opacity" error="The optional edge opacity must be a whole number between 0 and 10." sqref="F3:F39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0">
      <formula1>ValidEdgeVisibilities</formula1>
    </dataValidation>
    <dataValidation allowBlank="1" showInputMessage="1" showErrorMessage="1" promptTitle="Vertex 1 Name" prompt="Enter the name of the edge's first vertex." sqref="A3:A390"/>
    <dataValidation allowBlank="1" showInputMessage="1" showErrorMessage="1" promptTitle="Vertex 2 Name" prompt="Enter the name of the edge's second vertex." sqref="B3:B390"/>
    <dataValidation allowBlank="1" showInputMessage="1" showErrorMessage="1" promptTitle="Edge Label" prompt="Enter an optional edge label." errorTitle="Invalid Edge Visibility" error="You have entered an unrecognized edge visibility.  Try selecting from the drop-down list instead." sqref="H3:H39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9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1E783-AEE5-4ED8-8335-3B5489846E4A}">
  <dimension ref="A1:C3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2083</v>
      </c>
      <c r="B2" s="115" t="s">
        <v>2084</v>
      </c>
      <c r="C2" s="54" t="s">
        <v>2085</v>
      </c>
    </row>
    <row r="3" spans="1:3" ht="15">
      <c r="A3" s="114" t="s">
        <v>1378</v>
      </c>
      <c r="B3" s="114" t="s">
        <v>1378</v>
      </c>
      <c r="C3" s="35">
        <v>131</v>
      </c>
    </row>
    <row r="4" spans="1:3" ht="15">
      <c r="A4" s="114" t="s">
        <v>1378</v>
      </c>
      <c r="B4" s="114" t="s">
        <v>1380</v>
      </c>
      <c r="C4" s="35">
        <v>4</v>
      </c>
    </row>
    <row r="5" spans="1:3" ht="15">
      <c r="A5" s="114" t="s">
        <v>1378</v>
      </c>
      <c r="B5" s="114" t="s">
        <v>1395</v>
      </c>
      <c r="C5" s="35">
        <v>4</v>
      </c>
    </row>
    <row r="6" spans="1:3" ht="15">
      <c r="A6" s="114" t="s">
        <v>1379</v>
      </c>
      <c r="B6" s="114" t="s">
        <v>1379</v>
      </c>
      <c r="C6" s="35">
        <v>32</v>
      </c>
    </row>
    <row r="7" spans="1:3" ht="15">
      <c r="A7" s="114" t="s">
        <v>1380</v>
      </c>
      <c r="B7" s="114" t="s">
        <v>1378</v>
      </c>
      <c r="C7" s="35">
        <v>6</v>
      </c>
    </row>
    <row r="8" spans="1:3" ht="15">
      <c r="A8" s="114" t="s">
        <v>1380</v>
      </c>
      <c r="B8" s="114" t="s">
        <v>1380</v>
      </c>
      <c r="C8" s="35">
        <v>20</v>
      </c>
    </row>
    <row r="9" spans="1:3" ht="15">
      <c r="A9" s="114" t="s">
        <v>1381</v>
      </c>
      <c r="B9" s="114" t="s">
        <v>1380</v>
      </c>
      <c r="C9" s="35">
        <v>4</v>
      </c>
    </row>
    <row r="10" spans="1:3" ht="15">
      <c r="A10" s="114" t="s">
        <v>1381</v>
      </c>
      <c r="B10" s="114" t="s">
        <v>1381</v>
      </c>
      <c r="C10" s="35">
        <v>35</v>
      </c>
    </row>
    <row r="11" spans="1:3" ht="15">
      <c r="A11" s="114" t="s">
        <v>1382</v>
      </c>
      <c r="B11" s="114" t="s">
        <v>1382</v>
      </c>
      <c r="C11" s="35">
        <v>19</v>
      </c>
    </row>
    <row r="12" spans="1:3" ht="15">
      <c r="A12" s="114" t="s">
        <v>1383</v>
      </c>
      <c r="B12" s="114" t="s">
        <v>1378</v>
      </c>
      <c r="C12" s="35">
        <v>1</v>
      </c>
    </row>
    <row r="13" spans="1:3" ht="15">
      <c r="A13" s="114" t="s">
        <v>1383</v>
      </c>
      <c r="B13" s="114" t="s">
        <v>1380</v>
      </c>
      <c r="C13" s="35">
        <v>1</v>
      </c>
    </row>
    <row r="14" spans="1:3" ht="15">
      <c r="A14" s="114" t="s">
        <v>1383</v>
      </c>
      <c r="B14" s="114" t="s">
        <v>1383</v>
      </c>
      <c r="C14" s="35">
        <v>21</v>
      </c>
    </row>
    <row r="15" spans="1:3" ht="15">
      <c r="A15" s="114" t="s">
        <v>1383</v>
      </c>
      <c r="B15" s="114" t="s">
        <v>1386</v>
      </c>
      <c r="C15" s="35">
        <v>1</v>
      </c>
    </row>
    <row r="16" spans="1:3" ht="15">
      <c r="A16" s="114" t="s">
        <v>1384</v>
      </c>
      <c r="B16" s="114" t="s">
        <v>1378</v>
      </c>
      <c r="C16" s="35">
        <v>1</v>
      </c>
    </row>
    <row r="17" spans="1:3" ht="15">
      <c r="A17" s="114" t="s">
        <v>1384</v>
      </c>
      <c r="B17" s="114" t="s">
        <v>1384</v>
      </c>
      <c r="C17" s="35">
        <v>15</v>
      </c>
    </row>
    <row r="18" spans="1:3" ht="15">
      <c r="A18" s="114" t="s">
        <v>1385</v>
      </c>
      <c r="B18" s="114" t="s">
        <v>1385</v>
      </c>
      <c r="C18" s="35">
        <v>18</v>
      </c>
    </row>
    <row r="19" spans="1:3" ht="15">
      <c r="A19" s="114" t="s">
        <v>1386</v>
      </c>
      <c r="B19" s="114" t="s">
        <v>1378</v>
      </c>
      <c r="C19" s="35">
        <v>1</v>
      </c>
    </row>
    <row r="20" spans="1:3" ht="15">
      <c r="A20" s="114" t="s">
        <v>1386</v>
      </c>
      <c r="B20" s="114" t="s">
        <v>1386</v>
      </c>
      <c r="C20" s="35">
        <v>11</v>
      </c>
    </row>
    <row r="21" spans="1:3" ht="15">
      <c r="A21" s="114" t="s">
        <v>1387</v>
      </c>
      <c r="B21" s="114" t="s">
        <v>1387</v>
      </c>
      <c r="C21" s="35">
        <v>8</v>
      </c>
    </row>
    <row r="22" spans="1:3" ht="15">
      <c r="A22" s="114" t="s">
        <v>1388</v>
      </c>
      <c r="B22" s="114" t="s">
        <v>1388</v>
      </c>
      <c r="C22" s="35">
        <v>7</v>
      </c>
    </row>
    <row r="23" spans="1:3" ht="15">
      <c r="A23" s="114" t="s">
        <v>1389</v>
      </c>
      <c r="B23" s="114" t="s">
        <v>1389</v>
      </c>
      <c r="C23" s="35">
        <v>4</v>
      </c>
    </row>
    <row r="24" spans="1:3" ht="15">
      <c r="A24" s="114" t="s">
        <v>1390</v>
      </c>
      <c r="B24" s="114" t="s">
        <v>1390</v>
      </c>
      <c r="C24" s="35">
        <v>4</v>
      </c>
    </row>
    <row r="25" spans="1:3" ht="15">
      <c r="A25" s="114" t="s">
        <v>1391</v>
      </c>
      <c r="B25" s="114" t="s">
        <v>1391</v>
      </c>
      <c r="C25" s="35">
        <v>4</v>
      </c>
    </row>
    <row r="26" spans="1:3" ht="15">
      <c r="A26" s="114" t="s">
        <v>1392</v>
      </c>
      <c r="B26" s="114" t="s">
        <v>1392</v>
      </c>
      <c r="C26" s="35">
        <v>3</v>
      </c>
    </row>
    <row r="27" spans="1:3" ht="15">
      <c r="A27" s="114" t="s">
        <v>1393</v>
      </c>
      <c r="B27" s="114" t="s">
        <v>1393</v>
      </c>
      <c r="C27" s="35">
        <v>3</v>
      </c>
    </row>
    <row r="28" spans="1:3" ht="15">
      <c r="A28" s="114" t="s">
        <v>1394</v>
      </c>
      <c r="B28" s="114" t="s">
        <v>1394</v>
      </c>
      <c r="C28" s="35">
        <v>11</v>
      </c>
    </row>
    <row r="29" spans="1:3" ht="15">
      <c r="A29" s="114" t="s">
        <v>1395</v>
      </c>
      <c r="B29" s="114" t="s">
        <v>1378</v>
      </c>
      <c r="C29" s="35">
        <v>1</v>
      </c>
    </row>
    <row r="30" spans="1:3" ht="15">
      <c r="A30" s="114" t="s">
        <v>1395</v>
      </c>
      <c r="B30" s="114" t="s">
        <v>1395</v>
      </c>
      <c r="C30" s="35">
        <v>3</v>
      </c>
    </row>
    <row r="31" spans="1:3" ht="15">
      <c r="A31" s="114" t="s">
        <v>1396</v>
      </c>
      <c r="B31" s="114" t="s">
        <v>1396</v>
      </c>
      <c r="C31" s="35">
        <v>2</v>
      </c>
    </row>
    <row r="32" spans="1:3" ht="15">
      <c r="A32" s="114" t="s">
        <v>1397</v>
      </c>
      <c r="B32" s="114" t="s">
        <v>1397</v>
      </c>
      <c r="C32" s="35">
        <v>2</v>
      </c>
    </row>
    <row r="33" spans="1:3" ht="15">
      <c r="A33" s="114" t="s">
        <v>1398</v>
      </c>
      <c r="B33" s="114" t="s">
        <v>1398</v>
      </c>
      <c r="C33" s="35">
        <v>3</v>
      </c>
    </row>
    <row r="34" spans="1:3" ht="15">
      <c r="A34" s="114" t="s">
        <v>1399</v>
      </c>
      <c r="B34" s="114" t="s">
        <v>1378</v>
      </c>
      <c r="C34" s="35">
        <v>1</v>
      </c>
    </row>
    <row r="35" spans="1:3" ht="15">
      <c r="A35" s="114" t="s">
        <v>1399</v>
      </c>
      <c r="B35" s="114" t="s">
        <v>1399</v>
      </c>
      <c r="C35" s="35">
        <v>1</v>
      </c>
    </row>
    <row r="36" spans="1:3" ht="15">
      <c r="A36" s="114" t="s">
        <v>1400</v>
      </c>
      <c r="B36" s="114" t="s">
        <v>1400</v>
      </c>
      <c r="C36" s="35">
        <v>2</v>
      </c>
    </row>
    <row r="37" spans="1:3" ht="15">
      <c r="A37" s="114" t="s">
        <v>1401</v>
      </c>
      <c r="B37" s="114" t="s">
        <v>1401</v>
      </c>
      <c r="C37" s="35">
        <v>2</v>
      </c>
    </row>
    <row r="38" spans="1:3" ht="15">
      <c r="A38" s="114" t="s">
        <v>1402</v>
      </c>
      <c r="B38" s="114" t="s">
        <v>1402</v>
      </c>
      <c r="C38" s="35">
        <v>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FCE204-960A-41D9-B91B-206721BFA24D}">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2104</v>
      </c>
      <c r="B1" s="13" t="s">
        <v>17</v>
      </c>
    </row>
    <row r="2" spans="1:2" ht="15">
      <c r="A2" s="80" t="s">
        <v>2105</v>
      </c>
      <c r="B2" s="80"/>
    </row>
    <row r="3" spans="1:2" ht="15">
      <c r="A3" s="81" t="s">
        <v>2106</v>
      </c>
      <c r="B3" s="80"/>
    </row>
    <row r="4" spans="1:2" ht="15">
      <c r="A4" s="81" t="s">
        <v>2107</v>
      </c>
      <c r="B4" s="80"/>
    </row>
    <row r="5" spans="1:2" ht="15">
      <c r="A5" s="81" t="s">
        <v>2108</v>
      </c>
      <c r="B5" s="80"/>
    </row>
    <row r="6" spans="1:2" ht="15">
      <c r="A6" s="81" t="s">
        <v>2109</v>
      </c>
      <c r="B6" s="80"/>
    </row>
    <row r="7" spans="1:2" ht="15">
      <c r="A7" s="81" t="s">
        <v>2110</v>
      </c>
      <c r="B7" s="80"/>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8A1F9-E16D-43F6-BBE4-DC9B4D3A8AE3}">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2111</v>
      </c>
      <c r="B1" s="13" t="s">
        <v>34</v>
      </c>
    </row>
    <row r="2" spans="1:2" ht="15">
      <c r="A2" s="105" t="s">
        <v>369</v>
      </c>
      <c r="B2" s="80">
        <v>13864.166667</v>
      </c>
    </row>
    <row r="3" spans="1:2" ht="15">
      <c r="A3" s="108" t="s">
        <v>561</v>
      </c>
      <c r="B3" s="80">
        <v>6152.333333</v>
      </c>
    </row>
    <row r="4" spans="1:2" ht="15">
      <c r="A4" s="108" t="s">
        <v>517</v>
      </c>
      <c r="B4" s="80">
        <v>3786</v>
      </c>
    </row>
    <row r="5" spans="1:2" ht="15">
      <c r="A5" s="108" t="s">
        <v>450</v>
      </c>
      <c r="B5" s="80">
        <v>3415</v>
      </c>
    </row>
    <row r="6" spans="1:2" ht="15">
      <c r="A6" s="108" t="s">
        <v>497</v>
      </c>
      <c r="B6" s="80">
        <v>2160</v>
      </c>
    </row>
    <row r="7" spans="1:2" ht="15">
      <c r="A7" s="108" t="s">
        <v>358</v>
      </c>
      <c r="B7" s="80">
        <v>2000</v>
      </c>
    </row>
    <row r="8" spans="1:2" ht="15">
      <c r="A8" s="108" t="s">
        <v>430</v>
      </c>
      <c r="B8" s="80">
        <v>1990</v>
      </c>
    </row>
    <row r="9" spans="1:2" ht="15">
      <c r="A9" s="108" t="s">
        <v>512</v>
      </c>
      <c r="B9" s="80">
        <v>1675.333333</v>
      </c>
    </row>
    <row r="10" spans="1:2" ht="15">
      <c r="A10" s="108" t="s">
        <v>515</v>
      </c>
      <c r="B10" s="80">
        <v>1503.166667</v>
      </c>
    </row>
    <row r="11" spans="1:2" ht="15">
      <c r="A11" s="108" t="s">
        <v>516</v>
      </c>
      <c r="B11" s="80">
        <v>1503.166667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D59B0-C96A-4BE3-B0AF-DF64B8CF3B78}">
  <dimension ref="A1:V53"/>
  <sheetViews>
    <sheetView workbookViewId="0" topLeftCell="A1"/>
  </sheetViews>
  <sheetFormatPr defaultColWidth="9.140625" defaultRowHeight="15"/>
  <cols>
    <col min="1" max="1" width="41.7109375" style="0" customWidth="1"/>
    <col min="2" max="2" width="20.28125" style="0" bestFit="1" customWidth="1"/>
    <col min="3" max="3" width="31.7109375" style="0" customWidth="1"/>
    <col min="4" max="4" width="11.28125" style="0" bestFit="1" customWidth="1"/>
    <col min="5" max="5" width="31.7109375" style="0" customWidth="1"/>
    <col min="6" max="6" width="11.28125" style="0" bestFit="1" customWidth="1"/>
    <col min="7" max="7" width="31.7109375" style="0" customWidth="1"/>
    <col min="8" max="8" width="11.28125" style="0" bestFit="1" customWidth="1"/>
    <col min="9" max="9" width="31.7109375" style="0" customWidth="1"/>
    <col min="10" max="10" width="11.28125" style="0" bestFit="1" customWidth="1"/>
    <col min="11" max="11" width="31.7109375" style="0" customWidth="1"/>
    <col min="12" max="12" width="11.28125" style="0" bestFit="1" customWidth="1"/>
    <col min="13" max="13" width="31.7109375" style="0" customWidth="1"/>
    <col min="14" max="14" width="11.28125" style="0" bestFit="1" customWidth="1"/>
    <col min="15" max="15" width="31.7109375" style="0" customWidth="1"/>
    <col min="16" max="16" width="11.28125" style="0" bestFit="1" customWidth="1"/>
    <col min="17" max="17" width="31.7109375" style="0" customWidth="1"/>
    <col min="18" max="18" width="11.28125" style="0" bestFit="1" customWidth="1"/>
    <col min="19" max="19" width="31.7109375" style="0" customWidth="1"/>
    <col min="20" max="20" width="11.28125" style="0" bestFit="1" customWidth="1"/>
    <col min="21" max="21" width="32.7109375" style="0" customWidth="1"/>
    <col min="22" max="22" width="12.28125" style="0" bestFit="1" customWidth="1"/>
  </cols>
  <sheetData>
    <row r="1" spans="1:22" ht="15" customHeight="1">
      <c r="A1" s="13" t="s">
        <v>2112</v>
      </c>
      <c r="B1" s="13" t="s">
        <v>2123</v>
      </c>
      <c r="C1" s="13" t="s">
        <v>2124</v>
      </c>
      <c r="D1" s="13" t="s">
        <v>2130</v>
      </c>
      <c r="E1" s="80" t="s">
        <v>2129</v>
      </c>
      <c r="F1" s="80" t="s">
        <v>2132</v>
      </c>
      <c r="G1" s="13" t="s">
        <v>2131</v>
      </c>
      <c r="H1" s="13" t="s">
        <v>2134</v>
      </c>
      <c r="I1" s="13" t="s">
        <v>2133</v>
      </c>
      <c r="J1" s="13" t="s">
        <v>2139</v>
      </c>
      <c r="K1" s="13" t="s">
        <v>2138</v>
      </c>
      <c r="L1" s="13" t="s">
        <v>2146</v>
      </c>
      <c r="M1" s="80" t="s">
        <v>2145</v>
      </c>
      <c r="N1" s="80" t="s">
        <v>2148</v>
      </c>
      <c r="O1" s="80" t="s">
        <v>2147</v>
      </c>
      <c r="P1" s="80" t="s">
        <v>2150</v>
      </c>
      <c r="Q1" s="13" t="s">
        <v>2149</v>
      </c>
      <c r="R1" s="13" t="s">
        <v>2153</v>
      </c>
      <c r="S1" s="13" t="s">
        <v>2152</v>
      </c>
      <c r="T1" s="13" t="s">
        <v>2156</v>
      </c>
      <c r="U1" s="13" t="s">
        <v>2155</v>
      </c>
      <c r="V1" s="13" t="s">
        <v>2160</v>
      </c>
    </row>
    <row r="2" spans="1:22" ht="15">
      <c r="A2" s="85" t="s">
        <v>2113</v>
      </c>
      <c r="B2" s="80">
        <v>5</v>
      </c>
      <c r="C2" s="85" t="s">
        <v>2114</v>
      </c>
      <c r="D2" s="80">
        <v>4</v>
      </c>
      <c r="E2" s="80"/>
      <c r="F2" s="80"/>
      <c r="G2" s="85" t="s">
        <v>2113</v>
      </c>
      <c r="H2" s="80">
        <v>5</v>
      </c>
      <c r="I2" s="85" t="s">
        <v>2122</v>
      </c>
      <c r="J2" s="80">
        <v>2</v>
      </c>
      <c r="K2" s="85" t="s">
        <v>2140</v>
      </c>
      <c r="L2" s="80">
        <v>2</v>
      </c>
      <c r="M2" s="80"/>
      <c r="N2" s="80"/>
      <c r="O2" s="80"/>
      <c r="P2" s="80"/>
      <c r="Q2" s="85" t="s">
        <v>2151</v>
      </c>
      <c r="R2" s="80">
        <v>1</v>
      </c>
      <c r="S2" s="85" t="s">
        <v>2154</v>
      </c>
      <c r="T2" s="80">
        <v>1</v>
      </c>
      <c r="U2" s="85" t="s">
        <v>2157</v>
      </c>
      <c r="V2" s="80">
        <v>2</v>
      </c>
    </row>
    <row r="3" spans="1:22" ht="15">
      <c r="A3" s="86" t="s">
        <v>2114</v>
      </c>
      <c r="B3" s="80">
        <v>4</v>
      </c>
      <c r="C3" s="85" t="s">
        <v>2116</v>
      </c>
      <c r="D3" s="80">
        <v>2</v>
      </c>
      <c r="E3" s="80"/>
      <c r="F3" s="80"/>
      <c r="G3" s="85" t="s">
        <v>2115</v>
      </c>
      <c r="H3" s="80">
        <v>3</v>
      </c>
      <c r="I3" s="85" t="s">
        <v>2135</v>
      </c>
      <c r="J3" s="80">
        <v>2</v>
      </c>
      <c r="K3" s="85" t="s">
        <v>2141</v>
      </c>
      <c r="L3" s="80">
        <v>2</v>
      </c>
      <c r="M3" s="80"/>
      <c r="N3" s="80"/>
      <c r="O3" s="80"/>
      <c r="P3" s="80"/>
      <c r="Q3" s="80"/>
      <c r="R3" s="80"/>
      <c r="S3" s="80"/>
      <c r="T3" s="80"/>
      <c r="U3" s="85" t="s">
        <v>2158</v>
      </c>
      <c r="V3" s="80">
        <v>1</v>
      </c>
    </row>
    <row r="4" spans="1:22" ht="15">
      <c r="A4" s="86" t="s">
        <v>2115</v>
      </c>
      <c r="B4" s="80">
        <v>3</v>
      </c>
      <c r="C4" s="85" t="s">
        <v>2125</v>
      </c>
      <c r="D4" s="80">
        <v>2</v>
      </c>
      <c r="E4" s="80"/>
      <c r="F4" s="80"/>
      <c r="G4" s="85" t="s">
        <v>2120</v>
      </c>
      <c r="H4" s="80">
        <v>2</v>
      </c>
      <c r="I4" s="85" t="s">
        <v>2136</v>
      </c>
      <c r="J4" s="80">
        <v>2</v>
      </c>
      <c r="K4" s="85" t="s">
        <v>2142</v>
      </c>
      <c r="L4" s="80">
        <v>2</v>
      </c>
      <c r="M4" s="80"/>
      <c r="N4" s="80"/>
      <c r="O4" s="80"/>
      <c r="P4" s="80"/>
      <c r="Q4" s="80"/>
      <c r="R4" s="80"/>
      <c r="S4" s="80"/>
      <c r="T4" s="80"/>
      <c r="U4" s="85" t="s">
        <v>2159</v>
      </c>
      <c r="V4" s="80">
        <v>1</v>
      </c>
    </row>
    <row r="5" spans="1:22" ht="15">
      <c r="A5" s="86" t="s">
        <v>2116</v>
      </c>
      <c r="B5" s="80">
        <v>2</v>
      </c>
      <c r="C5" s="85" t="s">
        <v>2126</v>
      </c>
      <c r="D5" s="80">
        <v>2</v>
      </c>
      <c r="E5" s="80"/>
      <c r="F5" s="80"/>
      <c r="G5" s="80"/>
      <c r="H5" s="80"/>
      <c r="I5" s="85" t="s">
        <v>2137</v>
      </c>
      <c r="J5" s="80">
        <v>1</v>
      </c>
      <c r="K5" s="85" t="s">
        <v>2143</v>
      </c>
      <c r="L5" s="80">
        <v>1</v>
      </c>
      <c r="M5" s="80"/>
      <c r="N5" s="80"/>
      <c r="O5" s="80"/>
      <c r="P5" s="80"/>
      <c r="Q5" s="80"/>
      <c r="R5" s="80"/>
      <c r="S5" s="80"/>
      <c r="T5" s="80"/>
      <c r="U5" s="80"/>
      <c r="V5" s="80"/>
    </row>
    <row r="6" spans="1:22" ht="15">
      <c r="A6" s="86" t="s">
        <v>2117</v>
      </c>
      <c r="B6" s="80">
        <v>2</v>
      </c>
      <c r="C6" s="85" t="s">
        <v>2127</v>
      </c>
      <c r="D6" s="80">
        <v>2</v>
      </c>
      <c r="E6" s="80"/>
      <c r="F6" s="80"/>
      <c r="G6" s="80"/>
      <c r="H6" s="80"/>
      <c r="I6" s="80"/>
      <c r="J6" s="80"/>
      <c r="K6" s="85" t="s">
        <v>2144</v>
      </c>
      <c r="L6" s="80">
        <v>1</v>
      </c>
      <c r="M6" s="80"/>
      <c r="N6" s="80"/>
      <c r="O6" s="80"/>
      <c r="P6" s="80"/>
      <c r="Q6" s="80"/>
      <c r="R6" s="80"/>
      <c r="S6" s="80"/>
      <c r="T6" s="80"/>
      <c r="U6" s="80"/>
      <c r="V6" s="80"/>
    </row>
    <row r="7" spans="1:22" ht="15">
      <c r="A7" s="86" t="s">
        <v>2118</v>
      </c>
      <c r="B7" s="80">
        <v>2</v>
      </c>
      <c r="C7" s="85" t="s">
        <v>2121</v>
      </c>
      <c r="D7" s="80">
        <v>2</v>
      </c>
      <c r="E7" s="80"/>
      <c r="F7" s="80"/>
      <c r="G7" s="80"/>
      <c r="H7" s="80"/>
      <c r="I7" s="80"/>
      <c r="J7" s="80"/>
      <c r="K7" s="80"/>
      <c r="L7" s="80"/>
      <c r="M7" s="80"/>
      <c r="N7" s="80"/>
      <c r="O7" s="80"/>
      <c r="P7" s="80"/>
      <c r="Q7" s="80"/>
      <c r="R7" s="80"/>
      <c r="S7" s="80"/>
      <c r="T7" s="80"/>
      <c r="U7" s="80"/>
      <c r="V7" s="80"/>
    </row>
    <row r="8" spans="1:22" ht="15">
      <c r="A8" s="86" t="s">
        <v>2119</v>
      </c>
      <c r="B8" s="80">
        <v>2</v>
      </c>
      <c r="C8" s="85" t="s">
        <v>2119</v>
      </c>
      <c r="D8" s="80">
        <v>2</v>
      </c>
      <c r="E8" s="80"/>
      <c r="F8" s="80"/>
      <c r="G8" s="80"/>
      <c r="H8" s="80"/>
      <c r="I8" s="80"/>
      <c r="J8" s="80"/>
      <c r="K8" s="80"/>
      <c r="L8" s="80"/>
      <c r="M8" s="80"/>
      <c r="N8" s="80"/>
      <c r="O8" s="80"/>
      <c r="P8" s="80"/>
      <c r="Q8" s="80"/>
      <c r="R8" s="80"/>
      <c r="S8" s="80"/>
      <c r="T8" s="80"/>
      <c r="U8" s="80"/>
      <c r="V8" s="80"/>
    </row>
    <row r="9" spans="1:22" ht="15">
      <c r="A9" s="86" t="s">
        <v>2120</v>
      </c>
      <c r="B9" s="80">
        <v>2</v>
      </c>
      <c r="C9" s="85" t="s">
        <v>2118</v>
      </c>
      <c r="D9" s="80">
        <v>2</v>
      </c>
      <c r="E9" s="80"/>
      <c r="F9" s="80"/>
      <c r="G9" s="80"/>
      <c r="H9" s="80"/>
      <c r="I9" s="80"/>
      <c r="J9" s="80"/>
      <c r="K9" s="80"/>
      <c r="L9" s="80"/>
      <c r="M9" s="80"/>
      <c r="N9" s="80"/>
      <c r="O9" s="80"/>
      <c r="P9" s="80"/>
      <c r="Q9" s="80"/>
      <c r="R9" s="80"/>
      <c r="S9" s="80"/>
      <c r="T9" s="80"/>
      <c r="U9" s="80"/>
      <c r="V9" s="80"/>
    </row>
    <row r="10" spans="1:22" ht="15">
      <c r="A10" s="86" t="s">
        <v>2121</v>
      </c>
      <c r="B10" s="80">
        <v>2</v>
      </c>
      <c r="C10" s="85" t="s">
        <v>2117</v>
      </c>
      <c r="D10" s="80">
        <v>2</v>
      </c>
      <c r="E10" s="80"/>
      <c r="F10" s="80"/>
      <c r="G10" s="80"/>
      <c r="H10" s="80"/>
      <c r="I10" s="80"/>
      <c r="J10" s="80"/>
      <c r="K10" s="80"/>
      <c r="L10" s="80"/>
      <c r="M10" s="80"/>
      <c r="N10" s="80"/>
      <c r="O10" s="80"/>
      <c r="P10" s="80"/>
      <c r="Q10" s="80"/>
      <c r="R10" s="80"/>
      <c r="S10" s="80"/>
      <c r="T10" s="80"/>
      <c r="U10" s="80"/>
      <c r="V10" s="80"/>
    </row>
    <row r="11" spans="1:22" ht="15">
      <c r="A11" s="86" t="s">
        <v>2122</v>
      </c>
      <c r="B11" s="80">
        <v>2</v>
      </c>
      <c r="C11" s="85" t="s">
        <v>2128</v>
      </c>
      <c r="D11" s="80">
        <v>1</v>
      </c>
      <c r="E11" s="80"/>
      <c r="F11" s="80"/>
      <c r="G11" s="80"/>
      <c r="H11" s="80"/>
      <c r="I11" s="80"/>
      <c r="J11" s="80"/>
      <c r="K11" s="80"/>
      <c r="L11" s="80"/>
      <c r="M11" s="80"/>
      <c r="N11" s="80"/>
      <c r="O11" s="80"/>
      <c r="P11" s="80"/>
      <c r="Q11" s="80"/>
      <c r="R11" s="80"/>
      <c r="S11" s="80"/>
      <c r="T11" s="80"/>
      <c r="U11" s="80"/>
      <c r="V11" s="80"/>
    </row>
    <row r="14" spans="1:22" ht="15" customHeight="1">
      <c r="A14" s="13" t="s">
        <v>2170</v>
      </c>
      <c r="B14" s="13" t="s">
        <v>2123</v>
      </c>
      <c r="C14" s="13" t="s">
        <v>2176</v>
      </c>
      <c r="D14" s="13" t="s">
        <v>2130</v>
      </c>
      <c r="E14" s="80" t="s">
        <v>2178</v>
      </c>
      <c r="F14" s="80" t="s">
        <v>2132</v>
      </c>
      <c r="G14" s="13" t="s">
        <v>2179</v>
      </c>
      <c r="H14" s="13" t="s">
        <v>2134</v>
      </c>
      <c r="I14" s="13" t="s">
        <v>2180</v>
      </c>
      <c r="J14" s="13" t="s">
        <v>2139</v>
      </c>
      <c r="K14" s="13" t="s">
        <v>2181</v>
      </c>
      <c r="L14" s="13" t="s">
        <v>2146</v>
      </c>
      <c r="M14" s="80" t="s">
        <v>2183</v>
      </c>
      <c r="N14" s="80" t="s">
        <v>2148</v>
      </c>
      <c r="O14" s="80" t="s">
        <v>2184</v>
      </c>
      <c r="P14" s="80" t="s">
        <v>2150</v>
      </c>
      <c r="Q14" s="13" t="s">
        <v>2185</v>
      </c>
      <c r="R14" s="13" t="s">
        <v>2153</v>
      </c>
      <c r="S14" s="13" t="s">
        <v>2186</v>
      </c>
      <c r="T14" s="13" t="s">
        <v>2156</v>
      </c>
      <c r="U14" s="13" t="s">
        <v>2187</v>
      </c>
      <c r="V14" s="13" t="s">
        <v>2160</v>
      </c>
    </row>
    <row r="15" spans="1:22" ht="15">
      <c r="A15" s="80" t="s">
        <v>1221</v>
      </c>
      <c r="B15" s="80">
        <v>21</v>
      </c>
      <c r="C15" s="80" t="s">
        <v>2171</v>
      </c>
      <c r="D15" s="80">
        <v>6</v>
      </c>
      <c r="E15" s="80"/>
      <c r="F15" s="80"/>
      <c r="G15" s="80" t="s">
        <v>1221</v>
      </c>
      <c r="H15" s="80">
        <v>10</v>
      </c>
      <c r="I15" s="80" t="s">
        <v>1234</v>
      </c>
      <c r="J15" s="80">
        <v>3</v>
      </c>
      <c r="K15" s="80" t="s">
        <v>2172</v>
      </c>
      <c r="L15" s="80">
        <v>2</v>
      </c>
      <c r="M15" s="80"/>
      <c r="N15" s="80"/>
      <c r="O15" s="80"/>
      <c r="P15" s="80"/>
      <c r="Q15" s="80" t="s">
        <v>1225</v>
      </c>
      <c r="R15" s="80">
        <v>1</v>
      </c>
      <c r="S15" s="80" t="s">
        <v>1221</v>
      </c>
      <c r="T15" s="80">
        <v>1</v>
      </c>
      <c r="U15" s="80" t="s">
        <v>2174</v>
      </c>
      <c r="V15" s="80">
        <v>4</v>
      </c>
    </row>
    <row r="16" spans="1:22" ht="15">
      <c r="A16" s="81" t="s">
        <v>2171</v>
      </c>
      <c r="B16" s="80">
        <v>10</v>
      </c>
      <c r="C16" s="80" t="s">
        <v>1221</v>
      </c>
      <c r="D16" s="80">
        <v>6</v>
      </c>
      <c r="E16" s="80"/>
      <c r="F16" s="80"/>
      <c r="G16" s="80"/>
      <c r="H16" s="80"/>
      <c r="I16" s="80" t="s">
        <v>2173</v>
      </c>
      <c r="J16" s="80">
        <v>2</v>
      </c>
      <c r="K16" s="80" t="s">
        <v>2171</v>
      </c>
      <c r="L16" s="80">
        <v>2</v>
      </c>
      <c r="M16" s="80"/>
      <c r="N16" s="80"/>
      <c r="O16" s="80"/>
      <c r="P16" s="80"/>
      <c r="Q16" s="80"/>
      <c r="R16" s="80"/>
      <c r="S16" s="80"/>
      <c r="T16" s="80"/>
      <c r="U16" s="80"/>
      <c r="V16" s="80"/>
    </row>
    <row r="17" spans="1:22" ht="15">
      <c r="A17" s="81" t="s">
        <v>2172</v>
      </c>
      <c r="B17" s="80">
        <v>8</v>
      </c>
      <c r="C17" s="80" t="s">
        <v>2173</v>
      </c>
      <c r="D17" s="80">
        <v>5</v>
      </c>
      <c r="E17" s="80"/>
      <c r="F17" s="80"/>
      <c r="G17" s="80"/>
      <c r="H17" s="80"/>
      <c r="I17" s="80" t="s">
        <v>2172</v>
      </c>
      <c r="J17" s="80">
        <v>2</v>
      </c>
      <c r="K17" s="80" t="s">
        <v>2182</v>
      </c>
      <c r="L17" s="80">
        <v>2</v>
      </c>
      <c r="M17" s="80"/>
      <c r="N17" s="80"/>
      <c r="O17" s="80"/>
      <c r="P17" s="80"/>
      <c r="Q17" s="80"/>
      <c r="R17" s="80"/>
      <c r="S17" s="80"/>
      <c r="T17" s="80"/>
      <c r="U17" s="80"/>
      <c r="V17" s="80"/>
    </row>
    <row r="18" spans="1:22" ht="15">
      <c r="A18" s="81" t="s">
        <v>2173</v>
      </c>
      <c r="B18" s="80">
        <v>7</v>
      </c>
      <c r="C18" s="80" t="s">
        <v>1224</v>
      </c>
      <c r="D18" s="80">
        <v>2</v>
      </c>
      <c r="E18" s="80"/>
      <c r="F18" s="80"/>
      <c r="G18" s="80"/>
      <c r="H18" s="80"/>
      <c r="I18" s="80"/>
      <c r="J18" s="80"/>
      <c r="K18" s="80" t="s">
        <v>1221</v>
      </c>
      <c r="L18" s="80">
        <v>1</v>
      </c>
      <c r="M18" s="80"/>
      <c r="N18" s="80"/>
      <c r="O18" s="80"/>
      <c r="P18" s="80"/>
      <c r="Q18" s="80"/>
      <c r="R18" s="80"/>
      <c r="S18" s="80"/>
      <c r="T18" s="80"/>
      <c r="U18" s="80"/>
      <c r="V18" s="80"/>
    </row>
    <row r="19" spans="1:22" ht="15">
      <c r="A19" s="81" t="s">
        <v>2174</v>
      </c>
      <c r="B19" s="80">
        <v>5</v>
      </c>
      <c r="C19" s="80" t="s">
        <v>2177</v>
      </c>
      <c r="D19" s="80">
        <v>2</v>
      </c>
      <c r="E19" s="80"/>
      <c r="F19" s="80"/>
      <c r="G19" s="80"/>
      <c r="H19" s="80"/>
      <c r="I19" s="80"/>
      <c r="J19" s="80"/>
      <c r="K19" s="80" t="s">
        <v>2174</v>
      </c>
      <c r="L19" s="80">
        <v>1</v>
      </c>
      <c r="M19" s="80"/>
      <c r="N19" s="80"/>
      <c r="O19" s="80"/>
      <c r="P19" s="80"/>
      <c r="Q19" s="80"/>
      <c r="R19" s="80"/>
      <c r="S19" s="80"/>
      <c r="T19" s="80"/>
      <c r="U19" s="80"/>
      <c r="V19" s="80"/>
    </row>
    <row r="20" spans="1:22" ht="15">
      <c r="A20" s="81" t="s">
        <v>1234</v>
      </c>
      <c r="B20" s="80">
        <v>3</v>
      </c>
      <c r="C20" s="80" t="s">
        <v>2175</v>
      </c>
      <c r="D20" s="80">
        <v>2</v>
      </c>
      <c r="E20" s="80"/>
      <c r="F20" s="80"/>
      <c r="G20" s="80"/>
      <c r="H20" s="80"/>
      <c r="I20" s="80"/>
      <c r="J20" s="80"/>
      <c r="K20" s="80"/>
      <c r="L20" s="80"/>
      <c r="M20" s="80"/>
      <c r="N20" s="80"/>
      <c r="O20" s="80"/>
      <c r="P20" s="80"/>
      <c r="Q20" s="80"/>
      <c r="R20" s="80"/>
      <c r="S20" s="80"/>
      <c r="T20" s="80"/>
      <c r="U20" s="80"/>
      <c r="V20" s="80"/>
    </row>
    <row r="21" spans="1:22" ht="15">
      <c r="A21" s="81" t="s">
        <v>1225</v>
      </c>
      <c r="B21" s="80">
        <v>3</v>
      </c>
      <c r="C21" s="80" t="s">
        <v>1223</v>
      </c>
      <c r="D21" s="80">
        <v>1</v>
      </c>
      <c r="E21" s="80"/>
      <c r="F21" s="80"/>
      <c r="G21" s="80"/>
      <c r="H21" s="80"/>
      <c r="I21" s="80"/>
      <c r="J21" s="80"/>
      <c r="K21" s="80"/>
      <c r="L21" s="80"/>
      <c r="M21" s="80"/>
      <c r="N21" s="80"/>
      <c r="O21" s="80"/>
      <c r="P21" s="80"/>
      <c r="Q21" s="80"/>
      <c r="R21" s="80"/>
      <c r="S21" s="80"/>
      <c r="T21" s="80"/>
      <c r="U21" s="80"/>
      <c r="V21" s="80"/>
    </row>
    <row r="22" spans="1:22" ht="15">
      <c r="A22" s="81" t="s">
        <v>1223</v>
      </c>
      <c r="B22" s="80">
        <v>3</v>
      </c>
      <c r="C22" s="80"/>
      <c r="D22" s="80"/>
      <c r="E22" s="80"/>
      <c r="F22" s="80"/>
      <c r="G22" s="80"/>
      <c r="H22" s="80"/>
      <c r="I22" s="80"/>
      <c r="J22" s="80"/>
      <c r="K22" s="80"/>
      <c r="L22" s="80"/>
      <c r="M22" s="80"/>
      <c r="N22" s="80"/>
      <c r="O22" s="80"/>
      <c r="P22" s="80"/>
      <c r="Q22" s="80"/>
      <c r="R22" s="80"/>
      <c r="S22" s="80"/>
      <c r="T22" s="80"/>
      <c r="U22" s="80"/>
      <c r="V22" s="80"/>
    </row>
    <row r="23" spans="1:22" ht="15">
      <c r="A23" s="81" t="s">
        <v>1224</v>
      </c>
      <c r="B23" s="80">
        <v>2</v>
      </c>
      <c r="C23" s="80"/>
      <c r="D23" s="80"/>
      <c r="E23" s="80"/>
      <c r="F23" s="80"/>
      <c r="G23" s="80"/>
      <c r="H23" s="80"/>
      <c r="I23" s="80"/>
      <c r="J23" s="80"/>
      <c r="K23" s="80"/>
      <c r="L23" s="80"/>
      <c r="M23" s="80"/>
      <c r="N23" s="80"/>
      <c r="O23" s="80"/>
      <c r="P23" s="80"/>
      <c r="Q23" s="80"/>
      <c r="R23" s="80"/>
      <c r="S23" s="80"/>
      <c r="T23" s="80"/>
      <c r="U23" s="80"/>
      <c r="V23" s="80"/>
    </row>
    <row r="24" spans="1:22" ht="15">
      <c r="A24" s="81" t="s">
        <v>2175</v>
      </c>
      <c r="B24" s="80">
        <v>2</v>
      </c>
      <c r="C24" s="80"/>
      <c r="D24" s="80"/>
      <c r="E24" s="80"/>
      <c r="F24" s="80"/>
      <c r="G24" s="80"/>
      <c r="H24" s="80"/>
      <c r="I24" s="80"/>
      <c r="J24" s="80"/>
      <c r="K24" s="80"/>
      <c r="L24" s="80"/>
      <c r="M24" s="80"/>
      <c r="N24" s="80"/>
      <c r="O24" s="80"/>
      <c r="P24" s="80"/>
      <c r="Q24" s="80"/>
      <c r="R24" s="80"/>
      <c r="S24" s="80"/>
      <c r="T24" s="80"/>
      <c r="U24" s="80"/>
      <c r="V24" s="80"/>
    </row>
    <row r="27" spans="1:22" ht="15" customHeight="1">
      <c r="A27" s="80" t="s">
        <v>2194</v>
      </c>
      <c r="B27" s="80" t="s">
        <v>2123</v>
      </c>
      <c r="C27" s="80" t="s">
        <v>2195</v>
      </c>
      <c r="D27" s="80" t="s">
        <v>2130</v>
      </c>
      <c r="E27" s="80" t="s">
        <v>2196</v>
      </c>
      <c r="F27" s="80" t="s">
        <v>2132</v>
      </c>
      <c r="G27" s="80" t="s">
        <v>2197</v>
      </c>
      <c r="H27" s="80" t="s">
        <v>2134</v>
      </c>
      <c r="I27" s="80" t="s">
        <v>2198</v>
      </c>
      <c r="J27" s="80" t="s">
        <v>2139</v>
      </c>
      <c r="K27" s="80" t="s">
        <v>2199</v>
      </c>
      <c r="L27" s="80" t="s">
        <v>2146</v>
      </c>
      <c r="M27" s="80" t="s">
        <v>2200</v>
      </c>
      <c r="N27" s="80" t="s">
        <v>2148</v>
      </c>
      <c r="O27" s="80" t="s">
        <v>2201</v>
      </c>
      <c r="P27" s="80" t="s">
        <v>2150</v>
      </c>
      <c r="Q27" s="80" t="s">
        <v>2202</v>
      </c>
      <c r="R27" s="80" t="s">
        <v>2153</v>
      </c>
      <c r="S27" s="80" t="s">
        <v>2203</v>
      </c>
      <c r="T27" s="80" t="s">
        <v>2156</v>
      </c>
      <c r="U27" s="80" t="s">
        <v>2204</v>
      </c>
      <c r="V27" s="80" t="s">
        <v>2160</v>
      </c>
    </row>
    <row r="28" spans="1:22" ht="15">
      <c r="A28" s="80"/>
      <c r="B28" s="80"/>
      <c r="C28" s="80"/>
      <c r="D28" s="80"/>
      <c r="E28" s="80"/>
      <c r="F28" s="80"/>
      <c r="G28" s="80"/>
      <c r="H28" s="80"/>
      <c r="I28" s="80"/>
      <c r="J28" s="80"/>
      <c r="K28" s="80"/>
      <c r="L28" s="80"/>
      <c r="M28" s="80"/>
      <c r="N28" s="80"/>
      <c r="O28" s="80"/>
      <c r="P28" s="80"/>
      <c r="Q28" s="80"/>
      <c r="R28" s="80"/>
      <c r="S28" s="80"/>
      <c r="T28" s="80"/>
      <c r="U28" s="80"/>
      <c r="V28" s="80"/>
    </row>
    <row r="30" spans="1:22" ht="15" customHeight="1">
      <c r="A30" s="13" t="s">
        <v>2206</v>
      </c>
      <c r="B30" s="13" t="s">
        <v>2123</v>
      </c>
      <c r="C30" s="13" t="s">
        <v>2207</v>
      </c>
      <c r="D30" s="13" t="s">
        <v>2130</v>
      </c>
      <c r="E30" s="13" t="s">
        <v>2208</v>
      </c>
      <c r="F30" s="13" t="s">
        <v>2132</v>
      </c>
      <c r="G30" s="13" t="s">
        <v>2209</v>
      </c>
      <c r="H30" s="13" t="s">
        <v>2134</v>
      </c>
      <c r="I30" s="13" t="s">
        <v>2210</v>
      </c>
      <c r="J30" s="13" t="s">
        <v>2139</v>
      </c>
      <c r="K30" s="13" t="s">
        <v>2211</v>
      </c>
      <c r="L30" s="13" t="s">
        <v>2146</v>
      </c>
      <c r="M30" s="13" t="s">
        <v>2212</v>
      </c>
      <c r="N30" s="13" t="s">
        <v>2148</v>
      </c>
      <c r="O30" s="13" t="s">
        <v>2213</v>
      </c>
      <c r="P30" s="13" t="s">
        <v>2150</v>
      </c>
      <c r="Q30" s="13" t="s">
        <v>2214</v>
      </c>
      <c r="R30" s="13" t="s">
        <v>2153</v>
      </c>
      <c r="S30" s="13" t="s">
        <v>2215</v>
      </c>
      <c r="T30" s="13" t="s">
        <v>2156</v>
      </c>
      <c r="U30" s="13" t="s">
        <v>2216</v>
      </c>
      <c r="V30" s="13" t="s">
        <v>2160</v>
      </c>
    </row>
    <row r="31" spans="1:22" ht="15">
      <c r="A31" s="83" t="s">
        <v>1428</v>
      </c>
      <c r="B31" s="83">
        <v>121</v>
      </c>
      <c r="C31" s="83" t="s">
        <v>1428</v>
      </c>
      <c r="D31" s="83">
        <v>68</v>
      </c>
      <c r="E31" s="83" t="s">
        <v>1455</v>
      </c>
      <c r="F31" s="83">
        <v>2</v>
      </c>
      <c r="G31" s="83" t="s">
        <v>1444</v>
      </c>
      <c r="H31" s="83">
        <v>10</v>
      </c>
      <c r="I31" s="83" t="s">
        <v>1439</v>
      </c>
      <c r="J31" s="83">
        <v>14</v>
      </c>
      <c r="K31" s="83" t="s">
        <v>1443</v>
      </c>
      <c r="L31" s="83">
        <v>11</v>
      </c>
      <c r="M31" s="83" t="s">
        <v>1428</v>
      </c>
      <c r="N31" s="83">
        <v>8</v>
      </c>
      <c r="O31" s="83" t="s">
        <v>1436</v>
      </c>
      <c r="P31" s="83">
        <v>6</v>
      </c>
      <c r="Q31" s="83" t="s">
        <v>1526</v>
      </c>
      <c r="R31" s="83">
        <v>7</v>
      </c>
      <c r="S31" s="83" t="s">
        <v>1437</v>
      </c>
      <c r="T31" s="83">
        <v>4</v>
      </c>
      <c r="U31" s="83" t="s">
        <v>1428</v>
      </c>
      <c r="V31" s="83">
        <v>6</v>
      </c>
    </row>
    <row r="32" spans="1:22" ht="15">
      <c r="A32" s="84" t="s">
        <v>1429</v>
      </c>
      <c r="B32" s="83">
        <v>60</v>
      </c>
      <c r="C32" s="83" t="s">
        <v>1430</v>
      </c>
      <c r="D32" s="83">
        <v>42</v>
      </c>
      <c r="E32" s="83"/>
      <c r="F32" s="83"/>
      <c r="G32" s="83" t="s">
        <v>1453</v>
      </c>
      <c r="H32" s="83">
        <v>10</v>
      </c>
      <c r="I32" s="83" t="s">
        <v>1468</v>
      </c>
      <c r="J32" s="83">
        <v>10</v>
      </c>
      <c r="K32" s="83" t="s">
        <v>1490</v>
      </c>
      <c r="L32" s="83">
        <v>9</v>
      </c>
      <c r="M32" s="83" t="s">
        <v>1429</v>
      </c>
      <c r="N32" s="83">
        <v>5</v>
      </c>
      <c r="O32" s="83" t="s">
        <v>1517</v>
      </c>
      <c r="P32" s="83">
        <v>6</v>
      </c>
      <c r="Q32" s="83" t="s">
        <v>1428</v>
      </c>
      <c r="R32" s="83">
        <v>7</v>
      </c>
      <c r="S32" s="83" t="s">
        <v>1580</v>
      </c>
      <c r="T32" s="83">
        <v>4</v>
      </c>
      <c r="U32" s="83" t="s">
        <v>1546</v>
      </c>
      <c r="V32" s="83">
        <v>4</v>
      </c>
    </row>
    <row r="33" spans="1:22" ht="15">
      <c r="A33" s="84" t="s">
        <v>1430</v>
      </c>
      <c r="B33" s="83">
        <v>58</v>
      </c>
      <c r="C33" s="83" t="s">
        <v>1429</v>
      </c>
      <c r="D33" s="83">
        <v>41</v>
      </c>
      <c r="E33" s="83"/>
      <c r="F33" s="83"/>
      <c r="G33" s="83" t="s">
        <v>1428</v>
      </c>
      <c r="H33" s="83">
        <v>6</v>
      </c>
      <c r="I33" s="83" t="s">
        <v>1473</v>
      </c>
      <c r="J33" s="83">
        <v>8</v>
      </c>
      <c r="K33" s="83" t="s">
        <v>1543</v>
      </c>
      <c r="L33" s="83">
        <v>6</v>
      </c>
      <c r="M33" s="83" t="s">
        <v>1437</v>
      </c>
      <c r="N33" s="83">
        <v>4</v>
      </c>
      <c r="O33" s="83" t="s">
        <v>1428</v>
      </c>
      <c r="P33" s="83">
        <v>4</v>
      </c>
      <c r="Q33" s="83" t="s">
        <v>1550</v>
      </c>
      <c r="R33" s="83">
        <v>6</v>
      </c>
      <c r="S33" s="83" t="s">
        <v>1478</v>
      </c>
      <c r="T33" s="83">
        <v>4</v>
      </c>
      <c r="U33" s="83" t="s">
        <v>1734</v>
      </c>
      <c r="V33" s="83">
        <v>3</v>
      </c>
    </row>
    <row r="34" spans="1:22" ht="15">
      <c r="A34" s="84" t="s">
        <v>1431</v>
      </c>
      <c r="B34" s="83">
        <v>44</v>
      </c>
      <c r="C34" s="83" t="s">
        <v>1431</v>
      </c>
      <c r="D34" s="83">
        <v>28</v>
      </c>
      <c r="E34" s="83"/>
      <c r="F34" s="83"/>
      <c r="G34" s="83" t="s">
        <v>1432</v>
      </c>
      <c r="H34" s="83">
        <v>6</v>
      </c>
      <c r="I34" s="83" t="s">
        <v>1482</v>
      </c>
      <c r="J34" s="83">
        <v>7</v>
      </c>
      <c r="K34" s="83" t="s">
        <v>1581</v>
      </c>
      <c r="L34" s="83">
        <v>5</v>
      </c>
      <c r="M34" s="83" t="s">
        <v>1632</v>
      </c>
      <c r="N34" s="83">
        <v>4</v>
      </c>
      <c r="O34" s="83" t="s">
        <v>1515</v>
      </c>
      <c r="P34" s="83">
        <v>4</v>
      </c>
      <c r="Q34" s="83" t="s">
        <v>1549</v>
      </c>
      <c r="R34" s="83">
        <v>5</v>
      </c>
      <c r="S34" s="83" t="s">
        <v>1644</v>
      </c>
      <c r="T34" s="83">
        <v>4</v>
      </c>
      <c r="U34" s="83" t="s">
        <v>1535</v>
      </c>
      <c r="V34" s="83">
        <v>2</v>
      </c>
    </row>
    <row r="35" spans="1:22" ht="15">
      <c r="A35" s="84" t="s">
        <v>1432</v>
      </c>
      <c r="B35" s="83">
        <v>33</v>
      </c>
      <c r="C35" s="83" t="s">
        <v>1433</v>
      </c>
      <c r="D35" s="83">
        <v>23</v>
      </c>
      <c r="E35" s="83"/>
      <c r="F35" s="83"/>
      <c r="G35" s="83" t="s">
        <v>1573</v>
      </c>
      <c r="H35" s="83">
        <v>5</v>
      </c>
      <c r="I35" s="83" t="s">
        <v>1509</v>
      </c>
      <c r="J35" s="83">
        <v>7</v>
      </c>
      <c r="K35" s="83" t="s">
        <v>1633</v>
      </c>
      <c r="L35" s="83">
        <v>4</v>
      </c>
      <c r="M35" s="83" t="s">
        <v>1507</v>
      </c>
      <c r="N35" s="83">
        <v>3</v>
      </c>
      <c r="O35" s="83" t="s">
        <v>1516</v>
      </c>
      <c r="P35" s="83">
        <v>4</v>
      </c>
      <c r="Q35" s="83" t="s">
        <v>1583</v>
      </c>
      <c r="R35" s="83">
        <v>5</v>
      </c>
      <c r="S35" s="83" t="s">
        <v>1645</v>
      </c>
      <c r="T35" s="83">
        <v>4</v>
      </c>
      <c r="U35" s="83" t="s">
        <v>1437</v>
      </c>
      <c r="V35" s="83">
        <v>2</v>
      </c>
    </row>
    <row r="36" spans="1:22" ht="15">
      <c r="A36" s="84" t="s">
        <v>1433</v>
      </c>
      <c r="B36" s="83">
        <v>30</v>
      </c>
      <c r="C36" s="83" t="s">
        <v>1435</v>
      </c>
      <c r="D36" s="83">
        <v>23</v>
      </c>
      <c r="E36" s="83"/>
      <c r="F36" s="83"/>
      <c r="G36" s="83" t="s">
        <v>1574</v>
      </c>
      <c r="H36" s="83">
        <v>5</v>
      </c>
      <c r="I36" s="83" t="s">
        <v>1461</v>
      </c>
      <c r="J36" s="83">
        <v>7</v>
      </c>
      <c r="K36" s="83" t="s">
        <v>1634</v>
      </c>
      <c r="L36" s="83">
        <v>4</v>
      </c>
      <c r="M36" s="83" t="s">
        <v>1638</v>
      </c>
      <c r="N36" s="83">
        <v>3</v>
      </c>
      <c r="O36" s="83" t="s">
        <v>1496</v>
      </c>
      <c r="P36" s="83">
        <v>4</v>
      </c>
      <c r="Q36" s="83" t="s">
        <v>1584</v>
      </c>
      <c r="R36" s="83">
        <v>5</v>
      </c>
      <c r="S36" s="83" t="s">
        <v>1507</v>
      </c>
      <c r="T36" s="83">
        <v>4</v>
      </c>
      <c r="U36" s="83" t="s">
        <v>1965</v>
      </c>
      <c r="V36" s="83">
        <v>2</v>
      </c>
    </row>
    <row r="37" spans="1:22" ht="15">
      <c r="A37" s="84" t="s">
        <v>1434</v>
      </c>
      <c r="B37" s="83">
        <v>28</v>
      </c>
      <c r="C37" s="83" t="s">
        <v>1432</v>
      </c>
      <c r="D37" s="83">
        <v>19</v>
      </c>
      <c r="E37" s="83"/>
      <c r="F37" s="83"/>
      <c r="G37" s="83" t="s">
        <v>1434</v>
      </c>
      <c r="H37" s="83">
        <v>4</v>
      </c>
      <c r="I37" s="83" t="s">
        <v>1483</v>
      </c>
      <c r="J37" s="83">
        <v>7</v>
      </c>
      <c r="K37" s="83" t="s">
        <v>1635</v>
      </c>
      <c r="L37" s="83">
        <v>4</v>
      </c>
      <c r="M37" s="83" t="s">
        <v>2052</v>
      </c>
      <c r="N37" s="83">
        <v>2</v>
      </c>
      <c r="O37" s="83" t="s">
        <v>1562</v>
      </c>
      <c r="P37" s="83">
        <v>4</v>
      </c>
      <c r="Q37" s="83" t="s">
        <v>1641</v>
      </c>
      <c r="R37" s="83">
        <v>4</v>
      </c>
      <c r="S37" s="83" t="s">
        <v>1445</v>
      </c>
      <c r="T37" s="83">
        <v>3</v>
      </c>
      <c r="U37" s="83" t="s">
        <v>1540</v>
      </c>
      <c r="V37" s="83">
        <v>2</v>
      </c>
    </row>
    <row r="38" spans="1:22" ht="15">
      <c r="A38" s="84" t="s">
        <v>1435</v>
      </c>
      <c r="B38" s="83">
        <v>28</v>
      </c>
      <c r="C38" s="83" t="s">
        <v>1438</v>
      </c>
      <c r="D38" s="83">
        <v>17</v>
      </c>
      <c r="E38" s="83"/>
      <c r="F38" s="83"/>
      <c r="G38" s="83" t="s">
        <v>1431</v>
      </c>
      <c r="H38" s="83">
        <v>4</v>
      </c>
      <c r="I38" s="83" t="s">
        <v>1510</v>
      </c>
      <c r="J38" s="83">
        <v>7</v>
      </c>
      <c r="K38" s="83" t="s">
        <v>1441</v>
      </c>
      <c r="L38" s="83">
        <v>4</v>
      </c>
      <c r="M38" s="83" t="s">
        <v>1497</v>
      </c>
      <c r="N38" s="83">
        <v>2</v>
      </c>
      <c r="O38" s="83" t="s">
        <v>1454</v>
      </c>
      <c r="P38" s="83">
        <v>3</v>
      </c>
      <c r="Q38" s="83" t="s">
        <v>1739</v>
      </c>
      <c r="R38" s="83">
        <v>3</v>
      </c>
      <c r="S38" s="83" t="s">
        <v>1514</v>
      </c>
      <c r="T38" s="83">
        <v>2</v>
      </c>
      <c r="U38" s="83"/>
      <c r="V38" s="83"/>
    </row>
    <row r="39" spans="1:22" ht="15">
      <c r="A39" s="84" t="s">
        <v>1436</v>
      </c>
      <c r="B39" s="83">
        <v>28</v>
      </c>
      <c r="C39" s="83" t="s">
        <v>1440</v>
      </c>
      <c r="D39" s="83">
        <v>15</v>
      </c>
      <c r="E39" s="83"/>
      <c r="F39" s="83"/>
      <c r="G39" s="83" t="s">
        <v>1436</v>
      </c>
      <c r="H39" s="83">
        <v>4</v>
      </c>
      <c r="I39" s="83" t="s">
        <v>1428</v>
      </c>
      <c r="J39" s="83">
        <v>7</v>
      </c>
      <c r="K39" s="83" t="s">
        <v>1488</v>
      </c>
      <c r="L39" s="83">
        <v>4</v>
      </c>
      <c r="M39" s="83" t="s">
        <v>2053</v>
      </c>
      <c r="N39" s="83">
        <v>2</v>
      </c>
      <c r="O39" s="83" t="s">
        <v>1445</v>
      </c>
      <c r="P39" s="83">
        <v>3</v>
      </c>
      <c r="Q39" s="83" t="s">
        <v>1740</v>
      </c>
      <c r="R39" s="83">
        <v>3</v>
      </c>
      <c r="S39" s="83" t="s">
        <v>1473</v>
      </c>
      <c r="T39" s="83">
        <v>2</v>
      </c>
      <c r="U39" s="83"/>
      <c r="V39" s="83"/>
    </row>
    <row r="40" spans="1:22" ht="15">
      <c r="A40" s="84" t="s">
        <v>1437</v>
      </c>
      <c r="B40" s="83">
        <v>26</v>
      </c>
      <c r="C40" s="83" t="s">
        <v>1434</v>
      </c>
      <c r="D40" s="83">
        <v>15</v>
      </c>
      <c r="E40" s="83"/>
      <c r="F40" s="83"/>
      <c r="G40" s="83" t="s">
        <v>1447</v>
      </c>
      <c r="H40" s="83">
        <v>4</v>
      </c>
      <c r="I40" s="83" t="s">
        <v>1475</v>
      </c>
      <c r="J40" s="83">
        <v>6</v>
      </c>
      <c r="K40" s="83" t="s">
        <v>1637</v>
      </c>
      <c r="L40" s="83">
        <v>4</v>
      </c>
      <c r="M40" s="83" t="s">
        <v>1630</v>
      </c>
      <c r="N40" s="83">
        <v>2</v>
      </c>
      <c r="O40" s="83" t="s">
        <v>1588</v>
      </c>
      <c r="P40" s="83">
        <v>2</v>
      </c>
      <c r="Q40" s="83" t="s">
        <v>1741</v>
      </c>
      <c r="R40" s="83">
        <v>3</v>
      </c>
      <c r="S40" s="83" t="s">
        <v>1754</v>
      </c>
      <c r="T40" s="83">
        <v>2</v>
      </c>
      <c r="U40" s="83"/>
      <c r="V40" s="83"/>
    </row>
    <row r="43" spans="1:22" ht="15" customHeight="1">
      <c r="A43" s="13" t="s">
        <v>2234</v>
      </c>
      <c r="B43" s="13" t="s">
        <v>2123</v>
      </c>
      <c r="C43" s="13" t="s">
        <v>2245</v>
      </c>
      <c r="D43" s="13" t="s">
        <v>2130</v>
      </c>
      <c r="E43" s="80" t="s">
        <v>2250</v>
      </c>
      <c r="F43" s="80" t="s">
        <v>2132</v>
      </c>
      <c r="G43" s="13" t="s">
        <v>2251</v>
      </c>
      <c r="H43" s="13" t="s">
        <v>2134</v>
      </c>
      <c r="I43" s="13" t="s">
        <v>2261</v>
      </c>
      <c r="J43" s="13" t="s">
        <v>2139</v>
      </c>
      <c r="K43" s="13" t="s">
        <v>2270</v>
      </c>
      <c r="L43" s="13" t="s">
        <v>2146</v>
      </c>
      <c r="M43" s="13" t="s">
        <v>2280</v>
      </c>
      <c r="N43" s="13" t="s">
        <v>2148</v>
      </c>
      <c r="O43" s="13" t="s">
        <v>2284</v>
      </c>
      <c r="P43" s="13" t="s">
        <v>2150</v>
      </c>
      <c r="Q43" s="13" t="s">
        <v>2291</v>
      </c>
      <c r="R43" s="13" t="s">
        <v>2153</v>
      </c>
      <c r="S43" s="13" t="s">
        <v>2302</v>
      </c>
      <c r="T43" s="13" t="s">
        <v>2156</v>
      </c>
      <c r="U43" s="13" t="s">
        <v>2313</v>
      </c>
      <c r="V43" s="13" t="s">
        <v>2160</v>
      </c>
    </row>
    <row r="44" spans="1:22" ht="15">
      <c r="A44" s="83" t="s">
        <v>2235</v>
      </c>
      <c r="B44" s="83">
        <v>15</v>
      </c>
      <c r="C44" s="83" t="s">
        <v>2236</v>
      </c>
      <c r="D44" s="83">
        <v>11</v>
      </c>
      <c r="E44" s="83"/>
      <c r="F44" s="83"/>
      <c r="G44" s="83" t="s">
        <v>2235</v>
      </c>
      <c r="H44" s="83">
        <v>10</v>
      </c>
      <c r="I44" s="83" t="s">
        <v>2243</v>
      </c>
      <c r="J44" s="83">
        <v>7</v>
      </c>
      <c r="K44" s="83" t="s">
        <v>2239</v>
      </c>
      <c r="L44" s="83">
        <v>4</v>
      </c>
      <c r="M44" s="83" t="s">
        <v>2281</v>
      </c>
      <c r="N44" s="83">
        <v>3</v>
      </c>
      <c r="O44" s="83" t="s">
        <v>2285</v>
      </c>
      <c r="P44" s="83">
        <v>4</v>
      </c>
      <c r="Q44" s="83" t="s">
        <v>2292</v>
      </c>
      <c r="R44" s="83">
        <v>3</v>
      </c>
      <c r="S44" s="83" t="s">
        <v>2303</v>
      </c>
      <c r="T44" s="83">
        <v>4</v>
      </c>
      <c r="U44" s="83" t="s">
        <v>2314</v>
      </c>
      <c r="V44" s="83">
        <v>3</v>
      </c>
    </row>
    <row r="45" spans="1:22" ht="15">
      <c r="A45" s="84" t="s">
        <v>2236</v>
      </c>
      <c r="B45" s="83">
        <v>14</v>
      </c>
      <c r="C45" s="83" t="s">
        <v>2241</v>
      </c>
      <c r="D45" s="83">
        <v>8</v>
      </c>
      <c r="E45" s="83"/>
      <c r="F45" s="83"/>
      <c r="G45" s="83" t="s">
        <v>2252</v>
      </c>
      <c r="H45" s="83">
        <v>5</v>
      </c>
      <c r="I45" s="83" t="s">
        <v>2244</v>
      </c>
      <c r="J45" s="83">
        <v>7</v>
      </c>
      <c r="K45" s="83" t="s">
        <v>2271</v>
      </c>
      <c r="L45" s="83">
        <v>2</v>
      </c>
      <c r="M45" s="83" t="s">
        <v>2282</v>
      </c>
      <c r="N45" s="83">
        <v>2</v>
      </c>
      <c r="O45" s="83" t="s">
        <v>2286</v>
      </c>
      <c r="P45" s="83">
        <v>2</v>
      </c>
      <c r="Q45" s="83" t="s">
        <v>2293</v>
      </c>
      <c r="R45" s="83">
        <v>2</v>
      </c>
      <c r="S45" s="83" t="s">
        <v>2304</v>
      </c>
      <c r="T45" s="83">
        <v>2</v>
      </c>
      <c r="U45" s="83" t="s">
        <v>2315</v>
      </c>
      <c r="V45" s="83">
        <v>2</v>
      </c>
    </row>
    <row r="46" spans="1:22" ht="15">
      <c r="A46" s="84" t="s">
        <v>2237</v>
      </c>
      <c r="B46" s="83">
        <v>10</v>
      </c>
      <c r="C46" s="83" t="s">
        <v>2240</v>
      </c>
      <c r="D46" s="83">
        <v>7</v>
      </c>
      <c r="E46" s="83"/>
      <c r="F46" s="83"/>
      <c r="G46" s="83" t="s">
        <v>2253</v>
      </c>
      <c r="H46" s="83">
        <v>5</v>
      </c>
      <c r="I46" s="83" t="s">
        <v>2262</v>
      </c>
      <c r="J46" s="83">
        <v>7</v>
      </c>
      <c r="K46" s="83" t="s">
        <v>2272</v>
      </c>
      <c r="L46" s="83">
        <v>2</v>
      </c>
      <c r="M46" s="83" t="s">
        <v>2283</v>
      </c>
      <c r="N46" s="83">
        <v>2</v>
      </c>
      <c r="O46" s="83" t="s">
        <v>2287</v>
      </c>
      <c r="P46" s="83">
        <v>2</v>
      </c>
      <c r="Q46" s="83" t="s">
        <v>2294</v>
      </c>
      <c r="R46" s="83">
        <v>2</v>
      </c>
      <c r="S46" s="83" t="s">
        <v>2305</v>
      </c>
      <c r="T46" s="83">
        <v>2</v>
      </c>
      <c r="U46" s="83" t="s">
        <v>2316</v>
      </c>
      <c r="V46" s="83">
        <v>2</v>
      </c>
    </row>
    <row r="47" spans="1:22" ht="15">
      <c r="A47" s="84" t="s">
        <v>2238</v>
      </c>
      <c r="B47" s="83">
        <v>10</v>
      </c>
      <c r="C47" s="83" t="s">
        <v>2242</v>
      </c>
      <c r="D47" s="83">
        <v>6</v>
      </c>
      <c r="E47" s="83"/>
      <c r="F47" s="83"/>
      <c r="G47" s="83" t="s">
        <v>2254</v>
      </c>
      <c r="H47" s="83">
        <v>3</v>
      </c>
      <c r="I47" s="83" t="s">
        <v>2263</v>
      </c>
      <c r="J47" s="83">
        <v>6</v>
      </c>
      <c r="K47" s="83" t="s">
        <v>2273</v>
      </c>
      <c r="L47" s="83">
        <v>2</v>
      </c>
      <c r="M47" s="83"/>
      <c r="N47" s="83"/>
      <c r="O47" s="83" t="s">
        <v>2288</v>
      </c>
      <c r="P47" s="83">
        <v>2</v>
      </c>
      <c r="Q47" s="83" t="s">
        <v>2295</v>
      </c>
      <c r="R47" s="83">
        <v>2</v>
      </c>
      <c r="S47" s="83" t="s">
        <v>2306</v>
      </c>
      <c r="T47" s="83">
        <v>2</v>
      </c>
      <c r="U47" s="83" t="s">
        <v>2317</v>
      </c>
      <c r="V47" s="83">
        <v>2</v>
      </c>
    </row>
    <row r="48" spans="1:22" ht="15">
      <c r="A48" s="84" t="s">
        <v>2239</v>
      </c>
      <c r="B48" s="83">
        <v>9</v>
      </c>
      <c r="C48" s="83" t="s">
        <v>2237</v>
      </c>
      <c r="D48" s="83">
        <v>6</v>
      </c>
      <c r="E48" s="83"/>
      <c r="F48" s="83"/>
      <c r="G48" s="83" t="s">
        <v>2255</v>
      </c>
      <c r="H48" s="83">
        <v>3</v>
      </c>
      <c r="I48" s="83" t="s">
        <v>2264</v>
      </c>
      <c r="J48" s="83">
        <v>6</v>
      </c>
      <c r="K48" s="83" t="s">
        <v>2274</v>
      </c>
      <c r="L48" s="83">
        <v>2</v>
      </c>
      <c r="M48" s="83"/>
      <c r="N48" s="83"/>
      <c r="O48" s="83" t="s">
        <v>2289</v>
      </c>
      <c r="P48" s="83">
        <v>2</v>
      </c>
      <c r="Q48" s="83" t="s">
        <v>2296</v>
      </c>
      <c r="R48" s="83">
        <v>2</v>
      </c>
      <c r="S48" s="83" t="s">
        <v>2307</v>
      </c>
      <c r="T48" s="83">
        <v>2</v>
      </c>
      <c r="U48" s="83"/>
      <c r="V48" s="83"/>
    </row>
    <row r="49" spans="1:22" ht="15">
      <c r="A49" s="84" t="s">
        <v>2240</v>
      </c>
      <c r="B49" s="83">
        <v>8</v>
      </c>
      <c r="C49" s="83" t="s">
        <v>2238</v>
      </c>
      <c r="D49" s="83">
        <v>6</v>
      </c>
      <c r="E49" s="83"/>
      <c r="F49" s="83"/>
      <c r="G49" s="83" t="s">
        <v>2256</v>
      </c>
      <c r="H49" s="83">
        <v>3</v>
      </c>
      <c r="I49" s="83" t="s">
        <v>2265</v>
      </c>
      <c r="J49" s="83">
        <v>6</v>
      </c>
      <c r="K49" s="83" t="s">
        <v>2275</v>
      </c>
      <c r="L49" s="83">
        <v>2</v>
      </c>
      <c r="M49" s="83"/>
      <c r="N49" s="83"/>
      <c r="O49" s="83" t="s">
        <v>2290</v>
      </c>
      <c r="P49" s="83">
        <v>2</v>
      </c>
      <c r="Q49" s="83" t="s">
        <v>2297</v>
      </c>
      <c r="R49" s="83">
        <v>2</v>
      </c>
      <c r="S49" s="83" t="s">
        <v>2308</v>
      </c>
      <c r="T49" s="83">
        <v>2</v>
      </c>
      <c r="U49" s="83"/>
      <c r="V49" s="83"/>
    </row>
    <row r="50" spans="1:22" ht="15">
      <c r="A50" s="84" t="s">
        <v>2241</v>
      </c>
      <c r="B50" s="83">
        <v>8</v>
      </c>
      <c r="C50" s="83" t="s">
        <v>2246</v>
      </c>
      <c r="D50" s="83">
        <v>6</v>
      </c>
      <c r="E50" s="83"/>
      <c r="F50" s="83"/>
      <c r="G50" s="83" t="s">
        <v>2257</v>
      </c>
      <c r="H50" s="83">
        <v>3</v>
      </c>
      <c r="I50" s="83" t="s">
        <v>2266</v>
      </c>
      <c r="J50" s="83">
        <v>6</v>
      </c>
      <c r="K50" s="83" t="s">
        <v>2276</v>
      </c>
      <c r="L50" s="83">
        <v>2</v>
      </c>
      <c r="M50" s="83"/>
      <c r="N50" s="83"/>
      <c r="O50" s="83"/>
      <c r="P50" s="83"/>
      <c r="Q50" s="83" t="s">
        <v>2298</v>
      </c>
      <c r="R50" s="83">
        <v>2</v>
      </c>
      <c r="S50" s="83" t="s">
        <v>2309</v>
      </c>
      <c r="T50" s="83">
        <v>2</v>
      </c>
      <c r="U50" s="83"/>
      <c r="V50" s="83"/>
    </row>
    <row r="51" spans="1:22" ht="15">
      <c r="A51" s="84" t="s">
        <v>2242</v>
      </c>
      <c r="B51" s="83">
        <v>8</v>
      </c>
      <c r="C51" s="83" t="s">
        <v>2247</v>
      </c>
      <c r="D51" s="83">
        <v>5</v>
      </c>
      <c r="E51" s="83"/>
      <c r="F51" s="83"/>
      <c r="G51" s="83" t="s">
        <v>2258</v>
      </c>
      <c r="H51" s="83">
        <v>3</v>
      </c>
      <c r="I51" s="83" t="s">
        <v>2267</v>
      </c>
      <c r="J51" s="83">
        <v>6</v>
      </c>
      <c r="K51" s="83" t="s">
        <v>2277</v>
      </c>
      <c r="L51" s="83">
        <v>2</v>
      </c>
      <c r="M51" s="83"/>
      <c r="N51" s="83"/>
      <c r="O51" s="83"/>
      <c r="P51" s="83"/>
      <c r="Q51" s="83" t="s">
        <v>2299</v>
      </c>
      <c r="R51" s="83">
        <v>2</v>
      </c>
      <c r="S51" s="83" t="s">
        <v>2310</v>
      </c>
      <c r="T51" s="83">
        <v>2</v>
      </c>
      <c r="U51" s="83"/>
      <c r="V51" s="83"/>
    </row>
    <row r="52" spans="1:22" ht="15">
      <c r="A52" s="84" t="s">
        <v>2243</v>
      </c>
      <c r="B52" s="83">
        <v>7</v>
      </c>
      <c r="C52" s="83" t="s">
        <v>2248</v>
      </c>
      <c r="D52" s="83">
        <v>5</v>
      </c>
      <c r="E52" s="83"/>
      <c r="F52" s="83"/>
      <c r="G52" s="83" t="s">
        <v>2259</v>
      </c>
      <c r="H52" s="83">
        <v>3</v>
      </c>
      <c r="I52" s="83" t="s">
        <v>2268</v>
      </c>
      <c r="J52" s="83">
        <v>6</v>
      </c>
      <c r="K52" s="83" t="s">
        <v>2278</v>
      </c>
      <c r="L52" s="83">
        <v>2</v>
      </c>
      <c r="M52" s="83"/>
      <c r="N52" s="83"/>
      <c r="O52" s="83"/>
      <c r="P52" s="83"/>
      <c r="Q52" s="83" t="s">
        <v>2300</v>
      </c>
      <c r="R52" s="83">
        <v>2</v>
      </c>
      <c r="S52" s="83" t="s">
        <v>2311</v>
      </c>
      <c r="T52" s="83">
        <v>2</v>
      </c>
      <c r="U52" s="83"/>
      <c r="V52" s="83"/>
    </row>
    <row r="53" spans="1:22" ht="15">
      <c r="A53" s="84" t="s">
        <v>2244</v>
      </c>
      <c r="B53" s="83">
        <v>7</v>
      </c>
      <c r="C53" s="83" t="s">
        <v>2249</v>
      </c>
      <c r="D53" s="83">
        <v>5</v>
      </c>
      <c r="E53" s="83"/>
      <c r="F53" s="83"/>
      <c r="G53" s="83" t="s">
        <v>2260</v>
      </c>
      <c r="H53" s="83">
        <v>3</v>
      </c>
      <c r="I53" s="83" t="s">
        <v>2269</v>
      </c>
      <c r="J53" s="83">
        <v>6</v>
      </c>
      <c r="K53" s="83" t="s">
        <v>2279</v>
      </c>
      <c r="L53" s="83">
        <v>2</v>
      </c>
      <c r="M53" s="83"/>
      <c r="N53" s="83"/>
      <c r="O53" s="83"/>
      <c r="P53" s="83"/>
      <c r="Q53" s="83" t="s">
        <v>2301</v>
      </c>
      <c r="R53" s="83">
        <v>2</v>
      </c>
      <c r="S53" s="83" t="s">
        <v>2312</v>
      </c>
      <c r="T53" s="83">
        <v>2</v>
      </c>
      <c r="U53" s="83"/>
      <c r="V53" s="83"/>
    </row>
  </sheetData>
  <hyperlinks>
    <hyperlink ref="A2" r:id="rId1" display="http://www.youtube.com/results?search_query=%23SaveBabakanSiliwangi"/>
    <hyperlink ref="A3" r:id="rId2" display="https://www.smrfoundation.org/nodexl/installation/"/>
    <hyperlink ref="A4" r:id="rId3" display="http://www.youtube.com/results?search_query=%23adidas"/>
    <hyperlink ref="A5" r:id="rId4" display="http://maine.edu/"/>
    <hyperlink ref="A6" r:id="rId5" display="http://www.youtube.com/results?search_query=%23love"/>
    <hyperlink ref="A7" r:id="rId6" display="https://www.youtube.com/watch?v=lbb2lMCSg64"/>
    <hyperlink ref="A8" r:id="rId7" display="https://nodexlgraphgallery.org/Pages/registration.aspx"/>
    <hyperlink ref="A9" r:id="rId8" display="http://www.youtube.com/results?search_query=%23SaveBabakan"/>
    <hyperlink ref="A10" r:id="rId9" display="https://nodexlgraphgallery.org/Pages/registration.asp"/>
    <hyperlink ref="A11" r:id="rId10" display="https://www.smrfoundation.org/2019/09/05/nodexl-pro-facebook-data-importers-no-longer-functional/"/>
    <hyperlink ref="C2" r:id="rId11" display="https://www.smrfoundation.org/nodexl/installation/"/>
    <hyperlink ref="C3" r:id="rId12" display="http://maine.edu/"/>
    <hyperlink ref="C4" r:id="rId13" display="https://www.peteraldhous.com/CAR/NodeXL_CAR2012.pdf"/>
    <hyperlink ref="C5" r:id="rId14" display="http://www.nodexlgraphgallery.org/Pages/Graph.aspx?graphID=57173"/>
    <hyperlink ref="C6" r:id="rId15" display="http://www.amazon.com/Analyzing-Social-Media-Networks-NodeXL/dp/0123822297"/>
    <hyperlink ref="C7" r:id="rId16" display="https://nodexlgraphgallery.org/Pages/registration.asp"/>
    <hyperlink ref="C8" r:id="rId17" display="https://nodexlgraphgallery.org/Pages/registration.aspx"/>
    <hyperlink ref="C9" r:id="rId18" display="https://www.youtube.com/watch?v=lbb2lMCSg64"/>
    <hyperlink ref="C10" r:id="rId19" display="http://www.youtube.com/results?search_query=%23love"/>
    <hyperlink ref="C11" r:id="rId20" display="http://developer.twitter.com/"/>
    <hyperlink ref="G2" r:id="rId21" display="http://www.youtube.com/results?search_query=%23SaveBabakanSiliwangi"/>
    <hyperlink ref="G3" r:id="rId22" display="http://www.youtube.com/results?search_query=%23adidas"/>
    <hyperlink ref="G4" r:id="rId23" display="http://www.youtube.com/results?search_query=%23SaveBabakan"/>
    <hyperlink ref="I2" r:id="rId24" display="https://www.smrfoundation.org/2019/09/05/nodexl-pro-facebook-data-importers-no-longer-functional/"/>
    <hyperlink ref="I3" r:id="rId25" display="https://docs.google.com/document/d/1GdYAVkfBXcNrpG_b_EAZwHldbSvUpY3GFjEESWu474c/edit?usp=sharing"/>
    <hyperlink ref="I4" r:id="rId26" display="https://vivianfrancos.com/conoce-tus-mapas-de-audiencia-nodexl/"/>
    <hyperlink ref="I5" r:id="rId27" display="http://vivianfrancos.com/"/>
    <hyperlink ref="K2" r:id="rId28" display="https://drive.google.com/file/d/1setCSR5TRFgLAsY6IIbyKG9_eT02Ay5C/view?usp=sharing"/>
    <hyperlink ref="K3" r:id="rId29" display="https://www.nodexlgraphgallery.org/Pages/Registration.aspx"/>
    <hyperlink ref="K4" r:id="rId30" display="http://download.cnet.com/NodeXL/3001-2077_4-10967171.html"/>
    <hyperlink ref="K5" r:id="rId31" display="http://www.youtube.com/results?search_query=%23m%C3%BClteci"/>
    <hyperlink ref="K6" r:id="rId32" display="http://nodexl.codeplex.com/"/>
    <hyperlink ref="Q2" r:id="rId33" display="http://blog.ibpad.com.br/"/>
    <hyperlink ref="S2" r:id="rId34" display="http://www.youtube.com/watch?v=39yXz72qdow&amp;amp;t=4m08s"/>
    <hyperlink ref="U2" r:id="rId35" display="https://archive.codeplex.com/?p=nodexl"/>
    <hyperlink ref="U3" r:id="rId36" display="https://nodexl.codeplex.com/"/>
    <hyperlink ref="U4" r:id="rId37" display="https://nodexl.codeplex.com/"/>
  </hyperlinks>
  <printOptions/>
  <pageMargins left="0.7" right="0.7" top="0.75" bottom="0.75" header="0.3" footer="0.3"/>
  <pageSetup orientation="portrait" paperSize="9"/>
  <tableParts>
    <tablePart r:id="rId38"/>
    <tablePart r:id="rId39"/>
    <tablePart r:id="rId41"/>
    <tablePart r:id="rId42"/>
    <tablePart r:id="rId40"/>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78BE9-BCD5-41A1-B2AC-EA7BBA8B2991}">
  <dimension ref="A25:B431"/>
  <sheetViews>
    <sheetView tabSelected="1" workbookViewId="0" topLeftCell="A1"/>
  </sheetViews>
  <sheetFormatPr defaultColWidth="9.140625" defaultRowHeight="15"/>
  <cols>
    <col min="1" max="1" width="13.140625" style="0" bestFit="1" customWidth="1"/>
    <col min="2" max="2" width="20.57421875" style="0" bestFit="1" customWidth="1"/>
  </cols>
  <sheetData>
    <row r="25" spans="1:2" ht="15">
      <c r="A25" s="117" t="s">
        <v>2724</v>
      </c>
      <c r="B25" t="s">
        <v>2723</v>
      </c>
    </row>
    <row r="26" spans="1:2" ht="15">
      <c r="A26" s="118" t="s">
        <v>2726</v>
      </c>
      <c r="B26" s="3">
        <v>1</v>
      </c>
    </row>
    <row r="27" spans="1:2" ht="15">
      <c r="A27" s="119" t="s">
        <v>2727</v>
      </c>
      <c r="B27" s="3">
        <v>1</v>
      </c>
    </row>
    <row r="28" spans="1:2" ht="15">
      <c r="A28" s="120" t="s">
        <v>2728</v>
      </c>
      <c r="B28" s="3">
        <v>1</v>
      </c>
    </row>
    <row r="29" spans="1:2" ht="15">
      <c r="A29" s="118" t="s">
        <v>2729</v>
      </c>
      <c r="B29" s="3">
        <v>2</v>
      </c>
    </row>
    <row r="30" spans="1:2" ht="15">
      <c r="A30" s="119" t="s">
        <v>2730</v>
      </c>
      <c r="B30" s="3">
        <v>1</v>
      </c>
    </row>
    <row r="31" spans="1:2" ht="15">
      <c r="A31" s="120" t="s">
        <v>2731</v>
      </c>
      <c r="B31" s="3">
        <v>1</v>
      </c>
    </row>
    <row r="32" spans="1:2" ht="15">
      <c r="A32" s="119" t="s">
        <v>2732</v>
      </c>
      <c r="B32" s="3">
        <v>1</v>
      </c>
    </row>
    <row r="33" spans="1:2" ht="15">
      <c r="A33" s="120" t="s">
        <v>2733</v>
      </c>
      <c r="B33" s="3">
        <v>1</v>
      </c>
    </row>
    <row r="34" spans="1:2" ht="15">
      <c r="A34" s="118" t="s">
        <v>2734</v>
      </c>
      <c r="B34" s="3">
        <v>3</v>
      </c>
    </row>
    <row r="35" spans="1:2" ht="15">
      <c r="A35" s="119" t="s">
        <v>2735</v>
      </c>
      <c r="B35" s="3">
        <v>1</v>
      </c>
    </row>
    <row r="36" spans="1:2" ht="15">
      <c r="A36" s="120" t="s">
        <v>2736</v>
      </c>
      <c r="B36" s="3">
        <v>1</v>
      </c>
    </row>
    <row r="37" spans="1:2" ht="15">
      <c r="A37" s="119" t="s">
        <v>2730</v>
      </c>
      <c r="B37" s="3">
        <v>2</v>
      </c>
    </row>
    <row r="38" spans="1:2" ht="15">
      <c r="A38" s="120" t="s">
        <v>2737</v>
      </c>
      <c r="B38" s="3">
        <v>1</v>
      </c>
    </row>
    <row r="39" spans="1:2" ht="15">
      <c r="A39" s="120" t="s">
        <v>2738</v>
      </c>
      <c r="B39" s="3">
        <v>1</v>
      </c>
    </row>
    <row r="40" spans="1:2" ht="15">
      <c r="A40" s="118" t="s">
        <v>2739</v>
      </c>
      <c r="B40" s="3">
        <v>14</v>
      </c>
    </row>
    <row r="41" spans="1:2" ht="15">
      <c r="A41" s="119" t="s">
        <v>2740</v>
      </c>
      <c r="B41" s="3">
        <v>1</v>
      </c>
    </row>
    <row r="42" spans="1:2" ht="15">
      <c r="A42" s="120" t="s">
        <v>2741</v>
      </c>
      <c r="B42" s="3">
        <v>1</v>
      </c>
    </row>
    <row r="43" spans="1:2" ht="15">
      <c r="A43" s="119" t="s">
        <v>2742</v>
      </c>
      <c r="B43" s="3">
        <v>6</v>
      </c>
    </row>
    <row r="44" spans="1:2" ht="15">
      <c r="A44" s="120" t="s">
        <v>2743</v>
      </c>
      <c r="B44" s="3">
        <v>2</v>
      </c>
    </row>
    <row r="45" spans="1:2" ht="15">
      <c r="A45" s="120" t="s">
        <v>2744</v>
      </c>
      <c r="B45" s="3">
        <v>3</v>
      </c>
    </row>
    <row r="46" spans="1:2" ht="15">
      <c r="A46" s="120" t="s">
        <v>2745</v>
      </c>
      <c r="B46" s="3">
        <v>1</v>
      </c>
    </row>
    <row r="47" spans="1:2" ht="15">
      <c r="A47" s="119" t="s">
        <v>2746</v>
      </c>
      <c r="B47" s="3">
        <v>1</v>
      </c>
    </row>
    <row r="48" spans="1:2" ht="15">
      <c r="A48" s="120" t="s">
        <v>2747</v>
      </c>
      <c r="B48" s="3">
        <v>1</v>
      </c>
    </row>
    <row r="49" spans="1:2" ht="15">
      <c r="A49" s="119" t="s">
        <v>2732</v>
      </c>
      <c r="B49" s="3">
        <v>5</v>
      </c>
    </row>
    <row r="50" spans="1:2" ht="15">
      <c r="A50" s="120" t="s">
        <v>2748</v>
      </c>
      <c r="B50" s="3">
        <v>1</v>
      </c>
    </row>
    <row r="51" spans="1:2" ht="15">
      <c r="A51" s="120" t="s">
        <v>2749</v>
      </c>
      <c r="B51" s="3">
        <v>2</v>
      </c>
    </row>
    <row r="52" spans="1:2" ht="15">
      <c r="A52" s="120" t="s">
        <v>2750</v>
      </c>
      <c r="B52" s="3">
        <v>1</v>
      </c>
    </row>
    <row r="53" spans="1:2" ht="15">
      <c r="A53" s="120" t="s">
        <v>2751</v>
      </c>
      <c r="B53" s="3">
        <v>1</v>
      </c>
    </row>
    <row r="54" spans="1:2" ht="15">
      <c r="A54" s="119" t="s">
        <v>2752</v>
      </c>
      <c r="B54" s="3">
        <v>1</v>
      </c>
    </row>
    <row r="55" spans="1:2" ht="15">
      <c r="A55" s="120" t="s">
        <v>2753</v>
      </c>
      <c r="B55" s="3">
        <v>1</v>
      </c>
    </row>
    <row r="56" spans="1:2" ht="15">
      <c r="A56" s="118" t="s">
        <v>1729</v>
      </c>
      <c r="B56" s="3">
        <v>29</v>
      </c>
    </row>
    <row r="57" spans="1:2" ht="15">
      <c r="A57" s="119" t="s">
        <v>2754</v>
      </c>
      <c r="B57" s="3">
        <v>1</v>
      </c>
    </row>
    <row r="58" spans="1:2" ht="15">
      <c r="A58" s="120" t="s">
        <v>2755</v>
      </c>
      <c r="B58" s="3">
        <v>1</v>
      </c>
    </row>
    <row r="59" spans="1:2" ht="15">
      <c r="A59" s="119" t="s">
        <v>2735</v>
      </c>
      <c r="B59" s="3">
        <v>2</v>
      </c>
    </row>
    <row r="60" spans="1:2" ht="15">
      <c r="A60" s="120" t="s">
        <v>2756</v>
      </c>
      <c r="B60" s="3">
        <v>1</v>
      </c>
    </row>
    <row r="61" spans="1:2" ht="15">
      <c r="A61" s="120" t="s">
        <v>2757</v>
      </c>
      <c r="B61" s="3">
        <v>1</v>
      </c>
    </row>
    <row r="62" spans="1:2" ht="15">
      <c r="A62" s="119" t="s">
        <v>2740</v>
      </c>
      <c r="B62" s="3">
        <v>3</v>
      </c>
    </row>
    <row r="63" spans="1:2" ht="15">
      <c r="A63" s="120" t="s">
        <v>2758</v>
      </c>
      <c r="B63" s="3">
        <v>1</v>
      </c>
    </row>
    <row r="64" spans="1:2" ht="15">
      <c r="A64" s="120" t="s">
        <v>2759</v>
      </c>
      <c r="B64" s="3">
        <v>1</v>
      </c>
    </row>
    <row r="65" spans="1:2" ht="15">
      <c r="A65" s="120" t="s">
        <v>2760</v>
      </c>
      <c r="B65" s="3">
        <v>1</v>
      </c>
    </row>
    <row r="66" spans="1:2" ht="15">
      <c r="A66" s="119" t="s">
        <v>2742</v>
      </c>
      <c r="B66" s="3">
        <v>3</v>
      </c>
    </row>
    <row r="67" spans="1:2" ht="15">
      <c r="A67" s="120" t="s">
        <v>2761</v>
      </c>
      <c r="B67" s="3">
        <v>1</v>
      </c>
    </row>
    <row r="68" spans="1:2" ht="15">
      <c r="A68" s="120" t="s">
        <v>2762</v>
      </c>
      <c r="B68" s="3">
        <v>1</v>
      </c>
    </row>
    <row r="69" spans="1:2" ht="15">
      <c r="A69" s="120" t="s">
        <v>2763</v>
      </c>
      <c r="B69" s="3">
        <v>1</v>
      </c>
    </row>
    <row r="70" spans="1:2" ht="15">
      <c r="A70" s="119" t="s">
        <v>2727</v>
      </c>
      <c r="B70" s="3">
        <v>2</v>
      </c>
    </row>
    <row r="71" spans="1:2" ht="15">
      <c r="A71" s="120" t="s">
        <v>2764</v>
      </c>
      <c r="B71" s="3">
        <v>1</v>
      </c>
    </row>
    <row r="72" spans="1:2" ht="15">
      <c r="A72" s="120" t="s">
        <v>2765</v>
      </c>
      <c r="B72" s="3">
        <v>1</v>
      </c>
    </row>
    <row r="73" spans="1:2" ht="15">
      <c r="A73" s="119" t="s">
        <v>2730</v>
      </c>
      <c r="B73" s="3">
        <v>1</v>
      </c>
    </row>
    <row r="74" spans="1:2" ht="15">
      <c r="A74" s="120" t="s">
        <v>2766</v>
      </c>
      <c r="B74" s="3">
        <v>1</v>
      </c>
    </row>
    <row r="75" spans="1:2" ht="15">
      <c r="A75" s="119" t="s">
        <v>2732</v>
      </c>
      <c r="B75" s="3">
        <v>2</v>
      </c>
    </row>
    <row r="76" spans="1:2" ht="15">
      <c r="A76" s="120" t="s">
        <v>2767</v>
      </c>
      <c r="B76" s="3">
        <v>1</v>
      </c>
    </row>
    <row r="77" spans="1:2" ht="15">
      <c r="A77" s="120" t="s">
        <v>2750</v>
      </c>
      <c r="B77" s="3">
        <v>1</v>
      </c>
    </row>
    <row r="78" spans="1:2" ht="15">
      <c r="A78" s="119" t="s">
        <v>2752</v>
      </c>
      <c r="B78" s="3">
        <v>5</v>
      </c>
    </row>
    <row r="79" spans="1:2" ht="15">
      <c r="A79" s="120" t="s">
        <v>2768</v>
      </c>
      <c r="B79" s="3">
        <v>1</v>
      </c>
    </row>
    <row r="80" spans="1:2" ht="15">
      <c r="A80" s="120" t="s">
        <v>2769</v>
      </c>
      <c r="B80" s="3">
        <v>1</v>
      </c>
    </row>
    <row r="81" spans="1:2" ht="15">
      <c r="A81" s="120" t="s">
        <v>2770</v>
      </c>
      <c r="B81" s="3">
        <v>1</v>
      </c>
    </row>
    <row r="82" spans="1:2" ht="15">
      <c r="A82" s="120" t="s">
        <v>2771</v>
      </c>
      <c r="B82" s="3">
        <v>1</v>
      </c>
    </row>
    <row r="83" spans="1:2" ht="15">
      <c r="A83" s="120" t="s">
        <v>2772</v>
      </c>
      <c r="B83" s="3">
        <v>1</v>
      </c>
    </row>
    <row r="84" spans="1:2" ht="15">
      <c r="A84" s="119" t="s">
        <v>2773</v>
      </c>
      <c r="B84" s="3">
        <v>3</v>
      </c>
    </row>
    <row r="85" spans="1:2" ht="15">
      <c r="A85" s="120" t="s">
        <v>2774</v>
      </c>
      <c r="B85" s="3">
        <v>1</v>
      </c>
    </row>
    <row r="86" spans="1:2" ht="15">
      <c r="A86" s="120" t="s">
        <v>2775</v>
      </c>
      <c r="B86" s="3">
        <v>1</v>
      </c>
    </row>
    <row r="87" spans="1:2" ht="15">
      <c r="A87" s="120" t="s">
        <v>2776</v>
      </c>
      <c r="B87" s="3">
        <v>1</v>
      </c>
    </row>
    <row r="88" spans="1:2" ht="15">
      <c r="A88" s="119" t="s">
        <v>2777</v>
      </c>
      <c r="B88" s="3">
        <v>7</v>
      </c>
    </row>
    <row r="89" spans="1:2" ht="15">
      <c r="A89" s="120" t="s">
        <v>2778</v>
      </c>
      <c r="B89" s="3">
        <v>1</v>
      </c>
    </row>
    <row r="90" spans="1:2" ht="15">
      <c r="A90" s="120" t="s">
        <v>2779</v>
      </c>
      <c r="B90" s="3">
        <v>6</v>
      </c>
    </row>
    <row r="91" spans="1:2" ht="15">
      <c r="A91" s="118" t="s">
        <v>2780</v>
      </c>
      <c r="B91" s="3">
        <v>27</v>
      </c>
    </row>
    <row r="92" spans="1:2" ht="15">
      <c r="A92" s="119" t="s">
        <v>2754</v>
      </c>
      <c r="B92" s="3">
        <v>2</v>
      </c>
    </row>
    <row r="93" spans="1:2" ht="15">
      <c r="A93" s="120" t="s">
        <v>2755</v>
      </c>
      <c r="B93" s="3">
        <v>2</v>
      </c>
    </row>
    <row r="94" spans="1:2" ht="15">
      <c r="A94" s="119" t="s">
        <v>2735</v>
      </c>
      <c r="B94" s="3">
        <v>1</v>
      </c>
    </row>
    <row r="95" spans="1:2" ht="15">
      <c r="A95" s="120" t="s">
        <v>2781</v>
      </c>
      <c r="B95" s="3">
        <v>1</v>
      </c>
    </row>
    <row r="96" spans="1:2" ht="15">
      <c r="A96" s="119" t="s">
        <v>2742</v>
      </c>
      <c r="B96" s="3">
        <v>6</v>
      </c>
    </row>
    <row r="97" spans="1:2" ht="15">
      <c r="A97" s="120" t="s">
        <v>2782</v>
      </c>
      <c r="B97" s="3">
        <v>3</v>
      </c>
    </row>
    <row r="98" spans="1:2" ht="15">
      <c r="A98" s="120" t="s">
        <v>2744</v>
      </c>
      <c r="B98" s="3">
        <v>1</v>
      </c>
    </row>
    <row r="99" spans="1:2" ht="15">
      <c r="A99" s="120" t="s">
        <v>2783</v>
      </c>
      <c r="B99" s="3">
        <v>2</v>
      </c>
    </row>
    <row r="100" spans="1:2" ht="15">
      <c r="A100" s="119" t="s">
        <v>2727</v>
      </c>
      <c r="B100" s="3">
        <v>4</v>
      </c>
    </row>
    <row r="101" spans="1:2" ht="15">
      <c r="A101" s="120" t="s">
        <v>2784</v>
      </c>
      <c r="B101" s="3">
        <v>1</v>
      </c>
    </row>
    <row r="102" spans="1:2" ht="15">
      <c r="A102" s="120" t="s">
        <v>2785</v>
      </c>
      <c r="B102" s="3">
        <v>2</v>
      </c>
    </row>
    <row r="103" spans="1:2" ht="15">
      <c r="A103" s="120" t="s">
        <v>2728</v>
      </c>
      <c r="B103" s="3">
        <v>1</v>
      </c>
    </row>
    <row r="104" spans="1:2" ht="15">
      <c r="A104" s="119" t="s">
        <v>2746</v>
      </c>
      <c r="B104" s="3">
        <v>2</v>
      </c>
    </row>
    <row r="105" spans="1:2" ht="15">
      <c r="A105" s="120" t="s">
        <v>2747</v>
      </c>
      <c r="B105" s="3">
        <v>2</v>
      </c>
    </row>
    <row r="106" spans="1:2" ht="15">
      <c r="A106" s="119" t="s">
        <v>2730</v>
      </c>
      <c r="B106" s="3">
        <v>4</v>
      </c>
    </row>
    <row r="107" spans="1:2" ht="15">
      <c r="A107" s="120" t="s">
        <v>2786</v>
      </c>
      <c r="B107" s="3">
        <v>1</v>
      </c>
    </row>
    <row r="108" spans="1:2" ht="15">
      <c r="A108" s="120" t="s">
        <v>2787</v>
      </c>
      <c r="B108" s="3">
        <v>1</v>
      </c>
    </row>
    <row r="109" spans="1:2" ht="15">
      <c r="A109" s="120" t="s">
        <v>2788</v>
      </c>
      <c r="B109" s="3">
        <v>1</v>
      </c>
    </row>
    <row r="110" spans="1:2" ht="15">
      <c r="A110" s="120" t="s">
        <v>2789</v>
      </c>
      <c r="B110" s="3">
        <v>1</v>
      </c>
    </row>
    <row r="111" spans="1:2" ht="15">
      <c r="A111" s="119" t="s">
        <v>2732</v>
      </c>
      <c r="B111" s="3">
        <v>2</v>
      </c>
    </row>
    <row r="112" spans="1:2" ht="15">
      <c r="A112" s="120" t="s">
        <v>2790</v>
      </c>
      <c r="B112" s="3">
        <v>1</v>
      </c>
    </row>
    <row r="113" spans="1:2" ht="15">
      <c r="A113" s="120" t="s">
        <v>2791</v>
      </c>
      <c r="B113" s="3">
        <v>1</v>
      </c>
    </row>
    <row r="114" spans="1:2" ht="15">
      <c r="A114" s="119" t="s">
        <v>2752</v>
      </c>
      <c r="B114" s="3">
        <v>1</v>
      </c>
    </row>
    <row r="115" spans="1:2" ht="15">
      <c r="A115" s="120" t="s">
        <v>2792</v>
      </c>
      <c r="B115" s="3">
        <v>1</v>
      </c>
    </row>
    <row r="116" spans="1:2" ht="15">
      <c r="A116" s="119" t="s">
        <v>2777</v>
      </c>
      <c r="B116" s="3">
        <v>5</v>
      </c>
    </row>
    <row r="117" spans="1:2" ht="15">
      <c r="A117" s="120" t="s">
        <v>2793</v>
      </c>
      <c r="B117" s="3">
        <v>1</v>
      </c>
    </row>
    <row r="118" spans="1:2" ht="15">
      <c r="A118" s="120" t="s">
        <v>2794</v>
      </c>
      <c r="B118" s="3">
        <v>2</v>
      </c>
    </row>
    <row r="119" spans="1:2" ht="15">
      <c r="A119" s="120" t="s">
        <v>2795</v>
      </c>
      <c r="B119" s="3">
        <v>2</v>
      </c>
    </row>
    <row r="120" spans="1:2" ht="15">
      <c r="A120" s="118" t="s">
        <v>2796</v>
      </c>
      <c r="B120" s="3">
        <v>63</v>
      </c>
    </row>
    <row r="121" spans="1:2" ht="15">
      <c r="A121" s="119" t="s">
        <v>2754</v>
      </c>
      <c r="B121" s="3">
        <v>1</v>
      </c>
    </row>
    <row r="122" spans="1:2" ht="15">
      <c r="A122" s="120" t="s">
        <v>2797</v>
      </c>
      <c r="B122" s="3">
        <v>1</v>
      </c>
    </row>
    <row r="123" spans="1:2" ht="15">
      <c r="A123" s="119" t="s">
        <v>2735</v>
      </c>
      <c r="B123" s="3">
        <v>5</v>
      </c>
    </row>
    <row r="124" spans="1:2" ht="15">
      <c r="A124" s="120" t="s">
        <v>2798</v>
      </c>
      <c r="B124" s="3">
        <v>1</v>
      </c>
    </row>
    <row r="125" spans="1:2" ht="15">
      <c r="A125" s="120" t="s">
        <v>2781</v>
      </c>
      <c r="B125" s="3">
        <v>1</v>
      </c>
    </row>
    <row r="126" spans="1:2" ht="15">
      <c r="A126" s="120" t="s">
        <v>2736</v>
      </c>
      <c r="B126" s="3">
        <v>1</v>
      </c>
    </row>
    <row r="127" spans="1:2" ht="15">
      <c r="A127" s="120" t="s">
        <v>2756</v>
      </c>
      <c r="B127" s="3">
        <v>1</v>
      </c>
    </row>
    <row r="128" spans="1:2" ht="15">
      <c r="A128" s="120" t="s">
        <v>2799</v>
      </c>
      <c r="B128" s="3">
        <v>1</v>
      </c>
    </row>
    <row r="129" spans="1:2" ht="15">
      <c r="A129" s="119" t="s">
        <v>2740</v>
      </c>
      <c r="B129" s="3">
        <v>6</v>
      </c>
    </row>
    <row r="130" spans="1:2" ht="15">
      <c r="A130" s="120" t="s">
        <v>2800</v>
      </c>
      <c r="B130" s="3">
        <v>1</v>
      </c>
    </row>
    <row r="131" spans="1:2" ht="15">
      <c r="A131" s="120" t="s">
        <v>2758</v>
      </c>
      <c r="B131" s="3">
        <v>1</v>
      </c>
    </row>
    <row r="132" spans="1:2" ht="15">
      <c r="A132" s="120" t="s">
        <v>2801</v>
      </c>
      <c r="B132" s="3">
        <v>4</v>
      </c>
    </row>
    <row r="133" spans="1:2" ht="15">
      <c r="A133" s="119" t="s">
        <v>2742</v>
      </c>
      <c r="B133" s="3">
        <v>5</v>
      </c>
    </row>
    <row r="134" spans="1:2" ht="15">
      <c r="A134" s="120" t="s">
        <v>2802</v>
      </c>
      <c r="B134" s="3">
        <v>1</v>
      </c>
    </row>
    <row r="135" spans="1:2" ht="15">
      <c r="A135" s="120" t="s">
        <v>2761</v>
      </c>
      <c r="B135" s="3">
        <v>1</v>
      </c>
    </row>
    <row r="136" spans="1:2" ht="15">
      <c r="A136" s="120" t="s">
        <v>2803</v>
      </c>
      <c r="B136" s="3">
        <v>3</v>
      </c>
    </row>
    <row r="137" spans="1:2" ht="15">
      <c r="A137" s="119" t="s">
        <v>2727</v>
      </c>
      <c r="B137" s="3">
        <v>6</v>
      </c>
    </row>
    <row r="138" spans="1:2" ht="15">
      <c r="A138" s="120" t="s">
        <v>2804</v>
      </c>
      <c r="B138" s="3">
        <v>1</v>
      </c>
    </row>
    <row r="139" spans="1:2" ht="15">
      <c r="A139" s="120" t="s">
        <v>2805</v>
      </c>
      <c r="B139" s="3">
        <v>1</v>
      </c>
    </row>
    <row r="140" spans="1:2" ht="15">
      <c r="A140" s="120" t="s">
        <v>2806</v>
      </c>
      <c r="B140" s="3">
        <v>1</v>
      </c>
    </row>
    <row r="141" spans="1:2" ht="15">
      <c r="A141" s="120" t="s">
        <v>2807</v>
      </c>
      <c r="B141" s="3">
        <v>1</v>
      </c>
    </row>
    <row r="142" spans="1:2" ht="15">
      <c r="A142" s="120" t="s">
        <v>2808</v>
      </c>
      <c r="B142" s="3">
        <v>1</v>
      </c>
    </row>
    <row r="143" spans="1:2" ht="15">
      <c r="A143" s="120" t="s">
        <v>2809</v>
      </c>
      <c r="B143" s="3">
        <v>1</v>
      </c>
    </row>
    <row r="144" spans="1:2" ht="15">
      <c r="A144" s="119" t="s">
        <v>2746</v>
      </c>
      <c r="B144" s="3">
        <v>7</v>
      </c>
    </row>
    <row r="145" spans="1:2" ht="15">
      <c r="A145" s="120" t="s">
        <v>2810</v>
      </c>
      <c r="B145" s="3">
        <v>4</v>
      </c>
    </row>
    <row r="146" spans="1:2" ht="15">
      <c r="A146" s="120" t="s">
        <v>2811</v>
      </c>
      <c r="B146" s="3">
        <v>2</v>
      </c>
    </row>
    <row r="147" spans="1:2" ht="15">
      <c r="A147" s="120" t="s">
        <v>2812</v>
      </c>
      <c r="B147" s="3">
        <v>1</v>
      </c>
    </row>
    <row r="148" spans="1:2" ht="15">
      <c r="A148" s="119" t="s">
        <v>2813</v>
      </c>
      <c r="B148" s="3">
        <v>8</v>
      </c>
    </row>
    <row r="149" spans="1:2" ht="15">
      <c r="A149" s="120" t="s">
        <v>2814</v>
      </c>
      <c r="B149" s="3">
        <v>5</v>
      </c>
    </row>
    <row r="150" spans="1:2" ht="15">
      <c r="A150" s="120" t="s">
        <v>2815</v>
      </c>
      <c r="B150" s="3">
        <v>3</v>
      </c>
    </row>
    <row r="151" spans="1:2" ht="15">
      <c r="A151" s="119" t="s">
        <v>2730</v>
      </c>
      <c r="B151" s="3">
        <v>3</v>
      </c>
    </row>
    <row r="152" spans="1:2" ht="15">
      <c r="A152" s="120" t="s">
        <v>2816</v>
      </c>
      <c r="B152" s="3">
        <v>1</v>
      </c>
    </row>
    <row r="153" spans="1:2" ht="15">
      <c r="A153" s="120" t="s">
        <v>2731</v>
      </c>
      <c r="B153" s="3">
        <v>1</v>
      </c>
    </row>
    <row r="154" spans="1:2" ht="15">
      <c r="A154" s="120" t="s">
        <v>2817</v>
      </c>
      <c r="B154" s="3">
        <v>1</v>
      </c>
    </row>
    <row r="155" spans="1:2" ht="15">
      <c r="A155" s="119" t="s">
        <v>2732</v>
      </c>
      <c r="B155" s="3">
        <v>5</v>
      </c>
    </row>
    <row r="156" spans="1:2" ht="15">
      <c r="A156" s="120" t="s">
        <v>2790</v>
      </c>
      <c r="B156" s="3">
        <v>1</v>
      </c>
    </row>
    <row r="157" spans="1:2" ht="15">
      <c r="A157" s="120" t="s">
        <v>2818</v>
      </c>
      <c r="B157" s="3">
        <v>1</v>
      </c>
    </row>
    <row r="158" spans="1:2" ht="15">
      <c r="A158" s="120" t="s">
        <v>2819</v>
      </c>
      <c r="B158" s="3">
        <v>2</v>
      </c>
    </row>
    <row r="159" spans="1:2" ht="15">
      <c r="A159" s="120" t="s">
        <v>2820</v>
      </c>
      <c r="B159" s="3">
        <v>1</v>
      </c>
    </row>
    <row r="160" spans="1:2" ht="15">
      <c r="A160" s="119" t="s">
        <v>2752</v>
      </c>
      <c r="B160" s="3">
        <v>6</v>
      </c>
    </row>
    <row r="161" spans="1:2" ht="15">
      <c r="A161" s="120" t="s">
        <v>2821</v>
      </c>
      <c r="B161" s="3">
        <v>1</v>
      </c>
    </row>
    <row r="162" spans="1:2" ht="15">
      <c r="A162" s="120" t="s">
        <v>2822</v>
      </c>
      <c r="B162" s="3">
        <v>1</v>
      </c>
    </row>
    <row r="163" spans="1:2" ht="15">
      <c r="A163" s="120" t="s">
        <v>2823</v>
      </c>
      <c r="B163" s="3">
        <v>2</v>
      </c>
    </row>
    <row r="164" spans="1:2" ht="15">
      <c r="A164" s="120" t="s">
        <v>2824</v>
      </c>
      <c r="B164" s="3">
        <v>1</v>
      </c>
    </row>
    <row r="165" spans="1:2" ht="15">
      <c r="A165" s="120" t="s">
        <v>2825</v>
      </c>
      <c r="B165" s="3">
        <v>1</v>
      </c>
    </row>
    <row r="166" spans="1:2" ht="15">
      <c r="A166" s="119" t="s">
        <v>2773</v>
      </c>
      <c r="B166" s="3">
        <v>8</v>
      </c>
    </row>
    <row r="167" spans="1:2" ht="15">
      <c r="A167" s="120" t="s">
        <v>2826</v>
      </c>
      <c r="B167" s="3">
        <v>1</v>
      </c>
    </row>
    <row r="168" spans="1:2" ht="15">
      <c r="A168" s="120" t="s">
        <v>2827</v>
      </c>
      <c r="B168" s="3">
        <v>6</v>
      </c>
    </row>
    <row r="169" spans="1:2" ht="15">
      <c r="A169" s="120" t="s">
        <v>2828</v>
      </c>
      <c r="B169" s="3">
        <v>1</v>
      </c>
    </row>
    <row r="170" spans="1:2" ht="15">
      <c r="A170" s="119" t="s">
        <v>2777</v>
      </c>
      <c r="B170" s="3">
        <v>3</v>
      </c>
    </row>
    <row r="171" spans="1:2" ht="15">
      <c r="A171" s="120" t="s">
        <v>2793</v>
      </c>
      <c r="B171" s="3">
        <v>1</v>
      </c>
    </row>
    <row r="172" spans="1:2" ht="15">
      <c r="A172" s="120" t="s">
        <v>2779</v>
      </c>
      <c r="B172" s="3">
        <v>1</v>
      </c>
    </row>
    <row r="173" spans="1:2" ht="15">
      <c r="A173" s="120" t="s">
        <v>2829</v>
      </c>
      <c r="B173" s="3">
        <v>1</v>
      </c>
    </row>
    <row r="174" spans="1:2" ht="15">
      <c r="A174" s="118" t="s">
        <v>2830</v>
      </c>
      <c r="B174" s="3">
        <v>45</v>
      </c>
    </row>
    <row r="175" spans="1:2" ht="15">
      <c r="A175" s="119" t="s">
        <v>2754</v>
      </c>
      <c r="B175" s="3">
        <v>1</v>
      </c>
    </row>
    <row r="176" spans="1:2" ht="15">
      <c r="A176" s="120" t="s">
        <v>2831</v>
      </c>
      <c r="B176" s="3">
        <v>1</v>
      </c>
    </row>
    <row r="177" spans="1:2" ht="15">
      <c r="A177" s="119" t="s">
        <v>2735</v>
      </c>
      <c r="B177" s="3">
        <v>4</v>
      </c>
    </row>
    <row r="178" spans="1:2" ht="15">
      <c r="A178" s="120" t="s">
        <v>2832</v>
      </c>
      <c r="B178" s="3">
        <v>1</v>
      </c>
    </row>
    <row r="179" spans="1:2" ht="15">
      <c r="A179" s="120" t="s">
        <v>2833</v>
      </c>
      <c r="B179" s="3">
        <v>2</v>
      </c>
    </row>
    <row r="180" spans="1:2" ht="15">
      <c r="A180" s="120" t="s">
        <v>2834</v>
      </c>
      <c r="B180" s="3">
        <v>1</v>
      </c>
    </row>
    <row r="181" spans="1:2" ht="15">
      <c r="A181" s="119" t="s">
        <v>2740</v>
      </c>
      <c r="B181" s="3">
        <v>7</v>
      </c>
    </row>
    <row r="182" spans="1:2" ht="15">
      <c r="A182" s="120" t="s">
        <v>2741</v>
      </c>
      <c r="B182" s="3">
        <v>1</v>
      </c>
    </row>
    <row r="183" spans="1:2" ht="15">
      <c r="A183" s="120" t="s">
        <v>2800</v>
      </c>
      <c r="B183" s="3">
        <v>1</v>
      </c>
    </row>
    <row r="184" spans="1:2" ht="15">
      <c r="A184" s="120" t="s">
        <v>2835</v>
      </c>
      <c r="B184" s="3">
        <v>1</v>
      </c>
    </row>
    <row r="185" spans="1:2" ht="15">
      <c r="A185" s="120" t="s">
        <v>2801</v>
      </c>
      <c r="B185" s="3">
        <v>1</v>
      </c>
    </row>
    <row r="186" spans="1:2" ht="15">
      <c r="A186" s="120" t="s">
        <v>2836</v>
      </c>
      <c r="B186" s="3">
        <v>3</v>
      </c>
    </row>
    <row r="187" spans="1:2" ht="15">
      <c r="A187" s="119" t="s">
        <v>2727</v>
      </c>
      <c r="B187" s="3">
        <v>11</v>
      </c>
    </row>
    <row r="188" spans="1:2" ht="15">
      <c r="A188" s="120" t="s">
        <v>2837</v>
      </c>
      <c r="B188" s="3">
        <v>2</v>
      </c>
    </row>
    <row r="189" spans="1:2" ht="15">
      <c r="A189" s="120" t="s">
        <v>2838</v>
      </c>
      <c r="B189" s="3">
        <v>1</v>
      </c>
    </row>
    <row r="190" spans="1:2" ht="15">
      <c r="A190" s="120" t="s">
        <v>2784</v>
      </c>
      <c r="B190" s="3">
        <v>2</v>
      </c>
    </row>
    <row r="191" spans="1:2" ht="15">
      <c r="A191" s="120" t="s">
        <v>2785</v>
      </c>
      <c r="B191" s="3">
        <v>1</v>
      </c>
    </row>
    <row r="192" spans="1:2" ht="15">
      <c r="A192" s="120" t="s">
        <v>2807</v>
      </c>
      <c r="B192" s="3">
        <v>1</v>
      </c>
    </row>
    <row r="193" spans="1:2" ht="15">
      <c r="A193" s="120" t="s">
        <v>2839</v>
      </c>
      <c r="B193" s="3">
        <v>1</v>
      </c>
    </row>
    <row r="194" spans="1:2" ht="15">
      <c r="A194" s="120" t="s">
        <v>2764</v>
      </c>
      <c r="B194" s="3">
        <v>1</v>
      </c>
    </row>
    <row r="195" spans="1:2" ht="15">
      <c r="A195" s="120" t="s">
        <v>2840</v>
      </c>
      <c r="B195" s="3">
        <v>1</v>
      </c>
    </row>
    <row r="196" spans="1:2" ht="15">
      <c r="A196" s="120" t="s">
        <v>2809</v>
      </c>
      <c r="B196" s="3">
        <v>1</v>
      </c>
    </row>
    <row r="197" spans="1:2" ht="15">
      <c r="A197" s="119" t="s">
        <v>2746</v>
      </c>
      <c r="B197" s="3">
        <v>1</v>
      </c>
    </row>
    <row r="198" spans="1:2" ht="15">
      <c r="A198" s="120" t="s">
        <v>2841</v>
      </c>
      <c r="B198" s="3">
        <v>1</v>
      </c>
    </row>
    <row r="199" spans="1:2" ht="15">
      <c r="A199" s="119" t="s">
        <v>2813</v>
      </c>
      <c r="B199" s="3">
        <v>5</v>
      </c>
    </row>
    <row r="200" spans="1:2" ht="15">
      <c r="A200" s="120" t="s">
        <v>2842</v>
      </c>
      <c r="B200" s="3">
        <v>1</v>
      </c>
    </row>
    <row r="201" spans="1:2" ht="15">
      <c r="A201" s="120" t="s">
        <v>2843</v>
      </c>
      <c r="B201" s="3">
        <v>1</v>
      </c>
    </row>
    <row r="202" spans="1:2" ht="15">
      <c r="A202" s="120" t="s">
        <v>2844</v>
      </c>
      <c r="B202" s="3">
        <v>1</v>
      </c>
    </row>
    <row r="203" spans="1:2" ht="15">
      <c r="A203" s="120" t="s">
        <v>2845</v>
      </c>
      <c r="B203" s="3">
        <v>2</v>
      </c>
    </row>
    <row r="204" spans="1:2" ht="15">
      <c r="A204" s="119" t="s">
        <v>2730</v>
      </c>
      <c r="B204" s="3">
        <v>8</v>
      </c>
    </row>
    <row r="205" spans="1:2" ht="15">
      <c r="A205" s="120" t="s">
        <v>2846</v>
      </c>
      <c r="B205" s="3">
        <v>2</v>
      </c>
    </row>
    <row r="206" spans="1:2" ht="15">
      <c r="A206" s="120" t="s">
        <v>2847</v>
      </c>
      <c r="B206" s="3">
        <v>1</v>
      </c>
    </row>
    <row r="207" spans="1:2" ht="15">
      <c r="A207" s="120" t="s">
        <v>2731</v>
      </c>
      <c r="B207" s="3">
        <v>1</v>
      </c>
    </row>
    <row r="208" spans="1:2" ht="15">
      <c r="A208" s="120" t="s">
        <v>2848</v>
      </c>
      <c r="B208" s="3">
        <v>1</v>
      </c>
    </row>
    <row r="209" spans="1:2" ht="15">
      <c r="A209" s="120" t="s">
        <v>2849</v>
      </c>
      <c r="B209" s="3">
        <v>1</v>
      </c>
    </row>
    <row r="210" spans="1:2" ht="15">
      <c r="A210" s="120" t="s">
        <v>2850</v>
      </c>
      <c r="B210" s="3">
        <v>2</v>
      </c>
    </row>
    <row r="211" spans="1:2" ht="15">
      <c r="A211" s="119" t="s">
        <v>2732</v>
      </c>
      <c r="B211" s="3">
        <v>2</v>
      </c>
    </row>
    <row r="212" spans="1:2" ht="15">
      <c r="A212" s="120" t="s">
        <v>2791</v>
      </c>
      <c r="B212" s="3">
        <v>1</v>
      </c>
    </row>
    <row r="213" spans="1:2" ht="15">
      <c r="A213" s="120" t="s">
        <v>2819</v>
      </c>
      <c r="B213" s="3">
        <v>1</v>
      </c>
    </row>
    <row r="214" spans="1:2" ht="15">
      <c r="A214" s="119" t="s">
        <v>2752</v>
      </c>
      <c r="B214" s="3">
        <v>4</v>
      </c>
    </row>
    <row r="215" spans="1:2" ht="15">
      <c r="A215" s="120" t="s">
        <v>2851</v>
      </c>
      <c r="B215" s="3">
        <v>1</v>
      </c>
    </row>
    <row r="216" spans="1:2" ht="15">
      <c r="A216" s="120" t="s">
        <v>2769</v>
      </c>
      <c r="B216" s="3">
        <v>2</v>
      </c>
    </row>
    <row r="217" spans="1:2" ht="15">
      <c r="A217" s="120" t="s">
        <v>2770</v>
      </c>
      <c r="B217" s="3">
        <v>1</v>
      </c>
    </row>
    <row r="218" spans="1:2" ht="15">
      <c r="A218" s="119" t="s">
        <v>2773</v>
      </c>
      <c r="B218" s="3">
        <v>1</v>
      </c>
    </row>
    <row r="219" spans="1:2" ht="15">
      <c r="A219" s="120" t="s">
        <v>2776</v>
      </c>
      <c r="B219" s="3">
        <v>1</v>
      </c>
    </row>
    <row r="220" spans="1:2" ht="15">
      <c r="A220" s="119" t="s">
        <v>2777</v>
      </c>
      <c r="B220" s="3">
        <v>1</v>
      </c>
    </row>
    <row r="221" spans="1:2" ht="15">
      <c r="A221" s="120" t="s">
        <v>2852</v>
      </c>
      <c r="B221" s="3">
        <v>1</v>
      </c>
    </row>
    <row r="222" spans="1:2" ht="15">
      <c r="A222" s="118" t="s">
        <v>2853</v>
      </c>
      <c r="B222" s="3">
        <v>36</v>
      </c>
    </row>
    <row r="223" spans="1:2" ht="15">
      <c r="A223" s="119" t="s">
        <v>2754</v>
      </c>
      <c r="B223" s="3">
        <v>5</v>
      </c>
    </row>
    <row r="224" spans="1:2" ht="15">
      <c r="A224" s="120" t="s">
        <v>2854</v>
      </c>
      <c r="B224" s="3">
        <v>2</v>
      </c>
    </row>
    <row r="225" spans="1:2" ht="15">
      <c r="A225" s="120" t="s">
        <v>2855</v>
      </c>
      <c r="B225" s="3">
        <v>1</v>
      </c>
    </row>
    <row r="226" spans="1:2" ht="15">
      <c r="A226" s="120" t="s">
        <v>2755</v>
      </c>
      <c r="B226" s="3">
        <v>1</v>
      </c>
    </row>
    <row r="227" spans="1:2" ht="15">
      <c r="A227" s="120" t="s">
        <v>2856</v>
      </c>
      <c r="B227" s="3">
        <v>1</v>
      </c>
    </row>
    <row r="228" spans="1:2" ht="15">
      <c r="A228" s="119" t="s">
        <v>2735</v>
      </c>
      <c r="B228" s="3">
        <v>9</v>
      </c>
    </row>
    <row r="229" spans="1:2" ht="15">
      <c r="A229" s="120" t="s">
        <v>2857</v>
      </c>
      <c r="B229" s="3">
        <v>1</v>
      </c>
    </row>
    <row r="230" spans="1:2" ht="15">
      <c r="A230" s="120" t="s">
        <v>2832</v>
      </c>
      <c r="B230" s="3">
        <v>6</v>
      </c>
    </row>
    <row r="231" spans="1:2" ht="15">
      <c r="A231" s="120" t="s">
        <v>2757</v>
      </c>
      <c r="B231" s="3">
        <v>2</v>
      </c>
    </row>
    <row r="232" spans="1:2" ht="15">
      <c r="A232" s="119" t="s">
        <v>2740</v>
      </c>
      <c r="B232" s="3">
        <v>1</v>
      </c>
    </row>
    <row r="233" spans="1:2" ht="15">
      <c r="A233" s="120" t="s">
        <v>2858</v>
      </c>
      <c r="B233" s="3">
        <v>1</v>
      </c>
    </row>
    <row r="234" spans="1:2" ht="15">
      <c r="A234" s="119" t="s">
        <v>2742</v>
      </c>
      <c r="B234" s="3">
        <v>4</v>
      </c>
    </row>
    <row r="235" spans="1:2" ht="15">
      <c r="A235" s="120" t="s">
        <v>2859</v>
      </c>
      <c r="B235" s="3">
        <v>4</v>
      </c>
    </row>
    <row r="236" spans="1:2" ht="15">
      <c r="A236" s="119" t="s">
        <v>2727</v>
      </c>
      <c r="B236" s="3">
        <v>1</v>
      </c>
    </row>
    <row r="237" spans="1:2" ht="15">
      <c r="A237" s="120" t="s">
        <v>2860</v>
      </c>
      <c r="B237" s="3">
        <v>1</v>
      </c>
    </row>
    <row r="238" spans="1:2" ht="15">
      <c r="A238" s="119" t="s">
        <v>2746</v>
      </c>
      <c r="B238" s="3">
        <v>4</v>
      </c>
    </row>
    <row r="239" spans="1:2" ht="15">
      <c r="A239" s="120" t="s">
        <v>2747</v>
      </c>
      <c r="B239" s="3">
        <v>1</v>
      </c>
    </row>
    <row r="240" spans="1:2" ht="15">
      <c r="A240" s="120" t="s">
        <v>2861</v>
      </c>
      <c r="B240" s="3">
        <v>1</v>
      </c>
    </row>
    <row r="241" spans="1:2" ht="15">
      <c r="A241" s="120" t="s">
        <v>2812</v>
      </c>
      <c r="B241" s="3">
        <v>1</v>
      </c>
    </row>
    <row r="242" spans="1:2" ht="15">
      <c r="A242" s="120" t="s">
        <v>2862</v>
      </c>
      <c r="B242" s="3">
        <v>1</v>
      </c>
    </row>
    <row r="243" spans="1:2" ht="15">
      <c r="A243" s="119" t="s">
        <v>2813</v>
      </c>
      <c r="B243" s="3">
        <v>4</v>
      </c>
    </row>
    <row r="244" spans="1:2" ht="15">
      <c r="A244" s="120" t="s">
        <v>2863</v>
      </c>
      <c r="B244" s="3">
        <v>1</v>
      </c>
    </row>
    <row r="245" spans="1:2" ht="15">
      <c r="A245" s="120" t="s">
        <v>2844</v>
      </c>
      <c r="B245" s="3">
        <v>1</v>
      </c>
    </row>
    <row r="246" spans="1:2" ht="15">
      <c r="A246" s="120" t="s">
        <v>2864</v>
      </c>
      <c r="B246" s="3">
        <v>1</v>
      </c>
    </row>
    <row r="247" spans="1:2" ht="15">
      <c r="A247" s="120" t="s">
        <v>2865</v>
      </c>
      <c r="B247" s="3">
        <v>1</v>
      </c>
    </row>
    <row r="248" spans="1:2" ht="15">
      <c r="A248" s="119" t="s">
        <v>2732</v>
      </c>
      <c r="B248" s="3">
        <v>4</v>
      </c>
    </row>
    <row r="249" spans="1:2" ht="15">
      <c r="A249" s="120" t="s">
        <v>2866</v>
      </c>
      <c r="B249" s="3">
        <v>1</v>
      </c>
    </row>
    <row r="250" spans="1:2" ht="15">
      <c r="A250" s="120" t="s">
        <v>2791</v>
      </c>
      <c r="B250" s="3">
        <v>1</v>
      </c>
    </row>
    <row r="251" spans="1:2" ht="15">
      <c r="A251" s="120" t="s">
        <v>2867</v>
      </c>
      <c r="B251" s="3">
        <v>1</v>
      </c>
    </row>
    <row r="252" spans="1:2" ht="15">
      <c r="A252" s="120" t="s">
        <v>2868</v>
      </c>
      <c r="B252" s="3">
        <v>1</v>
      </c>
    </row>
    <row r="253" spans="1:2" ht="15">
      <c r="A253" s="119" t="s">
        <v>2752</v>
      </c>
      <c r="B253" s="3">
        <v>1</v>
      </c>
    </row>
    <row r="254" spans="1:2" ht="15">
      <c r="A254" s="120" t="s">
        <v>2792</v>
      </c>
      <c r="B254" s="3">
        <v>1</v>
      </c>
    </row>
    <row r="255" spans="1:2" ht="15">
      <c r="A255" s="119" t="s">
        <v>2773</v>
      </c>
      <c r="B255" s="3">
        <v>2</v>
      </c>
    </row>
    <row r="256" spans="1:2" ht="15">
      <c r="A256" s="120" t="s">
        <v>2869</v>
      </c>
      <c r="B256" s="3">
        <v>1</v>
      </c>
    </row>
    <row r="257" spans="1:2" ht="15">
      <c r="A257" s="120" t="s">
        <v>2776</v>
      </c>
      <c r="B257" s="3">
        <v>1</v>
      </c>
    </row>
    <row r="258" spans="1:2" ht="15">
      <c r="A258" s="119" t="s">
        <v>2777</v>
      </c>
      <c r="B258" s="3">
        <v>1</v>
      </c>
    </row>
    <row r="259" spans="1:2" ht="15">
      <c r="A259" s="120" t="s">
        <v>2870</v>
      </c>
      <c r="B259" s="3">
        <v>1</v>
      </c>
    </row>
    <row r="260" spans="1:2" ht="15">
      <c r="A260" s="118" t="s">
        <v>2871</v>
      </c>
      <c r="B260" s="3">
        <v>26</v>
      </c>
    </row>
    <row r="261" spans="1:2" ht="15">
      <c r="A261" s="119" t="s">
        <v>2754</v>
      </c>
      <c r="B261" s="3">
        <v>1</v>
      </c>
    </row>
    <row r="262" spans="1:2" ht="15">
      <c r="A262" s="120" t="s">
        <v>2872</v>
      </c>
      <c r="B262" s="3">
        <v>1</v>
      </c>
    </row>
    <row r="263" spans="1:2" ht="15">
      <c r="A263" s="119" t="s">
        <v>2735</v>
      </c>
      <c r="B263" s="3">
        <v>6</v>
      </c>
    </row>
    <row r="264" spans="1:2" ht="15">
      <c r="A264" s="120" t="s">
        <v>2873</v>
      </c>
      <c r="B264" s="3">
        <v>1</v>
      </c>
    </row>
    <row r="265" spans="1:2" ht="15">
      <c r="A265" s="120" t="s">
        <v>2874</v>
      </c>
      <c r="B265" s="3">
        <v>2</v>
      </c>
    </row>
    <row r="266" spans="1:2" ht="15">
      <c r="A266" s="120" t="s">
        <v>2875</v>
      </c>
      <c r="B266" s="3">
        <v>1</v>
      </c>
    </row>
    <row r="267" spans="1:2" ht="15">
      <c r="A267" s="120" t="s">
        <v>2757</v>
      </c>
      <c r="B267" s="3">
        <v>1</v>
      </c>
    </row>
    <row r="268" spans="1:2" ht="15">
      <c r="A268" s="120" t="s">
        <v>2876</v>
      </c>
      <c r="B268" s="3">
        <v>1</v>
      </c>
    </row>
    <row r="269" spans="1:2" ht="15">
      <c r="A269" s="119" t="s">
        <v>2740</v>
      </c>
      <c r="B269" s="3">
        <v>6</v>
      </c>
    </row>
    <row r="270" spans="1:2" ht="15">
      <c r="A270" s="120" t="s">
        <v>2877</v>
      </c>
      <c r="B270" s="3">
        <v>1</v>
      </c>
    </row>
    <row r="271" spans="1:2" ht="15">
      <c r="A271" s="120" t="s">
        <v>2836</v>
      </c>
      <c r="B271" s="3">
        <v>2</v>
      </c>
    </row>
    <row r="272" spans="1:2" ht="15">
      <c r="A272" s="120" t="s">
        <v>2878</v>
      </c>
      <c r="B272" s="3">
        <v>1</v>
      </c>
    </row>
    <row r="273" spans="1:2" ht="15">
      <c r="A273" s="120" t="s">
        <v>2879</v>
      </c>
      <c r="B273" s="3">
        <v>1</v>
      </c>
    </row>
    <row r="274" spans="1:2" ht="15">
      <c r="A274" s="120" t="s">
        <v>2760</v>
      </c>
      <c r="B274" s="3">
        <v>1</v>
      </c>
    </row>
    <row r="275" spans="1:2" ht="15">
      <c r="A275" s="119" t="s">
        <v>2742</v>
      </c>
      <c r="B275" s="3">
        <v>2</v>
      </c>
    </row>
    <row r="276" spans="1:2" ht="15">
      <c r="A276" s="120" t="s">
        <v>2880</v>
      </c>
      <c r="B276" s="3">
        <v>1</v>
      </c>
    </row>
    <row r="277" spans="1:2" ht="15">
      <c r="A277" s="120" t="s">
        <v>2881</v>
      </c>
      <c r="B277" s="3">
        <v>1</v>
      </c>
    </row>
    <row r="278" spans="1:2" ht="15">
      <c r="A278" s="119" t="s">
        <v>2727</v>
      </c>
      <c r="B278" s="3">
        <v>1</v>
      </c>
    </row>
    <row r="279" spans="1:2" ht="15">
      <c r="A279" s="120" t="s">
        <v>2882</v>
      </c>
      <c r="B279" s="3">
        <v>1</v>
      </c>
    </row>
    <row r="280" spans="1:2" ht="15">
      <c r="A280" s="119" t="s">
        <v>2746</v>
      </c>
      <c r="B280" s="3">
        <v>2</v>
      </c>
    </row>
    <row r="281" spans="1:2" ht="15">
      <c r="A281" s="120" t="s">
        <v>2841</v>
      </c>
      <c r="B281" s="3">
        <v>2</v>
      </c>
    </row>
    <row r="282" spans="1:2" ht="15">
      <c r="A282" s="119" t="s">
        <v>2813</v>
      </c>
      <c r="B282" s="3">
        <v>2</v>
      </c>
    </row>
    <row r="283" spans="1:2" ht="15">
      <c r="A283" s="120" t="s">
        <v>2883</v>
      </c>
      <c r="B283" s="3">
        <v>1</v>
      </c>
    </row>
    <row r="284" spans="1:2" ht="15">
      <c r="A284" s="120" t="s">
        <v>2884</v>
      </c>
      <c r="B284" s="3">
        <v>1</v>
      </c>
    </row>
    <row r="285" spans="1:2" ht="15">
      <c r="A285" s="119" t="s">
        <v>2730</v>
      </c>
      <c r="B285" s="3">
        <v>1</v>
      </c>
    </row>
    <row r="286" spans="1:2" ht="15">
      <c r="A286" s="120" t="s">
        <v>2885</v>
      </c>
      <c r="B286" s="3">
        <v>1</v>
      </c>
    </row>
    <row r="287" spans="1:2" ht="15">
      <c r="A287" s="119" t="s">
        <v>2752</v>
      </c>
      <c r="B287" s="3">
        <v>1</v>
      </c>
    </row>
    <row r="288" spans="1:2" ht="15">
      <c r="A288" s="120" t="s">
        <v>2753</v>
      </c>
      <c r="B288" s="3">
        <v>1</v>
      </c>
    </row>
    <row r="289" spans="1:2" ht="15">
      <c r="A289" s="119" t="s">
        <v>2773</v>
      </c>
      <c r="B289" s="3">
        <v>1</v>
      </c>
    </row>
    <row r="290" spans="1:2" ht="15">
      <c r="A290" s="120" t="s">
        <v>2886</v>
      </c>
      <c r="B290" s="3">
        <v>1</v>
      </c>
    </row>
    <row r="291" spans="1:2" ht="15">
      <c r="A291" s="119" t="s">
        <v>2777</v>
      </c>
      <c r="B291" s="3">
        <v>3</v>
      </c>
    </row>
    <row r="292" spans="1:2" ht="15">
      <c r="A292" s="120" t="s">
        <v>2793</v>
      </c>
      <c r="B292" s="3">
        <v>3</v>
      </c>
    </row>
    <row r="293" spans="1:2" ht="15">
      <c r="A293" s="118" t="s">
        <v>1894</v>
      </c>
      <c r="B293" s="3">
        <v>35</v>
      </c>
    </row>
    <row r="294" spans="1:2" ht="15">
      <c r="A294" s="119" t="s">
        <v>2754</v>
      </c>
      <c r="B294" s="3">
        <v>9</v>
      </c>
    </row>
    <row r="295" spans="1:2" ht="15">
      <c r="A295" s="120" t="s">
        <v>2887</v>
      </c>
      <c r="B295" s="3">
        <v>1</v>
      </c>
    </row>
    <row r="296" spans="1:2" ht="15">
      <c r="A296" s="120" t="s">
        <v>2888</v>
      </c>
      <c r="B296" s="3">
        <v>1</v>
      </c>
    </row>
    <row r="297" spans="1:2" ht="15">
      <c r="A297" s="120" t="s">
        <v>2889</v>
      </c>
      <c r="B297" s="3">
        <v>1</v>
      </c>
    </row>
    <row r="298" spans="1:2" ht="15">
      <c r="A298" s="120" t="s">
        <v>2890</v>
      </c>
      <c r="B298" s="3">
        <v>1</v>
      </c>
    </row>
    <row r="299" spans="1:2" ht="15">
      <c r="A299" s="120" t="s">
        <v>2831</v>
      </c>
      <c r="B299" s="3">
        <v>1</v>
      </c>
    </row>
    <row r="300" spans="1:2" ht="15">
      <c r="A300" s="120" t="s">
        <v>2755</v>
      </c>
      <c r="B300" s="3">
        <v>1</v>
      </c>
    </row>
    <row r="301" spans="1:2" ht="15">
      <c r="A301" s="120" t="s">
        <v>2891</v>
      </c>
      <c r="B301" s="3">
        <v>1</v>
      </c>
    </row>
    <row r="302" spans="1:2" ht="15">
      <c r="A302" s="120" t="s">
        <v>2892</v>
      </c>
      <c r="B302" s="3">
        <v>2</v>
      </c>
    </row>
    <row r="303" spans="1:2" ht="15">
      <c r="A303" s="119" t="s">
        <v>2735</v>
      </c>
      <c r="B303" s="3">
        <v>1</v>
      </c>
    </row>
    <row r="304" spans="1:2" ht="15">
      <c r="A304" s="120" t="s">
        <v>2873</v>
      </c>
      <c r="B304" s="3">
        <v>1</v>
      </c>
    </row>
    <row r="305" spans="1:2" ht="15">
      <c r="A305" s="119" t="s">
        <v>2740</v>
      </c>
      <c r="B305" s="3">
        <v>6</v>
      </c>
    </row>
    <row r="306" spans="1:2" ht="15">
      <c r="A306" s="120" t="s">
        <v>2893</v>
      </c>
      <c r="B306" s="3">
        <v>2</v>
      </c>
    </row>
    <row r="307" spans="1:2" ht="15">
      <c r="A307" s="120" t="s">
        <v>2835</v>
      </c>
      <c r="B307" s="3">
        <v>3</v>
      </c>
    </row>
    <row r="308" spans="1:2" ht="15">
      <c r="A308" s="120" t="s">
        <v>2894</v>
      </c>
      <c r="B308" s="3">
        <v>1</v>
      </c>
    </row>
    <row r="309" spans="1:2" ht="15">
      <c r="A309" s="119" t="s">
        <v>2742</v>
      </c>
      <c r="B309" s="3">
        <v>4</v>
      </c>
    </row>
    <row r="310" spans="1:2" ht="15">
      <c r="A310" s="120" t="s">
        <v>2895</v>
      </c>
      <c r="B310" s="3">
        <v>1</v>
      </c>
    </row>
    <row r="311" spans="1:2" ht="15">
      <c r="A311" s="120" t="s">
        <v>2896</v>
      </c>
      <c r="B311" s="3">
        <v>1</v>
      </c>
    </row>
    <row r="312" spans="1:2" ht="15">
      <c r="A312" s="120" t="s">
        <v>2897</v>
      </c>
      <c r="B312" s="3">
        <v>2</v>
      </c>
    </row>
    <row r="313" spans="1:2" ht="15">
      <c r="A313" s="119" t="s">
        <v>2727</v>
      </c>
      <c r="B313" s="3">
        <v>3</v>
      </c>
    </row>
    <row r="314" spans="1:2" ht="15">
      <c r="A314" s="120" t="s">
        <v>2806</v>
      </c>
      <c r="B314" s="3">
        <v>1</v>
      </c>
    </row>
    <row r="315" spans="1:2" ht="15">
      <c r="A315" s="120" t="s">
        <v>2898</v>
      </c>
      <c r="B315" s="3">
        <v>1</v>
      </c>
    </row>
    <row r="316" spans="1:2" ht="15">
      <c r="A316" s="120" t="s">
        <v>2765</v>
      </c>
      <c r="B316" s="3">
        <v>1</v>
      </c>
    </row>
    <row r="317" spans="1:2" ht="15">
      <c r="A317" s="119" t="s">
        <v>2813</v>
      </c>
      <c r="B317" s="3">
        <v>4</v>
      </c>
    </row>
    <row r="318" spans="1:2" ht="15">
      <c r="A318" s="120" t="s">
        <v>2899</v>
      </c>
      <c r="B318" s="3">
        <v>3</v>
      </c>
    </row>
    <row r="319" spans="1:2" ht="15">
      <c r="A319" s="120" t="s">
        <v>2900</v>
      </c>
      <c r="B319" s="3">
        <v>1</v>
      </c>
    </row>
    <row r="320" spans="1:2" ht="15">
      <c r="A320" s="119" t="s">
        <v>2730</v>
      </c>
      <c r="B320" s="3">
        <v>3</v>
      </c>
    </row>
    <row r="321" spans="1:2" ht="15">
      <c r="A321" s="120" t="s">
        <v>2816</v>
      </c>
      <c r="B321" s="3">
        <v>1</v>
      </c>
    </row>
    <row r="322" spans="1:2" ht="15">
      <c r="A322" s="120" t="s">
        <v>2901</v>
      </c>
      <c r="B322" s="3">
        <v>1</v>
      </c>
    </row>
    <row r="323" spans="1:2" ht="15">
      <c r="A323" s="120" t="s">
        <v>2902</v>
      </c>
      <c r="B323" s="3">
        <v>1</v>
      </c>
    </row>
    <row r="324" spans="1:2" ht="15">
      <c r="A324" s="119" t="s">
        <v>2752</v>
      </c>
      <c r="B324" s="3">
        <v>4</v>
      </c>
    </row>
    <row r="325" spans="1:2" ht="15">
      <c r="A325" s="120" t="s">
        <v>2903</v>
      </c>
      <c r="B325" s="3">
        <v>1</v>
      </c>
    </row>
    <row r="326" spans="1:2" ht="15">
      <c r="A326" s="120" t="s">
        <v>2904</v>
      </c>
      <c r="B326" s="3">
        <v>1</v>
      </c>
    </row>
    <row r="327" spans="1:2" ht="15">
      <c r="A327" s="120" t="s">
        <v>2905</v>
      </c>
      <c r="B327" s="3">
        <v>1</v>
      </c>
    </row>
    <row r="328" spans="1:2" ht="15">
      <c r="A328" s="120" t="s">
        <v>2771</v>
      </c>
      <c r="B328" s="3">
        <v>1</v>
      </c>
    </row>
    <row r="329" spans="1:2" ht="15">
      <c r="A329" s="119" t="s">
        <v>2773</v>
      </c>
      <c r="B329" s="3">
        <v>1</v>
      </c>
    </row>
    <row r="330" spans="1:2" ht="15">
      <c r="A330" s="120" t="s">
        <v>2906</v>
      </c>
      <c r="B330" s="3">
        <v>1</v>
      </c>
    </row>
    <row r="331" spans="1:2" ht="15">
      <c r="A331" s="118" t="s">
        <v>1582</v>
      </c>
      <c r="B331" s="3">
        <v>42</v>
      </c>
    </row>
    <row r="332" spans="1:2" ht="15">
      <c r="A332" s="119" t="s">
        <v>2754</v>
      </c>
      <c r="B332" s="3">
        <v>1</v>
      </c>
    </row>
    <row r="333" spans="1:2" ht="15">
      <c r="A333" s="120" t="s">
        <v>2907</v>
      </c>
      <c r="B333" s="3">
        <v>1</v>
      </c>
    </row>
    <row r="334" spans="1:2" ht="15">
      <c r="A334" s="119" t="s">
        <v>2735</v>
      </c>
      <c r="B334" s="3">
        <v>1</v>
      </c>
    </row>
    <row r="335" spans="1:2" ht="15">
      <c r="A335" s="120" t="s">
        <v>2908</v>
      </c>
      <c r="B335" s="3">
        <v>1</v>
      </c>
    </row>
    <row r="336" spans="1:2" ht="15">
      <c r="A336" s="119" t="s">
        <v>2740</v>
      </c>
      <c r="B336" s="3">
        <v>5</v>
      </c>
    </row>
    <row r="337" spans="1:2" ht="15">
      <c r="A337" s="120" t="s">
        <v>2909</v>
      </c>
      <c r="B337" s="3">
        <v>1</v>
      </c>
    </row>
    <row r="338" spans="1:2" ht="15">
      <c r="A338" s="120" t="s">
        <v>2910</v>
      </c>
      <c r="B338" s="3">
        <v>1</v>
      </c>
    </row>
    <row r="339" spans="1:2" ht="15">
      <c r="A339" s="120" t="s">
        <v>2835</v>
      </c>
      <c r="B339" s="3">
        <v>1</v>
      </c>
    </row>
    <row r="340" spans="1:2" ht="15">
      <c r="A340" s="120" t="s">
        <v>2911</v>
      </c>
      <c r="B340" s="3">
        <v>2</v>
      </c>
    </row>
    <row r="341" spans="1:2" ht="15">
      <c r="A341" s="119" t="s">
        <v>2742</v>
      </c>
      <c r="B341" s="3">
        <v>13</v>
      </c>
    </row>
    <row r="342" spans="1:2" ht="15">
      <c r="A342" s="120" t="s">
        <v>2802</v>
      </c>
      <c r="B342" s="3">
        <v>8</v>
      </c>
    </row>
    <row r="343" spans="1:2" ht="15">
      <c r="A343" s="120" t="s">
        <v>2912</v>
      </c>
      <c r="B343" s="3">
        <v>3</v>
      </c>
    </row>
    <row r="344" spans="1:2" ht="15">
      <c r="A344" s="120" t="s">
        <v>2913</v>
      </c>
      <c r="B344" s="3">
        <v>1</v>
      </c>
    </row>
    <row r="345" spans="1:2" ht="15">
      <c r="A345" s="120" t="s">
        <v>2859</v>
      </c>
      <c r="B345" s="3">
        <v>1</v>
      </c>
    </row>
    <row r="346" spans="1:2" ht="15">
      <c r="A346" s="119" t="s">
        <v>2727</v>
      </c>
      <c r="B346" s="3">
        <v>6</v>
      </c>
    </row>
    <row r="347" spans="1:2" ht="15">
      <c r="A347" s="120" t="s">
        <v>2914</v>
      </c>
      <c r="B347" s="3">
        <v>3</v>
      </c>
    </row>
    <row r="348" spans="1:2" ht="15">
      <c r="A348" s="120" t="s">
        <v>2915</v>
      </c>
      <c r="B348" s="3">
        <v>2</v>
      </c>
    </row>
    <row r="349" spans="1:2" ht="15">
      <c r="A349" s="120" t="s">
        <v>2916</v>
      </c>
      <c r="B349" s="3">
        <v>1</v>
      </c>
    </row>
    <row r="350" spans="1:2" ht="15">
      <c r="A350" s="119" t="s">
        <v>2746</v>
      </c>
      <c r="B350" s="3">
        <v>1</v>
      </c>
    </row>
    <row r="351" spans="1:2" ht="15">
      <c r="A351" s="120" t="s">
        <v>2917</v>
      </c>
      <c r="B351" s="3">
        <v>1</v>
      </c>
    </row>
    <row r="352" spans="1:2" ht="15">
      <c r="A352" s="119" t="s">
        <v>2813</v>
      </c>
      <c r="B352" s="3">
        <v>4</v>
      </c>
    </row>
    <row r="353" spans="1:2" ht="15">
      <c r="A353" s="120" t="s">
        <v>2883</v>
      </c>
      <c r="B353" s="3">
        <v>1</v>
      </c>
    </row>
    <row r="354" spans="1:2" ht="15">
      <c r="A354" s="120" t="s">
        <v>2918</v>
      </c>
      <c r="B354" s="3">
        <v>1</v>
      </c>
    </row>
    <row r="355" spans="1:2" ht="15">
      <c r="A355" s="120" t="s">
        <v>2919</v>
      </c>
      <c r="B355" s="3">
        <v>1</v>
      </c>
    </row>
    <row r="356" spans="1:2" ht="15">
      <c r="A356" s="120" t="s">
        <v>2815</v>
      </c>
      <c r="B356" s="3">
        <v>1</v>
      </c>
    </row>
    <row r="357" spans="1:2" ht="15">
      <c r="A357" s="119" t="s">
        <v>2752</v>
      </c>
      <c r="B357" s="3">
        <v>1</v>
      </c>
    </row>
    <row r="358" spans="1:2" ht="15">
      <c r="A358" s="120" t="s">
        <v>2768</v>
      </c>
      <c r="B358" s="3">
        <v>1</v>
      </c>
    </row>
    <row r="359" spans="1:2" ht="15">
      <c r="A359" s="119" t="s">
        <v>2773</v>
      </c>
      <c r="B359" s="3">
        <v>8</v>
      </c>
    </row>
    <row r="360" spans="1:2" ht="15">
      <c r="A360" s="120" t="s">
        <v>2920</v>
      </c>
      <c r="B360" s="3">
        <v>2</v>
      </c>
    </row>
    <row r="361" spans="1:2" ht="15">
      <c r="A361" s="120" t="s">
        <v>2828</v>
      </c>
      <c r="B361" s="3">
        <v>1</v>
      </c>
    </row>
    <row r="362" spans="1:2" ht="15">
      <c r="A362" s="120" t="s">
        <v>2921</v>
      </c>
      <c r="B362" s="3">
        <v>2</v>
      </c>
    </row>
    <row r="363" spans="1:2" ht="15">
      <c r="A363" s="120" t="s">
        <v>2922</v>
      </c>
      <c r="B363" s="3">
        <v>3</v>
      </c>
    </row>
    <row r="364" spans="1:2" ht="15">
      <c r="A364" s="119" t="s">
        <v>2777</v>
      </c>
      <c r="B364" s="3">
        <v>2</v>
      </c>
    </row>
    <row r="365" spans="1:2" ht="15">
      <c r="A365" s="120" t="s">
        <v>2793</v>
      </c>
      <c r="B365" s="3">
        <v>1</v>
      </c>
    </row>
    <row r="366" spans="1:2" ht="15">
      <c r="A366" s="120" t="s">
        <v>2923</v>
      </c>
      <c r="B366" s="3">
        <v>1</v>
      </c>
    </row>
    <row r="367" spans="1:2" ht="15">
      <c r="A367" s="118" t="s">
        <v>2924</v>
      </c>
      <c r="B367" s="3">
        <v>39</v>
      </c>
    </row>
    <row r="368" spans="1:2" ht="15">
      <c r="A368" s="119" t="s">
        <v>2754</v>
      </c>
      <c r="B368" s="3">
        <v>5</v>
      </c>
    </row>
    <row r="369" spans="1:2" ht="15">
      <c r="A369" s="120" t="s">
        <v>2797</v>
      </c>
      <c r="B369" s="3">
        <v>2</v>
      </c>
    </row>
    <row r="370" spans="1:2" ht="15">
      <c r="A370" s="120" t="s">
        <v>2925</v>
      </c>
      <c r="B370" s="3">
        <v>1</v>
      </c>
    </row>
    <row r="371" spans="1:2" ht="15">
      <c r="A371" s="120" t="s">
        <v>2926</v>
      </c>
      <c r="B371" s="3">
        <v>1</v>
      </c>
    </row>
    <row r="372" spans="1:2" ht="15">
      <c r="A372" s="120" t="s">
        <v>2927</v>
      </c>
      <c r="B372" s="3">
        <v>1</v>
      </c>
    </row>
    <row r="373" spans="1:2" ht="15">
      <c r="A373" s="119" t="s">
        <v>2735</v>
      </c>
      <c r="B373" s="3">
        <v>4</v>
      </c>
    </row>
    <row r="374" spans="1:2" ht="15">
      <c r="A374" s="120" t="s">
        <v>2736</v>
      </c>
      <c r="B374" s="3">
        <v>2</v>
      </c>
    </row>
    <row r="375" spans="1:2" ht="15">
      <c r="A375" s="120" t="s">
        <v>2874</v>
      </c>
      <c r="B375" s="3">
        <v>1</v>
      </c>
    </row>
    <row r="376" spans="1:2" ht="15">
      <c r="A376" s="120" t="s">
        <v>2928</v>
      </c>
      <c r="B376" s="3">
        <v>1</v>
      </c>
    </row>
    <row r="377" spans="1:2" ht="15">
      <c r="A377" s="119" t="s">
        <v>2740</v>
      </c>
      <c r="B377" s="3">
        <v>2</v>
      </c>
    </row>
    <row r="378" spans="1:2" ht="15">
      <c r="A378" s="120" t="s">
        <v>2929</v>
      </c>
      <c r="B378" s="3">
        <v>1</v>
      </c>
    </row>
    <row r="379" spans="1:2" ht="15">
      <c r="A379" s="120" t="s">
        <v>2910</v>
      </c>
      <c r="B379" s="3">
        <v>1</v>
      </c>
    </row>
    <row r="380" spans="1:2" ht="15">
      <c r="A380" s="119" t="s">
        <v>2742</v>
      </c>
      <c r="B380" s="3">
        <v>2</v>
      </c>
    </row>
    <row r="381" spans="1:2" ht="15">
      <c r="A381" s="120" t="s">
        <v>2896</v>
      </c>
      <c r="B381" s="3">
        <v>1</v>
      </c>
    </row>
    <row r="382" spans="1:2" ht="15">
      <c r="A382" s="120" t="s">
        <v>2763</v>
      </c>
      <c r="B382" s="3">
        <v>1</v>
      </c>
    </row>
    <row r="383" spans="1:2" ht="15">
      <c r="A383" s="119" t="s">
        <v>2727</v>
      </c>
      <c r="B383" s="3">
        <v>9</v>
      </c>
    </row>
    <row r="384" spans="1:2" ht="15">
      <c r="A384" s="120" t="s">
        <v>2838</v>
      </c>
      <c r="B384" s="3">
        <v>1</v>
      </c>
    </row>
    <row r="385" spans="1:2" ht="15">
      <c r="A385" s="120" t="s">
        <v>2882</v>
      </c>
      <c r="B385" s="3">
        <v>2</v>
      </c>
    </row>
    <row r="386" spans="1:2" ht="15">
      <c r="A386" s="120" t="s">
        <v>2805</v>
      </c>
      <c r="B386" s="3">
        <v>2</v>
      </c>
    </row>
    <row r="387" spans="1:2" ht="15">
      <c r="A387" s="120" t="s">
        <v>2839</v>
      </c>
      <c r="B387" s="3">
        <v>1</v>
      </c>
    </row>
    <row r="388" spans="1:2" ht="15">
      <c r="A388" s="120" t="s">
        <v>2930</v>
      </c>
      <c r="B388" s="3">
        <v>2</v>
      </c>
    </row>
    <row r="389" spans="1:2" ht="15">
      <c r="A389" s="120" t="s">
        <v>2809</v>
      </c>
      <c r="B389" s="3">
        <v>1</v>
      </c>
    </row>
    <row r="390" spans="1:2" ht="15">
      <c r="A390" s="119" t="s">
        <v>2813</v>
      </c>
      <c r="B390" s="3">
        <v>3</v>
      </c>
    </row>
    <row r="391" spans="1:2" ht="15">
      <c r="A391" s="120" t="s">
        <v>2931</v>
      </c>
      <c r="B391" s="3">
        <v>3</v>
      </c>
    </row>
    <row r="392" spans="1:2" ht="15">
      <c r="A392" s="119" t="s">
        <v>2730</v>
      </c>
      <c r="B392" s="3">
        <v>1</v>
      </c>
    </row>
    <row r="393" spans="1:2" ht="15">
      <c r="A393" s="120" t="s">
        <v>2932</v>
      </c>
      <c r="B393" s="3">
        <v>1</v>
      </c>
    </row>
    <row r="394" spans="1:2" ht="15">
      <c r="A394" s="119" t="s">
        <v>2732</v>
      </c>
      <c r="B394" s="3">
        <v>1</v>
      </c>
    </row>
    <row r="395" spans="1:2" ht="15">
      <c r="A395" s="120" t="s">
        <v>2868</v>
      </c>
      <c r="B395" s="3">
        <v>1</v>
      </c>
    </row>
    <row r="396" spans="1:2" ht="15">
      <c r="A396" s="119" t="s">
        <v>2752</v>
      </c>
      <c r="B396" s="3">
        <v>6</v>
      </c>
    </row>
    <row r="397" spans="1:2" ht="15">
      <c r="A397" s="120" t="s">
        <v>2821</v>
      </c>
      <c r="B397" s="3">
        <v>2</v>
      </c>
    </row>
    <row r="398" spans="1:2" ht="15">
      <c r="A398" s="120" t="s">
        <v>2933</v>
      </c>
      <c r="B398" s="3">
        <v>2</v>
      </c>
    </row>
    <row r="399" spans="1:2" ht="15">
      <c r="A399" s="120" t="s">
        <v>2934</v>
      </c>
      <c r="B399" s="3">
        <v>2</v>
      </c>
    </row>
    <row r="400" spans="1:2" ht="15">
      <c r="A400" s="119" t="s">
        <v>2773</v>
      </c>
      <c r="B400" s="3">
        <v>5</v>
      </c>
    </row>
    <row r="401" spans="1:2" ht="15">
      <c r="A401" s="120" t="s">
        <v>2774</v>
      </c>
      <c r="B401" s="3">
        <v>1</v>
      </c>
    </row>
    <row r="402" spans="1:2" ht="15">
      <c r="A402" s="120" t="s">
        <v>2935</v>
      </c>
      <c r="B402" s="3">
        <v>1</v>
      </c>
    </row>
    <row r="403" spans="1:2" ht="15">
      <c r="A403" s="120" t="s">
        <v>2921</v>
      </c>
      <c r="B403" s="3">
        <v>1</v>
      </c>
    </row>
    <row r="404" spans="1:2" ht="15">
      <c r="A404" s="120" t="s">
        <v>2936</v>
      </c>
      <c r="B404" s="3">
        <v>1</v>
      </c>
    </row>
    <row r="405" spans="1:2" ht="15">
      <c r="A405" s="120" t="s">
        <v>2776</v>
      </c>
      <c r="B405" s="3">
        <v>1</v>
      </c>
    </row>
    <row r="406" spans="1:2" ht="15">
      <c r="A406" s="119" t="s">
        <v>2777</v>
      </c>
      <c r="B406" s="3">
        <v>1</v>
      </c>
    </row>
    <row r="407" spans="1:2" ht="15">
      <c r="A407" s="120" t="s">
        <v>2852</v>
      </c>
      <c r="B407" s="3">
        <v>1</v>
      </c>
    </row>
    <row r="408" spans="1:2" ht="15">
      <c r="A408" s="118" t="s">
        <v>2937</v>
      </c>
      <c r="B408" s="3">
        <v>26</v>
      </c>
    </row>
    <row r="409" spans="1:2" ht="15">
      <c r="A409" s="119" t="s">
        <v>2754</v>
      </c>
      <c r="B409" s="3">
        <v>6</v>
      </c>
    </row>
    <row r="410" spans="1:2" ht="15">
      <c r="A410" s="120" t="s">
        <v>2855</v>
      </c>
      <c r="B410" s="3">
        <v>2</v>
      </c>
    </row>
    <row r="411" spans="1:2" ht="15">
      <c r="A411" s="120" t="s">
        <v>2831</v>
      </c>
      <c r="B411" s="3">
        <v>1</v>
      </c>
    </row>
    <row r="412" spans="1:2" ht="15">
      <c r="A412" s="120" t="s">
        <v>2926</v>
      </c>
      <c r="B412" s="3">
        <v>3</v>
      </c>
    </row>
    <row r="413" spans="1:2" ht="15">
      <c r="A413" s="119" t="s">
        <v>2740</v>
      </c>
      <c r="B413" s="3">
        <v>4</v>
      </c>
    </row>
    <row r="414" spans="1:2" ht="15">
      <c r="A414" s="120" t="s">
        <v>2877</v>
      </c>
      <c r="B414" s="3">
        <v>2</v>
      </c>
    </row>
    <row r="415" spans="1:2" ht="15">
      <c r="A415" s="120" t="s">
        <v>2878</v>
      </c>
      <c r="B415" s="3">
        <v>1</v>
      </c>
    </row>
    <row r="416" spans="1:2" ht="15">
      <c r="A416" s="120" t="s">
        <v>2938</v>
      </c>
      <c r="B416" s="3">
        <v>1</v>
      </c>
    </row>
    <row r="417" spans="1:2" ht="15">
      <c r="A417" s="119" t="s">
        <v>2742</v>
      </c>
      <c r="B417" s="3">
        <v>11</v>
      </c>
    </row>
    <row r="418" spans="1:2" ht="15">
      <c r="A418" s="120" t="s">
        <v>2802</v>
      </c>
      <c r="B418" s="3">
        <v>1</v>
      </c>
    </row>
    <row r="419" spans="1:2" ht="15">
      <c r="A419" s="120" t="s">
        <v>2880</v>
      </c>
      <c r="B419" s="3">
        <v>1</v>
      </c>
    </row>
    <row r="420" spans="1:2" ht="15">
      <c r="A420" s="120" t="s">
        <v>2939</v>
      </c>
      <c r="B420" s="3">
        <v>1</v>
      </c>
    </row>
    <row r="421" spans="1:2" ht="15">
      <c r="A421" s="120" t="s">
        <v>2762</v>
      </c>
      <c r="B421" s="3">
        <v>1</v>
      </c>
    </row>
    <row r="422" spans="1:2" ht="15">
      <c r="A422" s="120" t="s">
        <v>2940</v>
      </c>
      <c r="B422" s="3">
        <v>1</v>
      </c>
    </row>
    <row r="423" spans="1:2" ht="15">
      <c r="A423" s="120" t="s">
        <v>2803</v>
      </c>
      <c r="B423" s="3">
        <v>5</v>
      </c>
    </row>
    <row r="424" spans="1:2" ht="15">
      <c r="A424" s="120" t="s">
        <v>2897</v>
      </c>
      <c r="B424" s="3">
        <v>1</v>
      </c>
    </row>
    <row r="425" spans="1:2" ht="15">
      <c r="A425" s="119" t="s">
        <v>2727</v>
      </c>
      <c r="B425" s="3">
        <v>5</v>
      </c>
    </row>
    <row r="426" spans="1:2" ht="15">
      <c r="A426" s="120" t="s">
        <v>2808</v>
      </c>
      <c r="B426" s="3">
        <v>1</v>
      </c>
    </row>
    <row r="427" spans="1:2" ht="15">
      <c r="A427" s="120" t="s">
        <v>2728</v>
      </c>
      <c r="B427" s="3">
        <v>1</v>
      </c>
    </row>
    <row r="428" spans="1:2" ht="15">
      <c r="A428" s="120" t="s">
        <v>2914</v>
      </c>
      <c r="B428" s="3">
        <v>1</v>
      </c>
    </row>
    <row r="429" spans="1:2" ht="15">
      <c r="A429" s="120" t="s">
        <v>2941</v>
      </c>
      <c r="B429" s="3">
        <v>1</v>
      </c>
    </row>
    <row r="430" spans="1:2" ht="15">
      <c r="A430" s="120" t="s">
        <v>2809</v>
      </c>
      <c r="B430" s="3">
        <v>1</v>
      </c>
    </row>
    <row r="431" spans="1:2" ht="15">
      <c r="A431" s="118" t="s">
        <v>2725</v>
      </c>
      <c r="B431" s="3">
        <v>388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S22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7.28125" style="2" bestFit="1" customWidth="1"/>
    <col min="31" max="31" width="13.421875" style="3" bestFit="1" customWidth="1"/>
    <col min="32" max="32" width="12.8515625" style="3" bestFit="1" customWidth="1"/>
    <col min="33" max="33" width="16.421875" style="3" bestFit="1" customWidth="1"/>
    <col min="34" max="34" width="14.28125" style="3" bestFit="1" customWidth="1"/>
    <col min="35" max="35" width="10.00390625" style="0" bestFit="1" customWidth="1"/>
    <col min="36" max="36" width="14.57421875" style="0" bestFit="1" customWidth="1"/>
    <col min="37" max="37" width="12.7109375" style="0" bestFit="1" customWidth="1"/>
    <col min="38" max="38" width="8.57421875" style="0" bestFit="1" customWidth="1"/>
    <col min="39" max="39" width="12.00390625" style="0" bestFit="1" customWidth="1"/>
    <col min="40" max="40" width="12.57421875" style="0" bestFit="1" customWidth="1"/>
    <col min="41" max="41" width="19.7109375" style="0" bestFit="1" customWidth="1"/>
    <col min="42" max="42" width="8.57421875" style="0" bestFit="1" customWidth="1"/>
    <col min="43" max="43" width="10.421875" style="0" bestFit="1" customWidth="1"/>
    <col min="45" max="46" width="15.7109375" style="0" bestFit="1" customWidth="1"/>
    <col min="47" max="47" width="9.7109375" style="0" bestFit="1" customWidth="1"/>
    <col min="48" max="48" width="19.7109375" style="0" bestFit="1" customWidth="1"/>
    <col min="49" max="49" width="24.28125" style="0" bestFit="1" customWidth="1"/>
    <col min="50" max="50" width="19.7109375" style="0" bestFit="1" customWidth="1"/>
    <col min="51" max="51" width="24.28125" style="0" bestFit="1" customWidth="1"/>
    <col min="52" max="52" width="19.7109375" style="0" bestFit="1" customWidth="1"/>
    <col min="53" max="53" width="24.28125" style="0" bestFit="1" customWidth="1"/>
    <col min="54" max="54" width="18.57421875" style="0" bestFit="1" customWidth="1"/>
    <col min="55" max="55" width="22.28125" style="0" bestFit="1" customWidth="1"/>
    <col min="56" max="56" width="17.421875" style="0" bestFit="1" customWidth="1"/>
    <col min="57" max="58" width="19.28125" style="0" bestFit="1" customWidth="1"/>
    <col min="59" max="59" width="20.57421875" style="0" bestFit="1" customWidth="1"/>
    <col min="60" max="60" width="22.7109375" style="0" bestFit="1" customWidth="1"/>
    <col min="61" max="61" width="20.57421875" style="0" bestFit="1" customWidth="1"/>
    <col min="62" max="62" width="22.7109375" style="0" bestFit="1" customWidth="1"/>
    <col min="63" max="63" width="20.57421875" style="0" bestFit="1" customWidth="1"/>
    <col min="64" max="64" width="22.7109375" style="0" bestFit="1" customWidth="1"/>
    <col min="65" max="65" width="20.57421875" style="0" bestFit="1" customWidth="1"/>
    <col min="66" max="66" width="22.71093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68"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1240</v>
      </c>
      <c r="AE2" s="13" t="s">
        <v>1241</v>
      </c>
      <c r="AF2" s="13" t="s">
        <v>326</v>
      </c>
      <c r="AG2" s="13" t="s">
        <v>327</v>
      </c>
      <c r="AH2" s="13" t="s">
        <v>328</v>
      </c>
      <c r="AI2" s="13" t="s">
        <v>1242</v>
      </c>
      <c r="AJ2" s="13" t="s">
        <v>334</v>
      </c>
      <c r="AK2" s="13" t="s">
        <v>1243</v>
      </c>
      <c r="AL2" s="13" t="s">
        <v>1244</v>
      </c>
      <c r="AM2" s="13" t="s">
        <v>1245</v>
      </c>
      <c r="AN2" s="13" t="s">
        <v>1246</v>
      </c>
      <c r="AO2" s="13" t="s">
        <v>1247</v>
      </c>
      <c r="AP2" s="13" t="s">
        <v>1248</v>
      </c>
      <c r="AQ2" s="13" t="s">
        <v>1249</v>
      </c>
      <c r="AR2" s="13" t="s">
        <v>1250</v>
      </c>
      <c r="AS2" s="13" t="s">
        <v>1251</v>
      </c>
      <c r="AT2" s="13" t="s">
        <v>1252</v>
      </c>
      <c r="AU2" s="13" t="s">
        <v>1415</v>
      </c>
      <c r="AV2" s="113" t="s">
        <v>2072</v>
      </c>
      <c r="AW2" s="113" t="s">
        <v>2073</v>
      </c>
      <c r="AX2" s="113" t="s">
        <v>2074</v>
      </c>
      <c r="AY2" s="113" t="s">
        <v>2075</v>
      </c>
      <c r="AZ2" s="113" t="s">
        <v>2076</v>
      </c>
      <c r="BA2" s="113" t="s">
        <v>2077</v>
      </c>
      <c r="BB2" s="113" t="s">
        <v>2078</v>
      </c>
      <c r="BC2" s="113" t="s">
        <v>2079</v>
      </c>
      <c r="BD2" s="113" t="s">
        <v>2081</v>
      </c>
      <c r="BE2" s="113" t="s">
        <v>2333</v>
      </c>
      <c r="BF2" s="113" t="s">
        <v>2341</v>
      </c>
      <c r="BG2" s="113" t="s">
        <v>2344</v>
      </c>
      <c r="BH2" s="113" t="s">
        <v>2349</v>
      </c>
      <c r="BI2" s="113" t="s">
        <v>2353</v>
      </c>
      <c r="BJ2" s="113" t="s">
        <v>2354</v>
      </c>
      <c r="BK2" s="113" t="s">
        <v>2355</v>
      </c>
      <c r="BL2" s="113" t="s">
        <v>2520</v>
      </c>
      <c r="BM2" s="113" t="s">
        <v>2547</v>
      </c>
      <c r="BN2" s="113" t="s">
        <v>2707</v>
      </c>
      <c r="BO2" s="3"/>
      <c r="BP2" s="3"/>
    </row>
    <row r="3" spans="1:68" ht="15" customHeight="1">
      <c r="A3" s="65" t="s">
        <v>562</v>
      </c>
      <c r="B3" s="66"/>
      <c r="C3" s="66"/>
      <c r="D3" s="67">
        <v>150</v>
      </c>
      <c r="E3" s="69"/>
      <c r="F3" s="103" t="str">
        <f>HYPERLINK("https://yt3.ggpht.com/ytc/AKedOLR5VOzrGHKgisyiue8Z3VeU2bNpGDR5O_jPBCZd=s88-c-k-c0x00ffffff-no-rj")</f>
        <v>https://yt3.ggpht.com/ytc/AKedOLR5VOzrGHKgisyiue8Z3VeU2bNpGDR5O_jPBCZd=s88-c-k-c0x00ffffff-no-rj</v>
      </c>
      <c r="G3" s="66"/>
      <c r="H3" s="70" t="s">
        <v>1034</v>
      </c>
      <c r="I3" s="71"/>
      <c r="J3" s="71" t="s">
        <v>159</v>
      </c>
      <c r="K3" s="70" t="s">
        <v>1034</v>
      </c>
      <c r="L3" s="74">
        <v>1</v>
      </c>
      <c r="M3" s="75">
        <v>8109.59228515625</v>
      </c>
      <c r="N3" s="75">
        <v>808.74267578125</v>
      </c>
      <c r="O3" s="76"/>
      <c r="P3" s="77"/>
      <c r="Q3" s="77"/>
      <c r="R3" s="49"/>
      <c r="S3" s="49">
        <v>0</v>
      </c>
      <c r="T3" s="49">
        <v>1</v>
      </c>
      <c r="U3" s="50">
        <v>0</v>
      </c>
      <c r="V3" s="50">
        <v>0.004484</v>
      </c>
      <c r="W3" s="50">
        <v>0</v>
      </c>
      <c r="X3" s="50">
        <v>0.004153</v>
      </c>
      <c r="Y3" s="50">
        <v>0</v>
      </c>
      <c r="Z3" s="50">
        <v>0</v>
      </c>
      <c r="AA3" s="72">
        <v>3</v>
      </c>
      <c r="AB3" s="72"/>
      <c r="AC3" s="73"/>
      <c r="AD3" s="80" t="s">
        <v>1034</v>
      </c>
      <c r="AE3" s="80"/>
      <c r="AF3" s="80"/>
      <c r="AG3" s="80"/>
      <c r="AH3" s="80"/>
      <c r="AI3" s="80"/>
      <c r="AJ3" s="87">
        <v>40836.894224537034</v>
      </c>
      <c r="AK3" s="85" t="str">
        <f>HYPERLINK("https://yt3.ggpht.com/ytc/AKedOLR5VOzrGHKgisyiue8Z3VeU2bNpGDR5O_jPBCZd=s88-c-k-c0x00ffffff-no-rj")</f>
        <v>https://yt3.ggpht.com/ytc/AKedOLR5VOzrGHKgisyiue8Z3VeU2bNpGDR5O_jPBCZd=s88-c-k-c0x00ffffff-no-rj</v>
      </c>
      <c r="AL3" s="80">
        <v>3178</v>
      </c>
      <c r="AM3" s="80">
        <v>0</v>
      </c>
      <c r="AN3" s="80">
        <v>8</v>
      </c>
      <c r="AO3" s="80" t="b">
        <v>0</v>
      </c>
      <c r="AP3" s="80">
        <v>8</v>
      </c>
      <c r="AQ3" s="80"/>
      <c r="AR3" s="80"/>
      <c r="AS3" s="80" t="s">
        <v>1376</v>
      </c>
      <c r="AT3" s="85" t="str">
        <f>HYPERLINK("https://www.youtube.com/channel/UCdmhCH2BrYLQeiYzykYSBlA")</f>
        <v>https://www.youtube.com/channel/UCdmhCH2BrYLQeiYzykYSBlA</v>
      </c>
      <c r="AU3" s="80" t="str">
        <f>REPLACE(INDEX(GroupVertices[Group],MATCH(Vertices[[#This Row],[Vertex]],GroupVertices[Vertex],0)),1,1,"")</f>
        <v>25</v>
      </c>
      <c r="AV3" s="49">
        <v>0</v>
      </c>
      <c r="AW3" s="50">
        <v>0</v>
      </c>
      <c r="AX3" s="49">
        <v>0</v>
      </c>
      <c r="AY3" s="50">
        <v>0</v>
      </c>
      <c r="AZ3" s="49">
        <v>0</v>
      </c>
      <c r="BA3" s="50">
        <v>0</v>
      </c>
      <c r="BB3" s="49">
        <v>5</v>
      </c>
      <c r="BC3" s="50">
        <v>100</v>
      </c>
      <c r="BD3" s="49">
        <v>5</v>
      </c>
      <c r="BE3" s="49"/>
      <c r="BF3" s="49"/>
      <c r="BG3" s="49"/>
      <c r="BH3" s="49"/>
      <c r="BI3" s="49"/>
      <c r="BJ3" s="49"/>
      <c r="BK3" s="111" t="s">
        <v>2356</v>
      </c>
      <c r="BL3" s="111" t="s">
        <v>2356</v>
      </c>
      <c r="BM3" s="111" t="s">
        <v>2548</v>
      </c>
      <c r="BN3" s="111" t="s">
        <v>2548</v>
      </c>
      <c r="BO3" s="3"/>
      <c r="BP3" s="3"/>
    </row>
    <row r="4" spans="1:71" ht="15">
      <c r="A4" s="65" t="s">
        <v>521</v>
      </c>
      <c r="B4" s="66"/>
      <c r="C4" s="66"/>
      <c r="D4" s="67">
        <v>150</v>
      </c>
      <c r="E4" s="69"/>
      <c r="F4" s="103" t="str">
        <f>HYPERLINK("https://yt3.ggpht.com/ytc/AKedOLRvn0qUde_agywzRMdb8UUiAgARhnLEg92EgzmbKWU=s88-c-k-c0x00ffffff-no-rj")</f>
        <v>https://yt3.ggpht.com/ytc/AKedOLRvn0qUde_agywzRMdb8UUiAgARhnLEg92EgzmbKWU=s88-c-k-c0x00ffffff-no-rj</v>
      </c>
      <c r="G4" s="66"/>
      <c r="H4" s="70" t="s">
        <v>1253</v>
      </c>
      <c r="I4" s="71"/>
      <c r="J4" s="71" t="s">
        <v>159</v>
      </c>
      <c r="K4" s="70" t="s">
        <v>1253</v>
      </c>
      <c r="L4" s="74">
        <v>1</v>
      </c>
      <c r="M4" s="75">
        <v>8109.59228515625</v>
      </c>
      <c r="N4" s="75">
        <v>367.61029052734375</v>
      </c>
      <c r="O4" s="76"/>
      <c r="P4" s="77"/>
      <c r="Q4" s="77"/>
      <c r="R4" s="89"/>
      <c r="S4" s="49">
        <v>2</v>
      </c>
      <c r="T4" s="49">
        <v>1</v>
      </c>
      <c r="U4" s="50">
        <v>0</v>
      </c>
      <c r="V4" s="50">
        <v>0.004484</v>
      </c>
      <c r="W4" s="50">
        <v>0</v>
      </c>
      <c r="X4" s="50">
        <v>0.004776</v>
      </c>
      <c r="Y4" s="50">
        <v>0</v>
      </c>
      <c r="Z4" s="50">
        <v>0</v>
      </c>
      <c r="AA4" s="72">
        <v>4</v>
      </c>
      <c r="AB4" s="72"/>
      <c r="AC4" s="73"/>
      <c r="AD4" s="80" t="s">
        <v>1253</v>
      </c>
      <c r="AE4" s="80"/>
      <c r="AF4" s="80"/>
      <c r="AG4" s="80"/>
      <c r="AH4" s="80"/>
      <c r="AI4" s="80" t="s">
        <v>1340</v>
      </c>
      <c r="AJ4" s="87">
        <v>39104.838171296295</v>
      </c>
      <c r="AK4" s="85" t="str">
        <f>HYPERLINK("https://yt3.ggpht.com/ytc/AKedOLRvn0qUde_agywzRMdb8UUiAgARhnLEg92EgzmbKWU=s88-c-k-c0x00ffffff-no-rj")</f>
        <v>https://yt3.ggpht.com/ytc/AKedOLRvn0qUde_agywzRMdb8UUiAgARhnLEg92EgzmbKWU=s88-c-k-c0x00ffffff-no-rj</v>
      </c>
      <c r="AL4" s="80">
        <v>34922</v>
      </c>
      <c r="AM4" s="80">
        <v>0</v>
      </c>
      <c r="AN4" s="80">
        <v>263</v>
      </c>
      <c r="AO4" s="80" t="b">
        <v>0</v>
      </c>
      <c r="AP4" s="80">
        <v>55</v>
      </c>
      <c r="AQ4" s="80"/>
      <c r="AR4" s="80"/>
      <c r="AS4" s="80" t="s">
        <v>1376</v>
      </c>
      <c r="AT4" s="85" t="str">
        <f>HYPERLINK("https://www.youtube.com/channel/UCl3_JxeNm227rFEceAPDi7A")</f>
        <v>https://www.youtube.com/channel/UCl3_JxeNm227rFEceAPDi7A</v>
      </c>
      <c r="AU4" s="80" t="str">
        <f>REPLACE(INDEX(GroupVertices[Group],MATCH(Vertices[[#This Row],[Vertex]],GroupVertices[Vertex],0)),1,1,"")</f>
        <v>25</v>
      </c>
      <c r="AV4" s="49"/>
      <c r="AW4" s="50"/>
      <c r="AX4" s="49"/>
      <c r="AY4" s="50"/>
      <c r="AZ4" s="49"/>
      <c r="BA4" s="50"/>
      <c r="BB4" s="49"/>
      <c r="BC4" s="50"/>
      <c r="BD4" s="49"/>
      <c r="BE4" s="49"/>
      <c r="BF4" s="49"/>
      <c r="BG4" s="49"/>
      <c r="BH4" s="49"/>
      <c r="BI4" s="49"/>
      <c r="BJ4" s="49"/>
      <c r="BK4" s="111" t="s">
        <v>1239</v>
      </c>
      <c r="BL4" s="111" t="s">
        <v>1239</v>
      </c>
      <c r="BM4" s="111" t="s">
        <v>1239</v>
      </c>
      <c r="BN4" s="111" t="s">
        <v>1239</v>
      </c>
      <c r="BO4" s="2"/>
      <c r="BP4" s="3"/>
      <c r="BQ4" s="3"/>
      <c r="BR4" s="3"/>
      <c r="BS4" s="3"/>
    </row>
    <row r="5" spans="1:71" ht="15">
      <c r="A5" s="65" t="s">
        <v>339</v>
      </c>
      <c r="B5" s="66"/>
      <c r="C5" s="66"/>
      <c r="D5" s="67">
        <v>150</v>
      </c>
      <c r="E5" s="69"/>
      <c r="F5" s="103" t="str">
        <f>HYPERLINK("https://yt3.ggpht.com/ytc/AKedOLTqjENcQYaImQLgoC-XxoO_rrmuz9WtFxWyWYFvuwY=s88-c-k-c0x00ffffff-no-rj")</f>
        <v>https://yt3.ggpht.com/ytc/AKedOLTqjENcQYaImQLgoC-XxoO_rrmuz9WtFxWyWYFvuwY=s88-c-k-c0x00ffffff-no-rj</v>
      </c>
      <c r="G5" s="66"/>
      <c r="H5" s="70" t="s">
        <v>852</v>
      </c>
      <c r="I5" s="71"/>
      <c r="J5" s="71" t="s">
        <v>159</v>
      </c>
      <c r="K5" s="70" t="s">
        <v>852</v>
      </c>
      <c r="L5" s="74">
        <v>1</v>
      </c>
      <c r="M5" s="75">
        <v>9833.099609375</v>
      </c>
      <c r="N5" s="75">
        <v>5100.55908203125</v>
      </c>
      <c r="O5" s="76"/>
      <c r="P5" s="77"/>
      <c r="Q5" s="77"/>
      <c r="R5" s="89"/>
      <c r="S5" s="49">
        <v>0</v>
      </c>
      <c r="T5" s="49">
        <v>1</v>
      </c>
      <c r="U5" s="50">
        <v>0</v>
      </c>
      <c r="V5" s="50">
        <v>0.013453</v>
      </c>
      <c r="W5" s="50">
        <v>0</v>
      </c>
      <c r="X5" s="50">
        <v>0.003962</v>
      </c>
      <c r="Y5" s="50">
        <v>0</v>
      </c>
      <c r="Z5" s="50">
        <v>0</v>
      </c>
      <c r="AA5" s="72">
        <v>5</v>
      </c>
      <c r="AB5" s="72"/>
      <c r="AC5" s="73"/>
      <c r="AD5" s="80" t="s">
        <v>852</v>
      </c>
      <c r="AE5" s="80"/>
      <c r="AF5" s="80"/>
      <c r="AG5" s="80"/>
      <c r="AH5" s="80"/>
      <c r="AI5" s="80"/>
      <c r="AJ5" s="87">
        <v>40858.73113425926</v>
      </c>
      <c r="AK5" s="85" t="str">
        <f>HYPERLINK("https://yt3.ggpht.com/ytc/AKedOLTqjENcQYaImQLgoC-XxoO_rrmuz9WtFxWyWYFvuwY=s88-c-k-c0x00ffffff-no-rj")</f>
        <v>https://yt3.ggpht.com/ytc/AKedOLTqjENcQYaImQLgoC-XxoO_rrmuz9WtFxWyWYFvuwY=s88-c-k-c0x00ffffff-no-rj</v>
      </c>
      <c r="AL5" s="80">
        <v>372</v>
      </c>
      <c r="AM5" s="80">
        <v>0</v>
      </c>
      <c r="AN5" s="80">
        <v>1</v>
      </c>
      <c r="AO5" s="80" t="b">
        <v>0</v>
      </c>
      <c r="AP5" s="80">
        <v>3</v>
      </c>
      <c r="AQ5" s="80"/>
      <c r="AR5" s="80"/>
      <c r="AS5" s="80" t="s">
        <v>1376</v>
      </c>
      <c r="AT5" s="85" t="str">
        <f>HYPERLINK("https://www.youtube.com/channel/UCEm5HlGvJXSCTKsFxWih04g")</f>
        <v>https://www.youtube.com/channel/UCEm5HlGvJXSCTKsFxWih04g</v>
      </c>
      <c r="AU5" s="80" t="str">
        <f>REPLACE(INDEX(GroupVertices[Group],MATCH(Vertices[[#This Row],[Vertex]],GroupVertices[Vertex],0)),1,1,"")</f>
        <v>11</v>
      </c>
      <c r="AV5" s="49">
        <v>3</v>
      </c>
      <c r="AW5" s="50">
        <v>6.25</v>
      </c>
      <c r="AX5" s="49">
        <v>0</v>
      </c>
      <c r="AY5" s="50">
        <v>0</v>
      </c>
      <c r="AZ5" s="49">
        <v>0</v>
      </c>
      <c r="BA5" s="50">
        <v>0</v>
      </c>
      <c r="BB5" s="49">
        <v>45</v>
      </c>
      <c r="BC5" s="50">
        <v>93.75</v>
      </c>
      <c r="BD5" s="49">
        <v>48</v>
      </c>
      <c r="BE5" s="49"/>
      <c r="BF5" s="49"/>
      <c r="BG5" s="49"/>
      <c r="BH5" s="49"/>
      <c r="BI5" s="49"/>
      <c r="BJ5" s="49"/>
      <c r="BK5" s="111" t="s">
        <v>2357</v>
      </c>
      <c r="BL5" s="111" t="s">
        <v>2357</v>
      </c>
      <c r="BM5" s="111" t="s">
        <v>2549</v>
      </c>
      <c r="BN5" s="111" t="s">
        <v>2549</v>
      </c>
      <c r="BO5" s="2"/>
      <c r="BP5" s="3"/>
      <c r="BQ5" s="3"/>
      <c r="BR5" s="3"/>
      <c r="BS5" s="3"/>
    </row>
    <row r="6" spans="1:71" ht="15">
      <c r="A6" s="65" t="s">
        <v>525</v>
      </c>
      <c r="B6" s="66"/>
      <c r="C6" s="66"/>
      <c r="D6" s="67">
        <v>172.79693486590037</v>
      </c>
      <c r="E6" s="69"/>
      <c r="F6" s="103" t="str">
        <f>HYPERLINK("https://yt3.ggpht.com/ytc/AKedOLRNmvzFj_VgiFeCWEUuXzIElwEwIPi9A04JDIxe9us=s88-c-k-c0x00ffffff-no-rj")</f>
        <v>https://yt3.ggpht.com/ytc/AKedOLRNmvzFj_VgiFeCWEUuXzIElwEwIPi9A04JDIxe9us=s88-c-k-c0x00ffffff-no-rj</v>
      </c>
      <c r="G6" s="66"/>
      <c r="H6" s="70" t="s">
        <v>1254</v>
      </c>
      <c r="I6" s="71"/>
      <c r="J6" s="71" t="s">
        <v>75</v>
      </c>
      <c r="K6" s="70" t="s">
        <v>1254</v>
      </c>
      <c r="L6" s="74">
        <v>21.191909598600905</v>
      </c>
      <c r="M6" s="75">
        <v>9055.099609375</v>
      </c>
      <c r="N6" s="75">
        <v>5387.16162109375</v>
      </c>
      <c r="O6" s="76"/>
      <c r="P6" s="77"/>
      <c r="Q6" s="77"/>
      <c r="R6" s="89"/>
      <c r="S6" s="49">
        <v>6</v>
      </c>
      <c r="T6" s="49">
        <v>1</v>
      </c>
      <c r="U6" s="50">
        <v>28</v>
      </c>
      <c r="V6" s="50">
        <v>0.023062</v>
      </c>
      <c r="W6" s="50">
        <v>0</v>
      </c>
      <c r="X6" s="50">
        <v>0.006682</v>
      </c>
      <c r="Y6" s="50">
        <v>0</v>
      </c>
      <c r="Z6" s="50">
        <v>0</v>
      </c>
      <c r="AA6" s="72">
        <v>6</v>
      </c>
      <c r="AB6" s="72"/>
      <c r="AC6" s="73"/>
      <c r="AD6" s="80" t="s">
        <v>1254</v>
      </c>
      <c r="AE6" s="80"/>
      <c r="AF6" s="80"/>
      <c r="AG6" s="80"/>
      <c r="AH6" s="80"/>
      <c r="AI6" s="80" t="s">
        <v>1341</v>
      </c>
      <c r="AJ6" s="87">
        <v>40496.93525462963</v>
      </c>
      <c r="AK6" s="85" t="str">
        <f>HYPERLINK("https://yt3.ggpht.com/ytc/AKedOLRNmvzFj_VgiFeCWEUuXzIElwEwIPi9A04JDIxe9us=s88-c-k-c0x00ffffff-no-rj")</f>
        <v>https://yt3.ggpht.com/ytc/AKedOLRNmvzFj_VgiFeCWEUuXzIElwEwIPi9A04JDIxe9us=s88-c-k-c0x00ffffff-no-rj</v>
      </c>
      <c r="AL6" s="80">
        <v>16308</v>
      </c>
      <c r="AM6" s="80">
        <v>0</v>
      </c>
      <c r="AN6" s="80">
        <v>41</v>
      </c>
      <c r="AO6" s="80" t="b">
        <v>0</v>
      </c>
      <c r="AP6" s="80">
        <v>2</v>
      </c>
      <c r="AQ6" s="80"/>
      <c r="AR6" s="80"/>
      <c r="AS6" s="80" t="s">
        <v>1376</v>
      </c>
      <c r="AT6" s="85" t="str">
        <f>HYPERLINK("https://www.youtube.com/channel/UCoB94ow_SQUv369e2uhOXSw")</f>
        <v>https://www.youtube.com/channel/UCoB94ow_SQUv369e2uhOXSw</v>
      </c>
      <c r="AU6" s="80" t="str">
        <f>REPLACE(INDEX(GroupVertices[Group],MATCH(Vertices[[#This Row],[Vertex]],GroupVertices[Vertex],0)),1,1,"")</f>
        <v>11</v>
      </c>
      <c r="AV6" s="49"/>
      <c r="AW6" s="50"/>
      <c r="AX6" s="49"/>
      <c r="AY6" s="50"/>
      <c r="AZ6" s="49"/>
      <c r="BA6" s="50"/>
      <c r="BB6" s="49"/>
      <c r="BC6" s="50"/>
      <c r="BD6" s="49"/>
      <c r="BE6" s="49"/>
      <c r="BF6" s="49"/>
      <c r="BG6" s="49"/>
      <c r="BH6" s="49"/>
      <c r="BI6" s="49"/>
      <c r="BJ6" s="49"/>
      <c r="BK6" s="111" t="s">
        <v>1239</v>
      </c>
      <c r="BL6" s="111" t="s">
        <v>1239</v>
      </c>
      <c r="BM6" s="111" t="s">
        <v>1239</v>
      </c>
      <c r="BN6" s="111" t="s">
        <v>1239</v>
      </c>
      <c r="BO6" s="2"/>
      <c r="BP6" s="3"/>
      <c r="BQ6" s="3"/>
      <c r="BR6" s="3"/>
      <c r="BS6" s="3"/>
    </row>
    <row r="7" spans="1:71" ht="15">
      <c r="A7" s="65" t="s">
        <v>340</v>
      </c>
      <c r="B7" s="66"/>
      <c r="C7" s="66"/>
      <c r="D7" s="67">
        <v>150</v>
      </c>
      <c r="E7" s="69"/>
      <c r="F7" s="103" t="str">
        <f>HYPERLINK("https://yt3.ggpht.com/ytc/AKedOLT8xE2uxWUW4GnWGmg45p_56v3rvADpsjESQw=s88-c-k-c0x00ffffff-no-rj")</f>
        <v>https://yt3.ggpht.com/ytc/AKedOLT8xE2uxWUW4GnWGmg45p_56v3rvADpsjESQw=s88-c-k-c0x00ffffff-no-rj</v>
      </c>
      <c r="G7" s="66"/>
      <c r="H7" s="70" t="s">
        <v>853</v>
      </c>
      <c r="I7" s="71"/>
      <c r="J7" s="71" t="s">
        <v>159</v>
      </c>
      <c r="K7" s="70" t="s">
        <v>853</v>
      </c>
      <c r="L7" s="74">
        <v>1</v>
      </c>
      <c r="M7" s="75">
        <v>8350.8935546875</v>
      </c>
      <c r="N7" s="75">
        <v>5762.66552734375</v>
      </c>
      <c r="O7" s="76"/>
      <c r="P7" s="77"/>
      <c r="Q7" s="77"/>
      <c r="R7" s="89"/>
      <c r="S7" s="49">
        <v>0</v>
      </c>
      <c r="T7" s="49">
        <v>1</v>
      </c>
      <c r="U7" s="50">
        <v>0</v>
      </c>
      <c r="V7" s="50">
        <v>0.013453</v>
      </c>
      <c r="W7" s="50">
        <v>0</v>
      </c>
      <c r="X7" s="50">
        <v>0.003962</v>
      </c>
      <c r="Y7" s="50">
        <v>0</v>
      </c>
      <c r="Z7" s="50">
        <v>0</v>
      </c>
      <c r="AA7" s="72">
        <v>7</v>
      </c>
      <c r="AB7" s="72"/>
      <c r="AC7" s="73"/>
      <c r="AD7" s="80" t="s">
        <v>853</v>
      </c>
      <c r="AE7" s="80"/>
      <c r="AF7" s="80"/>
      <c r="AG7" s="80"/>
      <c r="AH7" s="80"/>
      <c r="AI7" s="80"/>
      <c r="AJ7" s="87">
        <v>41292.89858796296</v>
      </c>
      <c r="AK7" s="85" t="str">
        <f>HYPERLINK("https://yt3.ggpht.com/ytc/AKedOLT8xE2uxWUW4GnWGmg45p_56v3rvADpsjESQw=s88-c-k-c0x00ffffff-no-rj")</f>
        <v>https://yt3.ggpht.com/ytc/AKedOLT8xE2uxWUW4GnWGmg45p_56v3rvADpsjESQw=s88-c-k-c0x00ffffff-no-rj</v>
      </c>
      <c r="AL7" s="80">
        <v>0</v>
      </c>
      <c r="AM7" s="80">
        <v>0</v>
      </c>
      <c r="AN7" s="80">
        <v>0</v>
      </c>
      <c r="AO7" s="80" t="b">
        <v>0</v>
      </c>
      <c r="AP7" s="80">
        <v>0</v>
      </c>
      <c r="AQ7" s="80"/>
      <c r="AR7" s="80"/>
      <c r="AS7" s="80" t="s">
        <v>1376</v>
      </c>
      <c r="AT7" s="85" t="str">
        <f>HYPERLINK("https://www.youtube.com/channel/UC6q8R5SJYsuHhleU2GgJKGA")</f>
        <v>https://www.youtube.com/channel/UC6q8R5SJYsuHhleU2GgJKGA</v>
      </c>
      <c r="AU7" s="80" t="str">
        <f>REPLACE(INDEX(GroupVertices[Group],MATCH(Vertices[[#This Row],[Vertex]],GroupVertices[Vertex],0)),1,1,"")</f>
        <v>11</v>
      </c>
      <c r="AV7" s="49">
        <v>2</v>
      </c>
      <c r="AW7" s="50">
        <v>4.166666666666667</v>
      </c>
      <c r="AX7" s="49">
        <v>0</v>
      </c>
      <c r="AY7" s="50">
        <v>0</v>
      </c>
      <c r="AZ7" s="49">
        <v>0</v>
      </c>
      <c r="BA7" s="50">
        <v>0</v>
      </c>
      <c r="BB7" s="49">
        <v>46</v>
      </c>
      <c r="BC7" s="50">
        <v>95.83333333333333</v>
      </c>
      <c r="BD7" s="49">
        <v>48</v>
      </c>
      <c r="BE7" s="49"/>
      <c r="BF7" s="49"/>
      <c r="BG7" s="49"/>
      <c r="BH7" s="49"/>
      <c r="BI7" s="49"/>
      <c r="BJ7" s="49"/>
      <c r="BK7" s="111" t="s">
        <v>2358</v>
      </c>
      <c r="BL7" s="111" t="s">
        <v>2358</v>
      </c>
      <c r="BM7" s="111" t="s">
        <v>2550</v>
      </c>
      <c r="BN7" s="111" t="s">
        <v>2550</v>
      </c>
      <c r="BO7" s="2"/>
      <c r="BP7" s="3"/>
      <c r="BQ7" s="3"/>
      <c r="BR7" s="3"/>
      <c r="BS7" s="3"/>
    </row>
    <row r="8" spans="1:71" ht="15">
      <c r="A8" s="65" t="s">
        <v>341</v>
      </c>
      <c r="B8" s="66"/>
      <c r="C8" s="66"/>
      <c r="D8" s="67">
        <v>150</v>
      </c>
      <c r="E8" s="69"/>
      <c r="F8" s="103" t="str">
        <f>HYPERLINK("https://yt3.ggpht.com/ytc/AKedOLSEKKjaoiztEAEeKuXidGPrZ8pvHZewQc29qbpN8A=s88-c-k-c0x00ffffff-no-rj")</f>
        <v>https://yt3.ggpht.com/ytc/AKedOLSEKKjaoiztEAEeKuXidGPrZ8pvHZewQc29qbpN8A=s88-c-k-c0x00ffffff-no-rj</v>
      </c>
      <c r="G8" s="66"/>
      <c r="H8" s="70" t="s">
        <v>854</v>
      </c>
      <c r="I8" s="71"/>
      <c r="J8" s="71" t="s">
        <v>159</v>
      </c>
      <c r="K8" s="70" t="s">
        <v>854</v>
      </c>
      <c r="L8" s="74">
        <v>1</v>
      </c>
      <c r="M8" s="75">
        <v>9078.279296875</v>
      </c>
      <c r="N8" s="75">
        <v>4764.2294921875</v>
      </c>
      <c r="O8" s="76"/>
      <c r="P8" s="77"/>
      <c r="Q8" s="77"/>
      <c r="R8" s="89"/>
      <c r="S8" s="49">
        <v>0</v>
      </c>
      <c r="T8" s="49">
        <v>1</v>
      </c>
      <c r="U8" s="50">
        <v>0</v>
      </c>
      <c r="V8" s="50">
        <v>0.013453</v>
      </c>
      <c r="W8" s="50">
        <v>0</v>
      </c>
      <c r="X8" s="50">
        <v>0.003962</v>
      </c>
      <c r="Y8" s="50">
        <v>0</v>
      </c>
      <c r="Z8" s="50">
        <v>0</v>
      </c>
      <c r="AA8" s="72">
        <v>8</v>
      </c>
      <c r="AB8" s="72"/>
      <c r="AC8" s="73"/>
      <c r="AD8" s="80" t="s">
        <v>854</v>
      </c>
      <c r="AE8" s="80"/>
      <c r="AF8" s="80"/>
      <c r="AG8" s="80"/>
      <c r="AH8" s="80"/>
      <c r="AI8" s="80"/>
      <c r="AJ8" s="87">
        <v>41388.64306712963</v>
      </c>
      <c r="AK8" s="85" t="str">
        <f>HYPERLINK("https://yt3.ggpht.com/ytc/AKedOLSEKKjaoiztEAEeKuXidGPrZ8pvHZewQc29qbpN8A=s88-c-k-c0x00ffffff-no-rj")</f>
        <v>https://yt3.ggpht.com/ytc/AKedOLSEKKjaoiztEAEeKuXidGPrZ8pvHZewQc29qbpN8A=s88-c-k-c0x00ffffff-no-rj</v>
      </c>
      <c r="AL8" s="80">
        <v>0</v>
      </c>
      <c r="AM8" s="80">
        <v>0</v>
      </c>
      <c r="AN8" s="80">
        <v>0</v>
      </c>
      <c r="AO8" s="80" t="b">
        <v>0</v>
      </c>
      <c r="AP8" s="80">
        <v>0</v>
      </c>
      <c r="AQ8" s="80"/>
      <c r="AR8" s="80"/>
      <c r="AS8" s="80" t="s">
        <v>1376</v>
      </c>
      <c r="AT8" s="85" t="str">
        <f>HYPERLINK("https://www.youtube.com/channel/UC2jHQ9iN3gjeCs6mCCyI_1g")</f>
        <v>https://www.youtube.com/channel/UC2jHQ9iN3gjeCs6mCCyI_1g</v>
      </c>
      <c r="AU8" s="80" t="str">
        <f>REPLACE(INDEX(GroupVertices[Group],MATCH(Vertices[[#This Row],[Vertex]],GroupVertices[Vertex],0)),1,1,"")</f>
        <v>11</v>
      </c>
      <c r="AV8" s="49">
        <v>0</v>
      </c>
      <c r="AW8" s="50">
        <v>0</v>
      </c>
      <c r="AX8" s="49">
        <v>0</v>
      </c>
      <c r="AY8" s="50">
        <v>0</v>
      </c>
      <c r="AZ8" s="49">
        <v>0</v>
      </c>
      <c r="BA8" s="50">
        <v>0</v>
      </c>
      <c r="BB8" s="49">
        <v>5</v>
      </c>
      <c r="BC8" s="50">
        <v>100</v>
      </c>
      <c r="BD8" s="49">
        <v>5</v>
      </c>
      <c r="BE8" s="49"/>
      <c r="BF8" s="49"/>
      <c r="BG8" s="49"/>
      <c r="BH8" s="49"/>
      <c r="BI8" s="49"/>
      <c r="BJ8" s="49"/>
      <c r="BK8" s="111" t="s">
        <v>2359</v>
      </c>
      <c r="BL8" s="111" t="s">
        <v>2359</v>
      </c>
      <c r="BM8" s="111" t="s">
        <v>1239</v>
      </c>
      <c r="BN8" s="111" t="s">
        <v>1239</v>
      </c>
      <c r="BO8" s="2"/>
      <c r="BP8" s="3"/>
      <c r="BQ8" s="3"/>
      <c r="BR8" s="3"/>
      <c r="BS8" s="3"/>
    </row>
    <row r="9" spans="1:71" ht="15">
      <c r="A9" s="65" t="s">
        <v>342</v>
      </c>
      <c r="B9" s="66"/>
      <c r="C9" s="66"/>
      <c r="D9" s="67">
        <v>150</v>
      </c>
      <c r="E9" s="69"/>
      <c r="F9" s="103" t="str">
        <f>HYPERLINK("https://yt3.ggpht.com/ytc/AKedOLREtIxMThGyECm0ikB-QlWvp4-P0v6cINonz5IMP90=s88-c-k-c0x00ffffff-no-rj")</f>
        <v>https://yt3.ggpht.com/ytc/AKedOLREtIxMThGyECm0ikB-QlWvp4-P0v6cINonz5IMP90=s88-c-k-c0x00ffffff-no-rj</v>
      </c>
      <c r="G9" s="66"/>
      <c r="H9" s="70" t="s">
        <v>855</v>
      </c>
      <c r="I9" s="71"/>
      <c r="J9" s="71" t="s">
        <v>159</v>
      </c>
      <c r="K9" s="70" t="s">
        <v>855</v>
      </c>
      <c r="L9" s="74">
        <v>1</v>
      </c>
      <c r="M9" s="75">
        <v>8290.041015625</v>
      </c>
      <c r="N9" s="75">
        <v>5116.337890625</v>
      </c>
      <c r="O9" s="76"/>
      <c r="P9" s="77"/>
      <c r="Q9" s="77"/>
      <c r="R9" s="89"/>
      <c r="S9" s="49">
        <v>0</v>
      </c>
      <c r="T9" s="49">
        <v>1</v>
      </c>
      <c r="U9" s="50">
        <v>0</v>
      </c>
      <c r="V9" s="50">
        <v>0.013453</v>
      </c>
      <c r="W9" s="50">
        <v>0</v>
      </c>
      <c r="X9" s="50">
        <v>0.003962</v>
      </c>
      <c r="Y9" s="50">
        <v>0</v>
      </c>
      <c r="Z9" s="50">
        <v>0</v>
      </c>
      <c r="AA9" s="72">
        <v>9</v>
      </c>
      <c r="AB9" s="72"/>
      <c r="AC9" s="73"/>
      <c r="AD9" s="80" t="s">
        <v>855</v>
      </c>
      <c r="AE9" s="80"/>
      <c r="AF9" s="80"/>
      <c r="AG9" s="80"/>
      <c r="AH9" s="80"/>
      <c r="AI9" s="80"/>
      <c r="AJ9" s="87">
        <v>39951.58636574074</v>
      </c>
      <c r="AK9" s="85" t="str">
        <f>HYPERLINK("https://yt3.ggpht.com/ytc/AKedOLREtIxMThGyECm0ikB-QlWvp4-P0v6cINonz5IMP90=s88-c-k-c0x00ffffff-no-rj")</f>
        <v>https://yt3.ggpht.com/ytc/AKedOLREtIxMThGyECm0ikB-QlWvp4-P0v6cINonz5IMP90=s88-c-k-c0x00ffffff-no-rj</v>
      </c>
      <c r="AL9" s="80">
        <v>77</v>
      </c>
      <c r="AM9" s="80">
        <v>0</v>
      </c>
      <c r="AN9" s="80">
        <v>0</v>
      </c>
      <c r="AO9" s="80" t="b">
        <v>0</v>
      </c>
      <c r="AP9" s="80">
        <v>2</v>
      </c>
      <c r="AQ9" s="80"/>
      <c r="AR9" s="80"/>
      <c r="AS9" s="80" t="s">
        <v>1376</v>
      </c>
      <c r="AT9" s="85" t="str">
        <f>HYPERLINK("https://www.youtube.com/channel/UC625RO8AWt6tzDrFxA22tPQ")</f>
        <v>https://www.youtube.com/channel/UC625RO8AWt6tzDrFxA22tPQ</v>
      </c>
      <c r="AU9" s="80" t="str">
        <f>REPLACE(INDEX(GroupVertices[Group],MATCH(Vertices[[#This Row],[Vertex]],GroupVertices[Vertex],0)),1,1,"")</f>
        <v>11</v>
      </c>
      <c r="AV9" s="49">
        <v>1</v>
      </c>
      <c r="AW9" s="50">
        <v>6.666666666666667</v>
      </c>
      <c r="AX9" s="49">
        <v>0</v>
      </c>
      <c r="AY9" s="50">
        <v>0</v>
      </c>
      <c r="AZ9" s="49">
        <v>0</v>
      </c>
      <c r="BA9" s="50">
        <v>0</v>
      </c>
      <c r="BB9" s="49">
        <v>14</v>
      </c>
      <c r="BC9" s="50">
        <v>93.33333333333333</v>
      </c>
      <c r="BD9" s="49">
        <v>15</v>
      </c>
      <c r="BE9" s="49"/>
      <c r="BF9" s="49"/>
      <c r="BG9" s="49"/>
      <c r="BH9" s="49"/>
      <c r="BI9" s="49"/>
      <c r="BJ9" s="49"/>
      <c r="BK9" s="111" t="s">
        <v>2360</v>
      </c>
      <c r="BL9" s="111" t="s">
        <v>2360</v>
      </c>
      <c r="BM9" s="111" t="s">
        <v>2551</v>
      </c>
      <c r="BN9" s="111" t="s">
        <v>2551</v>
      </c>
      <c r="BO9" s="2"/>
      <c r="BP9" s="3"/>
      <c r="BQ9" s="3"/>
      <c r="BR9" s="3"/>
      <c r="BS9" s="3"/>
    </row>
    <row r="10" spans="1:71" ht="15">
      <c r="A10" s="65" t="s">
        <v>343</v>
      </c>
      <c r="B10" s="66"/>
      <c r="C10" s="66"/>
      <c r="D10" s="67">
        <v>150</v>
      </c>
      <c r="E10" s="69"/>
      <c r="F10" s="103" t="str">
        <f>HYPERLINK("https://yt3.ggpht.com/ytc/AKedOLT2xDo3s2oRrPkjE8HTJIFm0kK7rU6h9zvEdGt3=s88-c-k-c0x00ffffff-no-rj")</f>
        <v>https://yt3.ggpht.com/ytc/AKedOLT2xDo3s2oRrPkjE8HTJIFm0kK7rU6h9zvEdGt3=s88-c-k-c0x00ffffff-no-rj</v>
      </c>
      <c r="G10" s="66"/>
      <c r="H10" s="70" t="s">
        <v>856</v>
      </c>
      <c r="I10" s="71"/>
      <c r="J10" s="71" t="s">
        <v>159</v>
      </c>
      <c r="K10" s="70" t="s">
        <v>856</v>
      </c>
      <c r="L10" s="74">
        <v>1</v>
      </c>
      <c r="M10" s="75">
        <v>9871.46484375</v>
      </c>
      <c r="N10" s="75">
        <v>6396.4189453125</v>
      </c>
      <c r="O10" s="76"/>
      <c r="P10" s="77"/>
      <c r="Q10" s="77"/>
      <c r="R10" s="89"/>
      <c r="S10" s="49">
        <v>0</v>
      </c>
      <c r="T10" s="49">
        <v>1</v>
      </c>
      <c r="U10" s="50">
        <v>0</v>
      </c>
      <c r="V10" s="50">
        <v>0.010762</v>
      </c>
      <c r="W10" s="50">
        <v>0</v>
      </c>
      <c r="X10" s="50">
        <v>0.004138</v>
      </c>
      <c r="Y10" s="50">
        <v>0</v>
      </c>
      <c r="Z10" s="50">
        <v>0</v>
      </c>
      <c r="AA10" s="72">
        <v>10</v>
      </c>
      <c r="AB10" s="72"/>
      <c r="AC10" s="73"/>
      <c r="AD10" s="80" t="s">
        <v>856</v>
      </c>
      <c r="AE10" s="80"/>
      <c r="AF10" s="80"/>
      <c r="AG10" s="80"/>
      <c r="AH10" s="80"/>
      <c r="AI10" s="80"/>
      <c r="AJ10" s="87">
        <v>39116.7253125</v>
      </c>
      <c r="AK10" s="85" t="str">
        <f>HYPERLINK("https://yt3.ggpht.com/ytc/AKedOLT2xDo3s2oRrPkjE8HTJIFm0kK7rU6h9zvEdGt3=s88-c-k-c0x00ffffff-no-rj")</f>
        <v>https://yt3.ggpht.com/ytc/AKedOLT2xDo3s2oRrPkjE8HTJIFm0kK7rU6h9zvEdGt3=s88-c-k-c0x00ffffff-no-rj</v>
      </c>
      <c r="AL10" s="80">
        <v>7050</v>
      </c>
      <c r="AM10" s="80">
        <v>0</v>
      </c>
      <c r="AN10" s="80">
        <v>27</v>
      </c>
      <c r="AO10" s="80" t="b">
        <v>0</v>
      </c>
      <c r="AP10" s="80">
        <v>24</v>
      </c>
      <c r="AQ10" s="80"/>
      <c r="AR10" s="80"/>
      <c r="AS10" s="80" t="s">
        <v>1376</v>
      </c>
      <c r="AT10" s="85" t="str">
        <f>HYPERLINK("https://www.youtube.com/channel/UCwmXhkHeZ7EbApGCHtpuAlg")</f>
        <v>https://www.youtube.com/channel/UCwmXhkHeZ7EbApGCHtpuAlg</v>
      </c>
      <c r="AU10" s="80" t="str">
        <f>REPLACE(INDEX(GroupVertices[Group],MATCH(Vertices[[#This Row],[Vertex]],GroupVertices[Vertex],0)),1,1,"")</f>
        <v>11</v>
      </c>
      <c r="AV10" s="49">
        <v>0</v>
      </c>
      <c r="AW10" s="50">
        <v>0</v>
      </c>
      <c r="AX10" s="49">
        <v>0</v>
      </c>
      <c r="AY10" s="50">
        <v>0</v>
      </c>
      <c r="AZ10" s="49">
        <v>0</v>
      </c>
      <c r="BA10" s="50">
        <v>0</v>
      </c>
      <c r="BB10" s="49">
        <v>5</v>
      </c>
      <c r="BC10" s="50">
        <v>100</v>
      </c>
      <c r="BD10" s="49">
        <v>5</v>
      </c>
      <c r="BE10" s="49"/>
      <c r="BF10" s="49"/>
      <c r="BG10" s="49"/>
      <c r="BH10" s="49"/>
      <c r="BI10" s="49"/>
      <c r="BJ10" s="49"/>
      <c r="BK10" s="111" t="s">
        <v>2361</v>
      </c>
      <c r="BL10" s="111" t="s">
        <v>2361</v>
      </c>
      <c r="BM10" s="111" t="s">
        <v>2552</v>
      </c>
      <c r="BN10" s="111" t="s">
        <v>2552</v>
      </c>
      <c r="BO10" s="2"/>
      <c r="BP10" s="3"/>
      <c r="BQ10" s="3"/>
      <c r="BR10" s="3"/>
      <c r="BS10" s="3"/>
    </row>
    <row r="11" spans="1:71" ht="15">
      <c r="A11" s="65" t="s">
        <v>344</v>
      </c>
      <c r="B11" s="66"/>
      <c r="C11" s="66"/>
      <c r="D11" s="67">
        <v>158.1417624521073</v>
      </c>
      <c r="E11" s="69"/>
      <c r="F11" s="103" t="str">
        <f>HYPERLINK("https://yt3.ggpht.com/ytc/AKedOLSL5vzlXclXLhdwE78qNIGbUp8XeRvE_wdkeOX_EQ=s88-c-k-c0x00ffffff-no-rj")</f>
        <v>https://yt3.ggpht.com/ytc/AKedOLSL5vzlXclXLhdwE78qNIGbUp8XeRvE_wdkeOX_EQ=s88-c-k-c0x00ffffff-no-rj</v>
      </c>
      <c r="G11" s="66"/>
      <c r="H11" s="70" t="s">
        <v>857</v>
      </c>
      <c r="I11" s="71"/>
      <c r="J11" s="71" t="s">
        <v>75</v>
      </c>
      <c r="K11" s="70" t="s">
        <v>857</v>
      </c>
      <c r="L11" s="74">
        <v>8.211396285214608</v>
      </c>
      <c r="M11" s="75">
        <v>9487.80859375</v>
      </c>
      <c r="N11" s="75">
        <v>5908.45458984375</v>
      </c>
      <c r="O11" s="76"/>
      <c r="P11" s="77"/>
      <c r="Q11" s="77"/>
      <c r="R11" s="89"/>
      <c r="S11" s="49">
        <v>1</v>
      </c>
      <c r="T11" s="49">
        <v>1</v>
      </c>
      <c r="U11" s="50">
        <v>10</v>
      </c>
      <c r="V11" s="50">
        <v>0.016143</v>
      </c>
      <c r="W11" s="50">
        <v>0</v>
      </c>
      <c r="X11" s="50">
        <v>0.004582</v>
      </c>
      <c r="Y11" s="50">
        <v>0</v>
      </c>
      <c r="Z11" s="50">
        <v>0</v>
      </c>
      <c r="AA11" s="72">
        <v>11</v>
      </c>
      <c r="AB11" s="72"/>
      <c r="AC11" s="73"/>
      <c r="AD11" s="80" t="s">
        <v>857</v>
      </c>
      <c r="AE11" s="80"/>
      <c r="AF11" s="80"/>
      <c r="AG11" s="80"/>
      <c r="AH11" s="80"/>
      <c r="AI11" s="80"/>
      <c r="AJ11" s="87">
        <v>40819.55979166667</v>
      </c>
      <c r="AK11" s="85" t="str">
        <f>HYPERLINK("https://yt3.ggpht.com/ytc/AKedOLSL5vzlXclXLhdwE78qNIGbUp8XeRvE_wdkeOX_EQ=s88-c-k-c0x00ffffff-no-rj")</f>
        <v>https://yt3.ggpht.com/ytc/AKedOLSL5vzlXclXLhdwE78qNIGbUp8XeRvE_wdkeOX_EQ=s88-c-k-c0x00ffffff-no-rj</v>
      </c>
      <c r="AL11" s="80">
        <v>365</v>
      </c>
      <c r="AM11" s="80">
        <v>0</v>
      </c>
      <c r="AN11" s="80">
        <v>3</v>
      </c>
      <c r="AO11" s="80" t="b">
        <v>0</v>
      </c>
      <c r="AP11" s="80">
        <v>3</v>
      </c>
      <c r="AQ11" s="80"/>
      <c r="AR11" s="80"/>
      <c r="AS11" s="80" t="s">
        <v>1376</v>
      </c>
      <c r="AT11" s="85" t="str">
        <f>HYPERLINK("https://www.youtube.com/channel/UCl9gn5ZSJFQ33S_h1D8lGlg")</f>
        <v>https://www.youtube.com/channel/UCl9gn5ZSJFQ33S_h1D8lGlg</v>
      </c>
      <c r="AU11" s="80" t="str">
        <f>REPLACE(INDEX(GroupVertices[Group],MATCH(Vertices[[#This Row],[Vertex]],GroupVertices[Vertex],0)),1,1,"")</f>
        <v>11</v>
      </c>
      <c r="AV11" s="49">
        <v>0</v>
      </c>
      <c r="AW11" s="50">
        <v>0</v>
      </c>
      <c r="AX11" s="49">
        <v>0</v>
      </c>
      <c r="AY11" s="50">
        <v>0</v>
      </c>
      <c r="AZ11" s="49">
        <v>0</v>
      </c>
      <c r="BA11" s="50">
        <v>0</v>
      </c>
      <c r="BB11" s="49">
        <v>9</v>
      </c>
      <c r="BC11" s="50">
        <v>100</v>
      </c>
      <c r="BD11" s="49">
        <v>9</v>
      </c>
      <c r="BE11" s="49"/>
      <c r="BF11" s="49"/>
      <c r="BG11" s="49"/>
      <c r="BH11" s="49"/>
      <c r="BI11" s="49"/>
      <c r="BJ11" s="49"/>
      <c r="BK11" s="111" t="s">
        <v>2362</v>
      </c>
      <c r="BL11" s="111" t="s">
        <v>2362</v>
      </c>
      <c r="BM11" s="111" t="s">
        <v>2553</v>
      </c>
      <c r="BN11" s="111" t="s">
        <v>2553</v>
      </c>
      <c r="BO11" s="2"/>
      <c r="BP11" s="3"/>
      <c r="BQ11" s="3"/>
      <c r="BR11" s="3"/>
      <c r="BS11" s="3"/>
    </row>
    <row r="12" spans="1:71" ht="15">
      <c r="A12" s="65" t="s">
        <v>345</v>
      </c>
      <c r="B12" s="66"/>
      <c r="C12" s="66"/>
      <c r="D12" s="67">
        <v>150</v>
      </c>
      <c r="E12" s="69"/>
      <c r="F12" s="103" t="str">
        <f>HYPERLINK("https://yt3.ggpht.com/ytc/AKedOLQ1SV1I-21N89k5NSNRwdmYkGNPTpMKzmIIvzFU=s88-c-k-c0x00ffffff-no-rj")</f>
        <v>https://yt3.ggpht.com/ytc/AKedOLQ1SV1I-21N89k5NSNRwdmYkGNPTpMKzmIIvzFU=s88-c-k-c0x00ffffff-no-rj</v>
      </c>
      <c r="G12" s="66"/>
      <c r="H12" s="70" t="s">
        <v>858</v>
      </c>
      <c r="I12" s="71"/>
      <c r="J12" s="71" t="s">
        <v>159</v>
      </c>
      <c r="K12" s="70" t="s">
        <v>858</v>
      </c>
      <c r="L12" s="74">
        <v>1</v>
      </c>
      <c r="M12" s="75">
        <v>4026.4521484375</v>
      </c>
      <c r="N12" s="75">
        <v>1133.5787353515625</v>
      </c>
      <c r="O12" s="76"/>
      <c r="P12" s="77"/>
      <c r="Q12" s="77"/>
      <c r="R12" s="89"/>
      <c r="S12" s="49">
        <v>0</v>
      </c>
      <c r="T12" s="49">
        <v>1</v>
      </c>
      <c r="U12" s="50">
        <v>0</v>
      </c>
      <c r="V12" s="50">
        <v>0.163648</v>
      </c>
      <c r="W12" s="50">
        <v>0.012051</v>
      </c>
      <c r="X12" s="50">
        <v>0.003904</v>
      </c>
      <c r="Y12" s="50">
        <v>0</v>
      </c>
      <c r="Z12" s="50">
        <v>0</v>
      </c>
      <c r="AA12" s="72">
        <v>12</v>
      </c>
      <c r="AB12" s="72"/>
      <c r="AC12" s="73"/>
      <c r="AD12" s="80" t="s">
        <v>858</v>
      </c>
      <c r="AE12" s="80"/>
      <c r="AF12" s="80"/>
      <c r="AG12" s="80"/>
      <c r="AH12" s="80"/>
      <c r="AI12" s="80"/>
      <c r="AJ12" s="87">
        <v>39216.73412037037</v>
      </c>
      <c r="AK12" s="85" t="str">
        <f>HYPERLINK("https://yt3.ggpht.com/ytc/AKedOLQ1SV1I-21N89k5NSNRwdmYkGNPTpMKzmIIvzFU=s88-c-k-c0x00ffffff-no-rj")</f>
        <v>https://yt3.ggpht.com/ytc/AKedOLQ1SV1I-21N89k5NSNRwdmYkGNPTpMKzmIIvzFU=s88-c-k-c0x00ffffff-no-rj</v>
      </c>
      <c r="AL12" s="80">
        <v>0</v>
      </c>
      <c r="AM12" s="80">
        <v>0</v>
      </c>
      <c r="AN12" s="80">
        <v>1</v>
      </c>
      <c r="AO12" s="80" t="b">
        <v>0</v>
      </c>
      <c r="AP12" s="80">
        <v>0</v>
      </c>
      <c r="AQ12" s="80"/>
      <c r="AR12" s="80"/>
      <c r="AS12" s="80" t="s">
        <v>1376</v>
      </c>
      <c r="AT12" s="85" t="str">
        <f>HYPERLINK("https://www.youtube.com/channel/UCXBDxpU7E1QT0J1nS-BGnQg")</f>
        <v>https://www.youtube.com/channel/UCXBDxpU7E1QT0J1nS-BGnQg</v>
      </c>
      <c r="AU12" s="80" t="str">
        <f>REPLACE(INDEX(GroupVertices[Group],MATCH(Vertices[[#This Row],[Vertex]],GroupVertices[Vertex],0)),1,1,"")</f>
        <v>6</v>
      </c>
      <c r="AV12" s="49">
        <v>1</v>
      </c>
      <c r="AW12" s="50">
        <v>7.6923076923076925</v>
      </c>
      <c r="AX12" s="49">
        <v>0</v>
      </c>
      <c r="AY12" s="50">
        <v>0</v>
      </c>
      <c r="AZ12" s="49">
        <v>0</v>
      </c>
      <c r="BA12" s="50">
        <v>0</v>
      </c>
      <c r="BB12" s="49">
        <v>12</v>
      </c>
      <c r="BC12" s="50">
        <v>92.3076923076923</v>
      </c>
      <c r="BD12" s="49">
        <v>13</v>
      </c>
      <c r="BE12" s="49"/>
      <c r="BF12" s="49"/>
      <c r="BG12" s="49"/>
      <c r="BH12" s="49"/>
      <c r="BI12" s="49"/>
      <c r="BJ12" s="49"/>
      <c r="BK12" s="111" t="s">
        <v>2363</v>
      </c>
      <c r="BL12" s="111" t="s">
        <v>2363</v>
      </c>
      <c r="BM12" s="111" t="s">
        <v>2554</v>
      </c>
      <c r="BN12" s="111" t="s">
        <v>2554</v>
      </c>
      <c r="BO12" s="2"/>
      <c r="BP12" s="3"/>
      <c r="BQ12" s="3"/>
      <c r="BR12" s="3"/>
      <c r="BS12" s="3"/>
    </row>
    <row r="13" spans="1:71" ht="15">
      <c r="A13" s="65" t="s">
        <v>450</v>
      </c>
      <c r="B13" s="66"/>
      <c r="C13" s="66"/>
      <c r="D13" s="67">
        <v>1000</v>
      </c>
      <c r="E13" s="69"/>
      <c r="F13" s="103" t="str">
        <f>HYPERLINK("https://yt3.ggpht.com/ytc/AKedOLQGN7GiuIYDVFE70oJPNxOALdFbpMcmZFpQ2QQWnw=s88-c-k-c0x00ffffff-no-rj")</f>
        <v>https://yt3.ggpht.com/ytc/AKedOLQGN7GiuIYDVFE70oJPNxOALdFbpMcmZFpQ2QQWnw=s88-c-k-c0x00ffffff-no-rj</v>
      </c>
      <c r="G13" s="66"/>
      <c r="H13" s="70" t="s">
        <v>963</v>
      </c>
      <c r="I13" s="71"/>
      <c r="J13" s="71" t="s">
        <v>75</v>
      </c>
      <c r="K13" s="70" t="s">
        <v>963</v>
      </c>
      <c r="L13" s="74">
        <v>2463.691831400789</v>
      </c>
      <c r="M13" s="75">
        <v>4783.5966796875</v>
      </c>
      <c r="N13" s="75">
        <v>1464.0726318359375</v>
      </c>
      <c r="O13" s="76"/>
      <c r="P13" s="77"/>
      <c r="Q13" s="77"/>
      <c r="R13" s="89"/>
      <c r="S13" s="49">
        <v>8</v>
      </c>
      <c r="T13" s="49">
        <v>5</v>
      </c>
      <c r="U13" s="50">
        <v>3415</v>
      </c>
      <c r="V13" s="50">
        <v>0.22751</v>
      </c>
      <c r="W13" s="50">
        <v>0.10735</v>
      </c>
      <c r="X13" s="50">
        <v>0.00799</v>
      </c>
      <c r="Y13" s="50">
        <v>0</v>
      </c>
      <c r="Z13" s="50">
        <v>0.1</v>
      </c>
      <c r="AA13" s="72">
        <v>13</v>
      </c>
      <c r="AB13" s="72"/>
      <c r="AC13" s="73"/>
      <c r="AD13" s="80" t="s">
        <v>963</v>
      </c>
      <c r="AE13" s="80"/>
      <c r="AF13" s="80"/>
      <c r="AG13" s="80"/>
      <c r="AH13" s="80"/>
      <c r="AI13" s="80" t="s">
        <v>1342</v>
      </c>
      <c r="AJ13" s="87">
        <v>39800.103483796294</v>
      </c>
      <c r="AK13" s="85" t="str">
        <f>HYPERLINK("https://yt3.ggpht.com/ytc/AKedOLQGN7GiuIYDVFE70oJPNxOALdFbpMcmZFpQ2QQWnw=s88-c-k-c0x00ffffff-no-rj")</f>
        <v>https://yt3.ggpht.com/ytc/AKedOLQGN7GiuIYDVFE70oJPNxOALdFbpMcmZFpQ2QQWnw=s88-c-k-c0x00ffffff-no-rj</v>
      </c>
      <c r="AL13" s="80">
        <v>57181</v>
      </c>
      <c r="AM13" s="80">
        <v>0</v>
      </c>
      <c r="AN13" s="80">
        <v>276</v>
      </c>
      <c r="AO13" s="80" t="b">
        <v>0</v>
      </c>
      <c r="AP13" s="80">
        <v>19</v>
      </c>
      <c r="AQ13" s="80"/>
      <c r="AR13" s="80"/>
      <c r="AS13" s="80" t="s">
        <v>1376</v>
      </c>
      <c r="AT13" s="85" t="str">
        <f>HYPERLINK("https://www.youtube.com/channel/UCOQy7XDYjkjhb0QwVMwf-7A")</f>
        <v>https://www.youtube.com/channel/UCOQy7XDYjkjhb0QwVMwf-7A</v>
      </c>
      <c r="AU13" s="80" t="str">
        <f>REPLACE(INDEX(GroupVertices[Group],MATCH(Vertices[[#This Row],[Vertex]],GroupVertices[Vertex],0)),1,1,"")</f>
        <v>6</v>
      </c>
      <c r="AV13" s="49">
        <v>4</v>
      </c>
      <c r="AW13" s="50">
        <v>2.380952380952381</v>
      </c>
      <c r="AX13" s="49">
        <v>1</v>
      </c>
      <c r="AY13" s="50">
        <v>0.5952380952380952</v>
      </c>
      <c r="AZ13" s="49">
        <v>0</v>
      </c>
      <c r="BA13" s="50">
        <v>0</v>
      </c>
      <c r="BB13" s="49">
        <v>163</v>
      </c>
      <c r="BC13" s="50">
        <v>97.02380952380952</v>
      </c>
      <c r="BD13" s="49">
        <v>168</v>
      </c>
      <c r="BE13" s="49"/>
      <c r="BF13" s="49"/>
      <c r="BG13" s="49"/>
      <c r="BH13" s="49"/>
      <c r="BI13" s="49"/>
      <c r="BJ13" s="49"/>
      <c r="BK13" s="111" t="s">
        <v>2364</v>
      </c>
      <c r="BL13" s="111" t="s">
        <v>2521</v>
      </c>
      <c r="BM13" s="111" t="s">
        <v>2555</v>
      </c>
      <c r="BN13" s="111" t="s">
        <v>2555</v>
      </c>
      <c r="BO13" s="2"/>
      <c r="BP13" s="3"/>
      <c r="BQ13" s="3"/>
      <c r="BR13" s="3"/>
      <c r="BS13" s="3"/>
    </row>
    <row r="14" spans="1:71" ht="15">
      <c r="A14" s="65" t="s">
        <v>346</v>
      </c>
      <c r="B14" s="66"/>
      <c r="C14" s="66"/>
      <c r="D14" s="67">
        <v>150</v>
      </c>
      <c r="E14" s="69"/>
      <c r="F14" s="103" t="str">
        <f>HYPERLINK("https://yt3.ggpht.com/ytc/AKedOLS9cdQFmLTc50LERWAq_OdLLZ-d9kVm2NODWREZ=s88-c-k-c0x00ffffff-no-rj")</f>
        <v>https://yt3.ggpht.com/ytc/AKedOLS9cdQFmLTc50LERWAq_OdLLZ-d9kVm2NODWREZ=s88-c-k-c0x00ffffff-no-rj</v>
      </c>
      <c r="G14" s="66"/>
      <c r="H14" s="70" t="s">
        <v>859</v>
      </c>
      <c r="I14" s="71"/>
      <c r="J14" s="71" t="s">
        <v>159</v>
      </c>
      <c r="K14" s="70" t="s">
        <v>859</v>
      </c>
      <c r="L14" s="74">
        <v>1</v>
      </c>
      <c r="M14" s="75">
        <v>6551.892578125</v>
      </c>
      <c r="N14" s="75">
        <v>1293.98828125</v>
      </c>
      <c r="O14" s="76"/>
      <c r="P14" s="77"/>
      <c r="Q14" s="77"/>
      <c r="R14" s="89"/>
      <c r="S14" s="49">
        <v>0</v>
      </c>
      <c r="T14" s="49">
        <v>1</v>
      </c>
      <c r="U14" s="50">
        <v>0</v>
      </c>
      <c r="V14" s="50">
        <v>0.008072</v>
      </c>
      <c r="W14" s="50">
        <v>0</v>
      </c>
      <c r="X14" s="50">
        <v>0.004013</v>
      </c>
      <c r="Y14" s="50">
        <v>0</v>
      </c>
      <c r="Z14" s="50">
        <v>0</v>
      </c>
      <c r="AA14" s="72">
        <v>14</v>
      </c>
      <c r="AB14" s="72"/>
      <c r="AC14" s="73"/>
      <c r="AD14" s="80" t="s">
        <v>859</v>
      </c>
      <c r="AE14" s="80"/>
      <c r="AF14" s="80"/>
      <c r="AG14" s="80"/>
      <c r="AH14" s="80"/>
      <c r="AI14" s="80"/>
      <c r="AJ14" s="87">
        <v>41103.93064814815</v>
      </c>
      <c r="AK14" s="85" t="str">
        <f>HYPERLINK("https://yt3.ggpht.com/ytc/AKedOLS9cdQFmLTc50LERWAq_OdLLZ-d9kVm2NODWREZ=s88-c-k-c0x00ffffff-no-rj")</f>
        <v>https://yt3.ggpht.com/ytc/AKedOLS9cdQFmLTc50LERWAq_OdLLZ-d9kVm2NODWREZ=s88-c-k-c0x00ffffff-no-rj</v>
      </c>
      <c r="AL14" s="80">
        <v>0</v>
      </c>
      <c r="AM14" s="80">
        <v>0</v>
      </c>
      <c r="AN14" s="80">
        <v>0</v>
      </c>
      <c r="AO14" s="80" t="b">
        <v>0</v>
      </c>
      <c r="AP14" s="80">
        <v>0</v>
      </c>
      <c r="AQ14" s="80"/>
      <c r="AR14" s="80"/>
      <c r="AS14" s="80" t="s">
        <v>1376</v>
      </c>
      <c r="AT14" s="85" t="str">
        <f>HYPERLINK("https://www.youtube.com/channel/UCSnr1NggLE8M63F61SbWGDw")</f>
        <v>https://www.youtube.com/channel/UCSnr1NggLE8M63F61SbWGDw</v>
      </c>
      <c r="AU14" s="80" t="str">
        <f>REPLACE(INDEX(GroupVertices[Group],MATCH(Vertices[[#This Row],[Vertex]],GroupVertices[Vertex],0)),1,1,"")</f>
        <v>14</v>
      </c>
      <c r="AV14" s="49">
        <v>0</v>
      </c>
      <c r="AW14" s="50">
        <v>0</v>
      </c>
      <c r="AX14" s="49">
        <v>0</v>
      </c>
      <c r="AY14" s="50">
        <v>0</v>
      </c>
      <c r="AZ14" s="49">
        <v>0</v>
      </c>
      <c r="BA14" s="50">
        <v>0</v>
      </c>
      <c r="BB14" s="49">
        <v>4</v>
      </c>
      <c r="BC14" s="50">
        <v>100</v>
      </c>
      <c r="BD14" s="49">
        <v>4</v>
      </c>
      <c r="BE14" s="49"/>
      <c r="BF14" s="49"/>
      <c r="BG14" s="49"/>
      <c r="BH14" s="49"/>
      <c r="BI14" s="49"/>
      <c r="BJ14" s="49"/>
      <c r="BK14" s="111" t="s">
        <v>1466</v>
      </c>
      <c r="BL14" s="111" t="s">
        <v>1466</v>
      </c>
      <c r="BM14" s="111" t="s">
        <v>1239</v>
      </c>
      <c r="BN14" s="111" t="s">
        <v>1239</v>
      </c>
      <c r="BO14" s="2"/>
      <c r="BP14" s="3"/>
      <c r="BQ14" s="3"/>
      <c r="BR14" s="3"/>
      <c r="BS14" s="3"/>
    </row>
    <row r="15" spans="1:71" ht="15">
      <c r="A15" s="65" t="s">
        <v>526</v>
      </c>
      <c r="B15" s="66"/>
      <c r="C15" s="66"/>
      <c r="D15" s="67">
        <v>154.88505747126436</v>
      </c>
      <c r="E15" s="69"/>
      <c r="F15" s="103" t="str">
        <f>HYPERLINK("https://yt3.ggpht.com/ytc/AKedOLQEkt7NKtvH0T3SXt9WuGYFhKYj7IjZnzqtx6PmYA=s88-c-k-c0x00ffffff-no-rj")</f>
        <v>https://yt3.ggpht.com/ytc/AKedOLQEkt7NKtvH0T3SXt9WuGYFhKYj7IjZnzqtx6PmYA=s88-c-k-c0x00ffffff-no-rj</v>
      </c>
      <c r="G15" s="66"/>
      <c r="H15" s="70" t="s">
        <v>1255</v>
      </c>
      <c r="I15" s="71"/>
      <c r="J15" s="71" t="s">
        <v>75</v>
      </c>
      <c r="K15" s="70" t="s">
        <v>1255</v>
      </c>
      <c r="L15" s="74">
        <v>5.3268377711287656</v>
      </c>
      <c r="M15" s="75">
        <v>6551.892578125</v>
      </c>
      <c r="N15" s="75">
        <v>529.3588256835938</v>
      </c>
      <c r="O15" s="76"/>
      <c r="P15" s="77"/>
      <c r="Q15" s="77"/>
      <c r="R15" s="89"/>
      <c r="S15" s="49">
        <v>4</v>
      </c>
      <c r="T15" s="49">
        <v>1</v>
      </c>
      <c r="U15" s="50">
        <v>6</v>
      </c>
      <c r="V15" s="50">
        <v>0.013453</v>
      </c>
      <c r="W15" s="50">
        <v>0</v>
      </c>
      <c r="X15" s="50">
        <v>0.005819</v>
      </c>
      <c r="Y15" s="50">
        <v>0</v>
      </c>
      <c r="Z15" s="50">
        <v>0</v>
      </c>
      <c r="AA15" s="72">
        <v>15</v>
      </c>
      <c r="AB15" s="72"/>
      <c r="AC15" s="73"/>
      <c r="AD15" s="80" t="s">
        <v>1255</v>
      </c>
      <c r="AE15" s="80"/>
      <c r="AF15" s="80"/>
      <c r="AG15" s="80"/>
      <c r="AH15" s="80"/>
      <c r="AI15" s="80"/>
      <c r="AJ15" s="87">
        <v>40883.471180555556</v>
      </c>
      <c r="AK15" s="85" t="str">
        <f>HYPERLINK("https://yt3.ggpht.com/ytc/AKedOLQEkt7NKtvH0T3SXt9WuGYFhKYj7IjZnzqtx6PmYA=s88-c-k-c0x00ffffff-no-rj")</f>
        <v>https://yt3.ggpht.com/ytc/AKedOLQEkt7NKtvH0T3SXt9WuGYFhKYj7IjZnzqtx6PmYA=s88-c-k-c0x00ffffff-no-rj</v>
      </c>
      <c r="AL15" s="80">
        <v>5550</v>
      </c>
      <c r="AM15" s="80">
        <v>0</v>
      </c>
      <c r="AN15" s="80">
        <v>11</v>
      </c>
      <c r="AO15" s="80" t="b">
        <v>0</v>
      </c>
      <c r="AP15" s="80">
        <v>2</v>
      </c>
      <c r="AQ15" s="80"/>
      <c r="AR15" s="80"/>
      <c r="AS15" s="80" t="s">
        <v>1376</v>
      </c>
      <c r="AT15" s="85" t="str">
        <f>HYPERLINK("https://www.youtube.com/channel/UC7roQpV6qEGtQqPL_d0KlHw")</f>
        <v>https://www.youtube.com/channel/UC7roQpV6qEGtQqPL_d0KlHw</v>
      </c>
      <c r="AU15" s="80" t="str">
        <f>REPLACE(INDEX(GroupVertices[Group],MATCH(Vertices[[#This Row],[Vertex]],GroupVertices[Vertex],0)),1,1,"")</f>
        <v>14</v>
      </c>
      <c r="AV15" s="49"/>
      <c r="AW15" s="50"/>
      <c r="AX15" s="49"/>
      <c r="AY15" s="50"/>
      <c r="AZ15" s="49"/>
      <c r="BA15" s="50"/>
      <c r="BB15" s="49"/>
      <c r="BC15" s="50"/>
      <c r="BD15" s="49"/>
      <c r="BE15" s="49"/>
      <c r="BF15" s="49"/>
      <c r="BG15" s="49"/>
      <c r="BH15" s="49"/>
      <c r="BI15" s="49"/>
      <c r="BJ15" s="49"/>
      <c r="BK15" s="111" t="s">
        <v>1239</v>
      </c>
      <c r="BL15" s="111" t="s">
        <v>1239</v>
      </c>
      <c r="BM15" s="111" t="s">
        <v>1239</v>
      </c>
      <c r="BN15" s="111" t="s">
        <v>1239</v>
      </c>
      <c r="BO15" s="2"/>
      <c r="BP15" s="3"/>
      <c r="BQ15" s="3"/>
      <c r="BR15" s="3"/>
      <c r="BS15" s="3"/>
    </row>
    <row r="16" spans="1:71" ht="15">
      <c r="A16" s="65" t="s">
        <v>347</v>
      </c>
      <c r="B16" s="66"/>
      <c r="C16" s="66"/>
      <c r="D16" s="67">
        <v>150</v>
      </c>
      <c r="E16" s="69"/>
      <c r="F16" s="103" t="str">
        <f>HYPERLINK("https://yt3.ggpht.com/ytc/AKedOLSWLfz5wsU23fgJn2jb8lJ0wbIso4_91ezTqA=s88-c-k-c0x00ffffff-no-rj")</f>
        <v>https://yt3.ggpht.com/ytc/AKedOLSWLfz5wsU23fgJn2jb8lJ0wbIso4_91ezTqA=s88-c-k-c0x00ffffff-no-rj</v>
      </c>
      <c r="G16" s="66"/>
      <c r="H16" s="70" t="s">
        <v>860</v>
      </c>
      <c r="I16" s="71"/>
      <c r="J16" s="71" t="s">
        <v>159</v>
      </c>
      <c r="K16" s="70" t="s">
        <v>860</v>
      </c>
      <c r="L16" s="74">
        <v>1</v>
      </c>
      <c r="M16" s="75">
        <v>6090.15478515625</v>
      </c>
      <c r="N16" s="75">
        <v>1293.98828125</v>
      </c>
      <c r="O16" s="76"/>
      <c r="P16" s="77"/>
      <c r="Q16" s="77"/>
      <c r="R16" s="89"/>
      <c r="S16" s="49">
        <v>0</v>
      </c>
      <c r="T16" s="49">
        <v>1</v>
      </c>
      <c r="U16" s="50">
        <v>0</v>
      </c>
      <c r="V16" s="50">
        <v>0.008072</v>
      </c>
      <c r="W16" s="50">
        <v>0</v>
      </c>
      <c r="X16" s="50">
        <v>0.004013</v>
      </c>
      <c r="Y16" s="50">
        <v>0</v>
      </c>
      <c r="Z16" s="50">
        <v>0</v>
      </c>
      <c r="AA16" s="72">
        <v>16</v>
      </c>
      <c r="AB16" s="72"/>
      <c r="AC16" s="73"/>
      <c r="AD16" s="80" t="s">
        <v>860</v>
      </c>
      <c r="AE16" s="80"/>
      <c r="AF16" s="80"/>
      <c r="AG16" s="80"/>
      <c r="AH16" s="80"/>
      <c r="AI16" s="80"/>
      <c r="AJ16" s="87">
        <v>41368.67732638889</v>
      </c>
      <c r="AK16" s="85" t="str">
        <f>HYPERLINK("https://yt3.ggpht.com/ytc/AKedOLSWLfz5wsU23fgJn2jb8lJ0wbIso4_91ezTqA=s88-c-k-c0x00ffffff-no-rj")</f>
        <v>https://yt3.ggpht.com/ytc/AKedOLSWLfz5wsU23fgJn2jb8lJ0wbIso4_91ezTqA=s88-c-k-c0x00ffffff-no-rj</v>
      </c>
      <c r="AL16" s="80">
        <v>0</v>
      </c>
      <c r="AM16" s="80">
        <v>0</v>
      </c>
      <c r="AN16" s="80">
        <v>4</v>
      </c>
      <c r="AO16" s="80" t="b">
        <v>0</v>
      </c>
      <c r="AP16" s="80">
        <v>0</v>
      </c>
      <c r="AQ16" s="80"/>
      <c r="AR16" s="80"/>
      <c r="AS16" s="80" t="s">
        <v>1376</v>
      </c>
      <c r="AT16" s="85" t="str">
        <f>HYPERLINK("https://www.youtube.com/channel/UCXxni4CYgsAp7QsUM71k2gQ")</f>
        <v>https://www.youtube.com/channel/UCXxni4CYgsAp7QsUM71k2gQ</v>
      </c>
      <c r="AU16" s="80" t="str">
        <f>REPLACE(INDEX(GroupVertices[Group],MATCH(Vertices[[#This Row],[Vertex]],GroupVertices[Vertex],0)),1,1,"")</f>
        <v>14</v>
      </c>
      <c r="AV16" s="49">
        <v>0</v>
      </c>
      <c r="AW16" s="50">
        <v>0</v>
      </c>
      <c r="AX16" s="49">
        <v>0</v>
      </c>
      <c r="AY16" s="50">
        <v>0</v>
      </c>
      <c r="AZ16" s="49">
        <v>0</v>
      </c>
      <c r="BA16" s="50">
        <v>0</v>
      </c>
      <c r="BB16" s="49">
        <v>14</v>
      </c>
      <c r="BC16" s="50">
        <v>100</v>
      </c>
      <c r="BD16" s="49">
        <v>14</v>
      </c>
      <c r="BE16" s="49"/>
      <c r="BF16" s="49"/>
      <c r="BG16" s="49"/>
      <c r="BH16" s="49"/>
      <c r="BI16" s="49"/>
      <c r="BJ16" s="49"/>
      <c r="BK16" s="111" t="s">
        <v>2365</v>
      </c>
      <c r="BL16" s="111" t="s">
        <v>2365</v>
      </c>
      <c r="BM16" s="111" t="s">
        <v>2556</v>
      </c>
      <c r="BN16" s="111" t="s">
        <v>2556</v>
      </c>
      <c r="BO16" s="2"/>
      <c r="BP16" s="3"/>
      <c r="BQ16" s="3"/>
      <c r="BR16" s="3"/>
      <c r="BS16" s="3"/>
    </row>
    <row r="17" spans="1:71" ht="15">
      <c r="A17" s="65" t="s">
        <v>348</v>
      </c>
      <c r="B17" s="66"/>
      <c r="C17" s="66"/>
      <c r="D17" s="67">
        <v>150</v>
      </c>
      <c r="E17" s="69"/>
      <c r="F17" s="103" t="str">
        <f>HYPERLINK("https://yt3.ggpht.com/ytc/AKedOLQNjTqs3wHly-wgUGcO6ig5axfwczlKlqKkPZg5bA=s88-c-k-c0x00ffffff-no-rj")</f>
        <v>https://yt3.ggpht.com/ytc/AKedOLQNjTqs3wHly-wgUGcO6ig5axfwczlKlqKkPZg5bA=s88-c-k-c0x00ffffff-no-rj</v>
      </c>
      <c r="G17" s="66"/>
      <c r="H17" s="70" t="s">
        <v>861</v>
      </c>
      <c r="I17" s="71"/>
      <c r="J17" s="71" t="s">
        <v>159</v>
      </c>
      <c r="K17" s="70" t="s">
        <v>861</v>
      </c>
      <c r="L17" s="74">
        <v>1</v>
      </c>
      <c r="M17" s="75">
        <v>6090.15478515625</v>
      </c>
      <c r="N17" s="75">
        <v>529.3588256835938</v>
      </c>
      <c r="O17" s="76"/>
      <c r="P17" s="77"/>
      <c r="Q17" s="77"/>
      <c r="R17" s="89"/>
      <c r="S17" s="49">
        <v>0</v>
      </c>
      <c r="T17" s="49">
        <v>1</v>
      </c>
      <c r="U17" s="50">
        <v>0</v>
      </c>
      <c r="V17" s="50">
        <v>0.008072</v>
      </c>
      <c r="W17" s="50">
        <v>0</v>
      </c>
      <c r="X17" s="50">
        <v>0.004013</v>
      </c>
      <c r="Y17" s="50">
        <v>0</v>
      </c>
      <c r="Z17" s="50">
        <v>0</v>
      </c>
      <c r="AA17" s="72">
        <v>17</v>
      </c>
      <c r="AB17" s="72"/>
      <c r="AC17" s="73"/>
      <c r="AD17" s="80" t="s">
        <v>861</v>
      </c>
      <c r="AE17" s="80" t="s">
        <v>1294</v>
      </c>
      <c r="AF17" s="80"/>
      <c r="AG17" s="80"/>
      <c r="AH17" s="80"/>
      <c r="AI17" s="80"/>
      <c r="AJ17" s="87">
        <v>41102.31019675926</v>
      </c>
      <c r="AK17" s="85" t="str">
        <f>HYPERLINK("https://yt3.ggpht.com/ytc/AKedOLQNjTqs3wHly-wgUGcO6ig5axfwczlKlqKkPZg5bA=s88-c-k-c0x00ffffff-no-rj")</f>
        <v>https://yt3.ggpht.com/ytc/AKedOLQNjTqs3wHly-wgUGcO6ig5axfwczlKlqKkPZg5bA=s88-c-k-c0x00ffffff-no-rj</v>
      </c>
      <c r="AL17" s="80">
        <v>217</v>
      </c>
      <c r="AM17" s="80">
        <v>0</v>
      </c>
      <c r="AN17" s="80">
        <v>2</v>
      </c>
      <c r="AO17" s="80" t="b">
        <v>0</v>
      </c>
      <c r="AP17" s="80">
        <v>6</v>
      </c>
      <c r="AQ17" s="80"/>
      <c r="AR17" s="80"/>
      <c r="AS17" s="80" t="s">
        <v>1376</v>
      </c>
      <c r="AT17" s="85" t="str">
        <f>HYPERLINK("https://www.youtube.com/channel/UCMjfNOw_F_QdVO_NcQ49hwA")</f>
        <v>https://www.youtube.com/channel/UCMjfNOw_F_QdVO_NcQ49hwA</v>
      </c>
      <c r="AU17" s="80" t="str">
        <f>REPLACE(INDEX(GroupVertices[Group],MATCH(Vertices[[#This Row],[Vertex]],GroupVertices[Vertex],0)),1,1,"")</f>
        <v>14</v>
      </c>
      <c r="AV17" s="49">
        <v>1</v>
      </c>
      <c r="AW17" s="50">
        <v>6.666666666666667</v>
      </c>
      <c r="AX17" s="49">
        <v>0</v>
      </c>
      <c r="AY17" s="50">
        <v>0</v>
      </c>
      <c r="AZ17" s="49">
        <v>0</v>
      </c>
      <c r="BA17" s="50">
        <v>0</v>
      </c>
      <c r="BB17" s="49">
        <v>14</v>
      </c>
      <c r="BC17" s="50">
        <v>93.33333333333333</v>
      </c>
      <c r="BD17" s="49">
        <v>15</v>
      </c>
      <c r="BE17" s="49"/>
      <c r="BF17" s="49"/>
      <c r="BG17" s="49"/>
      <c r="BH17" s="49"/>
      <c r="BI17" s="49"/>
      <c r="BJ17" s="49"/>
      <c r="BK17" s="111" t="s">
        <v>2366</v>
      </c>
      <c r="BL17" s="111" t="s">
        <v>2366</v>
      </c>
      <c r="BM17" s="111" t="s">
        <v>2557</v>
      </c>
      <c r="BN17" s="111" t="s">
        <v>2557</v>
      </c>
      <c r="BO17" s="2"/>
      <c r="BP17" s="3"/>
      <c r="BQ17" s="3"/>
      <c r="BR17" s="3"/>
      <c r="BS17" s="3"/>
    </row>
    <row r="18" spans="1:71" ht="15">
      <c r="A18" s="65" t="s">
        <v>349</v>
      </c>
      <c r="B18" s="66"/>
      <c r="C18" s="66"/>
      <c r="D18" s="67">
        <v>150</v>
      </c>
      <c r="E18" s="69"/>
      <c r="F18" s="103" t="str">
        <f>HYPERLINK("https://yt3.ggpht.com/ytc/AKedOLQOYxWUsSHslHFU8CNiiTkx0Zyh5t24qpxHInpCyQ=s88-c-k-c0x00ffffff-no-rj")</f>
        <v>https://yt3.ggpht.com/ytc/AKedOLQOYxWUsSHslHFU8CNiiTkx0Zyh5t24qpxHInpCyQ=s88-c-k-c0x00ffffff-no-rj</v>
      </c>
      <c r="G18" s="66"/>
      <c r="H18" s="70" t="s">
        <v>862</v>
      </c>
      <c r="I18" s="71"/>
      <c r="J18" s="71" t="s">
        <v>159</v>
      </c>
      <c r="K18" s="70" t="s">
        <v>862</v>
      </c>
      <c r="L18" s="74">
        <v>1</v>
      </c>
      <c r="M18" s="75">
        <v>8884.4619140625</v>
      </c>
      <c r="N18" s="75">
        <v>2804.866455078125</v>
      </c>
      <c r="O18" s="76"/>
      <c r="P18" s="77"/>
      <c r="Q18" s="77"/>
      <c r="R18" s="89"/>
      <c r="S18" s="49">
        <v>0</v>
      </c>
      <c r="T18" s="49">
        <v>1</v>
      </c>
      <c r="U18" s="50">
        <v>0</v>
      </c>
      <c r="V18" s="50">
        <v>0.004484</v>
      </c>
      <c r="W18" s="50">
        <v>0</v>
      </c>
      <c r="X18" s="50">
        <v>0.004153</v>
      </c>
      <c r="Y18" s="50">
        <v>0</v>
      </c>
      <c r="Z18" s="50">
        <v>0</v>
      </c>
      <c r="AA18" s="72">
        <v>18</v>
      </c>
      <c r="AB18" s="72"/>
      <c r="AC18" s="73"/>
      <c r="AD18" s="80" t="s">
        <v>862</v>
      </c>
      <c r="AE18" s="80" t="s">
        <v>1295</v>
      </c>
      <c r="AF18" s="80"/>
      <c r="AG18" s="80"/>
      <c r="AH18" s="80"/>
      <c r="AI18" s="80" t="s">
        <v>1343</v>
      </c>
      <c r="AJ18" s="87">
        <v>38893.49266203704</v>
      </c>
      <c r="AK18" s="85" t="str">
        <f>HYPERLINK("https://yt3.ggpht.com/ytc/AKedOLQOYxWUsSHslHFU8CNiiTkx0Zyh5t24qpxHInpCyQ=s88-c-k-c0x00ffffff-no-rj")</f>
        <v>https://yt3.ggpht.com/ytc/AKedOLQOYxWUsSHslHFU8CNiiTkx0Zyh5t24qpxHInpCyQ=s88-c-k-c0x00ffffff-no-rj</v>
      </c>
      <c r="AL18" s="80">
        <v>65966</v>
      </c>
      <c r="AM18" s="80">
        <v>0</v>
      </c>
      <c r="AN18" s="80">
        <v>122</v>
      </c>
      <c r="AO18" s="80" t="b">
        <v>0</v>
      </c>
      <c r="AP18" s="80">
        <v>699</v>
      </c>
      <c r="AQ18" s="80"/>
      <c r="AR18" s="80"/>
      <c r="AS18" s="80" t="s">
        <v>1376</v>
      </c>
      <c r="AT18" s="85" t="str">
        <f>HYPERLINK("https://www.youtube.com/channel/UCcqj5COuFHh1eHF0xdBQoig")</f>
        <v>https://www.youtube.com/channel/UCcqj5COuFHh1eHF0xdBQoig</v>
      </c>
      <c r="AU18" s="80" t="str">
        <f>REPLACE(INDEX(GroupVertices[Group],MATCH(Vertices[[#This Row],[Vertex]],GroupVertices[Vertex],0)),1,1,"")</f>
        <v>24</v>
      </c>
      <c r="AV18" s="49">
        <v>1</v>
      </c>
      <c r="AW18" s="50">
        <v>16.666666666666668</v>
      </c>
      <c r="AX18" s="49">
        <v>0</v>
      </c>
      <c r="AY18" s="50">
        <v>0</v>
      </c>
      <c r="AZ18" s="49">
        <v>0</v>
      </c>
      <c r="BA18" s="50">
        <v>0</v>
      </c>
      <c r="BB18" s="49">
        <v>5</v>
      </c>
      <c r="BC18" s="50">
        <v>83.33333333333333</v>
      </c>
      <c r="BD18" s="49">
        <v>6</v>
      </c>
      <c r="BE18" s="49"/>
      <c r="BF18" s="49"/>
      <c r="BG18" s="49"/>
      <c r="BH18" s="49"/>
      <c r="BI18" s="49"/>
      <c r="BJ18" s="49"/>
      <c r="BK18" s="111" t="s">
        <v>1619</v>
      </c>
      <c r="BL18" s="111" t="s">
        <v>1619</v>
      </c>
      <c r="BM18" s="111" t="s">
        <v>1239</v>
      </c>
      <c r="BN18" s="111" t="s">
        <v>1239</v>
      </c>
      <c r="BO18" s="2"/>
      <c r="BP18" s="3"/>
      <c r="BQ18" s="3"/>
      <c r="BR18" s="3"/>
      <c r="BS18" s="3"/>
    </row>
    <row r="19" spans="1:71" ht="15">
      <c r="A19" s="65" t="s">
        <v>529</v>
      </c>
      <c r="B19" s="66"/>
      <c r="C19" s="66"/>
      <c r="D19" s="67">
        <v>150</v>
      </c>
      <c r="E19" s="69"/>
      <c r="F19" s="103" t="str">
        <f>HYPERLINK("https://yt3.ggpht.com/ytc/AKedOLSVzna5wW5tymT37243bo2KCZ0j-914_HbvXL6-PZM=s88-c-k-c0x00ffffff-no-rj")</f>
        <v>https://yt3.ggpht.com/ytc/AKedOLSVzna5wW5tymT37243bo2KCZ0j-914_HbvXL6-PZM=s88-c-k-c0x00ffffff-no-rj</v>
      </c>
      <c r="G19" s="66"/>
      <c r="H19" s="70" t="s">
        <v>1256</v>
      </c>
      <c r="I19" s="71"/>
      <c r="J19" s="71" t="s">
        <v>159</v>
      </c>
      <c r="K19" s="70" t="s">
        <v>1256</v>
      </c>
      <c r="L19" s="74">
        <v>1</v>
      </c>
      <c r="M19" s="75">
        <v>8884.4619140625</v>
      </c>
      <c r="N19" s="75">
        <v>2268.155517578125</v>
      </c>
      <c r="O19" s="76"/>
      <c r="P19" s="77"/>
      <c r="Q19" s="77"/>
      <c r="R19" s="89"/>
      <c r="S19" s="49">
        <v>2</v>
      </c>
      <c r="T19" s="49">
        <v>1</v>
      </c>
      <c r="U19" s="50">
        <v>0</v>
      </c>
      <c r="V19" s="50">
        <v>0.004484</v>
      </c>
      <c r="W19" s="50">
        <v>0</v>
      </c>
      <c r="X19" s="50">
        <v>0.004776</v>
      </c>
      <c r="Y19" s="50">
        <v>0</v>
      </c>
      <c r="Z19" s="50">
        <v>0</v>
      </c>
      <c r="AA19" s="72">
        <v>19</v>
      </c>
      <c r="AB19" s="72"/>
      <c r="AC19" s="73"/>
      <c r="AD19" s="80" t="s">
        <v>1256</v>
      </c>
      <c r="AE19" s="80"/>
      <c r="AF19" s="80"/>
      <c r="AG19" s="80"/>
      <c r="AH19" s="80"/>
      <c r="AI19" s="80" t="s">
        <v>1344</v>
      </c>
      <c r="AJ19" s="87">
        <v>40816.56967592592</v>
      </c>
      <c r="AK19" s="85" t="str">
        <f>HYPERLINK("https://yt3.ggpht.com/ytc/AKedOLSVzna5wW5tymT37243bo2KCZ0j-914_HbvXL6-PZM=s88-c-k-c0x00ffffff-no-rj")</f>
        <v>https://yt3.ggpht.com/ytc/AKedOLSVzna5wW5tymT37243bo2KCZ0j-914_HbvXL6-PZM=s88-c-k-c0x00ffffff-no-rj</v>
      </c>
      <c r="AL19" s="80">
        <v>918</v>
      </c>
      <c r="AM19" s="80">
        <v>0</v>
      </c>
      <c r="AN19" s="80">
        <v>4</v>
      </c>
      <c r="AO19" s="80" t="b">
        <v>0</v>
      </c>
      <c r="AP19" s="80">
        <v>23</v>
      </c>
      <c r="AQ19" s="80"/>
      <c r="AR19" s="80"/>
      <c r="AS19" s="80" t="s">
        <v>1376</v>
      </c>
      <c r="AT19" s="85" t="str">
        <f>HYPERLINK("https://www.youtube.com/channel/UCv0vw-y0YIwqEbU305hhcFg")</f>
        <v>https://www.youtube.com/channel/UCv0vw-y0YIwqEbU305hhcFg</v>
      </c>
      <c r="AU19" s="80" t="str">
        <f>REPLACE(INDEX(GroupVertices[Group],MATCH(Vertices[[#This Row],[Vertex]],GroupVertices[Vertex],0)),1,1,"")</f>
        <v>24</v>
      </c>
      <c r="AV19" s="49"/>
      <c r="AW19" s="50"/>
      <c r="AX19" s="49"/>
      <c r="AY19" s="50"/>
      <c r="AZ19" s="49"/>
      <c r="BA19" s="50"/>
      <c r="BB19" s="49"/>
      <c r="BC19" s="50"/>
      <c r="BD19" s="49"/>
      <c r="BE19" s="49"/>
      <c r="BF19" s="49"/>
      <c r="BG19" s="49"/>
      <c r="BH19" s="49"/>
      <c r="BI19" s="49"/>
      <c r="BJ19" s="49"/>
      <c r="BK19" s="111" t="s">
        <v>1239</v>
      </c>
      <c r="BL19" s="111" t="s">
        <v>1239</v>
      </c>
      <c r="BM19" s="111" t="s">
        <v>1239</v>
      </c>
      <c r="BN19" s="111" t="s">
        <v>1239</v>
      </c>
      <c r="BO19" s="2"/>
      <c r="BP19" s="3"/>
      <c r="BQ19" s="3"/>
      <c r="BR19" s="3"/>
      <c r="BS19" s="3"/>
    </row>
    <row r="20" spans="1:71" ht="15">
      <c r="A20" s="65" t="s">
        <v>350</v>
      </c>
      <c r="B20" s="66"/>
      <c r="C20" s="66"/>
      <c r="D20" s="67">
        <v>150</v>
      </c>
      <c r="E20" s="69"/>
      <c r="F20" s="103" t="str">
        <f>HYPERLINK("https://yt3.ggpht.com/ytc/AKedOLQjlVSddkxrvfN3XJskt-_dQc1wfsGdg3j_hyfRZw=s88-c-k-c0x00ffffff-no-rj")</f>
        <v>https://yt3.ggpht.com/ytc/AKedOLQjlVSddkxrvfN3XJskt-_dQc1wfsGdg3j_hyfRZw=s88-c-k-c0x00ffffff-no-rj</v>
      </c>
      <c r="G20" s="66"/>
      <c r="H20" s="70" t="s">
        <v>863</v>
      </c>
      <c r="I20" s="71"/>
      <c r="J20" s="71" t="s">
        <v>159</v>
      </c>
      <c r="K20" s="70" t="s">
        <v>863</v>
      </c>
      <c r="L20" s="74">
        <v>1</v>
      </c>
      <c r="M20" s="75">
        <v>8109.59228515625</v>
      </c>
      <c r="N20" s="75">
        <v>2856.33203125</v>
      </c>
      <c r="O20" s="76"/>
      <c r="P20" s="77"/>
      <c r="Q20" s="77"/>
      <c r="R20" s="89"/>
      <c r="S20" s="49">
        <v>0</v>
      </c>
      <c r="T20" s="49">
        <v>1</v>
      </c>
      <c r="U20" s="50">
        <v>0</v>
      </c>
      <c r="V20" s="50">
        <v>0.004484</v>
      </c>
      <c r="W20" s="50">
        <v>0</v>
      </c>
      <c r="X20" s="50">
        <v>0.004153</v>
      </c>
      <c r="Y20" s="50">
        <v>0</v>
      </c>
      <c r="Z20" s="50">
        <v>0</v>
      </c>
      <c r="AA20" s="72">
        <v>20</v>
      </c>
      <c r="AB20" s="72"/>
      <c r="AC20" s="73"/>
      <c r="AD20" s="80" t="s">
        <v>863</v>
      </c>
      <c r="AE20" s="80"/>
      <c r="AF20" s="80"/>
      <c r="AG20" s="80"/>
      <c r="AH20" s="80"/>
      <c r="AI20" s="80"/>
      <c r="AJ20" s="87">
        <v>39185.938796296294</v>
      </c>
      <c r="AK20" s="85" t="str">
        <f>HYPERLINK("https://yt3.ggpht.com/ytc/AKedOLQjlVSddkxrvfN3XJskt-_dQc1wfsGdg3j_hyfRZw=s88-c-k-c0x00ffffff-no-rj")</f>
        <v>https://yt3.ggpht.com/ytc/AKedOLQjlVSddkxrvfN3XJskt-_dQc1wfsGdg3j_hyfRZw=s88-c-k-c0x00ffffff-no-rj</v>
      </c>
      <c r="AL20" s="80">
        <v>1537</v>
      </c>
      <c r="AM20" s="80">
        <v>0</v>
      </c>
      <c r="AN20" s="80">
        <v>17</v>
      </c>
      <c r="AO20" s="80" t="b">
        <v>0</v>
      </c>
      <c r="AP20" s="80">
        <v>7</v>
      </c>
      <c r="AQ20" s="80"/>
      <c r="AR20" s="80"/>
      <c r="AS20" s="80" t="s">
        <v>1376</v>
      </c>
      <c r="AT20" s="85" t="str">
        <f>HYPERLINK("https://www.youtube.com/channel/UCXpbkjiFlXTpSy3DnioAJjw")</f>
        <v>https://www.youtube.com/channel/UCXpbkjiFlXTpSy3DnioAJjw</v>
      </c>
      <c r="AU20" s="80" t="str">
        <f>REPLACE(INDEX(GroupVertices[Group],MATCH(Vertices[[#This Row],[Vertex]],GroupVertices[Vertex],0)),1,1,"")</f>
        <v>23</v>
      </c>
      <c r="AV20" s="49">
        <v>2</v>
      </c>
      <c r="AW20" s="50">
        <v>15.384615384615385</v>
      </c>
      <c r="AX20" s="49">
        <v>0</v>
      </c>
      <c r="AY20" s="50">
        <v>0</v>
      </c>
      <c r="AZ20" s="49">
        <v>0</v>
      </c>
      <c r="BA20" s="50">
        <v>0</v>
      </c>
      <c r="BB20" s="49">
        <v>11</v>
      </c>
      <c r="BC20" s="50">
        <v>84.61538461538461</v>
      </c>
      <c r="BD20" s="49">
        <v>13</v>
      </c>
      <c r="BE20" s="49"/>
      <c r="BF20" s="49"/>
      <c r="BG20" s="49"/>
      <c r="BH20" s="49"/>
      <c r="BI20" s="49"/>
      <c r="BJ20" s="49"/>
      <c r="BK20" s="111" t="s">
        <v>2367</v>
      </c>
      <c r="BL20" s="111" t="s">
        <v>2367</v>
      </c>
      <c r="BM20" s="111" t="s">
        <v>2558</v>
      </c>
      <c r="BN20" s="111" t="s">
        <v>2558</v>
      </c>
      <c r="BO20" s="2"/>
      <c r="BP20" s="3"/>
      <c r="BQ20" s="3"/>
      <c r="BR20" s="3"/>
      <c r="BS20" s="3"/>
    </row>
    <row r="21" spans="1:71" ht="15">
      <c r="A21" s="65" t="s">
        <v>531</v>
      </c>
      <c r="B21" s="66"/>
      <c r="C21" s="66"/>
      <c r="D21" s="67">
        <v>150</v>
      </c>
      <c r="E21" s="69"/>
      <c r="F21" s="103" t="str">
        <f>HYPERLINK("https://yt3.ggpht.com/ytc/AKedOLTbaB2jUcsI0z5w4epoTfKIh6HbDwb72_eNwZpB=s88-c-k-c0x00ffffff-no-rj")</f>
        <v>https://yt3.ggpht.com/ytc/AKedOLTbaB2jUcsI0z5w4epoTfKIh6HbDwb72_eNwZpB=s88-c-k-c0x00ffffff-no-rj</v>
      </c>
      <c r="G21" s="66"/>
      <c r="H21" s="70" t="s">
        <v>1257</v>
      </c>
      <c r="I21" s="71"/>
      <c r="J21" s="71" t="s">
        <v>159</v>
      </c>
      <c r="K21" s="70" t="s">
        <v>1257</v>
      </c>
      <c r="L21" s="74">
        <v>1</v>
      </c>
      <c r="M21" s="75">
        <v>8109.59228515625</v>
      </c>
      <c r="N21" s="75">
        <v>2422.5517578125</v>
      </c>
      <c r="O21" s="76"/>
      <c r="P21" s="77"/>
      <c r="Q21" s="77"/>
      <c r="R21" s="89"/>
      <c r="S21" s="49">
        <v>2</v>
      </c>
      <c r="T21" s="49">
        <v>1</v>
      </c>
      <c r="U21" s="50">
        <v>0</v>
      </c>
      <c r="V21" s="50">
        <v>0.004484</v>
      </c>
      <c r="W21" s="50">
        <v>0</v>
      </c>
      <c r="X21" s="50">
        <v>0.004776</v>
      </c>
      <c r="Y21" s="50">
        <v>0</v>
      </c>
      <c r="Z21" s="50">
        <v>0</v>
      </c>
      <c r="AA21" s="72">
        <v>21</v>
      </c>
      <c r="AB21" s="72"/>
      <c r="AC21" s="73"/>
      <c r="AD21" s="80" t="s">
        <v>1257</v>
      </c>
      <c r="AE21" s="80" t="s">
        <v>1296</v>
      </c>
      <c r="AF21" s="80"/>
      <c r="AG21" s="80"/>
      <c r="AH21" s="80"/>
      <c r="AI21" s="80"/>
      <c r="AJ21" s="87">
        <v>39689.701875</v>
      </c>
      <c r="AK21" s="85" t="str">
        <f>HYPERLINK("https://yt3.ggpht.com/ytc/AKedOLTbaB2jUcsI0z5w4epoTfKIh6HbDwb72_eNwZpB=s88-c-k-c0x00ffffff-no-rj")</f>
        <v>https://yt3.ggpht.com/ytc/AKedOLTbaB2jUcsI0z5w4epoTfKIh6HbDwb72_eNwZpB=s88-c-k-c0x00ffffff-no-rj</v>
      </c>
      <c r="AL21" s="80">
        <v>106307</v>
      </c>
      <c r="AM21" s="80">
        <v>0</v>
      </c>
      <c r="AN21" s="80">
        <v>277</v>
      </c>
      <c r="AO21" s="80" t="b">
        <v>0</v>
      </c>
      <c r="AP21" s="80">
        <v>50</v>
      </c>
      <c r="AQ21" s="80"/>
      <c r="AR21" s="80"/>
      <c r="AS21" s="80" t="s">
        <v>1376</v>
      </c>
      <c r="AT21" s="85" t="str">
        <f>HYPERLINK("https://www.youtube.com/channel/UCB_X37NbtJ8tXBrYj_4mEHg")</f>
        <v>https://www.youtube.com/channel/UCB_X37NbtJ8tXBrYj_4mEHg</v>
      </c>
      <c r="AU21" s="80" t="str">
        <f>REPLACE(INDEX(GroupVertices[Group],MATCH(Vertices[[#This Row],[Vertex]],GroupVertices[Vertex],0)),1,1,"")</f>
        <v>23</v>
      </c>
      <c r="AV21" s="49"/>
      <c r="AW21" s="50"/>
      <c r="AX21" s="49"/>
      <c r="AY21" s="50"/>
      <c r="AZ21" s="49"/>
      <c r="BA21" s="50"/>
      <c r="BB21" s="49"/>
      <c r="BC21" s="50"/>
      <c r="BD21" s="49"/>
      <c r="BE21" s="49"/>
      <c r="BF21" s="49"/>
      <c r="BG21" s="49"/>
      <c r="BH21" s="49"/>
      <c r="BI21" s="49"/>
      <c r="BJ21" s="49"/>
      <c r="BK21" s="111" t="s">
        <v>1239</v>
      </c>
      <c r="BL21" s="111" t="s">
        <v>1239</v>
      </c>
      <c r="BM21" s="111" t="s">
        <v>1239</v>
      </c>
      <c r="BN21" s="111" t="s">
        <v>1239</v>
      </c>
      <c r="BO21" s="2"/>
      <c r="BP21" s="3"/>
      <c r="BQ21" s="3"/>
      <c r="BR21" s="3"/>
      <c r="BS21" s="3"/>
    </row>
    <row r="22" spans="1:71" ht="15">
      <c r="A22" s="65" t="s">
        <v>351</v>
      </c>
      <c r="B22" s="66"/>
      <c r="C22" s="66"/>
      <c r="D22" s="67">
        <v>557.088122605364</v>
      </c>
      <c r="E22" s="69"/>
      <c r="F22" s="103" t="str">
        <f>HYPERLINK("https://yt3.ggpht.com/j2vWrbBkYRYp07LW6xwqiG8Yu0sa3_nxzXCrdBb2f9Aa2PqOwe5XkzJ2PMMCxTh9Yt9CSZ8zpg=s88-c-k-c0x00ffffff-no-rj")</f>
        <v>https://yt3.ggpht.com/j2vWrbBkYRYp07LW6xwqiG8Yu0sa3_nxzXCrdBb2f9Aa2PqOwe5XkzJ2PMMCxTh9Yt9CSZ8zpg=s88-c-k-c0x00ffffff-no-rj</v>
      </c>
      <c r="G22" s="66"/>
      <c r="H22" s="70" t="s">
        <v>864</v>
      </c>
      <c r="I22" s="71"/>
      <c r="J22" s="71" t="s">
        <v>75</v>
      </c>
      <c r="K22" s="70" t="s">
        <v>864</v>
      </c>
      <c r="L22" s="74">
        <v>361.5698142607304</v>
      </c>
      <c r="M22" s="75">
        <v>5356.47998046875</v>
      </c>
      <c r="N22" s="75">
        <v>8268.3505859375</v>
      </c>
      <c r="O22" s="76"/>
      <c r="P22" s="77"/>
      <c r="Q22" s="77"/>
      <c r="R22" s="89"/>
      <c r="S22" s="49">
        <v>4</v>
      </c>
      <c r="T22" s="49">
        <v>4</v>
      </c>
      <c r="U22" s="50">
        <v>500</v>
      </c>
      <c r="V22" s="50">
        <v>0.124788</v>
      </c>
      <c r="W22" s="50">
        <v>0.000674</v>
      </c>
      <c r="X22" s="50">
        <v>0.004937</v>
      </c>
      <c r="Y22" s="50">
        <v>0</v>
      </c>
      <c r="Z22" s="50">
        <v>1</v>
      </c>
      <c r="AA22" s="72">
        <v>22</v>
      </c>
      <c r="AB22" s="72"/>
      <c r="AC22" s="73"/>
      <c r="AD22" s="80" t="s">
        <v>864</v>
      </c>
      <c r="AE22" s="80" t="s">
        <v>1297</v>
      </c>
      <c r="AF22" s="80"/>
      <c r="AG22" s="80"/>
      <c r="AH22" s="80"/>
      <c r="AI22" s="80" t="s">
        <v>1345</v>
      </c>
      <c r="AJ22" s="87">
        <v>42660.42820601852</v>
      </c>
      <c r="AK22" s="85" t="str">
        <f>HYPERLINK("https://yt3.ggpht.com/j2vWrbBkYRYp07LW6xwqiG8Yu0sa3_nxzXCrdBb2f9Aa2PqOwe5XkzJ2PMMCxTh9Yt9CSZ8zpg=s88-c-k-c0x00ffffff-no-rj")</f>
        <v>https://yt3.ggpht.com/j2vWrbBkYRYp07LW6xwqiG8Yu0sa3_nxzXCrdBb2f9Aa2PqOwe5XkzJ2PMMCxTh9Yt9CSZ8zpg=s88-c-k-c0x00ffffff-no-rj</v>
      </c>
      <c r="AL22" s="80">
        <v>8014</v>
      </c>
      <c r="AM22" s="80">
        <v>0</v>
      </c>
      <c r="AN22" s="80">
        <v>0</v>
      </c>
      <c r="AO22" s="80" t="b">
        <v>1</v>
      </c>
      <c r="AP22" s="80">
        <v>201</v>
      </c>
      <c r="AQ22" s="80"/>
      <c r="AR22" s="80"/>
      <c r="AS22" s="80" t="s">
        <v>1376</v>
      </c>
      <c r="AT22" s="85" t="str">
        <f>HYPERLINK("https://www.youtube.com/channel/UCT2t7sQp0Qyi9dxuckjOWAw")</f>
        <v>https://www.youtube.com/channel/UCT2t7sQp0Qyi9dxuckjOWAw</v>
      </c>
      <c r="AU22" s="80" t="str">
        <f>REPLACE(INDEX(GroupVertices[Group],MATCH(Vertices[[#This Row],[Vertex]],GroupVertices[Vertex],0)),1,1,"")</f>
        <v>4</v>
      </c>
      <c r="AV22" s="49">
        <v>0</v>
      </c>
      <c r="AW22" s="50">
        <v>0</v>
      </c>
      <c r="AX22" s="49">
        <v>0</v>
      </c>
      <c r="AY22" s="50">
        <v>0</v>
      </c>
      <c r="AZ22" s="49">
        <v>0</v>
      </c>
      <c r="BA22" s="50">
        <v>0</v>
      </c>
      <c r="BB22" s="49">
        <v>140</v>
      </c>
      <c r="BC22" s="50">
        <v>100</v>
      </c>
      <c r="BD22" s="49">
        <v>140</v>
      </c>
      <c r="BE22" s="49" t="s">
        <v>2334</v>
      </c>
      <c r="BF22" s="49" t="s">
        <v>2334</v>
      </c>
      <c r="BG22" s="49" t="s">
        <v>2345</v>
      </c>
      <c r="BH22" s="49" t="s">
        <v>2350</v>
      </c>
      <c r="BI22" s="49"/>
      <c r="BJ22" s="49"/>
      <c r="BK22" s="111" t="s">
        <v>2368</v>
      </c>
      <c r="BL22" s="111" t="s">
        <v>2522</v>
      </c>
      <c r="BM22" s="111" t="s">
        <v>2559</v>
      </c>
      <c r="BN22" s="111" t="s">
        <v>2559</v>
      </c>
      <c r="BO22" s="2"/>
      <c r="BP22" s="3"/>
      <c r="BQ22" s="3"/>
      <c r="BR22" s="3"/>
      <c r="BS22" s="3"/>
    </row>
    <row r="23" spans="1:71" ht="15">
      <c r="A23" s="65" t="s">
        <v>352</v>
      </c>
      <c r="B23" s="66"/>
      <c r="C23" s="66"/>
      <c r="D23" s="67">
        <v>150</v>
      </c>
      <c r="E23" s="69"/>
      <c r="F23" s="103" t="str">
        <f>HYPERLINK("https://yt3.ggpht.com/ytc/AKedOLQyWEXCD47SeYkAnFK4pQkCzpdMIhPIHzGRULn06Ow=s88-c-k-c0x00ffffff-no-rj")</f>
        <v>https://yt3.ggpht.com/ytc/AKedOLQyWEXCD47SeYkAnFK4pQkCzpdMIhPIHzGRULn06Ow=s88-c-k-c0x00ffffff-no-rj</v>
      </c>
      <c r="G23" s="66"/>
      <c r="H23" s="70" t="s">
        <v>865</v>
      </c>
      <c r="I23" s="71"/>
      <c r="J23" s="71" t="s">
        <v>159</v>
      </c>
      <c r="K23" s="70" t="s">
        <v>865</v>
      </c>
      <c r="L23" s="74">
        <v>1</v>
      </c>
      <c r="M23" s="75">
        <v>5858.87939453125</v>
      </c>
      <c r="N23" s="75">
        <v>7975.59765625</v>
      </c>
      <c r="O23" s="76"/>
      <c r="P23" s="77"/>
      <c r="Q23" s="77"/>
      <c r="R23" s="89"/>
      <c r="S23" s="49">
        <v>1</v>
      </c>
      <c r="T23" s="49">
        <v>1</v>
      </c>
      <c r="U23" s="50">
        <v>0</v>
      </c>
      <c r="V23" s="50">
        <v>0.102787</v>
      </c>
      <c r="W23" s="50">
        <v>7.6E-05</v>
      </c>
      <c r="X23" s="50">
        <v>0.00398</v>
      </c>
      <c r="Y23" s="50">
        <v>0</v>
      </c>
      <c r="Z23" s="50">
        <v>1</v>
      </c>
      <c r="AA23" s="72">
        <v>23</v>
      </c>
      <c r="AB23" s="72"/>
      <c r="AC23" s="73"/>
      <c r="AD23" s="80" t="s">
        <v>865</v>
      </c>
      <c r="AE23" s="80" t="s">
        <v>1298</v>
      </c>
      <c r="AF23" s="80"/>
      <c r="AG23" s="80"/>
      <c r="AH23" s="80"/>
      <c r="AI23" s="80"/>
      <c r="AJ23" s="87">
        <v>42285.461863425924</v>
      </c>
      <c r="AK23" s="85" t="str">
        <f>HYPERLINK("https://yt3.ggpht.com/ytc/AKedOLQyWEXCD47SeYkAnFK4pQkCzpdMIhPIHzGRULn06Ow=s88-c-k-c0x00ffffff-no-rj")</f>
        <v>https://yt3.ggpht.com/ytc/AKedOLQyWEXCD47SeYkAnFK4pQkCzpdMIhPIHzGRULn06Ow=s88-c-k-c0x00ffffff-no-rj</v>
      </c>
      <c r="AL23" s="80">
        <v>17058</v>
      </c>
      <c r="AM23" s="80">
        <v>0</v>
      </c>
      <c r="AN23" s="80">
        <v>390</v>
      </c>
      <c r="AO23" s="80" t="b">
        <v>0</v>
      </c>
      <c r="AP23" s="80">
        <v>65</v>
      </c>
      <c r="AQ23" s="80"/>
      <c r="AR23" s="80"/>
      <c r="AS23" s="80" t="s">
        <v>1376</v>
      </c>
      <c r="AT23" s="85" t="str">
        <f>HYPERLINK("https://www.youtube.com/channel/UCUGm4MAV0xRkCWAIe34oHEA")</f>
        <v>https://www.youtube.com/channel/UCUGm4MAV0xRkCWAIe34oHEA</v>
      </c>
      <c r="AU23" s="80" t="str">
        <f>REPLACE(INDEX(GroupVertices[Group],MATCH(Vertices[[#This Row],[Vertex]],GroupVertices[Vertex],0)),1,1,"")</f>
        <v>4</v>
      </c>
      <c r="AV23" s="49">
        <v>0</v>
      </c>
      <c r="AW23" s="50">
        <v>0</v>
      </c>
      <c r="AX23" s="49">
        <v>0</v>
      </c>
      <c r="AY23" s="50">
        <v>0</v>
      </c>
      <c r="AZ23" s="49">
        <v>0</v>
      </c>
      <c r="BA23" s="50">
        <v>0</v>
      </c>
      <c r="BB23" s="49">
        <v>10</v>
      </c>
      <c r="BC23" s="50">
        <v>100</v>
      </c>
      <c r="BD23" s="49">
        <v>10</v>
      </c>
      <c r="BE23" s="49"/>
      <c r="BF23" s="49"/>
      <c r="BG23" s="49"/>
      <c r="BH23" s="49"/>
      <c r="BI23" s="49"/>
      <c r="BJ23" s="49"/>
      <c r="BK23" s="111" t="s">
        <v>2369</v>
      </c>
      <c r="BL23" s="111" t="s">
        <v>2369</v>
      </c>
      <c r="BM23" s="111" t="s">
        <v>2560</v>
      </c>
      <c r="BN23" s="111" t="s">
        <v>2560</v>
      </c>
      <c r="BO23" s="2"/>
      <c r="BP23" s="3"/>
      <c r="BQ23" s="3"/>
      <c r="BR23" s="3"/>
      <c r="BS23" s="3"/>
    </row>
    <row r="24" spans="1:71" ht="15">
      <c r="A24" s="65" t="s">
        <v>353</v>
      </c>
      <c r="B24" s="66"/>
      <c r="C24" s="66"/>
      <c r="D24" s="67">
        <v>151.62835249042146</v>
      </c>
      <c r="E24" s="69"/>
      <c r="F24" s="103" t="str">
        <f>HYPERLINK("https://yt3.ggpht.com/ytc/AKedOLRkkng5FQq0JBG1s111TGCYHHUS-1Ukw5ZMR8C8kZU=s88-c-k-c0x00ffffff-no-rj")</f>
        <v>https://yt3.ggpht.com/ytc/AKedOLRkkng5FQq0JBG1s111TGCYHHUS-1Ukw5ZMR8C8kZU=s88-c-k-c0x00ffffff-no-rj</v>
      </c>
      <c r="G24" s="66"/>
      <c r="H24" s="70" t="s">
        <v>866</v>
      </c>
      <c r="I24" s="71"/>
      <c r="J24" s="71" t="s">
        <v>75</v>
      </c>
      <c r="K24" s="70" t="s">
        <v>866</v>
      </c>
      <c r="L24" s="74">
        <v>2.4422792570429217</v>
      </c>
      <c r="M24" s="75">
        <v>9516.6337890625</v>
      </c>
      <c r="N24" s="75">
        <v>3918.923095703125</v>
      </c>
      <c r="O24" s="76"/>
      <c r="P24" s="77"/>
      <c r="Q24" s="77"/>
      <c r="R24" s="89"/>
      <c r="S24" s="49">
        <v>3</v>
      </c>
      <c r="T24" s="49">
        <v>3</v>
      </c>
      <c r="U24" s="50">
        <v>2</v>
      </c>
      <c r="V24" s="50">
        <v>0.008969</v>
      </c>
      <c r="W24" s="50">
        <v>0</v>
      </c>
      <c r="X24" s="50">
        <v>0.005276</v>
      </c>
      <c r="Y24" s="50">
        <v>0</v>
      </c>
      <c r="Z24" s="50">
        <v>1</v>
      </c>
      <c r="AA24" s="72">
        <v>24</v>
      </c>
      <c r="AB24" s="72"/>
      <c r="AC24" s="73"/>
      <c r="AD24" s="80" t="s">
        <v>866</v>
      </c>
      <c r="AE24" s="80"/>
      <c r="AF24" s="80"/>
      <c r="AG24" s="80"/>
      <c r="AH24" s="80"/>
      <c r="AI24" s="80" t="s">
        <v>1346</v>
      </c>
      <c r="AJ24" s="87">
        <v>39384.88099537037</v>
      </c>
      <c r="AK24" s="85" t="str">
        <f>HYPERLINK("https://yt3.ggpht.com/ytc/AKedOLRkkng5FQq0JBG1s111TGCYHHUS-1Ukw5ZMR8C8kZU=s88-c-k-c0x00ffffff-no-rj")</f>
        <v>https://yt3.ggpht.com/ytc/AKedOLRkkng5FQq0JBG1s111TGCYHHUS-1Ukw5ZMR8C8kZU=s88-c-k-c0x00ffffff-no-rj</v>
      </c>
      <c r="AL24" s="80">
        <v>1431</v>
      </c>
      <c r="AM24" s="80">
        <v>0</v>
      </c>
      <c r="AN24" s="80">
        <v>11</v>
      </c>
      <c r="AO24" s="80" t="b">
        <v>0</v>
      </c>
      <c r="AP24" s="80">
        <v>5</v>
      </c>
      <c r="AQ24" s="80"/>
      <c r="AR24" s="80"/>
      <c r="AS24" s="80" t="s">
        <v>1376</v>
      </c>
      <c r="AT24" s="85" t="str">
        <f>HYPERLINK("https://www.youtube.com/channel/UCfYrvWfah8SKHvX-fQ_oLWQ")</f>
        <v>https://www.youtube.com/channel/UCfYrvWfah8SKHvX-fQ_oLWQ</v>
      </c>
      <c r="AU24" s="80" t="str">
        <f>REPLACE(INDEX(GroupVertices[Group],MATCH(Vertices[[#This Row],[Vertex]],GroupVertices[Vertex],0)),1,1,"")</f>
        <v>17</v>
      </c>
      <c r="AV24" s="49">
        <v>4</v>
      </c>
      <c r="AW24" s="50">
        <v>0.8547008547008547</v>
      </c>
      <c r="AX24" s="49">
        <v>2</v>
      </c>
      <c r="AY24" s="50">
        <v>0.42735042735042733</v>
      </c>
      <c r="AZ24" s="49">
        <v>0</v>
      </c>
      <c r="BA24" s="50">
        <v>0</v>
      </c>
      <c r="BB24" s="49">
        <v>462</v>
      </c>
      <c r="BC24" s="50">
        <v>98.71794871794872</v>
      </c>
      <c r="BD24" s="49">
        <v>468</v>
      </c>
      <c r="BE24" s="49" t="s">
        <v>2335</v>
      </c>
      <c r="BF24" s="49" t="s">
        <v>2335</v>
      </c>
      <c r="BG24" s="49" t="s">
        <v>2346</v>
      </c>
      <c r="BH24" s="49" t="s">
        <v>2351</v>
      </c>
      <c r="BI24" s="49"/>
      <c r="BJ24" s="49"/>
      <c r="BK24" s="111" t="s">
        <v>2370</v>
      </c>
      <c r="BL24" s="111" t="s">
        <v>2523</v>
      </c>
      <c r="BM24" s="111" t="s">
        <v>2561</v>
      </c>
      <c r="BN24" s="111" t="s">
        <v>2708</v>
      </c>
      <c r="BO24" s="2"/>
      <c r="BP24" s="3"/>
      <c r="BQ24" s="3"/>
      <c r="BR24" s="3"/>
      <c r="BS24" s="3"/>
    </row>
    <row r="25" spans="1:71" ht="15">
      <c r="A25" s="65" t="s">
        <v>354</v>
      </c>
      <c r="B25" s="66"/>
      <c r="C25" s="66"/>
      <c r="D25" s="67">
        <v>150</v>
      </c>
      <c r="E25" s="69"/>
      <c r="F25" s="103" t="str">
        <f>HYPERLINK("https://yt3.ggpht.com/ytc/AKedOLSGXu6ROBtThd1WxresVI1nIGfe2ILglB77eFBKqA=s88-c-k-c0x00ffffff-no-rj")</f>
        <v>https://yt3.ggpht.com/ytc/AKedOLSGXu6ROBtThd1WxresVI1nIGfe2ILglB77eFBKqA=s88-c-k-c0x00ffffff-no-rj</v>
      </c>
      <c r="G25" s="66"/>
      <c r="H25" s="70" t="s">
        <v>867</v>
      </c>
      <c r="I25" s="71"/>
      <c r="J25" s="71" t="s">
        <v>159</v>
      </c>
      <c r="K25" s="70" t="s">
        <v>867</v>
      </c>
      <c r="L25" s="74">
        <v>1</v>
      </c>
      <c r="M25" s="75">
        <v>9871.46484375</v>
      </c>
      <c r="N25" s="75">
        <v>4617.18505859375</v>
      </c>
      <c r="O25" s="76"/>
      <c r="P25" s="77"/>
      <c r="Q25" s="77"/>
      <c r="R25" s="89"/>
      <c r="S25" s="49">
        <v>1</v>
      </c>
      <c r="T25" s="49">
        <v>1</v>
      </c>
      <c r="U25" s="50">
        <v>0</v>
      </c>
      <c r="V25" s="50">
        <v>0.005979</v>
      </c>
      <c r="W25" s="50">
        <v>0</v>
      </c>
      <c r="X25" s="50">
        <v>0.004058</v>
      </c>
      <c r="Y25" s="50">
        <v>0</v>
      </c>
      <c r="Z25" s="50">
        <v>1</v>
      </c>
      <c r="AA25" s="72">
        <v>25</v>
      </c>
      <c r="AB25" s="72"/>
      <c r="AC25" s="73"/>
      <c r="AD25" s="80" t="s">
        <v>867</v>
      </c>
      <c r="AE25" s="80"/>
      <c r="AF25" s="80"/>
      <c r="AG25" s="80"/>
      <c r="AH25" s="80"/>
      <c r="AI25" s="80" t="s">
        <v>1347</v>
      </c>
      <c r="AJ25" s="87">
        <v>40051.773668981485</v>
      </c>
      <c r="AK25" s="85" t="str">
        <f>HYPERLINK("https://yt3.ggpht.com/ytc/AKedOLSGXu6ROBtThd1WxresVI1nIGfe2ILglB77eFBKqA=s88-c-k-c0x00ffffff-no-rj")</f>
        <v>https://yt3.ggpht.com/ytc/AKedOLSGXu6ROBtThd1WxresVI1nIGfe2ILglB77eFBKqA=s88-c-k-c0x00ffffff-no-rj</v>
      </c>
      <c r="AL25" s="80">
        <v>1258</v>
      </c>
      <c r="AM25" s="80">
        <v>0</v>
      </c>
      <c r="AN25" s="80">
        <v>15</v>
      </c>
      <c r="AO25" s="80" t="b">
        <v>0</v>
      </c>
      <c r="AP25" s="80">
        <v>13</v>
      </c>
      <c r="AQ25" s="80"/>
      <c r="AR25" s="80"/>
      <c r="AS25" s="80" t="s">
        <v>1376</v>
      </c>
      <c r="AT25" s="85" t="str">
        <f>HYPERLINK("https://www.youtube.com/channel/UC2b3yDPx5ALGuEJSAs_E7kw")</f>
        <v>https://www.youtube.com/channel/UC2b3yDPx5ALGuEJSAs_E7kw</v>
      </c>
      <c r="AU25" s="80" t="str">
        <f>REPLACE(INDEX(GroupVertices[Group],MATCH(Vertices[[#This Row],[Vertex]],GroupVertices[Vertex],0)),1,1,"")</f>
        <v>17</v>
      </c>
      <c r="AV25" s="49">
        <v>1</v>
      </c>
      <c r="AW25" s="50">
        <v>16.666666666666668</v>
      </c>
      <c r="AX25" s="49">
        <v>0</v>
      </c>
      <c r="AY25" s="50">
        <v>0</v>
      </c>
      <c r="AZ25" s="49">
        <v>0</v>
      </c>
      <c r="BA25" s="50">
        <v>0</v>
      </c>
      <c r="BB25" s="49">
        <v>5</v>
      </c>
      <c r="BC25" s="50">
        <v>83.33333333333333</v>
      </c>
      <c r="BD25" s="49">
        <v>6</v>
      </c>
      <c r="BE25" s="49"/>
      <c r="BF25" s="49"/>
      <c r="BG25" s="49"/>
      <c r="BH25" s="49"/>
      <c r="BI25" s="49"/>
      <c r="BJ25" s="49"/>
      <c r="BK25" s="111" t="s">
        <v>2371</v>
      </c>
      <c r="BL25" s="111" t="s">
        <v>2371</v>
      </c>
      <c r="BM25" s="111" t="s">
        <v>2562</v>
      </c>
      <c r="BN25" s="111" t="s">
        <v>2562</v>
      </c>
      <c r="BO25" s="2"/>
      <c r="BP25" s="3"/>
      <c r="BQ25" s="3"/>
      <c r="BR25" s="3"/>
      <c r="BS25" s="3"/>
    </row>
    <row r="26" spans="1:71" ht="15">
      <c r="A26" s="65" t="s">
        <v>355</v>
      </c>
      <c r="B26" s="66"/>
      <c r="C26" s="66"/>
      <c r="D26" s="67">
        <v>150</v>
      </c>
      <c r="E26" s="69"/>
      <c r="F26" s="103" t="str">
        <f>HYPERLINK("https://yt3.ggpht.com/ytc/AKedOLR9-XmISIUwsmHZs320RJ8WzdkREkuIVtSXqTxm=s88-c-k-c0x00ffffff-no-rj")</f>
        <v>https://yt3.ggpht.com/ytc/AKedOLR9-XmISIUwsmHZs320RJ8WzdkREkuIVtSXqTxm=s88-c-k-c0x00ffffff-no-rj</v>
      </c>
      <c r="G26" s="66"/>
      <c r="H26" s="70" t="s">
        <v>868</v>
      </c>
      <c r="I26" s="71"/>
      <c r="J26" s="71" t="s">
        <v>159</v>
      </c>
      <c r="K26" s="70" t="s">
        <v>868</v>
      </c>
      <c r="L26" s="74">
        <v>1</v>
      </c>
      <c r="M26" s="75">
        <v>9149.828125</v>
      </c>
      <c r="N26" s="75">
        <v>3220.26611328125</v>
      </c>
      <c r="O26" s="76"/>
      <c r="P26" s="77"/>
      <c r="Q26" s="77"/>
      <c r="R26" s="89"/>
      <c r="S26" s="49">
        <v>1</v>
      </c>
      <c r="T26" s="49">
        <v>1</v>
      </c>
      <c r="U26" s="50">
        <v>0</v>
      </c>
      <c r="V26" s="50">
        <v>0.005979</v>
      </c>
      <c r="W26" s="50">
        <v>0</v>
      </c>
      <c r="X26" s="50">
        <v>0.004058</v>
      </c>
      <c r="Y26" s="50">
        <v>0</v>
      </c>
      <c r="Z26" s="50">
        <v>1</v>
      </c>
      <c r="AA26" s="72">
        <v>26</v>
      </c>
      <c r="AB26" s="72"/>
      <c r="AC26" s="73"/>
      <c r="AD26" s="80" t="s">
        <v>868</v>
      </c>
      <c r="AE26" s="80"/>
      <c r="AF26" s="80"/>
      <c r="AG26" s="80"/>
      <c r="AH26" s="80"/>
      <c r="AI26" s="80"/>
      <c r="AJ26" s="87">
        <v>43287.16670138889</v>
      </c>
      <c r="AK26" s="85" t="str">
        <f>HYPERLINK("https://yt3.ggpht.com/ytc/AKedOLR9-XmISIUwsmHZs320RJ8WzdkREkuIVtSXqTxm=s88-c-k-c0x00ffffff-no-rj")</f>
        <v>https://yt3.ggpht.com/ytc/AKedOLR9-XmISIUwsmHZs320RJ8WzdkREkuIVtSXqTxm=s88-c-k-c0x00ffffff-no-rj</v>
      </c>
      <c r="AL26" s="80">
        <v>638</v>
      </c>
      <c r="AM26" s="80">
        <v>0</v>
      </c>
      <c r="AN26" s="80">
        <v>270</v>
      </c>
      <c r="AO26" s="80" t="b">
        <v>0</v>
      </c>
      <c r="AP26" s="80">
        <v>2</v>
      </c>
      <c r="AQ26" s="80"/>
      <c r="AR26" s="80"/>
      <c r="AS26" s="80" t="s">
        <v>1376</v>
      </c>
      <c r="AT26" s="85" t="str">
        <f>HYPERLINK("https://www.youtube.com/channel/UCeiKh2VbzXlQeESwZzg7xxQ")</f>
        <v>https://www.youtube.com/channel/UCeiKh2VbzXlQeESwZzg7xxQ</v>
      </c>
      <c r="AU26" s="80" t="str">
        <f>REPLACE(INDEX(GroupVertices[Group],MATCH(Vertices[[#This Row],[Vertex]],GroupVertices[Vertex],0)),1,1,"")</f>
        <v>17</v>
      </c>
      <c r="AV26" s="49">
        <v>0</v>
      </c>
      <c r="AW26" s="50">
        <v>0</v>
      </c>
      <c r="AX26" s="49">
        <v>0</v>
      </c>
      <c r="AY26" s="50">
        <v>0</v>
      </c>
      <c r="AZ26" s="49">
        <v>0</v>
      </c>
      <c r="BA26" s="50">
        <v>0</v>
      </c>
      <c r="BB26" s="49">
        <v>13</v>
      </c>
      <c r="BC26" s="50">
        <v>100</v>
      </c>
      <c r="BD26" s="49">
        <v>13</v>
      </c>
      <c r="BE26" s="49"/>
      <c r="BF26" s="49"/>
      <c r="BG26" s="49"/>
      <c r="BH26" s="49"/>
      <c r="BI26" s="49"/>
      <c r="BJ26" s="49"/>
      <c r="BK26" s="111" t="s">
        <v>2372</v>
      </c>
      <c r="BL26" s="111" t="s">
        <v>2372</v>
      </c>
      <c r="BM26" s="111" t="s">
        <v>2563</v>
      </c>
      <c r="BN26" s="111" t="s">
        <v>2563</v>
      </c>
      <c r="BO26" s="2"/>
      <c r="BP26" s="3"/>
      <c r="BQ26" s="3"/>
      <c r="BR26" s="3"/>
      <c r="BS26" s="3"/>
    </row>
    <row r="27" spans="1:71" ht="15">
      <c r="A27" s="65" t="s">
        <v>356</v>
      </c>
      <c r="B27" s="66"/>
      <c r="C27" s="66"/>
      <c r="D27" s="67">
        <v>150</v>
      </c>
      <c r="E27" s="69"/>
      <c r="F27" s="103" t="str">
        <f>HYPERLINK("https://yt3.ggpht.com/ytc/AKedOLTIoukd1g-yvFuLJUb-wuK4ZX0UVYsL2S3XlDc80w=s88-c-k-c0x00ffffff-no-rj")</f>
        <v>https://yt3.ggpht.com/ytc/AKedOLTIoukd1g-yvFuLJUb-wuK4ZX0UVYsL2S3XlDc80w=s88-c-k-c0x00ffffff-no-rj</v>
      </c>
      <c r="G27" s="66"/>
      <c r="H27" s="70" t="s">
        <v>869</v>
      </c>
      <c r="I27" s="71"/>
      <c r="J27" s="71" t="s">
        <v>159</v>
      </c>
      <c r="K27" s="70" t="s">
        <v>869</v>
      </c>
      <c r="L27" s="74">
        <v>1</v>
      </c>
      <c r="M27" s="75">
        <v>5146.0771484375</v>
      </c>
      <c r="N27" s="75">
        <v>4264.279296875</v>
      </c>
      <c r="O27" s="76"/>
      <c r="P27" s="77"/>
      <c r="Q27" s="77"/>
      <c r="R27" s="89"/>
      <c r="S27" s="49">
        <v>0</v>
      </c>
      <c r="T27" s="49">
        <v>1</v>
      </c>
      <c r="U27" s="50">
        <v>0</v>
      </c>
      <c r="V27" s="50">
        <v>0.131843</v>
      </c>
      <c r="W27" s="50">
        <v>0.003013</v>
      </c>
      <c r="X27" s="50">
        <v>0.003918</v>
      </c>
      <c r="Y27" s="50">
        <v>0</v>
      </c>
      <c r="Z27" s="50">
        <v>0</v>
      </c>
      <c r="AA27" s="72">
        <v>27</v>
      </c>
      <c r="AB27" s="72"/>
      <c r="AC27" s="73"/>
      <c r="AD27" s="80" t="s">
        <v>869</v>
      </c>
      <c r="AE27" s="80"/>
      <c r="AF27" s="80"/>
      <c r="AG27" s="80"/>
      <c r="AH27" s="80"/>
      <c r="AI27" s="80"/>
      <c r="AJ27" s="87">
        <v>39637.1853125</v>
      </c>
      <c r="AK27" s="85" t="str">
        <f>HYPERLINK("https://yt3.ggpht.com/ytc/AKedOLTIoukd1g-yvFuLJUb-wuK4ZX0UVYsL2S3XlDc80w=s88-c-k-c0x00ffffff-no-rj")</f>
        <v>https://yt3.ggpht.com/ytc/AKedOLTIoukd1g-yvFuLJUb-wuK4ZX0UVYsL2S3XlDc80w=s88-c-k-c0x00ffffff-no-rj</v>
      </c>
      <c r="AL27" s="80">
        <v>1784</v>
      </c>
      <c r="AM27" s="80">
        <v>0</v>
      </c>
      <c r="AN27" s="80">
        <v>6</v>
      </c>
      <c r="AO27" s="80" t="b">
        <v>0</v>
      </c>
      <c r="AP27" s="80">
        <v>33</v>
      </c>
      <c r="AQ27" s="80"/>
      <c r="AR27" s="80"/>
      <c r="AS27" s="80" t="s">
        <v>1376</v>
      </c>
      <c r="AT27" s="85" t="str">
        <f>HYPERLINK("https://www.youtube.com/channel/UCOySjL4JhGjAvIU2BeWaZMA")</f>
        <v>https://www.youtube.com/channel/UCOySjL4JhGjAvIU2BeWaZMA</v>
      </c>
      <c r="AU27" s="80" t="str">
        <f>REPLACE(INDEX(GroupVertices[Group],MATCH(Vertices[[#This Row],[Vertex]],GroupVertices[Vertex],0)),1,1,"")</f>
        <v>9</v>
      </c>
      <c r="AV27" s="49">
        <v>1</v>
      </c>
      <c r="AW27" s="50">
        <v>100</v>
      </c>
      <c r="AX27" s="49">
        <v>0</v>
      </c>
      <c r="AY27" s="50">
        <v>0</v>
      </c>
      <c r="AZ27" s="49">
        <v>0</v>
      </c>
      <c r="BA27" s="50">
        <v>0</v>
      </c>
      <c r="BB27" s="49">
        <v>0</v>
      </c>
      <c r="BC27" s="50">
        <v>0</v>
      </c>
      <c r="BD27" s="49">
        <v>1</v>
      </c>
      <c r="BE27" s="49"/>
      <c r="BF27" s="49"/>
      <c r="BG27" s="49"/>
      <c r="BH27" s="49"/>
      <c r="BI27" s="49"/>
      <c r="BJ27" s="49"/>
      <c r="BK27" s="111" t="s">
        <v>1542</v>
      </c>
      <c r="BL27" s="111" t="s">
        <v>1542</v>
      </c>
      <c r="BM27" s="111" t="s">
        <v>1239</v>
      </c>
      <c r="BN27" s="111" t="s">
        <v>1239</v>
      </c>
      <c r="BO27" s="2"/>
      <c r="BP27" s="3"/>
      <c r="BQ27" s="3"/>
      <c r="BR27" s="3"/>
      <c r="BS27" s="3"/>
    </row>
    <row r="28" spans="1:71" ht="15">
      <c r="A28" s="65" t="s">
        <v>358</v>
      </c>
      <c r="B28" s="66"/>
      <c r="C28" s="66"/>
      <c r="D28" s="67">
        <v>1000</v>
      </c>
      <c r="E28" s="69"/>
      <c r="F28" s="103" t="str">
        <f>HYPERLINK("https://yt3.ggpht.com/ytc/AKedOLQt7GuadNt0HdeYQKvhU6Q6vIw7Q0RGEAJJ4w=s88-c-k-c0x00ffffff-no-rj")</f>
        <v>https://yt3.ggpht.com/ytc/AKedOLQt7GuadNt0HdeYQKvhU6Q6vIw7Q0RGEAJJ4w=s88-c-k-c0x00ffffff-no-rj</v>
      </c>
      <c r="G28" s="66"/>
      <c r="H28" s="70" t="s">
        <v>871</v>
      </c>
      <c r="I28" s="71"/>
      <c r="J28" s="71" t="s">
        <v>75</v>
      </c>
      <c r="K28" s="70" t="s">
        <v>871</v>
      </c>
      <c r="L28" s="74">
        <v>1443.2792570429217</v>
      </c>
      <c r="M28" s="75">
        <v>5102.654296875</v>
      </c>
      <c r="N28" s="75">
        <v>3265.805419921875</v>
      </c>
      <c r="O28" s="76"/>
      <c r="P28" s="77"/>
      <c r="Q28" s="77"/>
      <c r="R28" s="89"/>
      <c r="S28" s="49">
        <v>10</v>
      </c>
      <c r="T28" s="49">
        <v>2</v>
      </c>
      <c r="U28" s="50">
        <v>2000</v>
      </c>
      <c r="V28" s="50">
        <v>0.170373</v>
      </c>
      <c r="W28" s="50">
        <v>0.026838</v>
      </c>
      <c r="X28" s="50">
        <v>0.008192</v>
      </c>
      <c r="Y28" s="50">
        <v>0</v>
      </c>
      <c r="Z28" s="50">
        <v>0.1111111111111111</v>
      </c>
      <c r="AA28" s="72">
        <v>28</v>
      </c>
      <c r="AB28" s="72"/>
      <c r="AC28" s="73"/>
      <c r="AD28" s="80" t="s">
        <v>871</v>
      </c>
      <c r="AE28" s="80"/>
      <c r="AF28" s="80"/>
      <c r="AG28" s="80"/>
      <c r="AH28" s="80"/>
      <c r="AI28" s="80"/>
      <c r="AJ28" s="87">
        <v>39357.99597222222</v>
      </c>
      <c r="AK28" s="85" t="str">
        <f>HYPERLINK("https://yt3.ggpht.com/ytc/AKedOLQt7GuadNt0HdeYQKvhU6Q6vIw7Q0RGEAJJ4w=s88-c-k-c0x00ffffff-no-rj")</f>
        <v>https://yt3.ggpht.com/ytc/AKedOLQt7GuadNt0HdeYQKvhU6Q6vIw7Q0RGEAJJ4w=s88-c-k-c0x00ffffff-no-rj</v>
      </c>
      <c r="AL28" s="80">
        <v>19412</v>
      </c>
      <c r="AM28" s="80">
        <v>0</v>
      </c>
      <c r="AN28" s="80">
        <v>18</v>
      </c>
      <c r="AO28" s="80" t="b">
        <v>0</v>
      </c>
      <c r="AP28" s="80">
        <v>4</v>
      </c>
      <c r="AQ28" s="80"/>
      <c r="AR28" s="80"/>
      <c r="AS28" s="80" t="s">
        <v>1376</v>
      </c>
      <c r="AT28" s="85" t="str">
        <f>HYPERLINK("https://www.youtube.com/channel/UCo4986VKClJt42gAAOHqWtQ")</f>
        <v>https://www.youtube.com/channel/UCo4986VKClJt42gAAOHqWtQ</v>
      </c>
      <c r="AU28" s="80" t="str">
        <f>REPLACE(INDEX(GroupVertices[Group],MATCH(Vertices[[#This Row],[Vertex]],GroupVertices[Vertex],0)),1,1,"")</f>
        <v>9</v>
      </c>
      <c r="AV28" s="49">
        <v>1</v>
      </c>
      <c r="AW28" s="50">
        <v>2.7777777777777777</v>
      </c>
      <c r="AX28" s="49">
        <v>0</v>
      </c>
      <c r="AY28" s="50">
        <v>0</v>
      </c>
      <c r="AZ28" s="49">
        <v>0</v>
      </c>
      <c r="BA28" s="50">
        <v>0</v>
      </c>
      <c r="BB28" s="49">
        <v>35</v>
      </c>
      <c r="BC28" s="50">
        <v>97.22222222222223</v>
      </c>
      <c r="BD28" s="49">
        <v>36</v>
      </c>
      <c r="BE28" s="49"/>
      <c r="BF28" s="49"/>
      <c r="BG28" s="49"/>
      <c r="BH28" s="49"/>
      <c r="BI28" s="49"/>
      <c r="BJ28" s="49"/>
      <c r="BK28" s="111" t="s">
        <v>2373</v>
      </c>
      <c r="BL28" s="111" t="s">
        <v>2373</v>
      </c>
      <c r="BM28" s="111" t="s">
        <v>2564</v>
      </c>
      <c r="BN28" s="111" t="s">
        <v>2564</v>
      </c>
      <c r="BO28" s="2"/>
      <c r="BP28" s="3"/>
      <c r="BQ28" s="3"/>
      <c r="BR28" s="3"/>
      <c r="BS28" s="3"/>
    </row>
    <row r="29" spans="1:71" ht="15">
      <c r="A29" s="65" t="s">
        <v>357</v>
      </c>
      <c r="B29" s="66"/>
      <c r="C29" s="66"/>
      <c r="D29" s="67">
        <v>150</v>
      </c>
      <c r="E29" s="69"/>
      <c r="F29" s="103" t="str">
        <f>HYPERLINK("https://yt3.ggpht.com/ytc/AKedOLRmEPePGEh1ULc-NLsaQdhJkGsl-QenN2wOdt1i=s88-c-k-c0x00ffffff-no-rj")</f>
        <v>https://yt3.ggpht.com/ytc/AKedOLRmEPePGEh1ULc-NLsaQdhJkGsl-QenN2wOdt1i=s88-c-k-c0x00ffffff-no-rj</v>
      </c>
      <c r="G29" s="66"/>
      <c r="H29" s="70" t="s">
        <v>870</v>
      </c>
      <c r="I29" s="71"/>
      <c r="J29" s="71" t="s">
        <v>159</v>
      </c>
      <c r="K29" s="70" t="s">
        <v>870</v>
      </c>
      <c r="L29" s="74">
        <v>1</v>
      </c>
      <c r="M29" s="75">
        <v>5753.14013671875</v>
      </c>
      <c r="N29" s="75">
        <v>3317.818359375</v>
      </c>
      <c r="O29" s="76"/>
      <c r="P29" s="77"/>
      <c r="Q29" s="77"/>
      <c r="R29" s="89"/>
      <c r="S29" s="49">
        <v>0</v>
      </c>
      <c r="T29" s="49">
        <v>1</v>
      </c>
      <c r="U29" s="50">
        <v>0</v>
      </c>
      <c r="V29" s="50">
        <v>0.131843</v>
      </c>
      <c r="W29" s="50">
        <v>0.003013</v>
      </c>
      <c r="X29" s="50">
        <v>0.003918</v>
      </c>
      <c r="Y29" s="50">
        <v>0</v>
      </c>
      <c r="Z29" s="50">
        <v>0</v>
      </c>
      <c r="AA29" s="72">
        <v>29</v>
      </c>
      <c r="AB29" s="72"/>
      <c r="AC29" s="73"/>
      <c r="AD29" s="80" t="s">
        <v>870</v>
      </c>
      <c r="AE29" s="80"/>
      <c r="AF29" s="80"/>
      <c r="AG29" s="80"/>
      <c r="AH29" s="80"/>
      <c r="AI29" s="80" t="s">
        <v>1348</v>
      </c>
      <c r="AJ29" s="87">
        <v>41020.14306712963</v>
      </c>
      <c r="AK29" s="85" t="str">
        <f>HYPERLINK("https://yt3.ggpht.com/ytc/AKedOLRmEPePGEh1ULc-NLsaQdhJkGsl-QenN2wOdt1i=s88-c-k-c0x00ffffff-no-rj")</f>
        <v>https://yt3.ggpht.com/ytc/AKedOLRmEPePGEh1ULc-NLsaQdhJkGsl-QenN2wOdt1i=s88-c-k-c0x00ffffff-no-rj</v>
      </c>
      <c r="AL29" s="80">
        <v>0</v>
      </c>
      <c r="AM29" s="80">
        <v>0</v>
      </c>
      <c r="AN29" s="80">
        <v>0</v>
      </c>
      <c r="AO29" s="80" t="b">
        <v>0</v>
      </c>
      <c r="AP29" s="80">
        <v>0</v>
      </c>
      <c r="AQ29" s="80"/>
      <c r="AR29" s="80"/>
      <c r="AS29" s="80" t="s">
        <v>1376</v>
      </c>
      <c r="AT29" s="85" t="str">
        <f>HYPERLINK("https://www.youtube.com/channel/UCkkgApUQlDrsLaod5io227g")</f>
        <v>https://www.youtube.com/channel/UCkkgApUQlDrsLaod5io227g</v>
      </c>
      <c r="AU29" s="80" t="str">
        <f>REPLACE(INDEX(GroupVertices[Group],MATCH(Vertices[[#This Row],[Vertex]],GroupVertices[Vertex],0)),1,1,"")</f>
        <v>9</v>
      </c>
      <c r="AV29" s="49">
        <v>0</v>
      </c>
      <c r="AW29" s="50">
        <v>0</v>
      </c>
      <c r="AX29" s="49">
        <v>0</v>
      </c>
      <c r="AY29" s="50">
        <v>0</v>
      </c>
      <c r="AZ29" s="49">
        <v>0</v>
      </c>
      <c r="BA29" s="50">
        <v>0</v>
      </c>
      <c r="BB29" s="49">
        <v>19</v>
      </c>
      <c r="BC29" s="50">
        <v>100</v>
      </c>
      <c r="BD29" s="49">
        <v>19</v>
      </c>
      <c r="BE29" s="49"/>
      <c r="BF29" s="49"/>
      <c r="BG29" s="49"/>
      <c r="BH29" s="49"/>
      <c r="BI29" s="49"/>
      <c r="BJ29" s="49"/>
      <c r="BK29" s="111" t="s">
        <v>2374</v>
      </c>
      <c r="BL29" s="111" t="s">
        <v>2374</v>
      </c>
      <c r="BM29" s="111" t="s">
        <v>2565</v>
      </c>
      <c r="BN29" s="111" t="s">
        <v>2565</v>
      </c>
      <c r="BO29" s="2"/>
      <c r="BP29" s="3"/>
      <c r="BQ29" s="3"/>
      <c r="BR29" s="3"/>
      <c r="BS29" s="3"/>
    </row>
    <row r="30" spans="1:71" ht="15">
      <c r="A30" s="65" t="s">
        <v>359</v>
      </c>
      <c r="B30" s="66"/>
      <c r="C30" s="66"/>
      <c r="D30" s="67">
        <v>150</v>
      </c>
      <c r="E30" s="69"/>
      <c r="F30" s="103" t="str">
        <f>HYPERLINK("https://yt3.ggpht.com/ytc/AKedOLRwTx7GKI4kLnNmALpk8d2aeqWigWg6Ze1vVufWhg=s88-c-k-c0x00ffffff-no-rj")</f>
        <v>https://yt3.ggpht.com/ytc/AKedOLRwTx7GKI4kLnNmALpk8d2aeqWigWg6Ze1vVufWhg=s88-c-k-c0x00ffffff-no-rj</v>
      </c>
      <c r="G30" s="66"/>
      <c r="H30" s="70" t="s">
        <v>872</v>
      </c>
      <c r="I30" s="71"/>
      <c r="J30" s="71" t="s">
        <v>159</v>
      </c>
      <c r="K30" s="70" t="s">
        <v>872</v>
      </c>
      <c r="L30" s="74">
        <v>1</v>
      </c>
      <c r="M30" s="75">
        <v>5612.6533203125</v>
      </c>
      <c r="N30" s="75">
        <v>2656.63671875</v>
      </c>
      <c r="O30" s="76"/>
      <c r="P30" s="77"/>
      <c r="Q30" s="77"/>
      <c r="R30" s="89"/>
      <c r="S30" s="49">
        <v>1</v>
      </c>
      <c r="T30" s="49">
        <v>1</v>
      </c>
      <c r="U30" s="50">
        <v>0</v>
      </c>
      <c r="V30" s="50">
        <v>0.131843</v>
      </c>
      <c r="W30" s="50">
        <v>0.003013</v>
      </c>
      <c r="X30" s="50">
        <v>0.003918</v>
      </c>
      <c r="Y30" s="50">
        <v>0</v>
      </c>
      <c r="Z30" s="50">
        <v>1</v>
      </c>
      <c r="AA30" s="72">
        <v>30</v>
      </c>
      <c r="AB30" s="72"/>
      <c r="AC30" s="73"/>
      <c r="AD30" s="80" t="s">
        <v>872</v>
      </c>
      <c r="AE30" s="80"/>
      <c r="AF30" s="80"/>
      <c r="AG30" s="80"/>
      <c r="AH30" s="80"/>
      <c r="AI30" s="80"/>
      <c r="AJ30" s="87">
        <v>40934.81644675926</v>
      </c>
      <c r="AK30" s="85" t="str">
        <f>HYPERLINK("https://yt3.ggpht.com/ytc/AKedOLRwTx7GKI4kLnNmALpk8d2aeqWigWg6Ze1vVufWhg=s88-c-k-c0x00ffffff-no-rj")</f>
        <v>https://yt3.ggpht.com/ytc/AKedOLRwTx7GKI4kLnNmALpk8d2aeqWigWg6Ze1vVufWhg=s88-c-k-c0x00ffffff-no-rj</v>
      </c>
      <c r="AL30" s="80">
        <v>0</v>
      </c>
      <c r="AM30" s="80">
        <v>0</v>
      </c>
      <c r="AN30" s="80">
        <v>1</v>
      </c>
      <c r="AO30" s="80" t="b">
        <v>0</v>
      </c>
      <c r="AP30" s="80">
        <v>0</v>
      </c>
      <c r="AQ30" s="80"/>
      <c r="AR30" s="80"/>
      <c r="AS30" s="80" t="s">
        <v>1376</v>
      </c>
      <c r="AT30" s="85" t="str">
        <f>HYPERLINK("https://www.youtube.com/channel/UC-jjpnxCagdT_bv8huLBmrA")</f>
        <v>https://www.youtube.com/channel/UC-jjpnxCagdT_bv8huLBmrA</v>
      </c>
      <c r="AU30" s="80" t="str">
        <f>REPLACE(INDEX(GroupVertices[Group],MATCH(Vertices[[#This Row],[Vertex]],GroupVertices[Vertex],0)),1,1,"")</f>
        <v>9</v>
      </c>
      <c r="AV30" s="49">
        <v>4</v>
      </c>
      <c r="AW30" s="50">
        <v>11.764705882352942</v>
      </c>
      <c r="AX30" s="49">
        <v>0</v>
      </c>
      <c r="AY30" s="50">
        <v>0</v>
      </c>
      <c r="AZ30" s="49">
        <v>0</v>
      </c>
      <c r="BA30" s="50">
        <v>0</v>
      </c>
      <c r="BB30" s="49">
        <v>30</v>
      </c>
      <c r="BC30" s="50">
        <v>88.23529411764706</v>
      </c>
      <c r="BD30" s="49">
        <v>34</v>
      </c>
      <c r="BE30" s="49"/>
      <c r="BF30" s="49"/>
      <c r="BG30" s="49"/>
      <c r="BH30" s="49"/>
      <c r="BI30" s="49"/>
      <c r="BJ30" s="49"/>
      <c r="BK30" s="111" t="s">
        <v>2375</v>
      </c>
      <c r="BL30" s="111" t="s">
        <v>2375</v>
      </c>
      <c r="BM30" s="111" t="s">
        <v>2566</v>
      </c>
      <c r="BN30" s="111" t="s">
        <v>2566</v>
      </c>
      <c r="BO30" s="2"/>
      <c r="BP30" s="3"/>
      <c r="BQ30" s="3"/>
      <c r="BR30" s="3"/>
      <c r="BS30" s="3"/>
    </row>
    <row r="31" spans="1:71" ht="15">
      <c r="A31" s="65" t="s">
        <v>360</v>
      </c>
      <c r="B31" s="66"/>
      <c r="C31" s="66"/>
      <c r="D31" s="67">
        <v>150</v>
      </c>
      <c r="E31" s="69"/>
      <c r="F31" s="103" t="str">
        <f>HYPERLINK("https://yt3.ggpht.com/ytc/AKedOLTKIspaJhlXv6p3mvS30r948-QdvZO1jlmjQTb1iQ=s88-c-k-c0x00ffffff-no-rj")</f>
        <v>https://yt3.ggpht.com/ytc/AKedOLTKIspaJhlXv6p3mvS30r948-QdvZO1jlmjQTb1iQ=s88-c-k-c0x00ffffff-no-rj</v>
      </c>
      <c r="G31" s="66"/>
      <c r="H31" s="70" t="s">
        <v>873</v>
      </c>
      <c r="I31" s="71"/>
      <c r="J31" s="71" t="s">
        <v>159</v>
      </c>
      <c r="K31" s="70" t="s">
        <v>873</v>
      </c>
      <c r="L31" s="74">
        <v>1</v>
      </c>
      <c r="M31" s="75">
        <v>5564.81689453125</v>
      </c>
      <c r="N31" s="75">
        <v>3953.459228515625</v>
      </c>
      <c r="O31" s="76"/>
      <c r="P31" s="77"/>
      <c r="Q31" s="77"/>
      <c r="R31" s="89"/>
      <c r="S31" s="49">
        <v>0</v>
      </c>
      <c r="T31" s="49">
        <v>1</v>
      </c>
      <c r="U31" s="50">
        <v>0</v>
      </c>
      <c r="V31" s="50">
        <v>0.131843</v>
      </c>
      <c r="W31" s="50">
        <v>0.003013</v>
      </c>
      <c r="X31" s="50">
        <v>0.003918</v>
      </c>
      <c r="Y31" s="50">
        <v>0</v>
      </c>
      <c r="Z31" s="50">
        <v>0</v>
      </c>
      <c r="AA31" s="72">
        <v>31</v>
      </c>
      <c r="AB31" s="72"/>
      <c r="AC31" s="73"/>
      <c r="AD31" s="80" t="s">
        <v>873</v>
      </c>
      <c r="AE31" s="80"/>
      <c r="AF31" s="80"/>
      <c r="AG31" s="80"/>
      <c r="AH31" s="80"/>
      <c r="AI31" s="80"/>
      <c r="AJ31" s="87">
        <v>41110.830717592595</v>
      </c>
      <c r="AK31" s="85" t="str">
        <f>HYPERLINK("https://yt3.ggpht.com/ytc/AKedOLTKIspaJhlXv6p3mvS30r948-QdvZO1jlmjQTb1iQ=s88-c-k-c0x00ffffff-no-rj")</f>
        <v>https://yt3.ggpht.com/ytc/AKedOLTKIspaJhlXv6p3mvS30r948-QdvZO1jlmjQTb1iQ=s88-c-k-c0x00ffffff-no-rj</v>
      </c>
      <c r="AL31" s="80">
        <v>0</v>
      </c>
      <c r="AM31" s="80">
        <v>0</v>
      </c>
      <c r="AN31" s="80">
        <v>0</v>
      </c>
      <c r="AO31" s="80" t="b">
        <v>0</v>
      </c>
      <c r="AP31" s="80">
        <v>0</v>
      </c>
      <c r="AQ31" s="80"/>
      <c r="AR31" s="80"/>
      <c r="AS31" s="80" t="s">
        <v>1376</v>
      </c>
      <c r="AT31" s="85" t="str">
        <f>HYPERLINK("https://www.youtube.com/channel/UCYS7wFuePefGbkq9zjRt8sQ")</f>
        <v>https://www.youtube.com/channel/UCYS7wFuePefGbkq9zjRt8sQ</v>
      </c>
      <c r="AU31" s="80" t="str">
        <f>REPLACE(INDEX(GroupVertices[Group],MATCH(Vertices[[#This Row],[Vertex]],GroupVertices[Vertex],0)),1,1,"")</f>
        <v>9</v>
      </c>
      <c r="AV31" s="49">
        <v>0</v>
      </c>
      <c r="AW31" s="50">
        <v>0</v>
      </c>
      <c r="AX31" s="49">
        <v>0</v>
      </c>
      <c r="AY31" s="50">
        <v>0</v>
      </c>
      <c r="AZ31" s="49">
        <v>0</v>
      </c>
      <c r="BA31" s="50">
        <v>0</v>
      </c>
      <c r="BB31" s="49">
        <v>27</v>
      </c>
      <c r="BC31" s="50">
        <v>100</v>
      </c>
      <c r="BD31" s="49">
        <v>27</v>
      </c>
      <c r="BE31" s="49" t="s">
        <v>2154</v>
      </c>
      <c r="BF31" s="49" t="s">
        <v>2154</v>
      </c>
      <c r="BG31" s="49" t="s">
        <v>1221</v>
      </c>
      <c r="BH31" s="49" t="s">
        <v>1221</v>
      </c>
      <c r="BI31" s="49"/>
      <c r="BJ31" s="49"/>
      <c r="BK31" s="111" t="s">
        <v>2376</v>
      </c>
      <c r="BL31" s="111" t="s">
        <v>2376</v>
      </c>
      <c r="BM31" s="111" t="s">
        <v>2567</v>
      </c>
      <c r="BN31" s="111" t="s">
        <v>2567</v>
      </c>
      <c r="BO31" s="2"/>
      <c r="BP31" s="3"/>
      <c r="BQ31" s="3"/>
      <c r="BR31" s="3"/>
      <c r="BS31" s="3"/>
    </row>
    <row r="32" spans="1:71" ht="15">
      <c r="A32" s="65" t="s">
        <v>361</v>
      </c>
      <c r="B32" s="66"/>
      <c r="C32" s="66"/>
      <c r="D32" s="67">
        <v>150</v>
      </c>
      <c r="E32" s="69"/>
      <c r="F32" s="103" t="str">
        <f>HYPERLINK("https://yt3.ggpht.com/ytc/AKedOLSiaFGWuwdrd05dq2sKHdwpZA40atF4gnGNqvb_5Q=s88-c-k-c0x00ffffff-no-rj")</f>
        <v>https://yt3.ggpht.com/ytc/AKedOLSiaFGWuwdrd05dq2sKHdwpZA40atF4gnGNqvb_5Q=s88-c-k-c0x00ffffff-no-rj</v>
      </c>
      <c r="G32" s="66"/>
      <c r="H32" s="70" t="s">
        <v>874</v>
      </c>
      <c r="I32" s="71"/>
      <c r="J32" s="71" t="s">
        <v>159</v>
      </c>
      <c r="K32" s="70" t="s">
        <v>874</v>
      </c>
      <c r="L32" s="74">
        <v>1</v>
      </c>
      <c r="M32" s="75">
        <v>5219.75634765625</v>
      </c>
      <c r="N32" s="75">
        <v>2279.183837890625</v>
      </c>
      <c r="O32" s="76"/>
      <c r="P32" s="77"/>
      <c r="Q32" s="77"/>
      <c r="R32" s="89"/>
      <c r="S32" s="49">
        <v>0</v>
      </c>
      <c r="T32" s="49">
        <v>1</v>
      </c>
      <c r="U32" s="50">
        <v>0</v>
      </c>
      <c r="V32" s="50">
        <v>0.131843</v>
      </c>
      <c r="W32" s="50">
        <v>0.003013</v>
      </c>
      <c r="X32" s="50">
        <v>0.003918</v>
      </c>
      <c r="Y32" s="50">
        <v>0</v>
      </c>
      <c r="Z32" s="50">
        <v>0</v>
      </c>
      <c r="AA32" s="72">
        <v>32</v>
      </c>
      <c r="AB32" s="72"/>
      <c r="AC32" s="73"/>
      <c r="AD32" s="80" t="s">
        <v>874</v>
      </c>
      <c r="AE32" s="80"/>
      <c r="AF32" s="80"/>
      <c r="AG32" s="80"/>
      <c r="AH32" s="80"/>
      <c r="AI32" s="80"/>
      <c r="AJ32" s="87">
        <v>41764.29126157407</v>
      </c>
      <c r="AK32" s="85" t="str">
        <f>HYPERLINK("https://yt3.ggpht.com/ytc/AKedOLSiaFGWuwdrd05dq2sKHdwpZA40atF4gnGNqvb_5Q=s88-c-k-c0x00ffffff-no-rj")</f>
        <v>https://yt3.ggpht.com/ytc/AKedOLSiaFGWuwdrd05dq2sKHdwpZA40atF4gnGNqvb_5Q=s88-c-k-c0x00ffffff-no-rj</v>
      </c>
      <c r="AL32" s="80">
        <v>0</v>
      </c>
      <c r="AM32" s="80">
        <v>0</v>
      </c>
      <c r="AN32" s="80">
        <v>15</v>
      </c>
      <c r="AO32" s="80" t="b">
        <v>0</v>
      </c>
      <c r="AP32" s="80">
        <v>0</v>
      </c>
      <c r="AQ32" s="80"/>
      <c r="AR32" s="80"/>
      <c r="AS32" s="80" t="s">
        <v>1376</v>
      </c>
      <c r="AT32" s="85" t="str">
        <f>HYPERLINK("https://www.youtube.com/channel/UCDCjHgdB_5n2ppVPI3Vt8Ew")</f>
        <v>https://www.youtube.com/channel/UCDCjHgdB_5n2ppVPI3Vt8Ew</v>
      </c>
      <c r="AU32" s="80" t="str">
        <f>REPLACE(INDEX(GroupVertices[Group],MATCH(Vertices[[#This Row],[Vertex]],GroupVertices[Vertex],0)),1,1,"")</f>
        <v>9</v>
      </c>
      <c r="AV32" s="49">
        <v>0</v>
      </c>
      <c r="AW32" s="50">
        <v>0</v>
      </c>
      <c r="AX32" s="49">
        <v>0</v>
      </c>
      <c r="AY32" s="50">
        <v>0</v>
      </c>
      <c r="AZ32" s="49">
        <v>0</v>
      </c>
      <c r="BA32" s="50">
        <v>0</v>
      </c>
      <c r="BB32" s="49">
        <v>21</v>
      </c>
      <c r="BC32" s="50">
        <v>100</v>
      </c>
      <c r="BD32" s="49">
        <v>21</v>
      </c>
      <c r="BE32" s="49"/>
      <c r="BF32" s="49"/>
      <c r="BG32" s="49"/>
      <c r="BH32" s="49"/>
      <c r="BI32" s="49"/>
      <c r="BJ32" s="49"/>
      <c r="BK32" s="111" t="s">
        <v>2377</v>
      </c>
      <c r="BL32" s="111" t="s">
        <v>2377</v>
      </c>
      <c r="BM32" s="111" t="s">
        <v>2568</v>
      </c>
      <c r="BN32" s="111" t="s">
        <v>2568</v>
      </c>
      <c r="BO32" s="2"/>
      <c r="BP32" s="3"/>
      <c r="BQ32" s="3"/>
      <c r="BR32" s="3"/>
      <c r="BS32" s="3"/>
    </row>
    <row r="33" spans="1:71" ht="15">
      <c r="A33" s="65" t="s">
        <v>362</v>
      </c>
      <c r="B33" s="66"/>
      <c r="C33" s="66"/>
      <c r="D33" s="67">
        <v>150</v>
      </c>
      <c r="E33" s="69"/>
      <c r="F33" s="103" t="str">
        <f>HYPERLINK("https://yt3.ggpht.com/ytc/AKedOLRYHEpt-hlw3xzyOs3qG36G-SqR1QviyrL2C18k=s88-c-k-c0x00ffffff-no-rj")</f>
        <v>https://yt3.ggpht.com/ytc/AKedOLRYHEpt-hlw3xzyOs3qG36G-SqR1QviyrL2C18k=s88-c-k-c0x00ffffff-no-rj</v>
      </c>
      <c r="G33" s="66"/>
      <c r="H33" s="70" t="s">
        <v>875</v>
      </c>
      <c r="I33" s="71"/>
      <c r="J33" s="71" t="s">
        <v>159</v>
      </c>
      <c r="K33" s="70" t="s">
        <v>875</v>
      </c>
      <c r="L33" s="74">
        <v>1</v>
      </c>
      <c r="M33" s="75">
        <v>4736.02880859375</v>
      </c>
      <c r="N33" s="75">
        <v>4001.091552734375</v>
      </c>
      <c r="O33" s="76"/>
      <c r="P33" s="77"/>
      <c r="Q33" s="77"/>
      <c r="R33" s="89"/>
      <c r="S33" s="49">
        <v>0</v>
      </c>
      <c r="T33" s="49">
        <v>1</v>
      </c>
      <c r="U33" s="50">
        <v>0</v>
      </c>
      <c r="V33" s="50">
        <v>0.131843</v>
      </c>
      <c r="W33" s="50">
        <v>0.003013</v>
      </c>
      <c r="X33" s="50">
        <v>0.003918</v>
      </c>
      <c r="Y33" s="50">
        <v>0</v>
      </c>
      <c r="Z33" s="50">
        <v>0</v>
      </c>
      <c r="AA33" s="72">
        <v>33</v>
      </c>
      <c r="AB33" s="72"/>
      <c r="AC33" s="73"/>
      <c r="AD33" s="80" t="s">
        <v>875</v>
      </c>
      <c r="AE33" s="80"/>
      <c r="AF33" s="80"/>
      <c r="AG33" s="80"/>
      <c r="AH33" s="80"/>
      <c r="AI33" s="80"/>
      <c r="AJ33" s="87">
        <v>42536.560277777775</v>
      </c>
      <c r="AK33" s="85" t="str">
        <f>HYPERLINK("https://yt3.ggpht.com/ytc/AKedOLRYHEpt-hlw3xzyOs3qG36G-SqR1QviyrL2C18k=s88-c-k-c0x00ffffff-no-rj")</f>
        <v>https://yt3.ggpht.com/ytc/AKedOLRYHEpt-hlw3xzyOs3qG36G-SqR1QviyrL2C18k=s88-c-k-c0x00ffffff-no-rj</v>
      </c>
      <c r="AL33" s="80">
        <v>0</v>
      </c>
      <c r="AM33" s="80">
        <v>0</v>
      </c>
      <c r="AN33" s="80">
        <v>0</v>
      </c>
      <c r="AO33" s="80" t="b">
        <v>0</v>
      </c>
      <c r="AP33" s="80">
        <v>0</v>
      </c>
      <c r="AQ33" s="80"/>
      <c r="AR33" s="80"/>
      <c r="AS33" s="80" t="s">
        <v>1376</v>
      </c>
      <c r="AT33" s="85" t="str">
        <f>HYPERLINK("https://www.youtube.com/channel/UCYL-NgWVd0Ebir7pXVsMB2w")</f>
        <v>https://www.youtube.com/channel/UCYL-NgWVd0Ebir7pXVsMB2w</v>
      </c>
      <c r="AU33" s="80" t="str">
        <f>REPLACE(INDEX(GroupVertices[Group],MATCH(Vertices[[#This Row],[Vertex]],GroupVertices[Vertex],0)),1,1,"")</f>
        <v>9</v>
      </c>
      <c r="AV33" s="49">
        <v>0</v>
      </c>
      <c r="AW33" s="50">
        <v>0</v>
      </c>
      <c r="AX33" s="49">
        <v>0</v>
      </c>
      <c r="AY33" s="50">
        <v>0</v>
      </c>
      <c r="AZ33" s="49">
        <v>0</v>
      </c>
      <c r="BA33" s="50">
        <v>0</v>
      </c>
      <c r="BB33" s="49">
        <v>6</v>
      </c>
      <c r="BC33" s="50">
        <v>100</v>
      </c>
      <c r="BD33" s="49">
        <v>6</v>
      </c>
      <c r="BE33" s="49"/>
      <c r="BF33" s="49"/>
      <c r="BG33" s="49"/>
      <c r="BH33" s="49"/>
      <c r="BI33" s="49"/>
      <c r="BJ33" s="49"/>
      <c r="BK33" s="111" t="s">
        <v>1239</v>
      </c>
      <c r="BL33" s="111" t="s">
        <v>1239</v>
      </c>
      <c r="BM33" s="111" t="s">
        <v>1239</v>
      </c>
      <c r="BN33" s="111" t="s">
        <v>1239</v>
      </c>
      <c r="BO33" s="2"/>
      <c r="BP33" s="3"/>
      <c r="BQ33" s="3"/>
      <c r="BR33" s="3"/>
      <c r="BS33" s="3"/>
    </row>
    <row r="34" spans="1:71" ht="15">
      <c r="A34" s="65" t="s">
        <v>363</v>
      </c>
      <c r="B34" s="66"/>
      <c r="C34" s="66"/>
      <c r="D34" s="67">
        <v>150</v>
      </c>
      <c r="E34" s="69"/>
      <c r="F34" s="103" t="str">
        <f>HYPERLINK("https://yt3.ggpht.com/ytc/AKedOLRHbp-BYlwMVfxOOEJ0IdAsWTRv4-C7Hho8Mw=s88-c-k-c0x00ffffff-no-rj")</f>
        <v>https://yt3.ggpht.com/ytc/AKedOLRHbp-BYlwMVfxOOEJ0IdAsWTRv4-C7Hho8Mw=s88-c-k-c0x00ffffff-no-rj</v>
      </c>
      <c r="G34" s="66"/>
      <c r="H34" s="70" t="s">
        <v>876</v>
      </c>
      <c r="I34" s="71"/>
      <c r="J34" s="71" t="s">
        <v>159</v>
      </c>
      <c r="K34" s="70" t="s">
        <v>876</v>
      </c>
      <c r="L34" s="74">
        <v>1</v>
      </c>
      <c r="M34" s="75">
        <v>3821.27392578125</v>
      </c>
      <c r="N34" s="75">
        <v>3159.60693359375</v>
      </c>
      <c r="O34" s="76"/>
      <c r="P34" s="77"/>
      <c r="Q34" s="77"/>
      <c r="R34" s="89"/>
      <c r="S34" s="49">
        <v>0</v>
      </c>
      <c r="T34" s="49">
        <v>1</v>
      </c>
      <c r="U34" s="50">
        <v>0</v>
      </c>
      <c r="V34" s="50">
        <v>0.107837</v>
      </c>
      <c r="W34" s="50">
        <v>0.000343</v>
      </c>
      <c r="X34" s="50">
        <v>0.004135</v>
      </c>
      <c r="Y34" s="50">
        <v>0</v>
      </c>
      <c r="Z34" s="50">
        <v>0</v>
      </c>
      <c r="AA34" s="72">
        <v>34</v>
      </c>
      <c r="AB34" s="72"/>
      <c r="AC34" s="73"/>
      <c r="AD34" s="80" t="s">
        <v>876</v>
      </c>
      <c r="AE34" s="80"/>
      <c r="AF34" s="80"/>
      <c r="AG34" s="80"/>
      <c r="AH34" s="80"/>
      <c r="AI34" s="80"/>
      <c r="AJ34" s="87">
        <v>42282.46202546296</v>
      </c>
      <c r="AK34" s="85" t="str">
        <f>HYPERLINK("https://yt3.ggpht.com/ytc/AKedOLRHbp-BYlwMVfxOOEJ0IdAsWTRv4-C7Hho8Mw=s88-c-k-c0x00ffffff-no-rj")</f>
        <v>https://yt3.ggpht.com/ytc/AKedOLRHbp-BYlwMVfxOOEJ0IdAsWTRv4-C7Hho8Mw=s88-c-k-c0x00ffffff-no-rj</v>
      </c>
      <c r="AL34" s="80">
        <v>3</v>
      </c>
      <c r="AM34" s="80">
        <v>0</v>
      </c>
      <c r="AN34" s="80">
        <v>1</v>
      </c>
      <c r="AO34" s="80" t="b">
        <v>0</v>
      </c>
      <c r="AP34" s="80">
        <v>1</v>
      </c>
      <c r="AQ34" s="80"/>
      <c r="AR34" s="80"/>
      <c r="AS34" s="80" t="s">
        <v>1376</v>
      </c>
      <c r="AT34" s="85" t="str">
        <f>HYPERLINK("https://www.youtube.com/channel/UCg66xuzMQIOjiGIT5PMHOcw")</f>
        <v>https://www.youtube.com/channel/UCg66xuzMQIOjiGIT5PMHOcw</v>
      </c>
      <c r="AU34" s="80" t="str">
        <f>REPLACE(INDEX(GroupVertices[Group],MATCH(Vertices[[#This Row],[Vertex]],GroupVertices[Vertex],0)),1,1,"")</f>
        <v>9</v>
      </c>
      <c r="AV34" s="49">
        <v>0</v>
      </c>
      <c r="AW34" s="50">
        <v>0</v>
      </c>
      <c r="AX34" s="49">
        <v>1</v>
      </c>
      <c r="AY34" s="50">
        <v>9.090909090909092</v>
      </c>
      <c r="AZ34" s="49">
        <v>0</v>
      </c>
      <c r="BA34" s="50">
        <v>0</v>
      </c>
      <c r="BB34" s="49">
        <v>10</v>
      </c>
      <c r="BC34" s="50">
        <v>90.9090909090909</v>
      </c>
      <c r="BD34" s="49">
        <v>11</v>
      </c>
      <c r="BE34" s="49"/>
      <c r="BF34" s="49"/>
      <c r="BG34" s="49"/>
      <c r="BH34" s="49"/>
      <c r="BI34" s="49"/>
      <c r="BJ34" s="49"/>
      <c r="BK34" s="111" t="s">
        <v>1520</v>
      </c>
      <c r="BL34" s="111" t="s">
        <v>1520</v>
      </c>
      <c r="BM34" s="111" t="s">
        <v>1239</v>
      </c>
      <c r="BN34" s="111" t="s">
        <v>1239</v>
      </c>
      <c r="BO34" s="2"/>
      <c r="BP34" s="3"/>
      <c r="BQ34" s="3"/>
      <c r="BR34" s="3"/>
      <c r="BS34" s="3"/>
    </row>
    <row r="35" spans="1:71" ht="15">
      <c r="A35" s="65" t="s">
        <v>364</v>
      </c>
      <c r="B35" s="66"/>
      <c r="C35" s="66"/>
      <c r="D35" s="67">
        <v>358.42911877394636</v>
      </c>
      <c r="E35" s="69"/>
      <c r="F35" s="103" t="str">
        <f>HYPERLINK("https://yt3.ggpht.com/ytc/AKedOLQlH9e7EUVk0ueaJVvx9VjZTQhlm9xN8-GZKw=s88-c-k-c0x00ffffff-no-rj")</f>
        <v>https://yt3.ggpht.com/ytc/AKedOLQlH9e7EUVk0ueaJVvx9VjZTQhlm9xN8-GZKw=s88-c-k-c0x00ffffff-no-rj</v>
      </c>
      <c r="G35" s="66"/>
      <c r="H35" s="70" t="s">
        <v>877</v>
      </c>
      <c r="I35" s="71"/>
      <c r="J35" s="71" t="s">
        <v>75</v>
      </c>
      <c r="K35" s="70" t="s">
        <v>877</v>
      </c>
      <c r="L35" s="74">
        <v>185.61174490149398</v>
      </c>
      <c r="M35" s="75">
        <v>4432.84423828125</v>
      </c>
      <c r="N35" s="75">
        <v>3210.54931640625</v>
      </c>
      <c r="O35" s="76"/>
      <c r="P35" s="77"/>
      <c r="Q35" s="77"/>
      <c r="R35" s="89"/>
      <c r="S35" s="49">
        <v>1</v>
      </c>
      <c r="T35" s="49">
        <v>1</v>
      </c>
      <c r="U35" s="50">
        <v>256</v>
      </c>
      <c r="V35" s="50">
        <v>0.132311</v>
      </c>
      <c r="W35" s="50">
        <v>0.003051</v>
      </c>
      <c r="X35" s="50">
        <v>0.004538</v>
      </c>
      <c r="Y35" s="50">
        <v>0</v>
      </c>
      <c r="Z35" s="50">
        <v>0</v>
      </c>
      <c r="AA35" s="72">
        <v>35</v>
      </c>
      <c r="AB35" s="72"/>
      <c r="AC35" s="73"/>
      <c r="AD35" s="80" t="s">
        <v>877</v>
      </c>
      <c r="AE35" s="80"/>
      <c r="AF35" s="80"/>
      <c r="AG35" s="80"/>
      <c r="AH35" s="80"/>
      <c r="AI35" s="80"/>
      <c r="AJ35" s="87">
        <v>41754.56140046296</v>
      </c>
      <c r="AK35" s="85" t="str">
        <f>HYPERLINK("https://yt3.ggpht.com/ytc/AKedOLQlH9e7EUVk0ueaJVvx9VjZTQhlm9xN8-GZKw=s88-c-k-c0x00ffffff-no-rj")</f>
        <v>https://yt3.ggpht.com/ytc/AKedOLQlH9e7EUVk0ueaJVvx9VjZTQhlm9xN8-GZKw=s88-c-k-c0x00ffffff-no-rj</v>
      </c>
      <c r="AL35" s="80">
        <v>18</v>
      </c>
      <c r="AM35" s="80">
        <v>0</v>
      </c>
      <c r="AN35" s="80">
        <v>1</v>
      </c>
      <c r="AO35" s="80" t="b">
        <v>0</v>
      </c>
      <c r="AP35" s="80">
        <v>2</v>
      </c>
      <c r="AQ35" s="80"/>
      <c r="AR35" s="80"/>
      <c r="AS35" s="80" t="s">
        <v>1376</v>
      </c>
      <c r="AT35" s="85" t="str">
        <f>HYPERLINK("https://www.youtube.com/channel/UCo6gG1_nUsjZvN4gMpjdGZA")</f>
        <v>https://www.youtube.com/channel/UCo6gG1_nUsjZvN4gMpjdGZA</v>
      </c>
      <c r="AU35" s="80" t="str">
        <f>REPLACE(INDEX(GroupVertices[Group],MATCH(Vertices[[#This Row],[Vertex]],GroupVertices[Vertex],0)),1,1,"")</f>
        <v>9</v>
      </c>
      <c r="AV35" s="49">
        <v>0</v>
      </c>
      <c r="AW35" s="50">
        <v>0</v>
      </c>
      <c r="AX35" s="49">
        <v>2</v>
      </c>
      <c r="AY35" s="50">
        <v>4.444444444444445</v>
      </c>
      <c r="AZ35" s="49">
        <v>0</v>
      </c>
      <c r="BA35" s="50">
        <v>0</v>
      </c>
      <c r="BB35" s="49">
        <v>43</v>
      </c>
      <c r="BC35" s="50">
        <v>95.55555555555556</v>
      </c>
      <c r="BD35" s="49">
        <v>45</v>
      </c>
      <c r="BE35" s="49"/>
      <c r="BF35" s="49"/>
      <c r="BG35" s="49"/>
      <c r="BH35" s="49"/>
      <c r="BI35" s="49"/>
      <c r="BJ35" s="49"/>
      <c r="BK35" s="111" t="s">
        <v>2378</v>
      </c>
      <c r="BL35" s="111" t="s">
        <v>2378</v>
      </c>
      <c r="BM35" s="111" t="s">
        <v>2569</v>
      </c>
      <c r="BN35" s="111" t="s">
        <v>2569</v>
      </c>
      <c r="BO35" s="2"/>
      <c r="BP35" s="3"/>
      <c r="BQ35" s="3"/>
      <c r="BR35" s="3"/>
      <c r="BS35" s="3"/>
    </row>
    <row r="36" spans="1:71" ht="15">
      <c r="A36" s="65" t="s">
        <v>365</v>
      </c>
      <c r="B36" s="66"/>
      <c r="C36" s="66"/>
      <c r="D36" s="67">
        <v>150</v>
      </c>
      <c r="E36" s="69"/>
      <c r="F36" s="103" t="str">
        <f>HYPERLINK("https://yt3.ggpht.com/ytc/AKedOLRjN5HGfImjSyfX_AMMRXfbm6yzZDjZnIY3TuiJ2g=s88-c-k-c0x00ffffff-no-rj")</f>
        <v>https://yt3.ggpht.com/ytc/AKedOLRjN5HGfImjSyfX_AMMRXfbm6yzZDjZnIY3TuiJ2g=s88-c-k-c0x00ffffff-no-rj</v>
      </c>
      <c r="G36" s="66"/>
      <c r="H36" s="70" t="s">
        <v>878</v>
      </c>
      <c r="I36" s="71"/>
      <c r="J36" s="71" t="s">
        <v>159</v>
      </c>
      <c r="K36" s="70" t="s">
        <v>878</v>
      </c>
      <c r="L36" s="74">
        <v>1</v>
      </c>
      <c r="M36" s="75">
        <v>2536.5810546875</v>
      </c>
      <c r="N36" s="75">
        <v>8667.7578125</v>
      </c>
      <c r="O36" s="76"/>
      <c r="P36" s="77"/>
      <c r="Q36" s="77"/>
      <c r="R36" s="89"/>
      <c r="S36" s="49">
        <v>0</v>
      </c>
      <c r="T36" s="49">
        <v>1</v>
      </c>
      <c r="U36" s="50">
        <v>0</v>
      </c>
      <c r="V36" s="50">
        <v>0.189881</v>
      </c>
      <c r="W36" s="50">
        <v>0.080745</v>
      </c>
      <c r="X36" s="50">
        <v>0.003874</v>
      </c>
      <c r="Y36" s="50">
        <v>0</v>
      </c>
      <c r="Z36" s="50">
        <v>0</v>
      </c>
      <c r="AA36" s="72">
        <v>36</v>
      </c>
      <c r="AB36" s="72"/>
      <c r="AC36" s="73"/>
      <c r="AD36" s="80" t="s">
        <v>878</v>
      </c>
      <c r="AE36" s="80"/>
      <c r="AF36" s="80"/>
      <c r="AG36" s="80"/>
      <c r="AH36" s="80"/>
      <c r="AI36" s="80"/>
      <c r="AJ36" s="87">
        <v>40652.45596064815</v>
      </c>
      <c r="AK36" s="85" t="str">
        <f>HYPERLINK("https://yt3.ggpht.com/ytc/AKedOLRjN5HGfImjSyfX_AMMRXfbm6yzZDjZnIY3TuiJ2g=s88-c-k-c0x00ffffff-no-rj")</f>
        <v>https://yt3.ggpht.com/ytc/AKedOLRjN5HGfImjSyfX_AMMRXfbm6yzZDjZnIY3TuiJ2g=s88-c-k-c0x00ffffff-no-rj</v>
      </c>
      <c r="AL36" s="80">
        <v>744</v>
      </c>
      <c r="AM36" s="80">
        <v>0</v>
      </c>
      <c r="AN36" s="80">
        <v>4</v>
      </c>
      <c r="AO36" s="80" t="b">
        <v>0</v>
      </c>
      <c r="AP36" s="80">
        <v>5</v>
      </c>
      <c r="AQ36" s="80"/>
      <c r="AR36" s="80"/>
      <c r="AS36" s="80" t="s">
        <v>1376</v>
      </c>
      <c r="AT36" s="85" t="str">
        <f>HYPERLINK("https://www.youtube.com/channel/UCJNdQJZz7IuBgHWIIoJBvJg")</f>
        <v>https://www.youtube.com/channel/UCJNdQJZz7IuBgHWIIoJBvJg</v>
      </c>
      <c r="AU36" s="80" t="str">
        <f>REPLACE(INDEX(GroupVertices[Group],MATCH(Vertices[[#This Row],[Vertex]],GroupVertices[Vertex],0)),1,1,"")</f>
        <v>1</v>
      </c>
      <c r="AV36" s="49">
        <v>5</v>
      </c>
      <c r="AW36" s="50">
        <v>10</v>
      </c>
      <c r="AX36" s="49">
        <v>0</v>
      </c>
      <c r="AY36" s="50">
        <v>0</v>
      </c>
      <c r="AZ36" s="49">
        <v>0</v>
      </c>
      <c r="BA36" s="50">
        <v>0</v>
      </c>
      <c r="BB36" s="49">
        <v>45</v>
      </c>
      <c r="BC36" s="50">
        <v>90</v>
      </c>
      <c r="BD36" s="49">
        <v>50</v>
      </c>
      <c r="BE36" s="49"/>
      <c r="BF36" s="49"/>
      <c r="BG36" s="49"/>
      <c r="BH36" s="49"/>
      <c r="BI36" s="49"/>
      <c r="BJ36" s="49"/>
      <c r="BK36" s="111" t="s">
        <v>2379</v>
      </c>
      <c r="BL36" s="111" t="s">
        <v>2379</v>
      </c>
      <c r="BM36" s="111" t="s">
        <v>2570</v>
      </c>
      <c r="BN36" s="111" t="s">
        <v>2570</v>
      </c>
      <c r="BO36" s="2"/>
      <c r="BP36" s="3"/>
      <c r="BQ36" s="3"/>
      <c r="BR36" s="3"/>
      <c r="BS36" s="3"/>
    </row>
    <row r="37" spans="1:71" ht="15">
      <c r="A37" s="65" t="s">
        <v>369</v>
      </c>
      <c r="B37" s="66"/>
      <c r="C37" s="66"/>
      <c r="D37" s="67">
        <v>1000</v>
      </c>
      <c r="E37" s="69"/>
      <c r="F37" s="103" t="str">
        <f>HYPERLINK("https://yt3.ggpht.com/ytc/AKedOLS7GQHvs1ULP6UHbvDorkDOHahVYScVrY04ccFlRic=s88-c-k-c0x00ffffff-no-rj")</f>
        <v>https://yt3.ggpht.com/ytc/AKedOLS7GQHvs1ULP6UHbvDorkDOHahVYScVrY04ccFlRic=s88-c-k-c0x00ffffff-no-rj</v>
      </c>
      <c r="G37" s="66"/>
      <c r="H37" s="70" t="s">
        <v>882</v>
      </c>
      <c r="I37" s="71"/>
      <c r="J37" s="71" t="s">
        <v>75</v>
      </c>
      <c r="K37" s="70" t="s">
        <v>882</v>
      </c>
      <c r="L37" s="74">
        <v>9999</v>
      </c>
      <c r="M37" s="75">
        <v>1845.051513671875</v>
      </c>
      <c r="N37" s="75">
        <v>6087.9541015625</v>
      </c>
      <c r="O37" s="76"/>
      <c r="P37" s="77"/>
      <c r="Q37" s="77"/>
      <c r="R37" s="89"/>
      <c r="S37" s="49">
        <v>69</v>
      </c>
      <c r="T37" s="49">
        <v>25</v>
      </c>
      <c r="U37" s="50">
        <v>13864.166667</v>
      </c>
      <c r="V37" s="50">
        <v>0.281597</v>
      </c>
      <c r="W37" s="50">
        <v>0.719264</v>
      </c>
      <c r="X37" s="50">
        <v>0.036599</v>
      </c>
      <c r="Y37" s="50">
        <v>0.00021949078138718174</v>
      </c>
      <c r="Z37" s="50">
        <v>0.35294117647058826</v>
      </c>
      <c r="AA37" s="72">
        <v>37</v>
      </c>
      <c r="AB37" s="72"/>
      <c r="AC37" s="73"/>
      <c r="AD37" s="80" t="s">
        <v>882</v>
      </c>
      <c r="AE37" s="80" t="s">
        <v>1299</v>
      </c>
      <c r="AF37" s="80"/>
      <c r="AG37" s="80"/>
      <c r="AH37" s="80"/>
      <c r="AI37" s="80" t="s">
        <v>1349</v>
      </c>
      <c r="AJ37" s="87">
        <v>40831.02506944445</v>
      </c>
      <c r="AK37" s="85" t="str">
        <f>HYPERLINK("https://yt3.ggpht.com/ytc/AKedOLS7GQHvs1ULP6UHbvDorkDOHahVYScVrY04ccFlRic=s88-c-k-c0x00ffffff-no-rj")</f>
        <v>https://yt3.ggpht.com/ytc/AKedOLS7GQHvs1ULP6UHbvDorkDOHahVYScVrY04ccFlRic=s88-c-k-c0x00ffffff-no-rj</v>
      </c>
      <c r="AL37" s="80">
        <v>1007946</v>
      </c>
      <c r="AM37" s="80">
        <v>0</v>
      </c>
      <c r="AN37" s="80">
        <v>8180</v>
      </c>
      <c r="AO37" s="80" t="b">
        <v>0</v>
      </c>
      <c r="AP37" s="80">
        <v>295</v>
      </c>
      <c r="AQ37" s="80"/>
      <c r="AR37" s="80"/>
      <c r="AS37" s="80" t="s">
        <v>1376</v>
      </c>
      <c r="AT37" s="85" t="str">
        <f>HYPERLINK("https://www.youtube.com/channel/UCerAw4EfTOnYYxLLPZAzMxQ")</f>
        <v>https://www.youtube.com/channel/UCerAw4EfTOnYYxLLPZAzMxQ</v>
      </c>
      <c r="AU37" s="80" t="str">
        <f>REPLACE(INDEX(GroupVertices[Group],MATCH(Vertices[[#This Row],[Vertex]],GroupVertices[Vertex],0)),1,1,"")</f>
        <v>1</v>
      </c>
      <c r="AV37" s="49">
        <v>67</v>
      </c>
      <c r="AW37" s="50">
        <v>2.662957074721781</v>
      </c>
      <c r="AX37" s="49">
        <v>27</v>
      </c>
      <c r="AY37" s="50">
        <v>1.0731319554848966</v>
      </c>
      <c r="AZ37" s="49">
        <v>0</v>
      </c>
      <c r="BA37" s="50">
        <v>0</v>
      </c>
      <c r="BB37" s="49">
        <v>2422</v>
      </c>
      <c r="BC37" s="50">
        <v>96.26391096979333</v>
      </c>
      <c r="BD37" s="49">
        <v>2516</v>
      </c>
      <c r="BE37" s="49" t="s">
        <v>2336</v>
      </c>
      <c r="BF37" s="49" t="s">
        <v>2342</v>
      </c>
      <c r="BG37" s="49" t="s">
        <v>2347</v>
      </c>
      <c r="BH37" s="49" t="s">
        <v>2352</v>
      </c>
      <c r="BI37" s="49"/>
      <c r="BJ37" s="49"/>
      <c r="BK37" s="111" t="s">
        <v>2380</v>
      </c>
      <c r="BL37" s="111" t="s">
        <v>2524</v>
      </c>
      <c r="BM37" s="111" t="s">
        <v>2571</v>
      </c>
      <c r="BN37" s="111" t="s">
        <v>2709</v>
      </c>
      <c r="BO37" s="2"/>
      <c r="BP37" s="3"/>
      <c r="BQ37" s="3"/>
      <c r="BR37" s="3"/>
      <c r="BS37" s="3"/>
    </row>
    <row r="38" spans="1:71" ht="15">
      <c r="A38" s="65" t="s">
        <v>366</v>
      </c>
      <c r="B38" s="66"/>
      <c r="C38" s="66"/>
      <c r="D38" s="67">
        <v>150</v>
      </c>
      <c r="E38" s="69"/>
      <c r="F38" s="103" t="str">
        <f>HYPERLINK("https://yt3.ggpht.com/ytc/AKedOLTJuIDGTAQ5uCUx9oMQE4_AhnbUpMjVIX2oUFF4iw=s88-c-k-c0x00ffffff-no-rj")</f>
        <v>https://yt3.ggpht.com/ytc/AKedOLTJuIDGTAQ5uCUx9oMQE4_AhnbUpMjVIX2oUFF4iw=s88-c-k-c0x00ffffff-no-rj</v>
      </c>
      <c r="G38" s="66"/>
      <c r="H38" s="70" t="s">
        <v>879</v>
      </c>
      <c r="I38" s="71"/>
      <c r="J38" s="71" t="s">
        <v>159</v>
      </c>
      <c r="K38" s="70" t="s">
        <v>879</v>
      </c>
      <c r="L38" s="74">
        <v>1</v>
      </c>
      <c r="M38" s="75">
        <v>8109.59228515625</v>
      </c>
      <c r="N38" s="75">
        <v>1838.051513671875</v>
      </c>
      <c r="O38" s="76"/>
      <c r="P38" s="77"/>
      <c r="Q38" s="77"/>
      <c r="R38" s="89"/>
      <c r="S38" s="49">
        <v>0</v>
      </c>
      <c r="T38" s="49">
        <v>1</v>
      </c>
      <c r="U38" s="50">
        <v>0</v>
      </c>
      <c r="V38" s="50">
        <v>0.143783</v>
      </c>
      <c r="W38" s="50">
        <v>0.00918</v>
      </c>
      <c r="X38" s="50">
        <v>0.004132</v>
      </c>
      <c r="Y38" s="50">
        <v>0</v>
      </c>
      <c r="Z38" s="50">
        <v>0</v>
      </c>
      <c r="AA38" s="72">
        <v>38</v>
      </c>
      <c r="AB38" s="72"/>
      <c r="AC38" s="73"/>
      <c r="AD38" s="80" t="s">
        <v>879</v>
      </c>
      <c r="AE38" s="80"/>
      <c r="AF38" s="80"/>
      <c r="AG38" s="80"/>
      <c r="AH38" s="80"/>
      <c r="AI38" s="80"/>
      <c r="AJ38" s="87">
        <v>41218.393483796295</v>
      </c>
      <c r="AK38" s="85" t="str">
        <f>HYPERLINK("https://yt3.ggpht.com/ytc/AKedOLTJuIDGTAQ5uCUx9oMQE4_AhnbUpMjVIX2oUFF4iw=s88-c-k-c0x00ffffff-no-rj")</f>
        <v>https://yt3.ggpht.com/ytc/AKedOLTJuIDGTAQ5uCUx9oMQE4_AhnbUpMjVIX2oUFF4iw=s88-c-k-c0x00ffffff-no-rj</v>
      </c>
      <c r="AL38" s="80">
        <v>0</v>
      </c>
      <c r="AM38" s="80">
        <v>0</v>
      </c>
      <c r="AN38" s="80">
        <v>1</v>
      </c>
      <c r="AO38" s="80" t="b">
        <v>0</v>
      </c>
      <c r="AP38" s="80">
        <v>0</v>
      </c>
      <c r="AQ38" s="80"/>
      <c r="AR38" s="80"/>
      <c r="AS38" s="80" t="s">
        <v>1376</v>
      </c>
      <c r="AT38" s="85" t="str">
        <f>HYPERLINK("https://www.youtube.com/channel/UCDmMHvluQEXqJgF4docP0yA")</f>
        <v>https://www.youtube.com/channel/UCDmMHvluQEXqJgF4docP0yA</v>
      </c>
      <c r="AU38" s="80" t="str">
        <f>REPLACE(INDEX(GroupVertices[Group],MATCH(Vertices[[#This Row],[Vertex]],GroupVertices[Vertex],0)),1,1,"")</f>
        <v>22</v>
      </c>
      <c r="AV38" s="49">
        <v>1</v>
      </c>
      <c r="AW38" s="50">
        <v>1.098901098901099</v>
      </c>
      <c r="AX38" s="49">
        <v>0</v>
      </c>
      <c r="AY38" s="50">
        <v>0</v>
      </c>
      <c r="AZ38" s="49">
        <v>0</v>
      </c>
      <c r="BA38" s="50">
        <v>0</v>
      </c>
      <c r="BB38" s="49">
        <v>90</v>
      </c>
      <c r="BC38" s="50">
        <v>98.9010989010989</v>
      </c>
      <c r="BD38" s="49">
        <v>91</v>
      </c>
      <c r="BE38" s="49" t="s">
        <v>2169</v>
      </c>
      <c r="BF38" s="49" t="s">
        <v>2169</v>
      </c>
      <c r="BG38" s="49" t="s">
        <v>2193</v>
      </c>
      <c r="BH38" s="49" t="s">
        <v>2193</v>
      </c>
      <c r="BI38" s="49"/>
      <c r="BJ38" s="49"/>
      <c r="BK38" s="111" t="s">
        <v>2381</v>
      </c>
      <c r="BL38" s="111" t="s">
        <v>2381</v>
      </c>
      <c r="BM38" s="111" t="s">
        <v>2572</v>
      </c>
      <c r="BN38" s="111" t="s">
        <v>2572</v>
      </c>
      <c r="BO38" s="2"/>
      <c r="BP38" s="3"/>
      <c r="BQ38" s="3"/>
      <c r="BR38" s="3"/>
      <c r="BS38" s="3"/>
    </row>
    <row r="39" spans="1:71" ht="15">
      <c r="A39" s="65" t="s">
        <v>367</v>
      </c>
      <c r="B39" s="66"/>
      <c r="C39" s="66"/>
      <c r="D39" s="67">
        <v>358.42911877394636</v>
      </c>
      <c r="E39" s="69"/>
      <c r="F39" s="103" t="str">
        <f>HYPERLINK("https://yt3.ggpht.com/ytc/AKedOLRvT067qrM4A8qvCkN4NaSfq_amVnmmTzodR0JJ7Q=s88-c-k-c0x00ffffff-no-rj")</f>
        <v>https://yt3.ggpht.com/ytc/AKedOLRvT067qrM4A8qvCkN4NaSfq_amVnmmTzodR0JJ7Q=s88-c-k-c0x00ffffff-no-rj</v>
      </c>
      <c r="G39" s="66"/>
      <c r="H39" s="70" t="s">
        <v>880</v>
      </c>
      <c r="I39" s="71"/>
      <c r="J39" s="71" t="s">
        <v>75</v>
      </c>
      <c r="K39" s="70" t="s">
        <v>880</v>
      </c>
      <c r="L39" s="74">
        <v>185.61174490149398</v>
      </c>
      <c r="M39" s="75">
        <v>8109.59228515625</v>
      </c>
      <c r="N39" s="75">
        <v>1396.9190673828125</v>
      </c>
      <c r="O39" s="76"/>
      <c r="P39" s="77"/>
      <c r="Q39" s="77"/>
      <c r="R39" s="89"/>
      <c r="S39" s="49">
        <v>1</v>
      </c>
      <c r="T39" s="49">
        <v>1</v>
      </c>
      <c r="U39" s="50">
        <v>256</v>
      </c>
      <c r="V39" s="50">
        <v>0.190852</v>
      </c>
      <c r="W39" s="50">
        <v>0.081776</v>
      </c>
      <c r="X39" s="50">
        <v>0.004494</v>
      </c>
      <c r="Y39" s="50">
        <v>0</v>
      </c>
      <c r="Z39" s="50">
        <v>0</v>
      </c>
      <c r="AA39" s="72">
        <v>39</v>
      </c>
      <c r="AB39" s="72"/>
      <c r="AC39" s="73"/>
      <c r="AD39" s="80" t="s">
        <v>880</v>
      </c>
      <c r="AE39" s="80"/>
      <c r="AF39" s="80"/>
      <c r="AG39" s="80"/>
      <c r="AH39" s="80"/>
      <c r="AI39" s="80"/>
      <c r="AJ39" s="87">
        <v>40750.518009259256</v>
      </c>
      <c r="AK39" s="85" t="str">
        <f>HYPERLINK("https://yt3.ggpht.com/ytc/AKedOLRvT067qrM4A8qvCkN4NaSfq_amVnmmTzodR0JJ7Q=s88-c-k-c0x00ffffff-no-rj")</f>
        <v>https://yt3.ggpht.com/ytc/AKedOLRvT067qrM4A8qvCkN4NaSfq_amVnmmTzodR0JJ7Q=s88-c-k-c0x00ffffff-no-rj</v>
      </c>
      <c r="AL39" s="80">
        <v>0</v>
      </c>
      <c r="AM39" s="80">
        <v>0</v>
      </c>
      <c r="AN39" s="80">
        <v>0</v>
      </c>
      <c r="AO39" s="80" t="b">
        <v>0</v>
      </c>
      <c r="AP39" s="80">
        <v>0</v>
      </c>
      <c r="AQ39" s="80"/>
      <c r="AR39" s="80"/>
      <c r="AS39" s="80" t="s">
        <v>1376</v>
      </c>
      <c r="AT39" s="85" t="str">
        <f>HYPERLINK("https://www.youtube.com/channel/UC5J008IAlx4366lCisVipIg")</f>
        <v>https://www.youtube.com/channel/UC5J008IAlx4366lCisVipIg</v>
      </c>
      <c r="AU39" s="80" t="str">
        <f>REPLACE(INDEX(GroupVertices[Group],MATCH(Vertices[[#This Row],[Vertex]],GroupVertices[Vertex],0)),1,1,"")</f>
        <v>22</v>
      </c>
      <c r="AV39" s="49">
        <v>1</v>
      </c>
      <c r="AW39" s="50">
        <v>50</v>
      </c>
      <c r="AX39" s="49">
        <v>0</v>
      </c>
      <c r="AY39" s="50">
        <v>0</v>
      </c>
      <c r="AZ39" s="49">
        <v>0</v>
      </c>
      <c r="BA39" s="50">
        <v>0</v>
      </c>
      <c r="BB39" s="49">
        <v>1</v>
      </c>
      <c r="BC39" s="50">
        <v>50</v>
      </c>
      <c r="BD39" s="49">
        <v>2</v>
      </c>
      <c r="BE39" s="49"/>
      <c r="BF39" s="49"/>
      <c r="BG39" s="49"/>
      <c r="BH39" s="49"/>
      <c r="BI39" s="49"/>
      <c r="BJ39" s="49"/>
      <c r="BK39" s="111" t="s">
        <v>2382</v>
      </c>
      <c r="BL39" s="111" t="s">
        <v>2382</v>
      </c>
      <c r="BM39" s="111" t="s">
        <v>2573</v>
      </c>
      <c r="BN39" s="111" t="s">
        <v>2573</v>
      </c>
      <c r="BO39" s="2"/>
      <c r="BP39" s="3"/>
      <c r="BQ39" s="3"/>
      <c r="BR39" s="3"/>
      <c r="BS39" s="3"/>
    </row>
    <row r="40" spans="1:71" ht="15">
      <c r="A40" s="65" t="s">
        <v>368</v>
      </c>
      <c r="B40" s="66"/>
      <c r="C40" s="66"/>
      <c r="D40" s="67">
        <v>150</v>
      </c>
      <c r="E40" s="69"/>
      <c r="F40" s="103" t="str">
        <f>HYPERLINK("https://yt3.ggpht.com/ytc/AKedOLRlneBUNa2nRoJsV2nHXRrpvOJAjz1gBsAv8tDYRwg=s88-c-k-c0x00ffffff-no-rj")</f>
        <v>https://yt3.ggpht.com/ytc/AKedOLRlneBUNa2nRoJsV2nHXRrpvOJAjz1gBsAv8tDYRwg=s88-c-k-c0x00ffffff-no-rj</v>
      </c>
      <c r="G40" s="66"/>
      <c r="H40" s="70" t="s">
        <v>881</v>
      </c>
      <c r="I40" s="71"/>
      <c r="J40" s="71" t="s">
        <v>159</v>
      </c>
      <c r="K40" s="70" t="s">
        <v>881</v>
      </c>
      <c r="L40" s="74">
        <v>1</v>
      </c>
      <c r="M40" s="75">
        <v>1320.171142578125</v>
      </c>
      <c r="N40" s="75">
        <v>8991.5185546875</v>
      </c>
      <c r="O40" s="76"/>
      <c r="P40" s="77"/>
      <c r="Q40" s="77"/>
      <c r="R40" s="89"/>
      <c r="S40" s="49">
        <v>0</v>
      </c>
      <c r="T40" s="49">
        <v>1</v>
      </c>
      <c r="U40" s="50">
        <v>0</v>
      </c>
      <c r="V40" s="50">
        <v>0.189881</v>
      </c>
      <c r="W40" s="50">
        <v>0.080745</v>
      </c>
      <c r="X40" s="50">
        <v>0.003874</v>
      </c>
      <c r="Y40" s="50">
        <v>0</v>
      </c>
      <c r="Z40" s="50">
        <v>0</v>
      </c>
      <c r="AA40" s="72">
        <v>40</v>
      </c>
      <c r="AB40" s="72"/>
      <c r="AC40" s="73"/>
      <c r="AD40" s="80" t="s">
        <v>881</v>
      </c>
      <c r="AE40" s="80"/>
      <c r="AF40" s="80"/>
      <c r="AG40" s="80"/>
      <c r="AH40" s="80"/>
      <c r="AI40" s="80"/>
      <c r="AJ40" s="87">
        <v>39362.3669212963</v>
      </c>
      <c r="AK40" s="85" t="str">
        <f>HYPERLINK("https://yt3.ggpht.com/ytc/AKedOLRlneBUNa2nRoJsV2nHXRrpvOJAjz1gBsAv8tDYRwg=s88-c-k-c0x00ffffff-no-rj")</f>
        <v>https://yt3.ggpht.com/ytc/AKedOLRlneBUNa2nRoJsV2nHXRrpvOJAjz1gBsAv8tDYRwg=s88-c-k-c0x00ffffff-no-rj</v>
      </c>
      <c r="AL40" s="80">
        <v>22</v>
      </c>
      <c r="AM40" s="80">
        <v>0</v>
      </c>
      <c r="AN40" s="80">
        <v>0</v>
      </c>
      <c r="AO40" s="80" t="b">
        <v>0</v>
      </c>
      <c r="AP40" s="80">
        <v>1</v>
      </c>
      <c r="AQ40" s="80"/>
      <c r="AR40" s="80"/>
      <c r="AS40" s="80" t="s">
        <v>1376</v>
      </c>
      <c r="AT40" s="85" t="str">
        <f>HYPERLINK("https://www.youtube.com/channel/UCPvgd5mNI79yGYL0hJAKReA")</f>
        <v>https://www.youtube.com/channel/UCPvgd5mNI79yGYL0hJAKReA</v>
      </c>
      <c r="AU40" s="80" t="str">
        <f>REPLACE(INDEX(GroupVertices[Group],MATCH(Vertices[[#This Row],[Vertex]],GroupVertices[Vertex],0)),1,1,"")</f>
        <v>1</v>
      </c>
      <c r="AV40" s="49">
        <v>2</v>
      </c>
      <c r="AW40" s="50">
        <v>8</v>
      </c>
      <c r="AX40" s="49">
        <v>0</v>
      </c>
      <c r="AY40" s="50">
        <v>0</v>
      </c>
      <c r="AZ40" s="49">
        <v>0</v>
      </c>
      <c r="BA40" s="50">
        <v>0</v>
      </c>
      <c r="BB40" s="49">
        <v>23</v>
      </c>
      <c r="BC40" s="50">
        <v>92</v>
      </c>
      <c r="BD40" s="49">
        <v>25</v>
      </c>
      <c r="BE40" s="49"/>
      <c r="BF40" s="49"/>
      <c r="BG40" s="49"/>
      <c r="BH40" s="49"/>
      <c r="BI40" s="49"/>
      <c r="BJ40" s="49"/>
      <c r="BK40" s="111" t="s">
        <v>2383</v>
      </c>
      <c r="BL40" s="111" t="s">
        <v>2383</v>
      </c>
      <c r="BM40" s="111" t="s">
        <v>2574</v>
      </c>
      <c r="BN40" s="111" t="s">
        <v>2574</v>
      </c>
      <c r="BO40" s="2"/>
      <c r="BP40" s="3"/>
      <c r="BQ40" s="3"/>
      <c r="BR40" s="3"/>
      <c r="BS40" s="3"/>
    </row>
    <row r="41" spans="1:71" ht="15">
      <c r="A41" s="65" t="s">
        <v>370</v>
      </c>
      <c r="B41" s="66"/>
      <c r="C41" s="66"/>
      <c r="D41" s="67">
        <v>150</v>
      </c>
      <c r="E41" s="69"/>
      <c r="F41" s="103" t="str">
        <f>HYPERLINK("https://yt3.ggpht.com/ytc/AKedOLQ6km972tS5ZmY7yWxARan4NIvLJNUm8o1_ZFpPgw=s88-c-k-c0x00ffffff-no-rj")</f>
        <v>https://yt3.ggpht.com/ytc/AKedOLQ6km972tS5ZmY7yWxARan4NIvLJNUm8o1_ZFpPgw=s88-c-k-c0x00ffffff-no-rj</v>
      </c>
      <c r="G41" s="66"/>
      <c r="H41" s="70" t="s">
        <v>883</v>
      </c>
      <c r="I41" s="71"/>
      <c r="J41" s="71" t="s">
        <v>159</v>
      </c>
      <c r="K41" s="70" t="s">
        <v>883</v>
      </c>
      <c r="L41" s="74">
        <v>1</v>
      </c>
      <c r="M41" s="75">
        <v>1809.454345703125</v>
      </c>
      <c r="N41" s="75">
        <v>2720.316162109375</v>
      </c>
      <c r="O41" s="76"/>
      <c r="P41" s="77"/>
      <c r="Q41" s="77"/>
      <c r="R41" s="89"/>
      <c r="S41" s="49">
        <v>2</v>
      </c>
      <c r="T41" s="49">
        <v>2</v>
      </c>
      <c r="U41" s="50">
        <v>0</v>
      </c>
      <c r="V41" s="50">
        <v>0.189881</v>
      </c>
      <c r="W41" s="50">
        <v>0.090956</v>
      </c>
      <c r="X41" s="50">
        <v>0.004188</v>
      </c>
      <c r="Y41" s="50">
        <v>0</v>
      </c>
      <c r="Z41" s="50">
        <v>1</v>
      </c>
      <c r="AA41" s="72">
        <v>41</v>
      </c>
      <c r="AB41" s="72"/>
      <c r="AC41" s="73"/>
      <c r="AD41" s="80" t="s">
        <v>883</v>
      </c>
      <c r="AE41" s="80"/>
      <c r="AF41" s="80"/>
      <c r="AG41" s="80"/>
      <c r="AH41" s="80"/>
      <c r="AI41" s="80" t="s">
        <v>1350</v>
      </c>
      <c r="AJ41" s="87">
        <v>40822.4497337963</v>
      </c>
      <c r="AK41" s="85" t="str">
        <f>HYPERLINK("https://yt3.ggpht.com/ytc/AKedOLQ6km972tS5ZmY7yWxARan4NIvLJNUm8o1_ZFpPgw=s88-c-k-c0x00ffffff-no-rj")</f>
        <v>https://yt3.ggpht.com/ytc/AKedOLQ6km972tS5ZmY7yWxARan4NIvLJNUm8o1_ZFpPgw=s88-c-k-c0x00ffffff-no-rj</v>
      </c>
      <c r="AL41" s="80">
        <v>234596</v>
      </c>
      <c r="AM41" s="80">
        <v>0</v>
      </c>
      <c r="AN41" s="80">
        <v>266</v>
      </c>
      <c r="AO41" s="80" t="b">
        <v>0</v>
      </c>
      <c r="AP41" s="80">
        <v>21</v>
      </c>
      <c r="AQ41" s="80"/>
      <c r="AR41" s="80"/>
      <c r="AS41" s="80" t="s">
        <v>1376</v>
      </c>
      <c r="AT41" s="85" t="str">
        <f>HYPERLINK("https://www.youtube.com/channel/UC8CPBnQ5vh85_8cwZ6gRFBQ")</f>
        <v>https://www.youtube.com/channel/UC8CPBnQ5vh85_8cwZ6gRFBQ</v>
      </c>
      <c r="AU41" s="80" t="str">
        <f>REPLACE(INDEX(GroupVertices[Group],MATCH(Vertices[[#This Row],[Vertex]],GroupVertices[Vertex],0)),1,1,"")</f>
        <v>1</v>
      </c>
      <c r="AV41" s="49">
        <v>7</v>
      </c>
      <c r="AW41" s="50">
        <v>6.481481481481482</v>
      </c>
      <c r="AX41" s="49">
        <v>0</v>
      </c>
      <c r="AY41" s="50">
        <v>0</v>
      </c>
      <c r="AZ41" s="49">
        <v>0</v>
      </c>
      <c r="BA41" s="50">
        <v>0</v>
      </c>
      <c r="BB41" s="49">
        <v>101</v>
      </c>
      <c r="BC41" s="50">
        <v>93.51851851851852</v>
      </c>
      <c r="BD41" s="49">
        <v>108</v>
      </c>
      <c r="BE41" s="49"/>
      <c r="BF41" s="49"/>
      <c r="BG41" s="49"/>
      <c r="BH41" s="49"/>
      <c r="BI41" s="49"/>
      <c r="BJ41" s="49"/>
      <c r="BK41" s="111" t="s">
        <v>2384</v>
      </c>
      <c r="BL41" s="111" t="s">
        <v>2525</v>
      </c>
      <c r="BM41" s="111" t="s">
        <v>2575</v>
      </c>
      <c r="BN41" s="111" t="s">
        <v>2710</v>
      </c>
      <c r="BO41" s="2"/>
      <c r="BP41" s="3"/>
      <c r="BQ41" s="3"/>
      <c r="BR41" s="3"/>
      <c r="BS41" s="3"/>
    </row>
    <row r="42" spans="1:71" ht="15">
      <c r="A42" s="65" t="s">
        <v>371</v>
      </c>
      <c r="B42" s="66"/>
      <c r="C42" s="66"/>
      <c r="D42" s="67">
        <v>743.5344827586207</v>
      </c>
      <c r="E42" s="69"/>
      <c r="F42" s="103" t="str">
        <f>HYPERLINK("https://yt3.ggpht.com/ytc/AKedOLTD2Ljj4fn362ggX35eVn6_kQflqe2r0xrXbw=s88-c-k-c0x00ffffff-no-rj")</f>
        <v>https://yt3.ggpht.com/ytc/AKedOLTD2Ljj4fn362ggX35eVn6_kQflqe2r0xrXbw=s88-c-k-c0x00ffffff-no-rj</v>
      </c>
      <c r="G42" s="66"/>
      <c r="H42" s="70" t="s">
        <v>884</v>
      </c>
      <c r="I42" s="71"/>
      <c r="J42" s="71" t="s">
        <v>75</v>
      </c>
      <c r="K42" s="70" t="s">
        <v>884</v>
      </c>
      <c r="L42" s="74">
        <v>526.710789192145</v>
      </c>
      <c r="M42" s="75">
        <v>4793.158203125</v>
      </c>
      <c r="N42" s="75">
        <v>2476.819580078125</v>
      </c>
      <c r="O42" s="76"/>
      <c r="P42" s="77"/>
      <c r="Q42" s="77"/>
      <c r="R42" s="89"/>
      <c r="S42" s="49">
        <v>0</v>
      </c>
      <c r="T42" s="49">
        <v>2</v>
      </c>
      <c r="U42" s="50">
        <v>729</v>
      </c>
      <c r="V42" s="50">
        <v>0.198996</v>
      </c>
      <c r="W42" s="50">
        <v>0.083758</v>
      </c>
      <c r="X42" s="50">
        <v>0.003997</v>
      </c>
      <c r="Y42" s="50">
        <v>0</v>
      </c>
      <c r="Z42" s="50">
        <v>0</v>
      </c>
      <c r="AA42" s="72">
        <v>42</v>
      </c>
      <c r="AB42" s="72"/>
      <c r="AC42" s="73"/>
      <c r="AD42" s="80" t="s">
        <v>884</v>
      </c>
      <c r="AE42" s="80"/>
      <c r="AF42" s="80"/>
      <c r="AG42" s="80"/>
      <c r="AH42" s="80"/>
      <c r="AI42" s="80"/>
      <c r="AJ42" s="87">
        <v>41839.86221064815</v>
      </c>
      <c r="AK42" s="85" t="str">
        <f>HYPERLINK("https://yt3.ggpht.com/ytc/AKedOLTD2Ljj4fn362ggX35eVn6_kQflqe2r0xrXbw=s88-c-k-c0x00ffffff-no-rj")</f>
        <v>https://yt3.ggpht.com/ytc/AKedOLTD2Ljj4fn362ggX35eVn6_kQflqe2r0xrXbw=s88-c-k-c0x00ffffff-no-rj</v>
      </c>
      <c r="AL42" s="80">
        <v>22</v>
      </c>
      <c r="AM42" s="80">
        <v>0</v>
      </c>
      <c r="AN42" s="80">
        <v>0</v>
      </c>
      <c r="AO42" s="80" t="b">
        <v>0</v>
      </c>
      <c r="AP42" s="80">
        <v>2</v>
      </c>
      <c r="AQ42" s="80"/>
      <c r="AR42" s="80"/>
      <c r="AS42" s="80" t="s">
        <v>1376</v>
      </c>
      <c r="AT42" s="85" t="str">
        <f>HYPERLINK("https://www.youtube.com/channel/UCqV3NeKeh8lNw8bLTheL24g")</f>
        <v>https://www.youtube.com/channel/UCqV3NeKeh8lNw8bLTheL24g</v>
      </c>
      <c r="AU42" s="80" t="str">
        <f>REPLACE(INDEX(GroupVertices[Group],MATCH(Vertices[[#This Row],[Vertex]],GroupVertices[Vertex],0)),1,1,"")</f>
        <v>9</v>
      </c>
      <c r="AV42" s="49">
        <v>4</v>
      </c>
      <c r="AW42" s="50">
        <v>3.7037037037037037</v>
      </c>
      <c r="AX42" s="49">
        <v>0</v>
      </c>
      <c r="AY42" s="50">
        <v>0</v>
      </c>
      <c r="AZ42" s="49">
        <v>0</v>
      </c>
      <c r="BA42" s="50">
        <v>0</v>
      </c>
      <c r="BB42" s="49">
        <v>104</v>
      </c>
      <c r="BC42" s="50">
        <v>96.29629629629629</v>
      </c>
      <c r="BD42" s="49">
        <v>108</v>
      </c>
      <c r="BE42" s="49"/>
      <c r="BF42" s="49"/>
      <c r="BG42" s="49"/>
      <c r="BH42" s="49"/>
      <c r="BI42" s="49"/>
      <c r="BJ42" s="49"/>
      <c r="BK42" s="111" t="s">
        <v>2385</v>
      </c>
      <c r="BL42" s="111" t="s">
        <v>2526</v>
      </c>
      <c r="BM42" s="111" t="s">
        <v>2326</v>
      </c>
      <c r="BN42" s="111" t="s">
        <v>2711</v>
      </c>
      <c r="BO42" s="2"/>
      <c r="BP42" s="3"/>
      <c r="BQ42" s="3"/>
      <c r="BR42" s="3"/>
      <c r="BS42" s="3"/>
    </row>
    <row r="43" spans="1:71" ht="15">
      <c r="A43" s="65" t="s">
        <v>372</v>
      </c>
      <c r="B43" s="66"/>
      <c r="C43" s="66"/>
      <c r="D43" s="67">
        <v>150</v>
      </c>
      <c r="E43" s="69"/>
      <c r="F43" s="103" t="str">
        <f>HYPERLINK("https://yt3.ggpht.com/ytc/AKedOLRzHGEvRe0-NHbpSWm59kRzIyg64ERgxG7MEQR6mg=s88-c-k-c0x00ffffff-no-rj")</f>
        <v>https://yt3.ggpht.com/ytc/AKedOLRzHGEvRe0-NHbpSWm59kRzIyg64ERgxG7MEQR6mg=s88-c-k-c0x00ffffff-no-rj</v>
      </c>
      <c r="G43" s="66"/>
      <c r="H43" s="70" t="s">
        <v>885</v>
      </c>
      <c r="I43" s="71"/>
      <c r="J43" s="71" t="s">
        <v>159</v>
      </c>
      <c r="K43" s="70" t="s">
        <v>885</v>
      </c>
      <c r="L43" s="74">
        <v>1</v>
      </c>
      <c r="M43" s="75">
        <v>937.9122314453125</v>
      </c>
      <c r="N43" s="75">
        <v>6085.73876953125</v>
      </c>
      <c r="O43" s="76"/>
      <c r="P43" s="77"/>
      <c r="Q43" s="77"/>
      <c r="R43" s="89"/>
      <c r="S43" s="49">
        <v>2</v>
      </c>
      <c r="T43" s="49">
        <v>2</v>
      </c>
      <c r="U43" s="50">
        <v>0</v>
      </c>
      <c r="V43" s="50">
        <v>0.189881</v>
      </c>
      <c r="W43" s="50">
        <v>0.090956</v>
      </c>
      <c r="X43" s="50">
        <v>0.004188</v>
      </c>
      <c r="Y43" s="50">
        <v>0</v>
      </c>
      <c r="Z43" s="50">
        <v>1</v>
      </c>
      <c r="AA43" s="72">
        <v>43</v>
      </c>
      <c r="AB43" s="72"/>
      <c r="AC43" s="73"/>
      <c r="AD43" s="80" t="s">
        <v>885</v>
      </c>
      <c r="AE43" s="80"/>
      <c r="AF43" s="80"/>
      <c r="AG43" s="80"/>
      <c r="AH43" s="80"/>
      <c r="AI43" s="80"/>
      <c r="AJ43" s="87">
        <v>41177.83542824074</v>
      </c>
      <c r="AK43" s="85" t="str">
        <f>HYPERLINK("https://yt3.ggpht.com/ytc/AKedOLRzHGEvRe0-NHbpSWm59kRzIyg64ERgxG7MEQR6mg=s88-c-k-c0x00ffffff-no-rj")</f>
        <v>https://yt3.ggpht.com/ytc/AKedOLRzHGEvRe0-NHbpSWm59kRzIyg64ERgxG7MEQR6mg=s88-c-k-c0x00ffffff-no-rj</v>
      </c>
      <c r="AL43" s="80">
        <v>0</v>
      </c>
      <c r="AM43" s="80">
        <v>0</v>
      </c>
      <c r="AN43" s="80">
        <v>0</v>
      </c>
      <c r="AO43" s="80" t="b">
        <v>0</v>
      </c>
      <c r="AP43" s="80">
        <v>0</v>
      </c>
      <c r="AQ43" s="80"/>
      <c r="AR43" s="80"/>
      <c r="AS43" s="80" t="s">
        <v>1376</v>
      </c>
      <c r="AT43" s="85" t="str">
        <f>HYPERLINK("https://www.youtube.com/channel/UCadohWhKjy8YKkiOeKLb_jA")</f>
        <v>https://www.youtube.com/channel/UCadohWhKjy8YKkiOeKLb_jA</v>
      </c>
      <c r="AU43" s="80" t="str">
        <f>REPLACE(INDEX(GroupVertices[Group],MATCH(Vertices[[#This Row],[Vertex]],GroupVertices[Vertex],0)),1,1,"")</f>
        <v>1</v>
      </c>
      <c r="AV43" s="49">
        <v>2</v>
      </c>
      <c r="AW43" s="50">
        <v>1.3513513513513513</v>
      </c>
      <c r="AX43" s="49">
        <v>1</v>
      </c>
      <c r="AY43" s="50">
        <v>0.6756756756756757</v>
      </c>
      <c r="AZ43" s="49">
        <v>0</v>
      </c>
      <c r="BA43" s="50">
        <v>0</v>
      </c>
      <c r="BB43" s="49">
        <v>145</v>
      </c>
      <c r="BC43" s="50">
        <v>97.97297297297297</v>
      </c>
      <c r="BD43" s="49">
        <v>148</v>
      </c>
      <c r="BE43" s="49"/>
      <c r="BF43" s="49"/>
      <c r="BG43" s="49"/>
      <c r="BH43" s="49"/>
      <c r="BI43" s="49"/>
      <c r="BJ43" s="49"/>
      <c r="BK43" s="111" t="s">
        <v>2386</v>
      </c>
      <c r="BL43" s="111" t="s">
        <v>2527</v>
      </c>
      <c r="BM43" s="111" t="s">
        <v>2576</v>
      </c>
      <c r="BN43" s="111" t="s">
        <v>2712</v>
      </c>
      <c r="BO43" s="2"/>
      <c r="BP43" s="3"/>
      <c r="BQ43" s="3"/>
      <c r="BR43" s="3"/>
      <c r="BS43" s="3"/>
    </row>
    <row r="44" spans="1:71" ht="15">
      <c r="A44" s="65" t="s">
        <v>373</v>
      </c>
      <c r="B44" s="66"/>
      <c r="C44" s="66"/>
      <c r="D44" s="67">
        <v>150</v>
      </c>
      <c r="E44" s="69"/>
      <c r="F44" s="103" t="str">
        <f>HYPERLINK("https://yt3.ggpht.com/h5wBC4cK12PyHqwP7V01QGf7x-Vy74EoDGY6mk26Im6eyzhQFrWWSdfA-0ic7F01lG3g0Z0EHRM=s88-c-k-c0x00ffffff-no-rj")</f>
        <v>https://yt3.ggpht.com/h5wBC4cK12PyHqwP7V01QGf7x-Vy74EoDGY6mk26Im6eyzhQFrWWSdfA-0ic7F01lG3g0Z0EHRM=s88-c-k-c0x00ffffff-no-rj</v>
      </c>
      <c r="G44" s="66"/>
      <c r="H44" s="70" t="s">
        <v>886</v>
      </c>
      <c r="I44" s="71"/>
      <c r="J44" s="71" t="s">
        <v>159</v>
      </c>
      <c r="K44" s="70" t="s">
        <v>886</v>
      </c>
      <c r="L44" s="74">
        <v>1</v>
      </c>
      <c r="M44" s="75">
        <v>7661.123046875</v>
      </c>
      <c r="N44" s="75">
        <v>4267.95556640625</v>
      </c>
      <c r="O44" s="76"/>
      <c r="P44" s="77"/>
      <c r="Q44" s="77"/>
      <c r="R44" s="89"/>
      <c r="S44" s="49">
        <v>0</v>
      </c>
      <c r="T44" s="49">
        <v>1</v>
      </c>
      <c r="U44" s="50">
        <v>0</v>
      </c>
      <c r="V44" s="50">
        <v>0.008072</v>
      </c>
      <c r="W44" s="50">
        <v>0</v>
      </c>
      <c r="X44" s="50">
        <v>0.004013</v>
      </c>
      <c r="Y44" s="50">
        <v>0</v>
      </c>
      <c r="Z44" s="50">
        <v>0</v>
      </c>
      <c r="AA44" s="72">
        <v>44</v>
      </c>
      <c r="AB44" s="72"/>
      <c r="AC44" s="73"/>
      <c r="AD44" s="80" t="s">
        <v>886</v>
      </c>
      <c r="AE44" s="80" t="s">
        <v>1300</v>
      </c>
      <c r="AF44" s="80"/>
      <c r="AG44" s="80"/>
      <c r="AH44" s="80"/>
      <c r="AI44" s="80"/>
      <c r="AJ44" s="87">
        <v>40869.64363425926</v>
      </c>
      <c r="AK44" s="85" t="str">
        <f>HYPERLINK("https://yt3.ggpht.com/h5wBC4cK12PyHqwP7V01QGf7x-Vy74EoDGY6mk26Im6eyzhQFrWWSdfA-0ic7F01lG3g0Z0EHRM=s88-c-k-c0x00ffffff-no-rj")</f>
        <v>https://yt3.ggpht.com/h5wBC4cK12PyHqwP7V01QGf7x-Vy74EoDGY6mk26Im6eyzhQFrWWSdfA-0ic7F01lG3g0Z0EHRM=s88-c-k-c0x00ffffff-no-rj</v>
      </c>
      <c r="AL44" s="80">
        <v>9593</v>
      </c>
      <c r="AM44" s="80">
        <v>0</v>
      </c>
      <c r="AN44" s="80">
        <v>103</v>
      </c>
      <c r="AO44" s="80" t="b">
        <v>0</v>
      </c>
      <c r="AP44" s="80">
        <v>57</v>
      </c>
      <c r="AQ44" s="80"/>
      <c r="AR44" s="80"/>
      <c r="AS44" s="80" t="s">
        <v>1376</v>
      </c>
      <c r="AT44" s="85" t="str">
        <f>HYPERLINK("https://www.youtube.com/channel/UCRplO5uLNC-QOf4ZxjI6OaA")</f>
        <v>https://www.youtube.com/channel/UCRplO5uLNC-QOf4ZxjI6OaA</v>
      </c>
      <c r="AU44" s="80" t="str">
        <f>REPLACE(INDEX(GroupVertices[Group],MATCH(Vertices[[#This Row],[Vertex]],GroupVertices[Vertex],0)),1,1,"")</f>
        <v>13</v>
      </c>
      <c r="AV44" s="49">
        <v>0</v>
      </c>
      <c r="AW44" s="50">
        <v>0</v>
      </c>
      <c r="AX44" s="49">
        <v>0</v>
      </c>
      <c r="AY44" s="50">
        <v>0</v>
      </c>
      <c r="AZ44" s="49">
        <v>0</v>
      </c>
      <c r="BA44" s="50">
        <v>0</v>
      </c>
      <c r="BB44" s="49">
        <v>7</v>
      </c>
      <c r="BC44" s="50">
        <v>100</v>
      </c>
      <c r="BD44" s="49">
        <v>7</v>
      </c>
      <c r="BE44" s="49"/>
      <c r="BF44" s="49"/>
      <c r="BG44" s="49"/>
      <c r="BH44" s="49"/>
      <c r="BI44" s="49"/>
      <c r="BJ44" s="49"/>
      <c r="BK44" s="111" t="s">
        <v>2387</v>
      </c>
      <c r="BL44" s="111" t="s">
        <v>2387</v>
      </c>
      <c r="BM44" s="111" t="s">
        <v>2577</v>
      </c>
      <c r="BN44" s="111" t="s">
        <v>2577</v>
      </c>
      <c r="BO44" s="2"/>
      <c r="BP44" s="3"/>
      <c r="BQ44" s="3"/>
      <c r="BR44" s="3"/>
      <c r="BS44" s="3"/>
    </row>
    <row r="45" spans="1:71" ht="15">
      <c r="A45" s="65" t="s">
        <v>536</v>
      </c>
      <c r="B45" s="66"/>
      <c r="C45" s="66"/>
      <c r="D45" s="67">
        <v>154.88505747126436</v>
      </c>
      <c r="E45" s="69"/>
      <c r="F45" s="103" t="str">
        <f>HYPERLINK("https://yt3.ggpht.com/ytc/AKedOLQoDDLlg87bmVM4T2Ru2jhbVswTOmgHyrlTTQs_xw=s88-c-k-c0x00ffffff-no-rj")</f>
        <v>https://yt3.ggpht.com/ytc/AKedOLQoDDLlg87bmVM4T2Ru2jhbVswTOmgHyrlTTQs_xw=s88-c-k-c0x00ffffff-no-rj</v>
      </c>
      <c r="G45" s="66"/>
      <c r="H45" s="70" t="s">
        <v>1258</v>
      </c>
      <c r="I45" s="71"/>
      <c r="J45" s="71" t="s">
        <v>75</v>
      </c>
      <c r="K45" s="70" t="s">
        <v>1258</v>
      </c>
      <c r="L45" s="74">
        <v>5.3268377711287656</v>
      </c>
      <c r="M45" s="75">
        <v>7661.123046875</v>
      </c>
      <c r="N45" s="75">
        <v>3569.495849609375</v>
      </c>
      <c r="O45" s="76"/>
      <c r="P45" s="77"/>
      <c r="Q45" s="77"/>
      <c r="R45" s="89"/>
      <c r="S45" s="49">
        <v>4</v>
      </c>
      <c r="T45" s="49">
        <v>1</v>
      </c>
      <c r="U45" s="50">
        <v>6</v>
      </c>
      <c r="V45" s="50">
        <v>0.013453</v>
      </c>
      <c r="W45" s="50">
        <v>0</v>
      </c>
      <c r="X45" s="50">
        <v>0.005819</v>
      </c>
      <c r="Y45" s="50">
        <v>0</v>
      </c>
      <c r="Z45" s="50">
        <v>0</v>
      </c>
      <c r="AA45" s="72">
        <v>45</v>
      </c>
      <c r="AB45" s="72"/>
      <c r="AC45" s="73"/>
      <c r="AD45" s="80" t="s">
        <v>1258</v>
      </c>
      <c r="AE45" s="80" t="s">
        <v>1301</v>
      </c>
      <c r="AF45" s="80"/>
      <c r="AG45" s="80"/>
      <c r="AH45" s="80"/>
      <c r="AI45" s="80"/>
      <c r="AJ45" s="87">
        <v>41756.06150462963</v>
      </c>
      <c r="AK45" s="85" t="str">
        <f>HYPERLINK("https://yt3.ggpht.com/ytc/AKedOLQoDDLlg87bmVM4T2Ru2jhbVswTOmgHyrlTTQs_xw=s88-c-k-c0x00ffffff-no-rj")</f>
        <v>https://yt3.ggpht.com/ytc/AKedOLQoDDLlg87bmVM4T2Ru2jhbVswTOmgHyrlTTQs_xw=s88-c-k-c0x00ffffff-no-rj</v>
      </c>
      <c r="AL45" s="80">
        <v>10370</v>
      </c>
      <c r="AM45" s="80">
        <v>0</v>
      </c>
      <c r="AN45" s="80">
        <v>81</v>
      </c>
      <c r="AO45" s="80" t="b">
        <v>0</v>
      </c>
      <c r="AP45" s="80">
        <v>114</v>
      </c>
      <c r="AQ45" s="80"/>
      <c r="AR45" s="80"/>
      <c r="AS45" s="80" t="s">
        <v>1376</v>
      </c>
      <c r="AT45" s="85" t="str">
        <f>HYPERLINK("https://www.youtube.com/channel/UCudmJpNyT3lLYSTkmkhDm8w")</f>
        <v>https://www.youtube.com/channel/UCudmJpNyT3lLYSTkmkhDm8w</v>
      </c>
      <c r="AU45" s="80" t="str">
        <f>REPLACE(INDEX(GroupVertices[Group],MATCH(Vertices[[#This Row],[Vertex]],GroupVertices[Vertex],0)),1,1,"")</f>
        <v>13</v>
      </c>
      <c r="AV45" s="49"/>
      <c r="AW45" s="50"/>
      <c r="AX45" s="49"/>
      <c r="AY45" s="50"/>
      <c r="AZ45" s="49"/>
      <c r="BA45" s="50"/>
      <c r="BB45" s="49"/>
      <c r="BC45" s="50"/>
      <c r="BD45" s="49"/>
      <c r="BE45" s="49"/>
      <c r="BF45" s="49"/>
      <c r="BG45" s="49"/>
      <c r="BH45" s="49"/>
      <c r="BI45" s="49"/>
      <c r="BJ45" s="49"/>
      <c r="BK45" s="111" t="s">
        <v>1239</v>
      </c>
      <c r="BL45" s="111" t="s">
        <v>1239</v>
      </c>
      <c r="BM45" s="111" t="s">
        <v>1239</v>
      </c>
      <c r="BN45" s="111" t="s">
        <v>1239</v>
      </c>
      <c r="BO45" s="2"/>
      <c r="BP45" s="3"/>
      <c r="BQ45" s="3"/>
      <c r="BR45" s="3"/>
      <c r="BS45" s="3"/>
    </row>
    <row r="46" spans="1:71" ht="15">
      <c r="A46" s="65" t="s">
        <v>374</v>
      </c>
      <c r="B46" s="66"/>
      <c r="C46" s="66"/>
      <c r="D46" s="67">
        <v>150</v>
      </c>
      <c r="E46" s="69"/>
      <c r="F46" s="103" t="str">
        <f>HYPERLINK("https://yt3.ggpht.com/ytc/AKedOLRnFxv-MzYfQSIkjMBVMjV9GDFjl4AeTrD2aYVB=s88-c-k-c0x00ffffff-no-rj")</f>
        <v>https://yt3.ggpht.com/ytc/AKedOLRnFxv-MzYfQSIkjMBVMjV9GDFjl4AeTrD2aYVB=s88-c-k-c0x00ffffff-no-rj</v>
      </c>
      <c r="G46" s="66"/>
      <c r="H46" s="70" t="s">
        <v>887</v>
      </c>
      <c r="I46" s="71"/>
      <c r="J46" s="71" t="s">
        <v>159</v>
      </c>
      <c r="K46" s="70" t="s">
        <v>887</v>
      </c>
      <c r="L46" s="74">
        <v>1</v>
      </c>
      <c r="M46" s="75">
        <v>7146.31298828125</v>
      </c>
      <c r="N46" s="75">
        <v>4267.95556640625</v>
      </c>
      <c r="O46" s="76"/>
      <c r="P46" s="77"/>
      <c r="Q46" s="77"/>
      <c r="R46" s="89"/>
      <c r="S46" s="49">
        <v>0</v>
      </c>
      <c r="T46" s="49">
        <v>1</v>
      </c>
      <c r="U46" s="50">
        <v>0</v>
      </c>
      <c r="V46" s="50">
        <v>0.008072</v>
      </c>
      <c r="W46" s="50">
        <v>0</v>
      </c>
      <c r="X46" s="50">
        <v>0.004013</v>
      </c>
      <c r="Y46" s="50">
        <v>0</v>
      </c>
      <c r="Z46" s="50">
        <v>0</v>
      </c>
      <c r="AA46" s="72">
        <v>46</v>
      </c>
      <c r="AB46" s="72"/>
      <c r="AC46" s="73"/>
      <c r="AD46" s="80" t="s">
        <v>887</v>
      </c>
      <c r="AE46" s="80" t="s">
        <v>1302</v>
      </c>
      <c r="AF46" s="80"/>
      <c r="AG46" s="80"/>
      <c r="AH46" s="80"/>
      <c r="AI46" s="80"/>
      <c r="AJ46" s="87">
        <v>43006.404074074075</v>
      </c>
      <c r="AK46" s="85" t="str">
        <f>HYPERLINK("https://yt3.ggpht.com/ytc/AKedOLRnFxv-MzYfQSIkjMBVMjV9GDFjl4AeTrD2aYVB=s88-c-k-c0x00ffffff-no-rj")</f>
        <v>https://yt3.ggpht.com/ytc/AKedOLRnFxv-MzYfQSIkjMBVMjV9GDFjl4AeTrD2aYVB=s88-c-k-c0x00ffffff-no-rj</v>
      </c>
      <c r="AL46" s="80">
        <v>17039</v>
      </c>
      <c r="AM46" s="80">
        <v>0</v>
      </c>
      <c r="AN46" s="80">
        <v>98</v>
      </c>
      <c r="AO46" s="80" t="b">
        <v>0</v>
      </c>
      <c r="AP46" s="80">
        <v>35</v>
      </c>
      <c r="AQ46" s="80"/>
      <c r="AR46" s="80"/>
      <c r="AS46" s="80" t="s">
        <v>1376</v>
      </c>
      <c r="AT46" s="85" t="str">
        <f>HYPERLINK("https://www.youtube.com/channel/UCRwYXX2La_JD4KoA6hZqIYw")</f>
        <v>https://www.youtube.com/channel/UCRwYXX2La_JD4KoA6hZqIYw</v>
      </c>
      <c r="AU46" s="80" t="str">
        <f>REPLACE(INDEX(GroupVertices[Group],MATCH(Vertices[[#This Row],[Vertex]],GroupVertices[Vertex],0)),1,1,"")</f>
        <v>13</v>
      </c>
      <c r="AV46" s="49">
        <v>0</v>
      </c>
      <c r="AW46" s="50">
        <v>0</v>
      </c>
      <c r="AX46" s="49">
        <v>0</v>
      </c>
      <c r="AY46" s="50">
        <v>0</v>
      </c>
      <c r="AZ46" s="49">
        <v>0</v>
      </c>
      <c r="BA46" s="50">
        <v>0</v>
      </c>
      <c r="BB46" s="49">
        <v>2</v>
      </c>
      <c r="BC46" s="50">
        <v>100</v>
      </c>
      <c r="BD46" s="49">
        <v>2</v>
      </c>
      <c r="BE46" s="49"/>
      <c r="BF46" s="49"/>
      <c r="BG46" s="49"/>
      <c r="BH46" s="49"/>
      <c r="BI46" s="49"/>
      <c r="BJ46" s="49"/>
      <c r="BK46" s="111" t="s">
        <v>2388</v>
      </c>
      <c r="BL46" s="111" t="s">
        <v>2388</v>
      </c>
      <c r="BM46" s="111" t="s">
        <v>2578</v>
      </c>
      <c r="BN46" s="111" t="s">
        <v>2578</v>
      </c>
      <c r="BO46" s="2"/>
      <c r="BP46" s="3"/>
      <c r="BQ46" s="3"/>
      <c r="BR46" s="3"/>
      <c r="BS46" s="3"/>
    </row>
    <row r="47" spans="1:71" ht="15">
      <c r="A47" s="65" t="s">
        <v>375</v>
      </c>
      <c r="B47" s="66"/>
      <c r="C47" s="66"/>
      <c r="D47" s="67">
        <v>150</v>
      </c>
      <c r="E47" s="69"/>
      <c r="F47" s="103" t="str">
        <f>HYPERLINK("https://yt3.ggpht.com/ytc/AKedOLToc-OjnToXStQAPYb_7n-Wc4cq7BfS4fdBb0SQsg=s88-c-k-c0x00ffffff-no-rj")</f>
        <v>https://yt3.ggpht.com/ytc/AKedOLToc-OjnToXStQAPYb_7n-Wc4cq7BfS4fdBb0SQsg=s88-c-k-c0x00ffffff-no-rj</v>
      </c>
      <c r="G47" s="66"/>
      <c r="H47" s="70" t="s">
        <v>888</v>
      </c>
      <c r="I47" s="71"/>
      <c r="J47" s="71" t="s">
        <v>159</v>
      </c>
      <c r="K47" s="70" t="s">
        <v>888</v>
      </c>
      <c r="L47" s="74">
        <v>1</v>
      </c>
      <c r="M47" s="75">
        <v>7146.31298828125</v>
      </c>
      <c r="N47" s="75">
        <v>3569.495849609375</v>
      </c>
      <c r="O47" s="76"/>
      <c r="P47" s="77"/>
      <c r="Q47" s="77"/>
      <c r="R47" s="89"/>
      <c r="S47" s="49">
        <v>0</v>
      </c>
      <c r="T47" s="49">
        <v>1</v>
      </c>
      <c r="U47" s="50">
        <v>0</v>
      </c>
      <c r="V47" s="50">
        <v>0.008072</v>
      </c>
      <c r="W47" s="50">
        <v>0</v>
      </c>
      <c r="X47" s="50">
        <v>0.004013</v>
      </c>
      <c r="Y47" s="50">
        <v>0</v>
      </c>
      <c r="Z47" s="50">
        <v>0</v>
      </c>
      <c r="AA47" s="72">
        <v>47</v>
      </c>
      <c r="AB47" s="72"/>
      <c r="AC47" s="73"/>
      <c r="AD47" s="80" t="s">
        <v>888</v>
      </c>
      <c r="AE47" s="80"/>
      <c r="AF47" s="80"/>
      <c r="AG47" s="80"/>
      <c r="AH47" s="80"/>
      <c r="AI47" s="80"/>
      <c r="AJ47" s="87">
        <v>42313.241736111115</v>
      </c>
      <c r="AK47" s="85" t="str">
        <f>HYPERLINK("https://yt3.ggpht.com/ytc/AKedOLToc-OjnToXStQAPYb_7n-Wc4cq7BfS4fdBb0SQsg=s88-c-k-c0x00ffffff-no-rj")</f>
        <v>https://yt3.ggpht.com/ytc/AKedOLToc-OjnToXStQAPYb_7n-Wc4cq7BfS4fdBb0SQsg=s88-c-k-c0x00ffffff-no-rj</v>
      </c>
      <c r="AL47" s="80">
        <v>254</v>
      </c>
      <c r="AM47" s="80">
        <v>0</v>
      </c>
      <c r="AN47" s="80">
        <v>1</v>
      </c>
      <c r="AO47" s="80" t="b">
        <v>0</v>
      </c>
      <c r="AP47" s="80">
        <v>6</v>
      </c>
      <c r="AQ47" s="80"/>
      <c r="AR47" s="80"/>
      <c r="AS47" s="80" t="s">
        <v>1376</v>
      </c>
      <c r="AT47" s="85" t="str">
        <f>HYPERLINK("https://www.youtube.com/channel/UCOosNpm4X6UrnhAUxCEKY8A")</f>
        <v>https://www.youtube.com/channel/UCOosNpm4X6UrnhAUxCEKY8A</v>
      </c>
      <c r="AU47" s="80" t="str">
        <f>REPLACE(INDEX(GroupVertices[Group],MATCH(Vertices[[#This Row],[Vertex]],GroupVertices[Vertex],0)),1,1,"")</f>
        <v>13</v>
      </c>
      <c r="AV47" s="49">
        <v>0</v>
      </c>
      <c r="AW47" s="50">
        <v>0</v>
      </c>
      <c r="AX47" s="49">
        <v>0</v>
      </c>
      <c r="AY47" s="50">
        <v>0</v>
      </c>
      <c r="AZ47" s="49">
        <v>0</v>
      </c>
      <c r="BA47" s="50">
        <v>0</v>
      </c>
      <c r="BB47" s="49">
        <v>9</v>
      </c>
      <c r="BC47" s="50">
        <v>100</v>
      </c>
      <c r="BD47" s="49">
        <v>9</v>
      </c>
      <c r="BE47" s="49"/>
      <c r="BF47" s="49"/>
      <c r="BG47" s="49"/>
      <c r="BH47" s="49"/>
      <c r="BI47" s="49"/>
      <c r="BJ47" s="49"/>
      <c r="BK47" s="111" t="s">
        <v>2389</v>
      </c>
      <c r="BL47" s="111" t="s">
        <v>2389</v>
      </c>
      <c r="BM47" s="111" t="s">
        <v>2579</v>
      </c>
      <c r="BN47" s="111" t="s">
        <v>2579</v>
      </c>
      <c r="BO47" s="2"/>
      <c r="BP47" s="3"/>
      <c r="BQ47" s="3"/>
      <c r="BR47" s="3"/>
      <c r="BS47" s="3"/>
    </row>
    <row r="48" spans="1:71" ht="15">
      <c r="A48" s="65" t="s">
        <v>376</v>
      </c>
      <c r="B48" s="66"/>
      <c r="C48" s="66"/>
      <c r="D48" s="67">
        <v>150</v>
      </c>
      <c r="E48" s="69"/>
      <c r="F48" s="103" t="str">
        <f>HYPERLINK("https://yt3.ggpht.com/ytc/AKedOLRDL2ioUOUXPFUCKnHJRFD2x8thiQMqG8OXwqa_0zY=s88-c-k-c0x00ffffff-no-rj")</f>
        <v>https://yt3.ggpht.com/ytc/AKedOLRDL2ioUOUXPFUCKnHJRFD2x8thiQMqG8OXwqa_0zY=s88-c-k-c0x00ffffff-no-rj</v>
      </c>
      <c r="G48" s="66"/>
      <c r="H48" s="70" t="s">
        <v>889</v>
      </c>
      <c r="I48" s="71"/>
      <c r="J48" s="71" t="s">
        <v>159</v>
      </c>
      <c r="K48" s="70" t="s">
        <v>889</v>
      </c>
      <c r="L48" s="74">
        <v>1</v>
      </c>
      <c r="M48" s="75">
        <v>2127.94873046875</v>
      </c>
      <c r="N48" s="75">
        <v>6847.529296875</v>
      </c>
      <c r="O48" s="76"/>
      <c r="P48" s="77"/>
      <c r="Q48" s="77"/>
      <c r="R48" s="89"/>
      <c r="S48" s="49">
        <v>0</v>
      </c>
      <c r="T48" s="49">
        <v>1</v>
      </c>
      <c r="U48" s="50">
        <v>0</v>
      </c>
      <c r="V48" s="50">
        <v>0.189881</v>
      </c>
      <c r="W48" s="50">
        <v>0.080745</v>
      </c>
      <c r="X48" s="50">
        <v>0.003874</v>
      </c>
      <c r="Y48" s="50">
        <v>0</v>
      </c>
      <c r="Z48" s="50">
        <v>0</v>
      </c>
      <c r="AA48" s="72">
        <v>48</v>
      </c>
      <c r="AB48" s="72"/>
      <c r="AC48" s="73"/>
      <c r="AD48" s="80" t="s">
        <v>889</v>
      </c>
      <c r="AE48" s="80"/>
      <c r="AF48" s="80"/>
      <c r="AG48" s="80"/>
      <c r="AH48" s="80"/>
      <c r="AI48" s="80"/>
      <c r="AJ48" s="87">
        <v>42271.962592592594</v>
      </c>
      <c r="AK48" s="85" t="str">
        <f>HYPERLINK("https://yt3.ggpht.com/ytc/AKedOLRDL2ioUOUXPFUCKnHJRFD2x8thiQMqG8OXwqa_0zY=s88-c-k-c0x00ffffff-no-rj")</f>
        <v>https://yt3.ggpht.com/ytc/AKedOLRDL2ioUOUXPFUCKnHJRFD2x8thiQMqG8OXwqa_0zY=s88-c-k-c0x00ffffff-no-rj</v>
      </c>
      <c r="AL48" s="80">
        <v>0</v>
      </c>
      <c r="AM48" s="80">
        <v>0</v>
      </c>
      <c r="AN48" s="80">
        <v>0</v>
      </c>
      <c r="AO48" s="80" t="b">
        <v>0</v>
      </c>
      <c r="AP48" s="80">
        <v>0</v>
      </c>
      <c r="AQ48" s="80"/>
      <c r="AR48" s="80"/>
      <c r="AS48" s="80" t="s">
        <v>1376</v>
      </c>
      <c r="AT48" s="85" t="str">
        <f>HYPERLINK("https://www.youtube.com/channel/UCLIhyce5kxvdas1PvQVkSkg")</f>
        <v>https://www.youtube.com/channel/UCLIhyce5kxvdas1PvQVkSkg</v>
      </c>
      <c r="AU48" s="80" t="str">
        <f>REPLACE(INDEX(GroupVertices[Group],MATCH(Vertices[[#This Row],[Vertex]],GroupVertices[Vertex],0)),1,1,"")</f>
        <v>1</v>
      </c>
      <c r="AV48" s="49">
        <v>3</v>
      </c>
      <c r="AW48" s="50">
        <v>4.054054054054054</v>
      </c>
      <c r="AX48" s="49">
        <v>1</v>
      </c>
      <c r="AY48" s="50">
        <v>1.3513513513513513</v>
      </c>
      <c r="AZ48" s="49">
        <v>0</v>
      </c>
      <c r="BA48" s="50">
        <v>0</v>
      </c>
      <c r="BB48" s="49">
        <v>70</v>
      </c>
      <c r="BC48" s="50">
        <v>94.5945945945946</v>
      </c>
      <c r="BD48" s="49">
        <v>74</v>
      </c>
      <c r="BE48" s="49"/>
      <c r="BF48" s="49"/>
      <c r="BG48" s="49"/>
      <c r="BH48" s="49"/>
      <c r="BI48" s="49"/>
      <c r="BJ48" s="49"/>
      <c r="BK48" s="111" t="s">
        <v>2390</v>
      </c>
      <c r="BL48" s="111" t="s">
        <v>2390</v>
      </c>
      <c r="BM48" s="111" t="s">
        <v>2580</v>
      </c>
      <c r="BN48" s="111" t="s">
        <v>2580</v>
      </c>
      <c r="BO48" s="2"/>
      <c r="BP48" s="3"/>
      <c r="BQ48" s="3"/>
      <c r="BR48" s="3"/>
      <c r="BS48" s="3"/>
    </row>
    <row r="49" spans="1:71" ht="15">
      <c r="A49" s="65" t="s">
        <v>377</v>
      </c>
      <c r="B49" s="66"/>
      <c r="C49" s="66"/>
      <c r="D49" s="67">
        <v>150</v>
      </c>
      <c r="E49" s="69"/>
      <c r="F49" s="103" t="str">
        <f>HYPERLINK("https://yt3.ggpht.com/ytc/AKedOLQ-R0ru0BV1T2oRXnXZf3AOTqHki3D5RgCjZEKskKM=s88-c-k-c0x00ffffff-no-rj")</f>
        <v>https://yt3.ggpht.com/ytc/AKedOLQ-R0ru0BV1T2oRXnXZf3AOTqHki3D5RgCjZEKskKM=s88-c-k-c0x00ffffff-no-rj</v>
      </c>
      <c r="G49" s="66"/>
      <c r="H49" s="70" t="s">
        <v>890</v>
      </c>
      <c r="I49" s="71"/>
      <c r="J49" s="71" t="s">
        <v>159</v>
      </c>
      <c r="K49" s="70" t="s">
        <v>890</v>
      </c>
      <c r="L49" s="74">
        <v>1</v>
      </c>
      <c r="M49" s="75">
        <v>1219.2735595703125</v>
      </c>
      <c r="N49" s="75">
        <v>6547.48828125</v>
      </c>
      <c r="O49" s="76"/>
      <c r="P49" s="77"/>
      <c r="Q49" s="77"/>
      <c r="R49" s="89"/>
      <c r="S49" s="49">
        <v>1</v>
      </c>
      <c r="T49" s="49">
        <v>1</v>
      </c>
      <c r="U49" s="50">
        <v>0</v>
      </c>
      <c r="V49" s="50">
        <v>0.189881</v>
      </c>
      <c r="W49" s="50">
        <v>0.080745</v>
      </c>
      <c r="X49" s="50">
        <v>0.003874</v>
      </c>
      <c r="Y49" s="50">
        <v>0</v>
      </c>
      <c r="Z49" s="50">
        <v>1</v>
      </c>
      <c r="AA49" s="72">
        <v>49</v>
      </c>
      <c r="AB49" s="72"/>
      <c r="AC49" s="73"/>
      <c r="AD49" s="80" t="s">
        <v>890</v>
      </c>
      <c r="AE49" s="80"/>
      <c r="AF49" s="80"/>
      <c r="AG49" s="80"/>
      <c r="AH49" s="80"/>
      <c r="AI49" s="80"/>
      <c r="AJ49" s="87">
        <v>41441.811585648145</v>
      </c>
      <c r="AK49" s="85" t="str">
        <f>HYPERLINK("https://yt3.ggpht.com/ytc/AKedOLQ-R0ru0BV1T2oRXnXZf3AOTqHki3D5RgCjZEKskKM=s88-c-k-c0x00ffffff-no-rj")</f>
        <v>https://yt3.ggpht.com/ytc/AKedOLQ-R0ru0BV1T2oRXnXZf3AOTqHki3D5RgCjZEKskKM=s88-c-k-c0x00ffffff-no-rj</v>
      </c>
      <c r="AL49" s="80">
        <v>484</v>
      </c>
      <c r="AM49" s="80">
        <v>0</v>
      </c>
      <c r="AN49" s="80">
        <v>4</v>
      </c>
      <c r="AO49" s="80" t="b">
        <v>0</v>
      </c>
      <c r="AP49" s="80">
        <v>6</v>
      </c>
      <c r="AQ49" s="80"/>
      <c r="AR49" s="80"/>
      <c r="AS49" s="80" t="s">
        <v>1376</v>
      </c>
      <c r="AT49" s="85" t="str">
        <f>HYPERLINK("https://www.youtube.com/channel/UCOAzGG0Pm_MiO-SQ2Dc-Wdg")</f>
        <v>https://www.youtube.com/channel/UCOAzGG0Pm_MiO-SQ2Dc-Wdg</v>
      </c>
      <c r="AU49" s="80" t="str">
        <f>REPLACE(INDEX(GroupVertices[Group],MATCH(Vertices[[#This Row],[Vertex]],GroupVertices[Vertex],0)),1,1,"")</f>
        <v>1</v>
      </c>
      <c r="AV49" s="49">
        <v>2</v>
      </c>
      <c r="AW49" s="50">
        <v>3.5714285714285716</v>
      </c>
      <c r="AX49" s="49">
        <v>0</v>
      </c>
      <c r="AY49" s="50">
        <v>0</v>
      </c>
      <c r="AZ49" s="49">
        <v>0</v>
      </c>
      <c r="BA49" s="50">
        <v>0</v>
      </c>
      <c r="BB49" s="49">
        <v>54</v>
      </c>
      <c r="BC49" s="50">
        <v>96.42857142857143</v>
      </c>
      <c r="BD49" s="49">
        <v>56</v>
      </c>
      <c r="BE49" s="49"/>
      <c r="BF49" s="49"/>
      <c r="BG49" s="49"/>
      <c r="BH49" s="49"/>
      <c r="BI49" s="49"/>
      <c r="BJ49" s="49"/>
      <c r="BK49" s="111" t="s">
        <v>2391</v>
      </c>
      <c r="BL49" s="111" t="s">
        <v>2391</v>
      </c>
      <c r="BM49" s="111" t="s">
        <v>2581</v>
      </c>
      <c r="BN49" s="111" t="s">
        <v>2581</v>
      </c>
      <c r="BO49" s="2"/>
      <c r="BP49" s="3"/>
      <c r="BQ49" s="3"/>
      <c r="BR49" s="3"/>
      <c r="BS49" s="3"/>
    </row>
    <row r="50" spans="1:71" ht="15">
      <c r="A50" s="65" t="s">
        <v>378</v>
      </c>
      <c r="B50" s="66"/>
      <c r="C50" s="66"/>
      <c r="D50" s="67">
        <v>150</v>
      </c>
      <c r="E50" s="69"/>
      <c r="F50" s="103" t="str">
        <f>HYPERLINK("https://yt3.ggpht.com/ytc/AKedOLToy0JhnaFyoOsTV5LP2p6NSUWmkftcJoxEHDpyuFA=s88-c-k-c0x00ffffff-no-rj")</f>
        <v>https://yt3.ggpht.com/ytc/AKedOLToy0JhnaFyoOsTV5LP2p6NSUWmkftcJoxEHDpyuFA=s88-c-k-c0x00ffffff-no-rj</v>
      </c>
      <c r="G50" s="66"/>
      <c r="H50" s="70" t="s">
        <v>891</v>
      </c>
      <c r="I50" s="71"/>
      <c r="J50" s="71" t="s">
        <v>159</v>
      </c>
      <c r="K50" s="70" t="s">
        <v>891</v>
      </c>
      <c r="L50" s="74">
        <v>1</v>
      </c>
      <c r="M50" s="75">
        <v>1393.40673828125</v>
      </c>
      <c r="N50" s="75">
        <v>2945.556884765625</v>
      </c>
      <c r="O50" s="76"/>
      <c r="P50" s="77"/>
      <c r="Q50" s="77"/>
      <c r="R50" s="89"/>
      <c r="S50" s="49">
        <v>0</v>
      </c>
      <c r="T50" s="49">
        <v>1</v>
      </c>
      <c r="U50" s="50">
        <v>0</v>
      </c>
      <c r="V50" s="50">
        <v>0.189881</v>
      </c>
      <c r="W50" s="50">
        <v>0.080745</v>
      </c>
      <c r="X50" s="50">
        <v>0.003874</v>
      </c>
      <c r="Y50" s="50">
        <v>0</v>
      </c>
      <c r="Z50" s="50">
        <v>0</v>
      </c>
      <c r="AA50" s="72">
        <v>50</v>
      </c>
      <c r="AB50" s="72"/>
      <c r="AC50" s="73"/>
      <c r="AD50" s="80" t="s">
        <v>891</v>
      </c>
      <c r="AE50" s="80" t="s">
        <v>1303</v>
      </c>
      <c r="AF50" s="80"/>
      <c r="AG50" s="80"/>
      <c r="AH50" s="80"/>
      <c r="AI50" s="80"/>
      <c r="AJ50" s="87">
        <v>41358.92619212963</v>
      </c>
      <c r="AK50" s="85" t="str">
        <f>HYPERLINK("https://yt3.ggpht.com/ytc/AKedOLToy0JhnaFyoOsTV5LP2p6NSUWmkftcJoxEHDpyuFA=s88-c-k-c0x00ffffff-no-rj")</f>
        <v>https://yt3.ggpht.com/ytc/AKedOLToy0JhnaFyoOsTV5LP2p6NSUWmkftcJoxEHDpyuFA=s88-c-k-c0x00ffffff-no-rj</v>
      </c>
      <c r="AL50" s="80">
        <v>33709</v>
      </c>
      <c r="AM50" s="80">
        <v>0</v>
      </c>
      <c r="AN50" s="80">
        <v>108</v>
      </c>
      <c r="AO50" s="80" t="b">
        <v>0</v>
      </c>
      <c r="AP50" s="80">
        <v>44</v>
      </c>
      <c r="AQ50" s="80"/>
      <c r="AR50" s="80"/>
      <c r="AS50" s="80" t="s">
        <v>1376</v>
      </c>
      <c r="AT50" s="85" t="str">
        <f>HYPERLINK("https://www.youtube.com/channel/UCuh2m_8m5pUxe9NMlGxQ1dQ")</f>
        <v>https://www.youtube.com/channel/UCuh2m_8m5pUxe9NMlGxQ1dQ</v>
      </c>
      <c r="AU50" s="80" t="str">
        <f>REPLACE(INDEX(GroupVertices[Group],MATCH(Vertices[[#This Row],[Vertex]],GroupVertices[Vertex],0)),1,1,"")</f>
        <v>1</v>
      </c>
      <c r="AV50" s="49">
        <v>2</v>
      </c>
      <c r="AW50" s="50">
        <v>16.666666666666668</v>
      </c>
      <c r="AX50" s="49">
        <v>0</v>
      </c>
      <c r="AY50" s="50">
        <v>0</v>
      </c>
      <c r="AZ50" s="49">
        <v>0</v>
      </c>
      <c r="BA50" s="50">
        <v>0</v>
      </c>
      <c r="BB50" s="49">
        <v>10</v>
      </c>
      <c r="BC50" s="50">
        <v>83.33333333333333</v>
      </c>
      <c r="BD50" s="49">
        <v>12</v>
      </c>
      <c r="BE50" s="49"/>
      <c r="BF50" s="49"/>
      <c r="BG50" s="49"/>
      <c r="BH50" s="49"/>
      <c r="BI50" s="49"/>
      <c r="BJ50" s="49"/>
      <c r="BK50" s="111" t="s">
        <v>2392</v>
      </c>
      <c r="BL50" s="111" t="s">
        <v>2392</v>
      </c>
      <c r="BM50" s="111" t="s">
        <v>2582</v>
      </c>
      <c r="BN50" s="111" t="s">
        <v>2582</v>
      </c>
      <c r="BO50" s="2"/>
      <c r="BP50" s="3"/>
      <c r="BQ50" s="3"/>
      <c r="BR50" s="3"/>
      <c r="BS50" s="3"/>
    </row>
    <row r="51" spans="1:71" ht="15">
      <c r="A51" s="65" t="s">
        <v>379</v>
      </c>
      <c r="B51" s="66"/>
      <c r="C51" s="66"/>
      <c r="D51" s="67">
        <v>150</v>
      </c>
      <c r="E51" s="69"/>
      <c r="F51" s="103" t="str">
        <f>HYPERLINK("https://yt3.ggpht.com/VizZQffcP29PydLR8XXjP76s-_XaCgtg_Y5H2Ze8zQsFhNUgzeL6ByU_erElAdKWtVT2qMexSw=s88-c-k-c0x00ffffff-no-rj")</f>
        <v>https://yt3.ggpht.com/VizZQffcP29PydLR8XXjP76s-_XaCgtg_Y5H2Ze8zQsFhNUgzeL6ByU_erElAdKWtVT2qMexSw=s88-c-k-c0x00ffffff-no-rj</v>
      </c>
      <c r="G51" s="66"/>
      <c r="H51" s="70" t="s">
        <v>892</v>
      </c>
      <c r="I51" s="71"/>
      <c r="J51" s="71" t="s">
        <v>159</v>
      </c>
      <c r="K51" s="70" t="s">
        <v>892</v>
      </c>
      <c r="L51" s="74">
        <v>1</v>
      </c>
      <c r="M51" s="75">
        <v>1550.8955078125</v>
      </c>
      <c r="N51" s="75">
        <v>9341.5537109375</v>
      </c>
      <c r="O51" s="76"/>
      <c r="P51" s="77"/>
      <c r="Q51" s="77"/>
      <c r="R51" s="89"/>
      <c r="S51" s="49">
        <v>1</v>
      </c>
      <c r="T51" s="49">
        <v>1</v>
      </c>
      <c r="U51" s="50">
        <v>0</v>
      </c>
      <c r="V51" s="50">
        <v>0.189881</v>
      </c>
      <c r="W51" s="50">
        <v>0.080745</v>
      </c>
      <c r="X51" s="50">
        <v>0.003874</v>
      </c>
      <c r="Y51" s="50">
        <v>0</v>
      </c>
      <c r="Z51" s="50">
        <v>1</v>
      </c>
      <c r="AA51" s="72">
        <v>51</v>
      </c>
      <c r="AB51" s="72"/>
      <c r="AC51" s="73"/>
      <c r="AD51" s="80" t="s">
        <v>892</v>
      </c>
      <c r="AE51" s="80"/>
      <c r="AF51" s="80"/>
      <c r="AG51" s="80"/>
      <c r="AH51" s="80"/>
      <c r="AI51" s="80"/>
      <c r="AJ51" s="87">
        <v>39767.18693287037</v>
      </c>
      <c r="AK51" s="85" t="str">
        <f>HYPERLINK("https://yt3.ggpht.com/VizZQffcP29PydLR8XXjP76s-_XaCgtg_Y5H2Ze8zQsFhNUgzeL6ByU_erElAdKWtVT2qMexSw=s88-c-k-c0x00ffffff-no-rj")</f>
        <v>https://yt3.ggpht.com/VizZQffcP29PydLR8XXjP76s-_XaCgtg_Y5H2Ze8zQsFhNUgzeL6ByU_erElAdKWtVT2qMexSw=s88-c-k-c0x00ffffff-no-rj</v>
      </c>
      <c r="AL51" s="80">
        <v>0</v>
      </c>
      <c r="AM51" s="80">
        <v>0</v>
      </c>
      <c r="AN51" s="80">
        <v>1</v>
      </c>
      <c r="AO51" s="80" t="b">
        <v>0</v>
      </c>
      <c r="AP51" s="80">
        <v>0</v>
      </c>
      <c r="AQ51" s="80"/>
      <c r="AR51" s="80"/>
      <c r="AS51" s="80" t="s">
        <v>1376</v>
      </c>
      <c r="AT51" s="85" t="str">
        <f>HYPERLINK("https://www.youtube.com/channel/UC9LLQRE_1OPkWUCda2b_kmg")</f>
        <v>https://www.youtube.com/channel/UC9LLQRE_1OPkWUCda2b_kmg</v>
      </c>
      <c r="AU51" s="80" t="str">
        <f>REPLACE(INDEX(GroupVertices[Group],MATCH(Vertices[[#This Row],[Vertex]],GroupVertices[Vertex],0)),1,1,"")</f>
        <v>1</v>
      </c>
      <c r="AV51" s="49">
        <v>1</v>
      </c>
      <c r="AW51" s="50">
        <v>1.3513513513513513</v>
      </c>
      <c r="AX51" s="49">
        <v>8</v>
      </c>
      <c r="AY51" s="50">
        <v>10.81081081081081</v>
      </c>
      <c r="AZ51" s="49">
        <v>0</v>
      </c>
      <c r="BA51" s="50">
        <v>0</v>
      </c>
      <c r="BB51" s="49">
        <v>65</v>
      </c>
      <c r="BC51" s="50">
        <v>87.83783783783784</v>
      </c>
      <c r="BD51" s="49">
        <v>74</v>
      </c>
      <c r="BE51" s="49"/>
      <c r="BF51" s="49"/>
      <c r="BG51" s="49"/>
      <c r="BH51" s="49"/>
      <c r="BI51" s="49"/>
      <c r="BJ51" s="49"/>
      <c r="BK51" s="111" t="s">
        <v>2393</v>
      </c>
      <c r="BL51" s="111" t="s">
        <v>2393</v>
      </c>
      <c r="BM51" s="111" t="s">
        <v>2583</v>
      </c>
      <c r="BN51" s="111" t="s">
        <v>2583</v>
      </c>
      <c r="BO51" s="2"/>
      <c r="BP51" s="3"/>
      <c r="BQ51" s="3"/>
      <c r="BR51" s="3"/>
      <c r="BS51" s="3"/>
    </row>
    <row r="52" spans="1:71" ht="15">
      <c r="A52" s="65" t="s">
        <v>380</v>
      </c>
      <c r="B52" s="66"/>
      <c r="C52" s="66"/>
      <c r="D52" s="67">
        <v>150</v>
      </c>
      <c r="E52" s="69"/>
      <c r="F52" s="103" t="str">
        <f>HYPERLINK("https://yt3.ggpht.com/ytc/AKedOLQ4AAlCjjMxJdWfe80hRkgzuO7yDEq9Q4Q4iAqTlA=s88-c-k-c0x00ffffff-no-rj")</f>
        <v>https://yt3.ggpht.com/ytc/AKedOLQ4AAlCjjMxJdWfe80hRkgzuO7yDEq9Q4Q4iAqTlA=s88-c-k-c0x00ffffff-no-rj</v>
      </c>
      <c r="G52" s="66"/>
      <c r="H52" s="70" t="s">
        <v>893</v>
      </c>
      <c r="I52" s="71"/>
      <c r="J52" s="71" t="s">
        <v>159</v>
      </c>
      <c r="K52" s="70" t="s">
        <v>893</v>
      </c>
      <c r="L52" s="74">
        <v>1</v>
      </c>
      <c r="M52" s="75">
        <v>9006.53125</v>
      </c>
      <c r="N52" s="75">
        <v>731.5444946289062</v>
      </c>
      <c r="O52" s="76"/>
      <c r="P52" s="77"/>
      <c r="Q52" s="77"/>
      <c r="R52" s="89"/>
      <c r="S52" s="49">
        <v>0</v>
      </c>
      <c r="T52" s="49">
        <v>1</v>
      </c>
      <c r="U52" s="50">
        <v>0</v>
      </c>
      <c r="V52" s="50">
        <v>0.004484</v>
      </c>
      <c r="W52" s="50">
        <v>0</v>
      </c>
      <c r="X52" s="50">
        <v>0.004153</v>
      </c>
      <c r="Y52" s="50">
        <v>0</v>
      </c>
      <c r="Z52" s="50">
        <v>0</v>
      </c>
      <c r="AA52" s="72">
        <v>52</v>
      </c>
      <c r="AB52" s="72"/>
      <c r="AC52" s="73"/>
      <c r="AD52" s="80" t="s">
        <v>893</v>
      </c>
      <c r="AE52" s="80"/>
      <c r="AF52" s="80"/>
      <c r="AG52" s="80"/>
      <c r="AH52" s="80"/>
      <c r="AI52" s="80"/>
      <c r="AJ52" s="87">
        <v>41643.037939814814</v>
      </c>
      <c r="AK52" s="85" t="str">
        <f>HYPERLINK("https://yt3.ggpht.com/ytc/AKedOLQ4AAlCjjMxJdWfe80hRkgzuO7yDEq9Q4Q4iAqTlA=s88-c-k-c0x00ffffff-no-rj")</f>
        <v>https://yt3.ggpht.com/ytc/AKedOLQ4AAlCjjMxJdWfe80hRkgzuO7yDEq9Q4Q4iAqTlA=s88-c-k-c0x00ffffff-no-rj</v>
      </c>
      <c r="AL52" s="80">
        <v>0</v>
      </c>
      <c r="AM52" s="80">
        <v>0</v>
      </c>
      <c r="AN52" s="80">
        <v>0</v>
      </c>
      <c r="AO52" s="80" t="b">
        <v>0</v>
      </c>
      <c r="AP52" s="80">
        <v>0</v>
      </c>
      <c r="AQ52" s="80"/>
      <c r="AR52" s="80"/>
      <c r="AS52" s="80" t="s">
        <v>1376</v>
      </c>
      <c r="AT52" s="85" t="str">
        <f>HYPERLINK("https://www.youtube.com/channel/UC2AjGU-bTVnwnKI40ucluew")</f>
        <v>https://www.youtube.com/channel/UC2AjGU-bTVnwnKI40ucluew</v>
      </c>
      <c r="AU52" s="80" t="str">
        <f>REPLACE(INDEX(GroupVertices[Group],MATCH(Vertices[[#This Row],[Vertex]],GroupVertices[Vertex],0)),1,1,"")</f>
        <v>21</v>
      </c>
      <c r="AV52" s="49">
        <v>0</v>
      </c>
      <c r="AW52" s="50">
        <v>0</v>
      </c>
      <c r="AX52" s="49">
        <v>0</v>
      </c>
      <c r="AY52" s="50">
        <v>0</v>
      </c>
      <c r="AZ52" s="49">
        <v>0</v>
      </c>
      <c r="BA52" s="50">
        <v>0</v>
      </c>
      <c r="BB52" s="49">
        <v>31</v>
      </c>
      <c r="BC52" s="50">
        <v>100</v>
      </c>
      <c r="BD52" s="49">
        <v>31</v>
      </c>
      <c r="BE52" s="49"/>
      <c r="BF52" s="49"/>
      <c r="BG52" s="49"/>
      <c r="BH52" s="49"/>
      <c r="BI52" s="49"/>
      <c r="BJ52" s="49"/>
      <c r="BK52" s="111" t="s">
        <v>2394</v>
      </c>
      <c r="BL52" s="111" t="s">
        <v>2394</v>
      </c>
      <c r="BM52" s="111" t="s">
        <v>2584</v>
      </c>
      <c r="BN52" s="111" t="s">
        <v>2584</v>
      </c>
      <c r="BO52" s="2"/>
      <c r="BP52" s="3"/>
      <c r="BQ52" s="3"/>
      <c r="BR52" s="3"/>
      <c r="BS52" s="3"/>
    </row>
    <row r="53" spans="1:71" ht="15">
      <c r="A53" s="65" t="s">
        <v>542</v>
      </c>
      <c r="B53" s="66"/>
      <c r="C53" s="66"/>
      <c r="D53" s="67">
        <v>150</v>
      </c>
      <c r="E53" s="69"/>
      <c r="F53" s="103" t="str">
        <f>HYPERLINK("https://yt3.ggpht.com/ytc/AKedOLRO0ihymI2OZIwy--o5xd3z0uGFmshlzXANM36Dzg=s88-c-k-c0x00ffffff-no-rj")</f>
        <v>https://yt3.ggpht.com/ytc/AKedOLRO0ihymI2OZIwy--o5xd3z0uGFmshlzXANM36Dzg=s88-c-k-c0x00ffffff-no-rj</v>
      </c>
      <c r="G53" s="66"/>
      <c r="H53" s="70" t="s">
        <v>1033</v>
      </c>
      <c r="I53" s="71"/>
      <c r="J53" s="71" t="s">
        <v>159</v>
      </c>
      <c r="K53" s="70" t="s">
        <v>1033</v>
      </c>
      <c r="L53" s="74">
        <v>1</v>
      </c>
      <c r="M53" s="75">
        <v>9006.53125</v>
      </c>
      <c r="N53" s="75">
        <v>341.8775634765625</v>
      </c>
      <c r="O53" s="76"/>
      <c r="P53" s="77"/>
      <c r="Q53" s="77"/>
      <c r="R53" s="89"/>
      <c r="S53" s="49">
        <v>2</v>
      </c>
      <c r="T53" s="49">
        <v>1</v>
      </c>
      <c r="U53" s="50">
        <v>0</v>
      </c>
      <c r="V53" s="50">
        <v>0.004484</v>
      </c>
      <c r="W53" s="50">
        <v>0</v>
      </c>
      <c r="X53" s="50">
        <v>0.004776</v>
      </c>
      <c r="Y53" s="50">
        <v>0</v>
      </c>
      <c r="Z53" s="50">
        <v>0</v>
      </c>
      <c r="AA53" s="72">
        <v>53</v>
      </c>
      <c r="AB53" s="72"/>
      <c r="AC53" s="73"/>
      <c r="AD53" s="80" t="s">
        <v>1033</v>
      </c>
      <c r="AE53" s="80" t="s">
        <v>1304</v>
      </c>
      <c r="AF53" s="80"/>
      <c r="AG53" s="80"/>
      <c r="AH53" s="80"/>
      <c r="AI53" s="80" t="s">
        <v>1351</v>
      </c>
      <c r="AJ53" s="87">
        <v>40865.641331018516</v>
      </c>
      <c r="AK53" s="85" t="str">
        <f>HYPERLINK("https://yt3.ggpht.com/ytc/AKedOLRO0ihymI2OZIwy--o5xd3z0uGFmshlzXANM36Dzg=s88-c-k-c0x00ffffff-no-rj")</f>
        <v>https://yt3.ggpht.com/ytc/AKedOLRO0ihymI2OZIwy--o5xd3z0uGFmshlzXANM36Dzg=s88-c-k-c0x00ffffff-no-rj</v>
      </c>
      <c r="AL53" s="80">
        <v>32556</v>
      </c>
      <c r="AM53" s="80">
        <v>0</v>
      </c>
      <c r="AN53" s="80">
        <v>0</v>
      </c>
      <c r="AO53" s="80" t="b">
        <v>1</v>
      </c>
      <c r="AP53" s="80">
        <v>32</v>
      </c>
      <c r="AQ53" s="80"/>
      <c r="AR53" s="80"/>
      <c r="AS53" s="80" t="s">
        <v>1376</v>
      </c>
      <c r="AT53" s="85" t="str">
        <f>HYPERLINK("https://www.youtube.com/channel/UCRZps3dH47Yd7pj8LmS7vmg")</f>
        <v>https://www.youtube.com/channel/UCRZps3dH47Yd7pj8LmS7vmg</v>
      </c>
      <c r="AU53" s="80" t="str">
        <f>REPLACE(INDEX(GroupVertices[Group],MATCH(Vertices[[#This Row],[Vertex]],GroupVertices[Vertex],0)),1,1,"")</f>
        <v>21</v>
      </c>
      <c r="AV53" s="49">
        <v>0</v>
      </c>
      <c r="AW53" s="50">
        <v>0</v>
      </c>
      <c r="AX53" s="49">
        <v>0</v>
      </c>
      <c r="AY53" s="50">
        <v>0</v>
      </c>
      <c r="AZ53" s="49">
        <v>0</v>
      </c>
      <c r="BA53" s="50">
        <v>0</v>
      </c>
      <c r="BB53" s="49">
        <v>57</v>
      </c>
      <c r="BC53" s="50">
        <v>100</v>
      </c>
      <c r="BD53" s="49">
        <v>57</v>
      </c>
      <c r="BE53" s="49" t="s">
        <v>2168</v>
      </c>
      <c r="BF53" s="49" t="s">
        <v>2168</v>
      </c>
      <c r="BG53" s="49" t="s">
        <v>1225</v>
      </c>
      <c r="BH53" s="49" t="s">
        <v>1225</v>
      </c>
      <c r="BI53" s="49"/>
      <c r="BJ53" s="49"/>
      <c r="BK53" s="111" t="s">
        <v>2232</v>
      </c>
      <c r="BL53" s="111" t="s">
        <v>2232</v>
      </c>
      <c r="BM53" s="111" t="s">
        <v>2331</v>
      </c>
      <c r="BN53" s="111" t="s">
        <v>2331</v>
      </c>
      <c r="BO53" s="2"/>
      <c r="BP53" s="3"/>
      <c r="BQ53" s="3"/>
      <c r="BR53" s="3"/>
      <c r="BS53" s="3"/>
    </row>
    <row r="54" spans="1:71" ht="15">
      <c r="A54" s="65" t="s">
        <v>381</v>
      </c>
      <c r="B54" s="66"/>
      <c r="C54" s="66"/>
      <c r="D54" s="67">
        <v>166.28352490421457</v>
      </c>
      <c r="E54" s="69"/>
      <c r="F54" s="103" t="str">
        <f>HYPERLINK("https://yt3.ggpht.com/ytc/AKedOLS075QzA9Dl6zZVDHXg4kk1ROHhybVaAXNJB62qek0=s88-c-k-c0x00ffffff-no-rj")</f>
        <v>https://yt3.ggpht.com/ytc/AKedOLS075QzA9Dl6zZVDHXg4kk1ROHhybVaAXNJB62qek0=s88-c-k-c0x00ffffff-no-rj</v>
      </c>
      <c r="G54" s="66"/>
      <c r="H54" s="70" t="s">
        <v>894</v>
      </c>
      <c r="I54" s="71"/>
      <c r="J54" s="71" t="s">
        <v>75</v>
      </c>
      <c r="K54" s="70" t="s">
        <v>894</v>
      </c>
      <c r="L54" s="74">
        <v>15.422792570429218</v>
      </c>
      <c r="M54" s="75">
        <v>4691.97314453125</v>
      </c>
      <c r="N54" s="75">
        <v>5210.12255859375</v>
      </c>
      <c r="O54" s="76"/>
      <c r="P54" s="77"/>
      <c r="Q54" s="77"/>
      <c r="R54" s="89"/>
      <c r="S54" s="49">
        <v>0</v>
      </c>
      <c r="T54" s="49">
        <v>7</v>
      </c>
      <c r="U54" s="50">
        <v>20</v>
      </c>
      <c r="V54" s="50">
        <v>0.033021</v>
      </c>
      <c r="W54" s="50">
        <v>0</v>
      </c>
      <c r="X54" s="50">
        <v>0.005547</v>
      </c>
      <c r="Y54" s="50">
        <v>0.14285714285714285</v>
      </c>
      <c r="Z54" s="50">
        <v>0</v>
      </c>
      <c r="AA54" s="72">
        <v>54</v>
      </c>
      <c r="AB54" s="72"/>
      <c r="AC54" s="73"/>
      <c r="AD54" s="80" t="s">
        <v>894</v>
      </c>
      <c r="AE54" s="80"/>
      <c r="AF54" s="80"/>
      <c r="AG54" s="80"/>
      <c r="AH54" s="80"/>
      <c r="AI54" s="80"/>
      <c r="AJ54" s="87">
        <v>38977.995833333334</v>
      </c>
      <c r="AK54" s="85" t="str">
        <f>HYPERLINK("https://yt3.ggpht.com/ytc/AKedOLS075QzA9Dl6zZVDHXg4kk1ROHhybVaAXNJB62qek0=s88-c-k-c0x00ffffff-no-rj")</f>
        <v>https://yt3.ggpht.com/ytc/AKedOLS075QzA9Dl6zZVDHXg4kk1ROHhybVaAXNJB62qek0=s88-c-k-c0x00ffffff-no-rj</v>
      </c>
      <c r="AL54" s="80">
        <v>0</v>
      </c>
      <c r="AM54" s="80">
        <v>0</v>
      </c>
      <c r="AN54" s="80">
        <v>2</v>
      </c>
      <c r="AO54" s="80" t="b">
        <v>0</v>
      </c>
      <c r="AP54" s="80">
        <v>0</v>
      </c>
      <c r="AQ54" s="80"/>
      <c r="AR54" s="80"/>
      <c r="AS54" s="80" t="s">
        <v>1376</v>
      </c>
      <c r="AT54" s="85" t="str">
        <f>HYPERLINK("https://www.youtube.com/channel/UCh5Vq5sKzfQftZkz3sqj8zQ")</f>
        <v>https://www.youtube.com/channel/UCh5Vq5sKzfQftZkz3sqj8zQ</v>
      </c>
      <c r="AU54" s="80" t="str">
        <f>REPLACE(INDEX(GroupVertices[Group],MATCH(Vertices[[#This Row],[Vertex]],GroupVertices[Vertex],0)),1,1,"")</f>
        <v>8</v>
      </c>
      <c r="AV54" s="49">
        <v>1</v>
      </c>
      <c r="AW54" s="50">
        <v>0.7936507936507936</v>
      </c>
      <c r="AX54" s="49">
        <v>0</v>
      </c>
      <c r="AY54" s="50">
        <v>0</v>
      </c>
      <c r="AZ54" s="49">
        <v>0</v>
      </c>
      <c r="BA54" s="50">
        <v>0</v>
      </c>
      <c r="BB54" s="49">
        <v>125</v>
      </c>
      <c r="BC54" s="50">
        <v>99.2063492063492</v>
      </c>
      <c r="BD54" s="49">
        <v>126</v>
      </c>
      <c r="BE54" s="49" t="s">
        <v>2151</v>
      </c>
      <c r="BF54" s="49" t="s">
        <v>2151</v>
      </c>
      <c r="BG54" s="49" t="s">
        <v>1225</v>
      </c>
      <c r="BH54" s="49" t="s">
        <v>1225</v>
      </c>
      <c r="BI54" s="49"/>
      <c r="BJ54" s="49"/>
      <c r="BK54" s="111" t="s">
        <v>2395</v>
      </c>
      <c r="BL54" s="111" t="s">
        <v>2528</v>
      </c>
      <c r="BM54" s="111" t="s">
        <v>2585</v>
      </c>
      <c r="BN54" s="111" t="s">
        <v>2713</v>
      </c>
      <c r="BO54" s="2"/>
      <c r="BP54" s="3"/>
      <c r="BQ54" s="3"/>
      <c r="BR54" s="3"/>
      <c r="BS54" s="3"/>
    </row>
    <row r="55" spans="1:71" ht="15">
      <c r="A55" s="65" t="s">
        <v>382</v>
      </c>
      <c r="B55" s="66"/>
      <c r="C55" s="66"/>
      <c r="D55" s="67">
        <v>150</v>
      </c>
      <c r="E55" s="69"/>
      <c r="F55" s="103" t="str">
        <f>HYPERLINK("https://yt3.ggpht.com/ytc/AKedOLR-CsGfyGjZ2inKSIlpCIG-hJvZoh4ej33IG7Dv3w=s88-c-k-c0x00ffffff-no-rj")</f>
        <v>https://yt3.ggpht.com/ytc/AKedOLR-CsGfyGjZ2inKSIlpCIG-hJvZoh4ej33IG7Dv3w=s88-c-k-c0x00ffffff-no-rj</v>
      </c>
      <c r="G55" s="66"/>
      <c r="H55" s="70" t="s">
        <v>895</v>
      </c>
      <c r="I55" s="71"/>
      <c r="J55" s="71" t="s">
        <v>159</v>
      </c>
      <c r="K55" s="70" t="s">
        <v>895</v>
      </c>
      <c r="L55" s="74">
        <v>1</v>
      </c>
      <c r="M55" s="75">
        <v>4468.29541015625</v>
      </c>
      <c r="N55" s="75">
        <v>6225.0986328125</v>
      </c>
      <c r="O55" s="76"/>
      <c r="P55" s="77"/>
      <c r="Q55" s="77"/>
      <c r="R55" s="89"/>
      <c r="S55" s="49">
        <v>1</v>
      </c>
      <c r="T55" s="49">
        <v>1</v>
      </c>
      <c r="U55" s="50">
        <v>0</v>
      </c>
      <c r="V55" s="50">
        <v>0.021366</v>
      </c>
      <c r="W55" s="50">
        <v>0</v>
      </c>
      <c r="X55" s="50">
        <v>0.004018</v>
      </c>
      <c r="Y55" s="50">
        <v>0.5</v>
      </c>
      <c r="Z55" s="50">
        <v>0</v>
      </c>
      <c r="AA55" s="72">
        <v>55</v>
      </c>
      <c r="AB55" s="72"/>
      <c r="AC55" s="73"/>
      <c r="AD55" s="80" t="s">
        <v>895</v>
      </c>
      <c r="AE55" s="80"/>
      <c r="AF55" s="80"/>
      <c r="AG55" s="80"/>
      <c r="AH55" s="80"/>
      <c r="AI55" s="80"/>
      <c r="AJ55" s="87">
        <v>41241.602326388886</v>
      </c>
      <c r="AK55" s="85" t="str">
        <f>HYPERLINK("https://yt3.ggpht.com/ytc/AKedOLR-CsGfyGjZ2inKSIlpCIG-hJvZoh4ej33IG7Dv3w=s88-c-k-c0x00ffffff-no-rj")</f>
        <v>https://yt3.ggpht.com/ytc/AKedOLR-CsGfyGjZ2inKSIlpCIG-hJvZoh4ej33IG7Dv3w=s88-c-k-c0x00ffffff-no-rj</v>
      </c>
      <c r="AL55" s="80">
        <v>0</v>
      </c>
      <c r="AM55" s="80">
        <v>0</v>
      </c>
      <c r="AN55" s="80">
        <v>80</v>
      </c>
      <c r="AO55" s="80" t="b">
        <v>0</v>
      </c>
      <c r="AP55" s="80">
        <v>0</v>
      </c>
      <c r="AQ55" s="80"/>
      <c r="AR55" s="80"/>
      <c r="AS55" s="80" t="s">
        <v>1376</v>
      </c>
      <c r="AT55" s="85" t="str">
        <f>HYPERLINK("https://www.youtube.com/channel/UCbtGUyX5iHwuOUqh6mKuEvw")</f>
        <v>https://www.youtube.com/channel/UCbtGUyX5iHwuOUqh6mKuEvw</v>
      </c>
      <c r="AU55" s="80" t="str">
        <f>REPLACE(INDEX(GroupVertices[Group],MATCH(Vertices[[#This Row],[Vertex]],GroupVertices[Vertex],0)),1,1,"")</f>
        <v>8</v>
      </c>
      <c r="AV55" s="49">
        <v>0</v>
      </c>
      <c r="AW55" s="50">
        <v>0</v>
      </c>
      <c r="AX55" s="49">
        <v>0</v>
      </c>
      <c r="AY55" s="50">
        <v>0</v>
      </c>
      <c r="AZ55" s="49">
        <v>0</v>
      </c>
      <c r="BA55" s="50">
        <v>0</v>
      </c>
      <c r="BB55" s="49">
        <v>6</v>
      </c>
      <c r="BC55" s="50">
        <v>100</v>
      </c>
      <c r="BD55" s="49">
        <v>6</v>
      </c>
      <c r="BE55" s="49"/>
      <c r="BF55" s="49"/>
      <c r="BG55" s="49"/>
      <c r="BH55" s="49"/>
      <c r="BI55" s="49"/>
      <c r="BJ55" s="49"/>
      <c r="BK55" s="111" t="s">
        <v>2396</v>
      </c>
      <c r="BL55" s="111" t="s">
        <v>2396</v>
      </c>
      <c r="BM55" s="111" t="s">
        <v>2586</v>
      </c>
      <c r="BN55" s="111" t="s">
        <v>2586</v>
      </c>
      <c r="BO55" s="2"/>
      <c r="BP55" s="3"/>
      <c r="BQ55" s="3"/>
      <c r="BR55" s="3"/>
      <c r="BS55" s="3"/>
    </row>
    <row r="56" spans="1:71" ht="15">
      <c r="A56" s="65" t="s">
        <v>543</v>
      </c>
      <c r="B56" s="66"/>
      <c r="C56" s="66"/>
      <c r="D56" s="67">
        <v>179.31034482758622</v>
      </c>
      <c r="E56" s="69"/>
      <c r="F56" s="103" t="str">
        <f>HYPERLINK("https://yt3.ggpht.com/ytc/AKedOLSkT7c6POKAYtHG54r2Oasw9Y8dm76iPkeLLszr=s88-c-k-c0x00ffffff-no-rj")</f>
        <v>https://yt3.ggpht.com/ytc/AKedOLSkT7c6POKAYtHG54r2Oasw9Y8dm76iPkeLLszr=s88-c-k-c0x00ffffff-no-rj</v>
      </c>
      <c r="G56" s="66"/>
      <c r="H56" s="70" t="s">
        <v>1259</v>
      </c>
      <c r="I56" s="71"/>
      <c r="J56" s="71" t="s">
        <v>75</v>
      </c>
      <c r="K56" s="70" t="s">
        <v>1259</v>
      </c>
      <c r="L56" s="74">
        <v>26.96102662677259</v>
      </c>
      <c r="M56" s="75">
        <v>4454.43798828125</v>
      </c>
      <c r="N56" s="75">
        <v>5451.4443359375</v>
      </c>
      <c r="O56" s="76"/>
      <c r="P56" s="77"/>
      <c r="Q56" s="77"/>
      <c r="R56" s="89"/>
      <c r="S56" s="49">
        <v>9</v>
      </c>
      <c r="T56" s="49">
        <v>1</v>
      </c>
      <c r="U56" s="50">
        <v>36</v>
      </c>
      <c r="V56" s="50">
        <v>0.036323</v>
      </c>
      <c r="W56" s="50">
        <v>0</v>
      </c>
      <c r="X56" s="50">
        <v>0.00625</v>
      </c>
      <c r="Y56" s="50">
        <v>0.10714285714285714</v>
      </c>
      <c r="Z56" s="50">
        <v>0</v>
      </c>
      <c r="AA56" s="72">
        <v>56</v>
      </c>
      <c r="AB56" s="72"/>
      <c r="AC56" s="73"/>
      <c r="AD56" s="80" t="s">
        <v>1259</v>
      </c>
      <c r="AE56" s="80"/>
      <c r="AF56" s="80"/>
      <c r="AG56" s="80"/>
      <c r="AH56" s="80"/>
      <c r="AI56" s="80"/>
      <c r="AJ56" s="87">
        <v>41134.643530092595</v>
      </c>
      <c r="AK56" s="85" t="str">
        <f>HYPERLINK("https://yt3.ggpht.com/ytc/AKedOLSkT7c6POKAYtHG54r2Oasw9Y8dm76iPkeLLszr=s88-c-k-c0x00ffffff-no-rj")</f>
        <v>https://yt3.ggpht.com/ytc/AKedOLSkT7c6POKAYtHG54r2Oasw9Y8dm76iPkeLLszr=s88-c-k-c0x00ffffff-no-rj</v>
      </c>
      <c r="AL56" s="80">
        <v>77984</v>
      </c>
      <c r="AM56" s="80">
        <v>0</v>
      </c>
      <c r="AN56" s="80">
        <v>443</v>
      </c>
      <c r="AO56" s="80" t="b">
        <v>0</v>
      </c>
      <c r="AP56" s="80">
        <v>12</v>
      </c>
      <c r="AQ56" s="80"/>
      <c r="AR56" s="80"/>
      <c r="AS56" s="80" t="s">
        <v>1376</v>
      </c>
      <c r="AT56" s="85" t="str">
        <f>HYPERLINK("https://www.youtube.com/channel/UCoVrqzF4FU2Lv5vnB_JXchA")</f>
        <v>https://www.youtube.com/channel/UCoVrqzF4FU2Lv5vnB_JXchA</v>
      </c>
      <c r="AU56" s="80" t="str">
        <f>REPLACE(INDEX(GroupVertices[Group],MATCH(Vertices[[#This Row],[Vertex]],GroupVertices[Vertex],0)),1,1,"")</f>
        <v>8</v>
      </c>
      <c r="AV56" s="49"/>
      <c r="AW56" s="50"/>
      <c r="AX56" s="49"/>
      <c r="AY56" s="50"/>
      <c r="AZ56" s="49"/>
      <c r="BA56" s="50"/>
      <c r="BB56" s="49"/>
      <c r="BC56" s="50"/>
      <c r="BD56" s="49"/>
      <c r="BE56" s="49"/>
      <c r="BF56" s="49"/>
      <c r="BG56" s="49"/>
      <c r="BH56" s="49"/>
      <c r="BI56" s="49"/>
      <c r="BJ56" s="49"/>
      <c r="BK56" s="111" t="s">
        <v>1239</v>
      </c>
      <c r="BL56" s="111" t="s">
        <v>1239</v>
      </c>
      <c r="BM56" s="111" t="s">
        <v>1239</v>
      </c>
      <c r="BN56" s="111" t="s">
        <v>1239</v>
      </c>
      <c r="BO56" s="2"/>
      <c r="BP56" s="3"/>
      <c r="BQ56" s="3"/>
      <c r="BR56" s="3"/>
      <c r="BS56" s="3"/>
    </row>
    <row r="57" spans="1:71" ht="15">
      <c r="A57" s="65" t="s">
        <v>383</v>
      </c>
      <c r="B57" s="66"/>
      <c r="C57" s="66"/>
      <c r="D57" s="67">
        <v>150</v>
      </c>
      <c r="E57" s="69"/>
      <c r="F57" s="103" t="str">
        <f>HYPERLINK("https://yt3.ggpht.com/ytc/AKedOLQzG-gBUb4VZqIp5E4T-YvHw7XXomVSBLitiA=s88-c-k-c0x00ffffff-no-rj")</f>
        <v>https://yt3.ggpht.com/ytc/AKedOLQzG-gBUb4VZqIp5E4T-YvHw7XXomVSBLitiA=s88-c-k-c0x00ffffff-no-rj</v>
      </c>
      <c r="G57" s="66"/>
      <c r="H57" s="70" t="s">
        <v>896</v>
      </c>
      <c r="I57" s="71"/>
      <c r="J57" s="71" t="s">
        <v>159</v>
      </c>
      <c r="K57" s="70" t="s">
        <v>896</v>
      </c>
      <c r="L57" s="74">
        <v>1</v>
      </c>
      <c r="M57" s="75">
        <v>5171.08056640625</v>
      </c>
      <c r="N57" s="75">
        <v>4841.60791015625</v>
      </c>
      <c r="O57" s="76"/>
      <c r="P57" s="77"/>
      <c r="Q57" s="77"/>
      <c r="R57" s="89"/>
      <c r="S57" s="49">
        <v>1</v>
      </c>
      <c r="T57" s="49">
        <v>1</v>
      </c>
      <c r="U57" s="50">
        <v>0</v>
      </c>
      <c r="V57" s="50">
        <v>0.021366</v>
      </c>
      <c r="W57" s="50">
        <v>0</v>
      </c>
      <c r="X57" s="50">
        <v>0.004018</v>
      </c>
      <c r="Y57" s="50">
        <v>0.5</v>
      </c>
      <c r="Z57" s="50">
        <v>0</v>
      </c>
      <c r="AA57" s="72">
        <v>57</v>
      </c>
      <c r="AB57" s="72"/>
      <c r="AC57" s="73"/>
      <c r="AD57" s="80" t="s">
        <v>896</v>
      </c>
      <c r="AE57" s="80"/>
      <c r="AF57" s="80"/>
      <c r="AG57" s="80"/>
      <c r="AH57" s="80"/>
      <c r="AI57" s="80"/>
      <c r="AJ57" s="87">
        <v>40624.24621527778</v>
      </c>
      <c r="AK57" s="85" t="str">
        <f>HYPERLINK("https://yt3.ggpht.com/ytc/AKedOLQzG-gBUb4VZqIp5E4T-YvHw7XXomVSBLitiA=s88-c-k-c0x00ffffff-no-rj")</f>
        <v>https://yt3.ggpht.com/ytc/AKedOLQzG-gBUb4VZqIp5E4T-YvHw7XXomVSBLitiA=s88-c-k-c0x00ffffff-no-rj</v>
      </c>
      <c r="AL57" s="80">
        <v>0</v>
      </c>
      <c r="AM57" s="80">
        <v>0</v>
      </c>
      <c r="AN57" s="80">
        <v>2</v>
      </c>
      <c r="AO57" s="80" t="b">
        <v>0</v>
      </c>
      <c r="AP57" s="80">
        <v>0</v>
      </c>
      <c r="AQ57" s="80"/>
      <c r="AR57" s="80"/>
      <c r="AS57" s="80" t="s">
        <v>1376</v>
      </c>
      <c r="AT57" s="85" t="str">
        <f>HYPERLINK("https://www.youtube.com/channel/UCz799FrP_bspgWNMBVRz5JQ")</f>
        <v>https://www.youtube.com/channel/UCz799FrP_bspgWNMBVRz5JQ</v>
      </c>
      <c r="AU57" s="80" t="str">
        <f>REPLACE(INDEX(GroupVertices[Group],MATCH(Vertices[[#This Row],[Vertex]],GroupVertices[Vertex],0)),1,1,"")</f>
        <v>8</v>
      </c>
      <c r="AV57" s="49">
        <v>0</v>
      </c>
      <c r="AW57" s="50">
        <v>0</v>
      </c>
      <c r="AX57" s="49">
        <v>0</v>
      </c>
      <c r="AY57" s="50">
        <v>0</v>
      </c>
      <c r="AZ57" s="49">
        <v>0</v>
      </c>
      <c r="BA57" s="50">
        <v>0</v>
      </c>
      <c r="BB57" s="49">
        <v>12</v>
      </c>
      <c r="BC57" s="50">
        <v>100</v>
      </c>
      <c r="BD57" s="49">
        <v>12</v>
      </c>
      <c r="BE57" s="49"/>
      <c r="BF57" s="49"/>
      <c r="BG57" s="49"/>
      <c r="BH57" s="49"/>
      <c r="BI57" s="49"/>
      <c r="BJ57" s="49"/>
      <c r="BK57" s="111" t="s">
        <v>2397</v>
      </c>
      <c r="BL57" s="111" t="s">
        <v>2397</v>
      </c>
      <c r="BM57" s="111" t="s">
        <v>2587</v>
      </c>
      <c r="BN57" s="111" t="s">
        <v>2587</v>
      </c>
      <c r="BO57" s="2"/>
      <c r="BP57" s="3"/>
      <c r="BQ57" s="3"/>
      <c r="BR57" s="3"/>
      <c r="BS57" s="3"/>
    </row>
    <row r="58" spans="1:71" ht="15">
      <c r="A58" s="65" t="s">
        <v>384</v>
      </c>
      <c r="B58" s="66"/>
      <c r="C58" s="66"/>
      <c r="D58" s="67">
        <v>150</v>
      </c>
      <c r="E58" s="69"/>
      <c r="F58" s="103" t="str">
        <f>HYPERLINK("https://yt3.ggpht.com/ytc/AKedOLTFSRtH3Gp1G2s5rACWIDahKf0czzfP06Znj0bVNw=s88-c-k-c0x00ffffff-no-rj")</f>
        <v>https://yt3.ggpht.com/ytc/AKedOLTFSRtH3Gp1G2s5rACWIDahKf0czzfP06Znj0bVNw=s88-c-k-c0x00ffffff-no-rj</v>
      </c>
      <c r="G58" s="66"/>
      <c r="H58" s="70" t="s">
        <v>897</v>
      </c>
      <c r="I58" s="71"/>
      <c r="J58" s="71" t="s">
        <v>159</v>
      </c>
      <c r="K58" s="70" t="s">
        <v>897</v>
      </c>
      <c r="L58" s="74">
        <v>1</v>
      </c>
      <c r="M58" s="75">
        <v>4093.119140625</v>
      </c>
      <c r="N58" s="75">
        <v>4619.58154296875</v>
      </c>
      <c r="O58" s="76"/>
      <c r="P58" s="77"/>
      <c r="Q58" s="77"/>
      <c r="R58" s="89"/>
      <c r="S58" s="49">
        <v>1</v>
      </c>
      <c r="T58" s="49">
        <v>1</v>
      </c>
      <c r="U58" s="50">
        <v>0</v>
      </c>
      <c r="V58" s="50">
        <v>0.021366</v>
      </c>
      <c r="W58" s="50">
        <v>0</v>
      </c>
      <c r="X58" s="50">
        <v>0.004018</v>
      </c>
      <c r="Y58" s="50">
        <v>0.5</v>
      </c>
      <c r="Z58" s="50">
        <v>0</v>
      </c>
      <c r="AA58" s="72">
        <v>58</v>
      </c>
      <c r="AB58" s="72"/>
      <c r="AC58" s="73"/>
      <c r="AD58" s="80" t="s">
        <v>897</v>
      </c>
      <c r="AE58" s="80"/>
      <c r="AF58" s="80"/>
      <c r="AG58" s="80"/>
      <c r="AH58" s="80"/>
      <c r="AI58" s="80"/>
      <c r="AJ58" s="87">
        <v>41061.755949074075</v>
      </c>
      <c r="AK58" s="85" t="str">
        <f>HYPERLINK("https://yt3.ggpht.com/ytc/AKedOLTFSRtH3Gp1G2s5rACWIDahKf0czzfP06Znj0bVNw=s88-c-k-c0x00ffffff-no-rj")</f>
        <v>https://yt3.ggpht.com/ytc/AKedOLTFSRtH3Gp1G2s5rACWIDahKf0czzfP06Znj0bVNw=s88-c-k-c0x00ffffff-no-rj</v>
      </c>
      <c r="AL58" s="80">
        <v>0</v>
      </c>
      <c r="AM58" s="80">
        <v>0</v>
      </c>
      <c r="AN58" s="80">
        <v>0</v>
      </c>
      <c r="AO58" s="80" t="b">
        <v>0</v>
      </c>
      <c r="AP58" s="80">
        <v>0</v>
      </c>
      <c r="AQ58" s="80"/>
      <c r="AR58" s="80"/>
      <c r="AS58" s="80" t="s">
        <v>1376</v>
      </c>
      <c r="AT58" s="85" t="str">
        <f>HYPERLINK("https://www.youtube.com/channel/UC8VGjN2NAbDcGbnw8kcioqw")</f>
        <v>https://www.youtube.com/channel/UC8VGjN2NAbDcGbnw8kcioqw</v>
      </c>
      <c r="AU58" s="80" t="str">
        <f>REPLACE(INDEX(GroupVertices[Group],MATCH(Vertices[[#This Row],[Vertex]],GroupVertices[Vertex],0)),1,1,"")</f>
        <v>8</v>
      </c>
      <c r="AV58" s="49">
        <v>0</v>
      </c>
      <c r="AW58" s="50">
        <v>0</v>
      </c>
      <c r="AX58" s="49">
        <v>0</v>
      </c>
      <c r="AY58" s="50">
        <v>0</v>
      </c>
      <c r="AZ58" s="49">
        <v>0</v>
      </c>
      <c r="BA58" s="50">
        <v>0</v>
      </c>
      <c r="BB58" s="49">
        <v>30</v>
      </c>
      <c r="BC58" s="50">
        <v>100</v>
      </c>
      <c r="BD58" s="49">
        <v>30</v>
      </c>
      <c r="BE58" s="49"/>
      <c r="BF58" s="49"/>
      <c r="BG58" s="49"/>
      <c r="BH58" s="49"/>
      <c r="BI58" s="49"/>
      <c r="BJ58" s="49"/>
      <c r="BK58" s="111" t="s">
        <v>2398</v>
      </c>
      <c r="BL58" s="111" t="s">
        <v>2398</v>
      </c>
      <c r="BM58" s="111" t="s">
        <v>2588</v>
      </c>
      <c r="BN58" s="111" t="s">
        <v>2588</v>
      </c>
      <c r="BO58" s="2"/>
      <c r="BP58" s="3"/>
      <c r="BQ58" s="3"/>
      <c r="BR58" s="3"/>
      <c r="BS58" s="3"/>
    </row>
    <row r="59" spans="1:71" ht="15">
      <c r="A59" s="65" t="s">
        <v>385</v>
      </c>
      <c r="B59" s="66"/>
      <c r="C59" s="66"/>
      <c r="D59" s="67">
        <v>150</v>
      </c>
      <c r="E59" s="69"/>
      <c r="F59" s="103" t="str">
        <f>HYPERLINK("https://yt3.ggpht.com/ytc/AKedOLSupkoMkl4DuSmIExINW3yEds-q8SB_j2E9kbUMupQ=s88-c-k-c0x00ffffff-no-rj")</f>
        <v>https://yt3.ggpht.com/ytc/AKedOLSupkoMkl4DuSmIExINW3yEds-q8SB_j2E9kbUMupQ=s88-c-k-c0x00ffffff-no-rj</v>
      </c>
      <c r="G59" s="66"/>
      <c r="H59" s="70" t="s">
        <v>898</v>
      </c>
      <c r="I59" s="71"/>
      <c r="J59" s="71" t="s">
        <v>159</v>
      </c>
      <c r="K59" s="70" t="s">
        <v>898</v>
      </c>
      <c r="L59" s="74">
        <v>1</v>
      </c>
      <c r="M59" s="75">
        <v>5753.14013671875</v>
      </c>
      <c r="N59" s="75">
        <v>6396.4189453125</v>
      </c>
      <c r="O59" s="76"/>
      <c r="P59" s="77"/>
      <c r="Q59" s="77"/>
      <c r="R59" s="89"/>
      <c r="S59" s="49">
        <v>0</v>
      </c>
      <c r="T59" s="49">
        <v>1</v>
      </c>
      <c r="U59" s="50">
        <v>0</v>
      </c>
      <c r="V59" s="50">
        <v>0.015793</v>
      </c>
      <c r="W59" s="50">
        <v>0</v>
      </c>
      <c r="X59" s="50">
        <v>0.004026</v>
      </c>
      <c r="Y59" s="50">
        <v>0</v>
      </c>
      <c r="Z59" s="50">
        <v>0</v>
      </c>
      <c r="AA59" s="72">
        <v>59</v>
      </c>
      <c r="AB59" s="72"/>
      <c r="AC59" s="73"/>
      <c r="AD59" s="80" t="s">
        <v>898</v>
      </c>
      <c r="AE59" s="80"/>
      <c r="AF59" s="80"/>
      <c r="AG59" s="80"/>
      <c r="AH59" s="80"/>
      <c r="AI59" s="80"/>
      <c r="AJ59" s="87">
        <v>40056.64098379629</v>
      </c>
      <c r="AK59" s="85" t="str">
        <f>HYPERLINK("https://yt3.ggpht.com/ytc/AKedOLSupkoMkl4DuSmIExINW3yEds-q8SB_j2E9kbUMupQ=s88-c-k-c0x00ffffff-no-rj")</f>
        <v>https://yt3.ggpht.com/ytc/AKedOLSupkoMkl4DuSmIExINW3yEds-q8SB_j2E9kbUMupQ=s88-c-k-c0x00ffffff-no-rj</v>
      </c>
      <c r="AL59" s="80">
        <v>0</v>
      </c>
      <c r="AM59" s="80">
        <v>0</v>
      </c>
      <c r="AN59" s="80">
        <v>1</v>
      </c>
      <c r="AO59" s="80" t="b">
        <v>0</v>
      </c>
      <c r="AP59" s="80">
        <v>0</v>
      </c>
      <c r="AQ59" s="80"/>
      <c r="AR59" s="80"/>
      <c r="AS59" s="80" t="s">
        <v>1376</v>
      </c>
      <c r="AT59" s="85" t="str">
        <f>HYPERLINK("https://www.youtube.com/channel/UC3SVNW8fO0QB0VQgw-Cboeg")</f>
        <v>https://www.youtube.com/channel/UC3SVNW8fO0QB0VQgw-Cboeg</v>
      </c>
      <c r="AU59" s="80" t="str">
        <f>REPLACE(INDEX(GroupVertices[Group],MATCH(Vertices[[#This Row],[Vertex]],GroupVertices[Vertex],0)),1,1,"")</f>
        <v>8</v>
      </c>
      <c r="AV59" s="49">
        <v>0</v>
      </c>
      <c r="AW59" s="50">
        <v>0</v>
      </c>
      <c r="AX59" s="49">
        <v>0</v>
      </c>
      <c r="AY59" s="50">
        <v>0</v>
      </c>
      <c r="AZ59" s="49">
        <v>0</v>
      </c>
      <c r="BA59" s="50">
        <v>0</v>
      </c>
      <c r="BB59" s="49">
        <v>24</v>
      </c>
      <c r="BC59" s="50">
        <v>100</v>
      </c>
      <c r="BD59" s="49">
        <v>24</v>
      </c>
      <c r="BE59" s="49"/>
      <c r="BF59" s="49"/>
      <c r="BG59" s="49"/>
      <c r="BH59" s="49"/>
      <c r="BI59" s="49"/>
      <c r="BJ59" s="49"/>
      <c r="BK59" s="111" t="s">
        <v>2399</v>
      </c>
      <c r="BL59" s="111" t="s">
        <v>2399</v>
      </c>
      <c r="BM59" s="111" t="s">
        <v>2589</v>
      </c>
      <c r="BN59" s="111" t="s">
        <v>2589</v>
      </c>
      <c r="BO59" s="2"/>
      <c r="BP59" s="3"/>
      <c r="BQ59" s="3"/>
      <c r="BR59" s="3"/>
      <c r="BS59" s="3"/>
    </row>
    <row r="60" spans="1:71" ht="15">
      <c r="A60" s="65" t="s">
        <v>386</v>
      </c>
      <c r="B60" s="66"/>
      <c r="C60" s="66"/>
      <c r="D60" s="67">
        <v>163.02681992337165</v>
      </c>
      <c r="E60" s="69"/>
      <c r="F60" s="103" t="str">
        <f>HYPERLINK("https://yt3.ggpht.com/ytc/AKedOLQ4PGz2Ira6_qcHjXOeIlV0i7XwXZKmamt512HRCbQ=s88-c-k-c0x00ffffff-no-rj")</f>
        <v>https://yt3.ggpht.com/ytc/AKedOLQ4PGz2Ira6_qcHjXOeIlV0i7XwXZKmamt512HRCbQ=s88-c-k-c0x00ffffff-no-rj</v>
      </c>
      <c r="G60" s="66"/>
      <c r="H60" s="70" t="s">
        <v>899</v>
      </c>
      <c r="I60" s="71"/>
      <c r="J60" s="71" t="s">
        <v>75</v>
      </c>
      <c r="K60" s="70" t="s">
        <v>899</v>
      </c>
      <c r="L60" s="74">
        <v>12.538234056343374</v>
      </c>
      <c r="M60" s="75">
        <v>5161.9453125</v>
      </c>
      <c r="N60" s="75">
        <v>5886.0673828125</v>
      </c>
      <c r="O60" s="76"/>
      <c r="P60" s="77"/>
      <c r="Q60" s="77"/>
      <c r="R60" s="89"/>
      <c r="S60" s="49">
        <v>2</v>
      </c>
      <c r="T60" s="49">
        <v>1</v>
      </c>
      <c r="U60" s="50">
        <v>16</v>
      </c>
      <c r="V60" s="50">
        <v>0.024215</v>
      </c>
      <c r="W60" s="50">
        <v>0</v>
      </c>
      <c r="X60" s="50">
        <v>0.004622</v>
      </c>
      <c r="Y60" s="50">
        <v>0.16666666666666666</v>
      </c>
      <c r="Z60" s="50">
        <v>0</v>
      </c>
      <c r="AA60" s="72">
        <v>60</v>
      </c>
      <c r="AB60" s="72"/>
      <c r="AC60" s="73"/>
      <c r="AD60" s="80" t="s">
        <v>899</v>
      </c>
      <c r="AE60" s="80" t="s">
        <v>1305</v>
      </c>
      <c r="AF60" s="80"/>
      <c r="AG60" s="80"/>
      <c r="AH60" s="80"/>
      <c r="AI60" s="80" t="s">
        <v>1352</v>
      </c>
      <c r="AJ60" s="87">
        <v>39259.97304398148</v>
      </c>
      <c r="AK60" s="85" t="str">
        <f>HYPERLINK("https://yt3.ggpht.com/ytc/AKedOLQ4PGz2Ira6_qcHjXOeIlV0i7XwXZKmamt512HRCbQ=s88-c-k-c0x00ffffff-no-rj")</f>
        <v>https://yt3.ggpht.com/ytc/AKedOLQ4PGz2Ira6_qcHjXOeIlV0i7XwXZKmamt512HRCbQ=s88-c-k-c0x00ffffff-no-rj</v>
      </c>
      <c r="AL60" s="80">
        <v>915138</v>
      </c>
      <c r="AM60" s="80">
        <v>0</v>
      </c>
      <c r="AN60" s="80">
        <v>354</v>
      </c>
      <c r="AO60" s="80" t="b">
        <v>0</v>
      </c>
      <c r="AP60" s="80">
        <v>41</v>
      </c>
      <c r="AQ60" s="80"/>
      <c r="AR60" s="80"/>
      <c r="AS60" s="80" t="s">
        <v>1376</v>
      </c>
      <c r="AT60" s="85" t="str">
        <f>HYPERLINK("https://www.youtube.com/channel/UCB14GBHsqGQ0iUL121nwOKQ")</f>
        <v>https://www.youtube.com/channel/UCB14GBHsqGQ0iUL121nwOKQ</v>
      </c>
      <c r="AU60" s="80" t="str">
        <f>REPLACE(INDEX(GroupVertices[Group],MATCH(Vertices[[#This Row],[Vertex]],GroupVertices[Vertex],0)),1,1,"")</f>
        <v>8</v>
      </c>
      <c r="AV60" s="49">
        <v>0</v>
      </c>
      <c r="AW60" s="50">
        <v>0</v>
      </c>
      <c r="AX60" s="49">
        <v>0</v>
      </c>
      <c r="AY60" s="50">
        <v>0</v>
      </c>
      <c r="AZ60" s="49">
        <v>0</v>
      </c>
      <c r="BA60" s="50">
        <v>0</v>
      </c>
      <c r="BB60" s="49">
        <v>52</v>
      </c>
      <c r="BC60" s="50">
        <v>100</v>
      </c>
      <c r="BD60" s="49">
        <v>52</v>
      </c>
      <c r="BE60" s="49"/>
      <c r="BF60" s="49"/>
      <c r="BG60" s="49"/>
      <c r="BH60" s="49"/>
      <c r="BI60" s="49"/>
      <c r="BJ60" s="49"/>
      <c r="BK60" s="111" t="s">
        <v>2400</v>
      </c>
      <c r="BL60" s="111" t="s">
        <v>2400</v>
      </c>
      <c r="BM60" s="111" t="s">
        <v>2590</v>
      </c>
      <c r="BN60" s="111" t="s">
        <v>2590</v>
      </c>
      <c r="BO60" s="2"/>
      <c r="BP60" s="3"/>
      <c r="BQ60" s="3"/>
      <c r="BR60" s="3"/>
      <c r="BS60" s="3"/>
    </row>
    <row r="61" spans="1:71" ht="15">
      <c r="A61" s="65" t="s">
        <v>387</v>
      </c>
      <c r="B61" s="66"/>
      <c r="C61" s="66"/>
      <c r="D61" s="67">
        <v>150</v>
      </c>
      <c r="E61" s="69"/>
      <c r="F61" s="103" t="str">
        <f>HYPERLINK("https://yt3.ggpht.com/ytc/AKedOLQngI-zjB3KZtPHce0fxmJohbsYBIYo5_APOQ=s88-c-k-c0x00ffffff-no-rj")</f>
        <v>https://yt3.ggpht.com/ytc/AKedOLQngI-zjB3KZtPHce0fxmJohbsYBIYo5_APOQ=s88-c-k-c0x00ffffff-no-rj</v>
      </c>
      <c r="G61" s="66"/>
      <c r="H61" s="70" t="s">
        <v>900</v>
      </c>
      <c r="I61" s="71"/>
      <c r="J61" s="71" t="s">
        <v>159</v>
      </c>
      <c r="K61" s="70" t="s">
        <v>900</v>
      </c>
      <c r="L61" s="74">
        <v>1</v>
      </c>
      <c r="M61" s="75">
        <v>3837.324462890625</v>
      </c>
      <c r="N61" s="75">
        <v>5256.9189453125</v>
      </c>
      <c r="O61" s="76"/>
      <c r="P61" s="77"/>
      <c r="Q61" s="77"/>
      <c r="R61" s="89"/>
      <c r="S61" s="49">
        <v>1</v>
      </c>
      <c r="T61" s="49">
        <v>1</v>
      </c>
      <c r="U61" s="50">
        <v>0</v>
      </c>
      <c r="V61" s="50">
        <v>0.021366</v>
      </c>
      <c r="W61" s="50">
        <v>0</v>
      </c>
      <c r="X61" s="50">
        <v>0.004018</v>
      </c>
      <c r="Y61" s="50">
        <v>0.5</v>
      </c>
      <c r="Z61" s="50">
        <v>0</v>
      </c>
      <c r="AA61" s="72">
        <v>61</v>
      </c>
      <c r="AB61" s="72"/>
      <c r="AC61" s="73"/>
      <c r="AD61" s="80" t="s">
        <v>900</v>
      </c>
      <c r="AE61" s="80"/>
      <c r="AF61" s="80"/>
      <c r="AG61" s="80"/>
      <c r="AH61" s="80"/>
      <c r="AI61" s="80"/>
      <c r="AJ61" s="87">
        <v>40416.790625</v>
      </c>
      <c r="AK61" s="85" t="str">
        <f>HYPERLINK("https://yt3.ggpht.com/ytc/AKedOLQngI-zjB3KZtPHce0fxmJohbsYBIYo5_APOQ=s88-c-k-c0x00ffffff-no-rj")</f>
        <v>https://yt3.ggpht.com/ytc/AKedOLQngI-zjB3KZtPHce0fxmJohbsYBIYo5_APOQ=s88-c-k-c0x00ffffff-no-rj</v>
      </c>
      <c r="AL61" s="80">
        <v>0</v>
      </c>
      <c r="AM61" s="80">
        <v>0</v>
      </c>
      <c r="AN61" s="80">
        <v>0</v>
      </c>
      <c r="AO61" s="80" t="b">
        <v>0</v>
      </c>
      <c r="AP61" s="80">
        <v>0</v>
      </c>
      <c r="AQ61" s="80"/>
      <c r="AR61" s="80"/>
      <c r="AS61" s="80" t="s">
        <v>1376</v>
      </c>
      <c r="AT61" s="85" t="str">
        <f>HYPERLINK("https://www.youtube.com/channel/UCXWqZlXgy_0lF0b_br8sk0A")</f>
        <v>https://www.youtube.com/channel/UCXWqZlXgy_0lF0b_br8sk0A</v>
      </c>
      <c r="AU61" s="80" t="str">
        <f>REPLACE(INDEX(GroupVertices[Group],MATCH(Vertices[[#This Row],[Vertex]],GroupVertices[Vertex],0)),1,1,"")</f>
        <v>8</v>
      </c>
      <c r="AV61" s="49">
        <v>0</v>
      </c>
      <c r="AW61" s="50">
        <v>0</v>
      </c>
      <c r="AX61" s="49">
        <v>0</v>
      </c>
      <c r="AY61" s="50">
        <v>0</v>
      </c>
      <c r="AZ61" s="49">
        <v>0</v>
      </c>
      <c r="BA61" s="50">
        <v>0</v>
      </c>
      <c r="BB61" s="49">
        <v>37</v>
      </c>
      <c r="BC61" s="50">
        <v>100</v>
      </c>
      <c r="BD61" s="49">
        <v>37</v>
      </c>
      <c r="BE61" s="49"/>
      <c r="BF61" s="49"/>
      <c r="BG61" s="49"/>
      <c r="BH61" s="49"/>
      <c r="BI61" s="49"/>
      <c r="BJ61" s="49"/>
      <c r="BK61" s="111" t="s">
        <v>2401</v>
      </c>
      <c r="BL61" s="111" t="s">
        <v>2401</v>
      </c>
      <c r="BM61" s="111" t="s">
        <v>2591</v>
      </c>
      <c r="BN61" s="111" t="s">
        <v>2591</v>
      </c>
      <c r="BO61" s="2"/>
      <c r="BP61" s="3"/>
      <c r="BQ61" s="3"/>
      <c r="BR61" s="3"/>
      <c r="BS61" s="3"/>
    </row>
    <row r="62" spans="1:71" ht="15">
      <c r="A62" s="65" t="s">
        <v>388</v>
      </c>
      <c r="B62" s="66"/>
      <c r="C62" s="66"/>
      <c r="D62" s="67">
        <v>150</v>
      </c>
      <c r="E62" s="69"/>
      <c r="F62" s="103" t="str">
        <f>HYPERLINK("https://yt3.ggpht.com/ytc/AKedOLRbf_1VzmUscNH1OAeWOAJsvs3V8MGki8NUUnQ7Kw=s88-c-k-c0x00ffffff-no-rj")</f>
        <v>https://yt3.ggpht.com/ytc/AKedOLRbf_1VzmUscNH1OAeWOAJsvs3V8MGki8NUUnQ7Kw=s88-c-k-c0x00ffffff-no-rj</v>
      </c>
      <c r="G62" s="66"/>
      <c r="H62" s="70" t="s">
        <v>901</v>
      </c>
      <c r="I62" s="71"/>
      <c r="J62" s="71" t="s">
        <v>159</v>
      </c>
      <c r="K62" s="70" t="s">
        <v>901</v>
      </c>
      <c r="L62" s="74">
        <v>1</v>
      </c>
      <c r="M62" s="75">
        <v>4658.96875</v>
      </c>
      <c r="N62" s="75">
        <v>4411.32373046875</v>
      </c>
      <c r="O62" s="76"/>
      <c r="P62" s="77"/>
      <c r="Q62" s="77"/>
      <c r="R62" s="89"/>
      <c r="S62" s="49">
        <v>2</v>
      </c>
      <c r="T62" s="49">
        <v>2</v>
      </c>
      <c r="U62" s="50">
        <v>0</v>
      </c>
      <c r="V62" s="50">
        <v>0.021366</v>
      </c>
      <c r="W62" s="50">
        <v>0</v>
      </c>
      <c r="X62" s="50">
        <v>0.004229</v>
      </c>
      <c r="Y62" s="50">
        <v>0.5</v>
      </c>
      <c r="Z62" s="50">
        <v>0</v>
      </c>
      <c r="AA62" s="72">
        <v>62</v>
      </c>
      <c r="AB62" s="72"/>
      <c r="AC62" s="73"/>
      <c r="AD62" s="80" t="s">
        <v>901</v>
      </c>
      <c r="AE62" s="80"/>
      <c r="AF62" s="80"/>
      <c r="AG62" s="80"/>
      <c r="AH62" s="80"/>
      <c r="AI62" s="80"/>
      <c r="AJ62" s="87">
        <v>40840.22765046296</v>
      </c>
      <c r="AK62" s="85" t="str">
        <f>HYPERLINK("https://yt3.ggpht.com/ytc/AKedOLRbf_1VzmUscNH1OAeWOAJsvs3V8MGki8NUUnQ7Kw=s88-c-k-c0x00ffffff-no-rj")</f>
        <v>https://yt3.ggpht.com/ytc/AKedOLRbf_1VzmUscNH1OAeWOAJsvs3V8MGki8NUUnQ7Kw=s88-c-k-c0x00ffffff-no-rj</v>
      </c>
      <c r="AL62" s="80">
        <v>0</v>
      </c>
      <c r="AM62" s="80">
        <v>0</v>
      </c>
      <c r="AN62" s="80">
        <v>0</v>
      </c>
      <c r="AO62" s="80" t="b">
        <v>0</v>
      </c>
      <c r="AP62" s="80">
        <v>1</v>
      </c>
      <c r="AQ62" s="80"/>
      <c r="AR62" s="80"/>
      <c r="AS62" s="80" t="s">
        <v>1376</v>
      </c>
      <c r="AT62" s="85" t="str">
        <f>HYPERLINK("https://www.youtube.com/channel/UCG6UKWK21O1SGwcuG4SaH0A")</f>
        <v>https://www.youtube.com/channel/UCG6UKWK21O1SGwcuG4SaH0A</v>
      </c>
      <c r="AU62" s="80" t="str">
        <f>REPLACE(INDEX(GroupVertices[Group],MATCH(Vertices[[#This Row],[Vertex]],GroupVertices[Vertex],0)),1,1,"")</f>
        <v>8</v>
      </c>
      <c r="AV62" s="49">
        <v>3</v>
      </c>
      <c r="AW62" s="50">
        <v>3.488372093023256</v>
      </c>
      <c r="AX62" s="49">
        <v>0</v>
      </c>
      <c r="AY62" s="50">
        <v>0</v>
      </c>
      <c r="AZ62" s="49">
        <v>0</v>
      </c>
      <c r="BA62" s="50">
        <v>0</v>
      </c>
      <c r="BB62" s="49">
        <v>83</v>
      </c>
      <c r="BC62" s="50">
        <v>96.51162790697674</v>
      </c>
      <c r="BD62" s="49">
        <v>86</v>
      </c>
      <c r="BE62" s="49"/>
      <c r="BF62" s="49"/>
      <c r="BG62" s="49"/>
      <c r="BH62" s="49"/>
      <c r="BI62" s="49"/>
      <c r="BJ62" s="49"/>
      <c r="BK62" s="111" t="s">
        <v>2402</v>
      </c>
      <c r="BL62" s="111" t="s">
        <v>2529</v>
      </c>
      <c r="BM62" s="111" t="s">
        <v>2592</v>
      </c>
      <c r="BN62" s="111" t="s">
        <v>2592</v>
      </c>
      <c r="BO62" s="2"/>
      <c r="BP62" s="3"/>
      <c r="BQ62" s="3"/>
      <c r="BR62" s="3"/>
      <c r="BS62" s="3"/>
    </row>
    <row r="63" spans="1:71" ht="15">
      <c r="A63" s="65" t="s">
        <v>389</v>
      </c>
      <c r="B63" s="66"/>
      <c r="C63" s="66"/>
      <c r="D63" s="67">
        <v>150</v>
      </c>
      <c r="E63" s="69"/>
      <c r="F63" s="103" t="str">
        <f>HYPERLINK("https://yt3.ggpht.com/ytc/AKedOLRAqM9MjkyUMojOmGBmxQfMQ1VSMhZ9Yi55GFBZIGI=s88-c-k-c0x00ffffff-no-rj")</f>
        <v>https://yt3.ggpht.com/ytc/AKedOLRAqM9MjkyUMojOmGBmxQfMQ1VSMhZ9Yi55GFBZIGI=s88-c-k-c0x00ffffff-no-rj</v>
      </c>
      <c r="G63" s="66"/>
      <c r="H63" s="70" t="s">
        <v>902</v>
      </c>
      <c r="I63" s="71"/>
      <c r="J63" s="71" t="s">
        <v>159</v>
      </c>
      <c r="K63" s="70" t="s">
        <v>902</v>
      </c>
      <c r="L63" s="74">
        <v>1</v>
      </c>
      <c r="M63" s="75">
        <v>3821.27392578125</v>
      </c>
      <c r="N63" s="75">
        <v>6115.93994140625</v>
      </c>
      <c r="O63" s="76"/>
      <c r="P63" s="77"/>
      <c r="Q63" s="77"/>
      <c r="R63" s="89"/>
      <c r="S63" s="49">
        <v>0</v>
      </c>
      <c r="T63" s="49">
        <v>1</v>
      </c>
      <c r="U63" s="50">
        <v>0</v>
      </c>
      <c r="V63" s="50">
        <v>0.020179</v>
      </c>
      <c r="W63" s="50">
        <v>0</v>
      </c>
      <c r="X63" s="50">
        <v>0.003899</v>
      </c>
      <c r="Y63" s="50">
        <v>0</v>
      </c>
      <c r="Z63" s="50">
        <v>0</v>
      </c>
      <c r="AA63" s="72">
        <v>63</v>
      </c>
      <c r="AB63" s="72"/>
      <c r="AC63" s="73"/>
      <c r="AD63" s="80" t="s">
        <v>902</v>
      </c>
      <c r="AE63" s="80"/>
      <c r="AF63" s="80"/>
      <c r="AG63" s="80"/>
      <c r="AH63" s="80"/>
      <c r="AI63" s="80"/>
      <c r="AJ63" s="87">
        <v>40816.62912037037</v>
      </c>
      <c r="AK63" s="85" t="str">
        <f>HYPERLINK("https://yt3.ggpht.com/ytc/AKedOLRAqM9MjkyUMojOmGBmxQfMQ1VSMhZ9Yi55GFBZIGI=s88-c-k-c0x00ffffff-no-rj")</f>
        <v>https://yt3.ggpht.com/ytc/AKedOLRAqM9MjkyUMojOmGBmxQfMQ1VSMhZ9Yi55GFBZIGI=s88-c-k-c0x00ffffff-no-rj</v>
      </c>
      <c r="AL63" s="80">
        <v>872</v>
      </c>
      <c r="AM63" s="80">
        <v>0</v>
      </c>
      <c r="AN63" s="80">
        <v>24</v>
      </c>
      <c r="AO63" s="80" t="b">
        <v>0</v>
      </c>
      <c r="AP63" s="80">
        <v>7</v>
      </c>
      <c r="AQ63" s="80"/>
      <c r="AR63" s="80"/>
      <c r="AS63" s="80" t="s">
        <v>1376</v>
      </c>
      <c r="AT63" s="85" t="str">
        <f>HYPERLINK("https://www.youtube.com/channel/UCfgG-ovLKqB8k2KnSbx32Lw")</f>
        <v>https://www.youtube.com/channel/UCfgG-ovLKqB8k2KnSbx32Lw</v>
      </c>
      <c r="AU63" s="80" t="str">
        <f>REPLACE(INDEX(GroupVertices[Group],MATCH(Vertices[[#This Row],[Vertex]],GroupVertices[Vertex],0)),1,1,"")</f>
        <v>8</v>
      </c>
      <c r="AV63" s="49">
        <v>0</v>
      </c>
      <c r="AW63" s="50">
        <v>0</v>
      </c>
      <c r="AX63" s="49">
        <v>0</v>
      </c>
      <c r="AY63" s="50">
        <v>0</v>
      </c>
      <c r="AZ63" s="49">
        <v>0</v>
      </c>
      <c r="BA63" s="50">
        <v>0</v>
      </c>
      <c r="BB63" s="49">
        <v>2</v>
      </c>
      <c r="BC63" s="50">
        <v>100</v>
      </c>
      <c r="BD63" s="49">
        <v>2</v>
      </c>
      <c r="BE63" s="49"/>
      <c r="BF63" s="49"/>
      <c r="BG63" s="49"/>
      <c r="BH63" s="49"/>
      <c r="BI63" s="49"/>
      <c r="BJ63" s="49"/>
      <c r="BK63" s="111" t="s">
        <v>2403</v>
      </c>
      <c r="BL63" s="111" t="s">
        <v>2403</v>
      </c>
      <c r="BM63" s="111" t="s">
        <v>2593</v>
      </c>
      <c r="BN63" s="111" t="s">
        <v>2593</v>
      </c>
      <c r="BO63" s="2"/>
      <c r="BP63" s="3"/>
      <c r="BQ63" s="3"/>
      <c r="BR63" s="3"/>
      <c r="BS63" s="3"/>
    </row>
    <row r="64" spans="1:71" ht="15">
      <c r="A64" s="65" t="s">
        <v>390</v>
      </c>
      <c r="B64" s="66"/>
      <c r="C64" s="66"/>
      <c r="D64" s="67">
        <v>150</v>
      </c>
      <c r="E64" s="69"/>
      <c r="F64" s="103" t="str">
        <f>HYPERLINK("https://yt3.ggpht.com/ytc/AKedOLQ_fqfS0kIz37ks_rJC4547QseqrwpSFwZgMA=s88-c-k-c0x00ffffff-no-rj")</f>
        <v>https://yt3.ggpht.com/ytc/AKedOLQ_fqfS0kIz37ks_rJC4547QseqrwpSFwZgMA=s88-c-k-c0x00ffffff-no-rj</v>
      </c>
      <c r="G64" s="66"/>
      <c r="H64" s="70" t="s">
        <v>903</v>
      </c>
      <c r="I64" s="71"/>
      <c r="J64" s="71" t="s">
        <v>159</v>
      </c>
      <c r="K64" s="70" t="s">
        <v>903</v>
      </c>
      <c r="L64" s="74">
        <v>1</v>
      </c>
      <c r="M64" s="75">
        <v>9712.404296875</v>
      </c>
      <c r="N64" s="75">
        <v>1426.327880859375</v>
      </c>
      <c r="O64" s="76"/>
      <c r="P64" s="77"/>
      <c r="Q64" s="77"/>
      <c r="R64" s="89"/>
      <c r="S64" s="49">
        <v>0</v>
      </c>
      <c r="T64" s="49">
        <v>1</v>
      </c>
      <c r="U64" s="50">
        <v>0</v>
      </c>
      <c r="V64" s="50">
        <v>0.004484</v>
      </c>
      <c r="W64" s="50">
        <v>0</v>
      </c>
      <c r="X64" s="50">
        <v>0.004153</v>
      </c>
      <c r="Y64" s="50">
        <v>0</v>
      </c>
      <c r="Z64" s="50">
        <v>0</v>
      </c>
      <c r="AA64" s="72">
        <v>64</v>
      </c>
      <c r="AB64" s="72"/>
      <c r="AC64" s="73"/>
      <c r="AD64" s="80" t="s">
        <v>903</v>
      </c>
      <c r="AE64" s="80"/>
      <c r="AF64" s="80"/>
      <c r="AG64" s="80"/>
      <c r="AH64" s="80"/>
      <c r="AI64" s="80"/>
      <c r="AJ64" s="87">
        <v>44278.74050925926</v>
      </c>
      <c r="AK64" s="85" t="str">
        <f>HYPERLINK("https://yt3.ggpht.com/ytc/AKedOLQ_fqfS0kIz37ks_rJC4547QseqrwpSFwZgMA=s88-c-k-c0x00ffffff-no-rj")</f>
        <v>https://yt3.ggpht.com/ytc/AKedOLQ_fqfS0kIz37ks_rJC4547QseqrwpSFwZgMA=s88-c-k-c0x00ffffff-no-rj</v>
      </c>
      <c r="AL64" s="80">
        <v>0</v>
      </c>
      <c r="AM64" s="80">
        <v>0</v>
      </c>
      <c r="AN64" s="80">
        <v>0</v>
      </c>
      <c r="AO64" s="80" t="b">
        <v>0</v>
      </c>
      <c r="AP64" s="80">
        <v>0</v>
      </c>
      <c r="AQ64" s="80"/>
      <c r="AR64" s="80"/>
      <c r="AS64" s="80" t="s">
        <v>1376</v>
      </c>
      <c r="AT64" s="85" t="str">
        <f>HYPERLINK("https://www.youtube.com/channel/UCqocO9ovci3JuSvsYKR36HA")</f>
        <v>https://www.youtube.com/channel/UCqocO9ovci3JuSvsYKR36HA</v>
      </c>
      <c r="AU64" s="80" t="str">
        <f>REPLACE(INDEX(GroupVertices[Group],MATCH(Vertices[[#This Row],[Vertex]],GroupVertices[Vertex],0)),1,1,"")</f>
        <v>20</v>
      </c>
      <c r="AV64" s="49">
        <v>0</v>
      </c>
      <c r="AW64" s="50">
        <v>0</v>
      </c>
      <c r="AX64" s="49">
        <v>2</v>
      </c>
      <c r="AY64" s="50">
        <v>8.695652173913043</v>
      </c>
      <c r="AZ64" s="49">
        <v>0</v>
      </c>
      <c r="BA64" s="50">
        <v>0</v>
      </c>
      <c r="BB64" s="49">
        <v>21</v>
      </c>
      <c r="BC64" s="50">
        <v>91.30434782608695</v>
      </c>
      <c r="BD64" s="49">
        <v>23</v>
      </c>
      <c r="BE64" s="49"/>
      <c r="BF64" s="49"/>
      <c r="BG64" s="49"/>
      <c r="BH64" s="49"/>
      <c r="BI64" s="49"/>
      <c r="BJ64" s="49"/>
      <c r="BK64" s="111" t="s">
        <v>2404</v>
      </c>
      <c r="BL64" s="111" t="s">
        <v>2404</v>
      </c>
      <c r="BM64" s="111" t="s">
        <v>2594</v>
      </c>
      <c r="BN64" s="111" t="s">
        <v>2594</v>
      </c>
      <c r="BO64" s="2"/>
      <c r="BP64" s="3"/>
      <c r="BQ64" s="3"/>
      <c r="BR64" s="3"/>
      <c r="BS64" s="3"/>
    </row>
    <row r="65" spans="1:71" ht="15">
      <c r="A65" s="65" t="s">
        <v>544</v>
      </c>
      <c r="B65" s="66"/>
      <c r="C65" s="66"/>
      <c r="D65" s="67">
        <v>150</v>
      </c>
      <c r="E65" s="69"/>
      <c r="F65" s="103" t="str">
        <f>HYPERLINK("https://yt3.ggpht.com/ytc/AKedOLTne7FDc1YzaJRVgGWhe9sXIjWRGt88lyg4cw=s88-c-k-c0x00ffffff-no-rj")</f>
        <v>https://yt3.ggpht.com/ytc/AKedOLTne7FDc1YzaJRVgGWhe9sXIjWRGt88lyg4cw=s88-c-k-c0x00ffffff-no-rj</v>
      </c>
      <c r="G65" s="66"/>
      <c r="H65" s="70" t="s">
        <v>1260</v>
      </c>
      <c r="I65" s="71"/>
      <c r="J65" s="71" t="s">
        <v>159</v>
      </c>
      <c r="K65" s="70" t="s">
        <v>1260</v>
      </c>
      <c r="L65" s="74">
        <v>1</v>
      </c>
      <c r="M65" s="75">
        <v>9712.404296875</v>
      </c>
      <c r="N65" s="75">
        <v>573.4720458984375</v>
      </c>
      <c r="O65" s="76"/>
      <c r="P65" s="77"/>
      <c r="Q65" s="77"/>
      <c r="R65" s="89"/>
      <c r="S65" s="49">
        <v>2</v>
      </c>
      <c r="T65" s="49">
        <v>1</v>
      </c>
      <c r="U65" s="50">
        <v>0</v>
      </c>
      <c r="V65" s="50">
        <v>0.004484</v>
      </c>
      <c r="W65" s="50">
        <v>0</v>
      </c>
      <c r="X65" s="50">
        <v>0.004776</v>
      </c>
      <c r="Y65" s="50">
        <v>0</v>
      </c>
      <c r="Z65" s="50">
        <v>0</v>
      </c>
      <c r="AA65" s="72">
        <v>65</v>
      </c>
      <c r="AB65" s="72"/>
      <c r="AC65" s="73"/>
      <c r="AD65" s="80" t="s">
        <v>1260</v>
      </c>
      <c r="AE65" s="80"/>
      <c r="AF65" s="80"/>
      <c r="AG65" s="80"/>
      <c r="AH65" s="80"/>
      <c r="AI65" s="80"/>
      <c r="AJ65" s="87">
        <v>43981.59480324074</v>
      </c>
      <c r="AK65" s="85" t="str">
        <f>HYPERLINK("https://yt3.ggpht.com/ytc/AKedOLTne7FDc1YzaJRVgGWhe9sXIjWRGt88lyg4cw=s88-c-k-c0x00ffffff-no-rj")</f>
        <v>https://yt3.ggpht.com/ytc/AKedOLTne7FDc1YzaJRVgGWhe9sXIjWRGt88lyg4cw=s88-c-k-c0x00ffffff-no-rj</v>
      </c>
      <c r="AL65" s="80">
        <v>526</v>
      </c>
      <c r="AM65" s="80">
        <v>0</v>
      </c>
      <c r="AN65" s="80">
        <v>6</v>
      </c>
      <c r="AO65" s="80" t="b">
        <v>0</v>
      </c>
      <c r="AP65" s="80">
        <v>33</v>
      </c>
      <c r="AQ65" s="80"/>
      <c r="AR65" s="80"/>
      <c r="AS65" s="80" t="s">
        <v>1376</v>
      </c>
      <c r="AT65" s="85" t="str">
        <f>HYPERLINK("https://www.youtube.com/channel/UCAsUVwqROYclu1B2tk74kwg")</f>
        <v>https://www.youtube.com/channel/UCAsUVwqROYclu1B2tk74kwg</v>
      </c>
      <c r="AU65" s="80" t="str">
        <f>REPLACE(INDEX(GroupVertices[Group],MATCH(Vertices[[#This Row],[Vertex]],GroupVertices[Vertex],0)),1,1,"")</f>
        <v>20</v>
      </c>
      <c r="AV65" s="49"/>
      <c r="AW65" s="50"/>
      <c r="AX65" s="49"/>
      <c r="AY65" s="50"/>
      <c r="AZ65" s="49"/>
      <c r="BA65" s="50"/>
      <c r="BB65" s="49"/>
      <c r="BC65" s="50"/>
      <c r="BD65" s="49"/>
      <c r="BE65" s="49"/>
      <c r="BF65" s="49"/>
      <c r="BG65" s="49"/>
      <c r="BH65" s="49"/>
      <c r="BI65" s="49"/>
      <c r="BJ65" s="49"/>
      <c r="BK65" s="111" t="s">
        <v>1239</v>
      </c>
      <c r="BL65" s="111" t="s">
        <v>1239</v>
      </c>
      <c r="BM65" s="111" t="s">
        <v>1239</v>
      </c>
      <c r="BN65" s="111" t="s">
        <v>1239</v>
      </c>
      <c r="BO65" s="2"/>
      <c r="BP65" s="3"/>
      <c r="BQ65" s="3"/>
      <c r="BR65" s="3"/>
      <c r="BS65" s="3"/>
    </row>
    <row r="66" spans="1:71" ht="15">
      <c r="A66" s="65" t="s">
        <v>391</v>
      </c>
      <c r="B66" s="66"/>
      <c r="C66" s="66"/>
      <c r="D66" s="67">
        <v>150</v>
      </c>
      <c r="E66" s="69"/>
      <c r="F66" s="103" t="str">
        <f>HYPERLINK("https://yt3.ggpht.com/ytc/AKedOLQtCTszJ2piuYYZk_aXkxnCDKyloKvi_u4KDSE6RJE=s88-c-k-c0x00ffffff-no-rj")</f>
        <v>https://yt3.ggpht.com/ytc/AKedOLQtCTszJ2piuYYZk_aXkxnCDKyloKvi_u4KDSE6RJE=s88-c-k-c0x00ffffff-no-rj</v>
      </c>
      <c r="G66" s="66"/>
      <c r="H66" s="70" t="s">
        <v>904</v>
      </c>
      <c r="I66" s="71"/>
      <c r="J66" s="71" t="s">
        <v>159</v>
      </c>
      <c r="K66" s="70" t="s">
        <v>904</v>
      </c>
      <c r="L66" s="74">
        <v>1</v>
      </c>
      <c r="M66" s="75">
        <v>7260.42041015625</v>
      </c>
      <c r="N66" s="75">
        <v>2842.85302734375</v>
      </c>
      <c r="O66" s="76"/>
      <c r="P66" s="77"/>
      <c r="Q66" s="77"/>
      <c r="R66" s="89"/>
      <c r="S66" s="49">
        <v>0</v>
      </c>
      <c r="T66" s="49">
        <v>1</v>
      </c>
      <c r="U66" s="50">
        <v>0</v>
      </c>
      <c r="V66" s="50">
        <v>0.005979</v>
      </c>
      <c r="W66" s="50">
        <v>0</v>
      </c>
      <c r="X66" s="50">
        <v>0.004058</v>
      </c>
      <c r="Y66" s="50">
        <v>0</v>
      </c>
      <c r="Z66" s="50">
        <v>0</v>
      </c>
      <c r="AA66" s="72">
        <v>66</v>
      </c>
      <c r="AB66" s="72"/>
      <c r="AC66" s="73"/>
      <c r="AD66" s="80" t="s">
        <v>904</v>
      </c>
      <c r="AE66" s="80"/>
      <c r="AF66" s="80"/>
      <c r="AG66" s="80"/>
      <c r="AH66" s="80"/>
      <c r="AI66" s="80" t="s">
        <v>1353</v>
      </c>
      <c r="AJ66" s="87">
        <v>40400.580462962964</v>
      </c>
      <c r="AK66" s="85" t="str">
        <f>HYPERLINK("https://yt3.ggpht.com/ytc/AKedOLQtCTszJ2piuYYZk_aXkxnCDKyloKvi_u4KDSE6RJE=s88-c-k-c0x00ffffff-no-rj")</f>
        <v>https://yt3.ggpht.com/ytc/AKedOLQtCTszJ2piuYYZk_aXkxnCDKyloKvi_u4KDSE6RJE=s88-c-k-c0x00ffffff-no-rj</v>
      </c>
      <c r="AL66" s="80">
        <v>188</v>
      </c>
      <c r="AM66" s="80">
        <v>0</v>
      </c>
      <c r="AN66" s="80">
        <v>1</v>
      </c>
      <c r="AO66" s="80" t="b">
        <v>0</v>
      </c>
      <c r="AP66" s="80">
        <v>2</v>
      </c>
      <c r="AQ66" s="80"/>
      <c r="AR66" s="80"/>
      <c r="AS66" s="80" t="s">
        <v>1376</v>
      </c>
      <c r="AT66" s="85" t="str">
        <f>HYPERLINK("https://www.youtube.com/channel/UCF7K5uOzm-xqTb96lpNt_Ow")</f>
        <v>https://www.youtube.com/channel/UCF7K5uOzm-xqTb96lpNt_Ow</v>
      </c>
      <c r="AU66" s="80" t="str">
        <f>REPLACE(INDEX(GroupVertices[Group],MATCH(Vertices[[#This Row],[Vertex]],GroupVertices[Vertex],0)),1,1,"")</f>
        <v>16</v>
      </c>
      <c r="AV66" s="49">
        <v>0</v>
      </c>
      <c r="AW66" s="50">
        <v>0</v>
      </c>
      <c r="AX66" s="49">
        <v>0</v>
      </c>
      <c r="AY66" s="50">
        <v>0</v>
      </c>
      <c r="AZ66" s="49">
        <v>0</v>
      </c>
      <c r="BA66" s="50">
        <v>0</v>
      </c>
      <c r="BB66" s="49">
        <v>17</v>
      </c>
      <c r="BC66" s="50">
        <v>100</v>
      </c>
      <c r="BD66" s="49">
        <v>17</v>
      </c>
      <c r="BE66" s="49"/>
      <c r="BF66" s="49"/>
      <c r="BG66" s="49"/>
      <c r="BH66" s="49"/>
      <c r="BI66" s="49"/>
      <c r="BJ66" s="49"/>
      <c r="BK66" s="111" t="s">
        <v>2405</v>
      </c>
      <c r="BL66" s="111" t="s">
        <v>2405</v>
      </c>
      <c r="BM66" s="111" t="s">
        <v>2595</v>
      </c>
      <c r="BN66" s="111" t="s">
        <v>2595</v>
      </c>
      <c r="BO66" s="2"/>
      <c r="BP66" s="3"/>
      <c r="BQ66" s="3"/>
      <c r="BR66" s="3"/>
      <c r="BS66" s="3"/>
    </row>
    <row r="67" spans="1:71" ht="15">
      <c r="A67" s="65" t="s">
        <v>546</v>
      </c>
      <c r="B67" s="66"/>
      <c r="C67" s="66"/>
      <c r="D67" s="67">
        <v>151.62835249042146</v>
      </c>
      <c r="E67" s="69"/>
      <c r="F67" s="103" t="str">
        <f>HYPERLINK("https://yt3.ggpht.com/ytc/AKedOLQDTf95gNBGbmSrs0I54WEsOqOw9oddIblPuQnj1w=s88-c-k-c0x00ffffff-no-rj")</f>
        <v>https://yt3.ggpht.com/ytc/AKedOLQDTf95gNBGbmSrs0I54WEsOqOw9oddIblPuQnj1w=s88-c-k-c0x00ffffff-no-rj</v>
      </c>
      <c r="G67" s="66"/>
      <c r="H67" s="70" t="s">
        <v>1261</v>
      </c>
      <c r="I67" s="71"/>
      <c r="J67" s="71" t="s">
        <v>75</v>
      </c>
      <c r="K67" s="70" t="s">
        <v>1261</v>
      </c>
      <c r="L67" s="74">
        <v>2.4422792570429217</v>
      </c>
      <c r="M67" s="75">
        <v>7260.42041015625</v>
      </c>
      <c r="N67" s="75">
        <v>1921.3768310546875</v>
      </c>
      <c r="O67" s="76"/>
      <c r="P67" s="77"/>
      <c r="Q67" s="77"/>
      <c r="R67" s="89"/>
      <c r="S67" s="49">
        <v>3</v>
      </c>
      <c r="T67" s="49">
        <v>1</v>
      </c>
      <c r="U67" s="50">
        <v>2</v>
      </c>
      <c r="V67" s="50">
        <v>0.008969</v>
      </c>
      <c r="W67" s="50">
        <v>0</v>
      </c>
      <c r="X67" s="50">
        <v>0.005276</v>
      </c>
      <c r="Y67" s="50">
        <v>0</v>
      </c>
      <c r="Z67" s="50">
        <v>0</v>
      </c>
      <c r="AA67" s="72">
        <v>67</v>
      </c>
      <c r="AB67" s="72"/>
      <c r="AC67" s="73"/>
      <c r="AD67" s="80" t="s">
        <v>1261</v>
      </c>
      <c r="AE67" s="80" t="s">
        <v>1306</v>
      </c>
      <c r="AF67" s="80"/>
      <c r="AG67" s="80"/>
      <c r="AH67" s="80"/>
      <c r="AI67" s="80" t="s">
        <v>1354</v>
      </c>
      <c r="AJ67" s="87">
        <v>39070.86752314815</v>
      </c>
      <c r="AK67" s="85" t="str">
        <f>HYPERLINK("https://yt3.ggpht.com/ytc/AKedOLQDTf95gNBGbmSrs0I54WEsOqOw9oddIblPuQnj1w=s88-c-k-c0x00ffffff-no-rj")</f>
        <v>https://yt3.ggpht.com/ytc/AKedOLQDTf95gNBGbmSrs0I54WEsOqOw9oddIblPuQnj1w=s88-c-k-c0x00ffffff-no-rj</v>
      </c>
      <c r="AL67" s="80">
        <v>259175291</v>
      </c>
      <c r="AM67" s="80">
        <v>0</v>
      </c>
      <c r="AN67" s="80">
        <v>1750000</v>
      </c>
      <c r="AO67" s="80" t="b">
        <v>0</v>
      </c>
      <c r="AP67" s="80">
        <v>5258</v>
      </c>
      <c r="AQ67" s="80"/>
      <c r="AR67" s="80"/>
      <c r="AS67" s="80" t="s">
        <v>1376</v>
      </c>
      <c r="AT67" s="85" t="str">
        <f>HYPERLINK("https://www.youtube.com/channel/UCbmNph6atAoGfqLoCL_duAg")</f>
        <v>https://www.youtube.com/channel/UCbmNph6atAoGfqLoCL_duAg</v>
      </c>
      <c r="AU67" s="80" t="str">
        <f>REPLACE(INDEX(GroupVertices[Group],MATCH(Vertices[[#This Row],[Vertex]],GroupVertices[Vertex],0)),1,1,"")</f>
        <v>16</v>
      </c>
      <c r="AV67" s="49"/>
      <c r="AW67" s="50"/>
      <c r="AX67" s="49"/>
      <c r="AY67" s="50"/>
      <c r="AZ67" s="49"/>
      <c r="BA67" s="50"/>
      <c r="BB67" s="49"/>
      <c r="BC67" s="50"/>
      <c r="BD67" s="49"/>
      <c r="BE67" s="49"/>
      <c r="BF67" s="49"/>
      <c r="BG67" s="49"/>
      <c r="BH67" s="49"/>
      <c r="BI67" s="49"/>
      <c r="BJ67" s="49"/>
      <c r="BK67" s="111" t="s">
        <v>1239</v>
      </c>
      <c r="BL67" s="111" t="s">
        <v>1239</v>
      </c>
      <c r="BM67" s="111" t="s">
        <v>1239</v>
      </c>
      <c r="BN67" s="111" t="s">
        <v>1239</v>
      </c>
      <c r="BO67" s="2"/>
      <c r="BP67" s="3"/>
      <c r="BQ67" s="3"/>
      <c r="BR67" s="3"/>
      <c r="BS67" s="3"/>
    </row>
    <row r="68" spans="1:71" ht="15">
      <c r="A68" s="65" t="s">
        <v>392</v>
      </c>
      <c r="B68" s="66"/>
      <c r="C68" s="66"/>
      <c r="D68" s="67">
        <v>150</v>
      </c>
      <c r="E68" s="69"/>
      <c r="F68" s="103" t="str">
        <f>HYPERLINK("https://yt3.ggpht.com/ytc/AKedOLRV4TqwPqsW38853oEgd9UItYc0k4WNT2ZrNGZbSA=s88-c-k-c0x00ffffff-no-rj")</f>
        <v>https://yt3.ggpht.com/ytc/AKedOLRV4TqwPqsW38853oEgd9UItYc0k4WNT2ZrNGZbSA=s88-c-k-c0x00ffffff-no-rj</v>
      </c>
      <c r="G68" s="66"/>
      <c r="H68" s="70" t="s">
        <v>905</v>
      </c>
      <c r="I68" s="71"/>
      <c r="J68" s="71" t="s">
        <v>159</v>
      </c>
      <c r="K68" s="70" t="s">
        <v>905</v>
      </c>
      <c r="L68" s="74">
        <v>1</v>
      </c>
      <c r="M68" s="75">
        <v>7260.42041015625</v>
      </c>
      <c r="N68" s="75">
        <v>2382.11474609375</v>
      </c>
      <c r="O68" s="76"/>
      <c r="P68" s="77"/>
      <c r="Q68" s="77"/>
      <c r="R68" s="89"/>
      <c r="S68" s="49">
        <v>0</v>
      </c>
      <c r="T68" s="49">
        <v>1</v>
      </c>
      <c r="U68" s="50">
        <v>0</v>
      </c>
      <c r="V68" s="50">
        <v>0.005979</v>
      </c>
      <c r="W68" s="50">
        <v>0</v>
      </c>
      <c r="X68" s="50">
        <v>0.004058</v>
      </c>
      <c r="Y68" s="50">
        <v>0</v>
      </c>
      <c r="Z68" s="50">
        <v>0</v>
      </c>
      <c r="AA68" s="72">
        <v>68</v>
      </c>
      <c r="AB68" s="72"/>
      <c r="AC68" s="73"/>
      <c r="AD68" s="80" t="s">
        <v>905</v>
      </c>
      <c r="AE68" s="80" t="s">
        <v>1307</v>
      </c>
      <c r="AF68" s="80"/>
      <c r="AG68" s="80"/>
      <c r="AH68" s="80"/>
      <c r="AI68" s="80"/>
      <c r="AJ68" s="87">
        <v>39199.09527777778</v>
      </c>
      <c r="AK68" s="85" t="str">
        <f>HYPERLINK("https://yt3.ggpht.com/ytc/AKedOLRV4TqwPqsW38853oEgd9UItYc0k4WNT2ZrNGZbSA=s88-c-k-c0x00ffffff-no-rj")</f>
        <v>https://yt3.ggpht.com/ytc/AKedOLRV4TqwPqsW38853oEgd9UItYc0k4WNT2ZrNGZbSA=s88-c-k-c0x00ffffff-no-rj</v>
      </c>
      <c r="AL68" s="80">
        <v>90242</v>
      </c>
      <c r="AM68" s="80">
        <v>0</v>
      </c>
      <c r="AN68" s="80">
        <v>24</v>
      </c>
      <c r="AO68" s="80" t="b">
        <v>0</v>
      </c>
      <c r="AP68" s="80">
        <v>8</v>
      </c>
      <c r="AQ68" s="80"/>
      <c r="AR68" s="80"/>
      <c r="AS68" s="80" t="s">
        <v>1376</v>
      </c>
      <c r="AT68" s="85" t="str">
        <f>HYPERLINK("https://www.youtube.com/channel/UCXQR00oQ3fj5cTotWvRg0_Q")</f>
        <v>https://www.youtube.com/channel/UCXQR00oQ3fj5cTotWvRg0_Q</v>
      </c>
      <c r="AU68" s="80" t="str">
        <f>REPLACE(INDEX(GroupVertices[Group],MATCH(Vertices[[#This Row],[Vertex]],GroupVertices[Vertex],0)),1,1,"")</f>
        <v>16</v>
      </c>
      <c r="AV68" s="49">
        <v>0</v>
      </c>
      <c r="AW68" s="50">
        <v>0</v>
      </c>
      <c r="AX68" s="49">
        <v>0</v>
      </c>
      <c r="AY68" s="50">
        <v>0</v>
      </c>
      <c r="AZ68" s="49">
        <v>0</v>
      </c>
      <c r="BA68" s="50">
        <v>0</v>
      </c>
      <c r="BB68" s="49">
        <v>7</v>
      </c>
      <c r="BC68" s="50">
        <v>100</v>
      </c>
      <c r="BD68" s="49">
        <v>7</v>
      </c>
      <c r="BE68" s="49"/>
      <c r="BF68" s="49"/>
      <c r="BG68" s="49"/>
      <c r="BH68" s="49"/>
      <c r="BI68" s="49"/>
      <c r="BJ68" s="49"/>
      <c r="BK68" s="111" t="s">
        <v>2406</v>
      </c>
      <c r="BL68" s="111" t="s">
        <v>2406</v>
      </c>
      <c r="BM68" s="111" t="s">
        <v>2596</v>
      </c>
      <c r="BN68" s="111" t="s">
        <v>2596</v>
      </c>
      <c r="BO68" s="2"/>
      <c r="BP68" s="3"/>
      <c r="BQ68" s="3"/>
      <c r="BR68" s="3"/>
      <c r="BS68" s="3"/>
    </row>
    <row r="69" spans="1:71" ht="15">
      <c r="A69" s="65" t="s">
        <v>393</v>
      </c>
      <c r="B69" s="66"/>
      <c r="C69" s="66"/>
      <c r="D69" s="67">
        <v>150</v>
      </c>
      <c r="E69" s="69"/>
      <c r="F69" s="103" t="str">
        <f>HYPERLINK("https://yt3.ggpht.com/ytc/AKedOLRLmonWCAa8vtv9Bbpsz8VBqrQp1InumUrWIXbYRg=s88-c-k-c0x00ffffff-no-rj")</f>
        <v>https://yt3.ggpht.com/ytc/AKedOLRLmonWCAa8vtv9Bbpsz8VBqrQp1InumUrWIXbYRg=s88-c-k-c0x00ffffff-no-rj</v>
      </c>
      <c r="G69" s="66"/>
      <c r="H69" s="70" t="s">
        <v>906</v>
      </c>
      <c r="I69" s="71"/>
      <c r="J69" s="71" t="s">
        <v>159</v>
      </c>
      <c r="K69" s="70" t="s">
        <v>906</v>
      </c>
      <c r="L69" s="74">
        <v>1</v>
      </c>
      <c r="M69" s="75">
        <v>9590.3359375</v>
      </c>
      <c r="N69" s="75">
        <v>2804.866455078125</v>
      </c>
      <c r="O69" s="76"/>
      <c r="P69" s="77"/>
      <c r="Q69" s="77"/>
      <c r="R69" s="89"/>
      <c r="S69" s="49">
        <v>0</v>
      </c>
      <c r="T69" s="49">
        <v>1</v>
      </c>
      <c r="U69" s="50">
        <v>0</v>
      </c>
      <c r="V69" s="50">
        <v>0.004484</v>
      </c>
      <c r="W69" s="50">
        <v>0</v>
      </c>
      <c r="X69" s="50">
        <v>0.004153</v>
      </c>
      <c r="Y69" s="50">
        <v>0</v>
      </c>
      <c r="Z69" s="50">
        <v>0</v>
      </c>
      <c r="AA69" s="72">
        <v>69</v>
      </c>
      <c r="AB69" s="72"/>
      <c r="AC69" s="73"/>
      <c r="AD69" s="80" t="s">
        <v>906</v>
      </c>
      <c r="AE69" s="80"/>
      <c r="AF69" s="80"/>
      <c r="AG69" s="80"/>
      <c r="AH69" s="80"/>
      <c r="AI69" s="80"/>
      <c r="AJ69" s="87">
        <v>41655.84653935185</v>
      </c>
      <c r="AK69" s="85" t="str">
        <f>HYPERLINK("https://yt3.ggpht.com/ytc/AKedOLRLmonWCAa8vtv9Bbpsz8VBqrQp1InumUrWIXbYRg=s88-c-k-c0x00ffffff-no-rj")</f>
        <v>https://yt3.ggpht.com/ytc/AKedOLRLmonWCAa8vtv9Bbpsz8VBqrQp1InumUrWIXbYRg=s88-c-k-c0x00ffffff-no-rj</v>
      </c>
      <c r="AL69" s="80">
        <v>2109</v>
      </c>
      <c r="AM69" s="80">
        <v>0</v>
      </c>
      <c r="AN69" s="80">
        <v>15</v>
      </c>
      <c r="AO69" s="80" t="b">
        <v>0</v>
      </c>
      <c r="AP69" s="80">
        <v>17</v>
      </c>
      <c r="AQ69" s="80"/>
      <c r="AR69" s="80"/>
      <c r="AS69" s="80" t="s">
        <v>1376</v>
      </c>
      <c r="AT69" s="85" t="str">
        <f>HYPERLINK("https://www.youtube.com/channel/UCLwDXsPUfsO2ZTptCsSyXGg")</f>
        <v>https://www.youtube.com/channel/UCLwDXsPUfsO2ZTptCsSyXGg</v>
      </c>
      <c r="AU69" s="80" t="str">
        <f>REPLACE(INDEX(GroupVertices[Group],MATCH(Vertices[[#This Row],[Vertex]],GroupVertices[Vertex],0)),1,1,"")</f>
        <v>19</v>
      </c>
      <c r="AV69" s="49">
        <v>1</v>
      </c>
      <c r="AW69" s="50">
        <v>25</v>
      </c>
      <c r="AX69" s="49">
        <v>0</v>
      </c>
      <c r="AY69" s="50">
        <v>0</v>
      </c>
      <c r="AZ69" s="49">
        <v>0</v>
      </c>
      <c r="BA69" s="50">
        <v>0</v>
      </c>
      <c r="BB69" s="49">
        <v>3</v>
      </c>
      <c r="BC69" s="50">
        <v>75</v>
      </c>
      <c r="BD69" s="49">
        <v>4</v>
      </c>
      <c r="BE69" s="49"/>
      <c r="BF69" s="49"/>
      <c r="BG69" s="49"/>
      <c r="BH69" s="49"/>
      <c r="BI69" s="49"/>
      <c r="BJ69" s="49"/>
      <c r="BK69" s="111" t="s">
        <v>2407</v>
      </c>
      <c r="BL69" s="111" t="s">
        <v>2407</v>
      </c>
      <c r="BM69" s="111" t="s">
        <v>2597</v>
      </c>
      <c r="BN69" s="111" t="s">
        <v>2597</v>
      </c>
      <c r="BO69" s="2"/>
      <c r="BP69" s="3"/>
      <c r="BQ69" s="3"/>
      <c r="BR69" s="3"/>
      <c r="BS69" s="3"/>
    </row>
    <row r="70" spans="1:71" ht="15">
      <c r="A70" s="65" t="s">
        <v>548</v>
      </c>
      <c r="B70" s="66"/>
      <c r="C70" s="66"/>
      <c r="D70" s="67">
        <v>150</v>
      </c>
      <c r="E70" s="69"/>
      <c r="F70" s="103" t="str">
        <f>HYPERLINK("https://yt3.ggpht.com/ytc/AKedOLTtIKykJDZCgw_RLamw5coaeRfUjxB_ZXawlw=s88-c-k-c0x00ffffff-no-rj")</f>
        <v>https://yt3.ggpht.com/ytc/AKedOLTtIKykJDZCgw_RLamw5coaeRfUjxB_ZXawlw=s88-c-k-c0x00ffffff-no-rj</v>
      </c>
      <c r="G70" s="66"/>
      <c r="H70" s="70" t="s">
        <v>1262</v>
      </c>
      <c r="I70" s="71"/>
      <c r="J70" s="71" t="s">
        <v>159</v>
      </c>
      <c r="K70" s="70" t="s">
        <v>1262</v>
      </c>
      <c r="L70" s="74">
        <v>1</v>
      </c>
      <c r="M70" s="75">
        <v>9590.3359375</v>
      </c>
      <c r="N70" s="75">
        <v>2268.155517578125</v>
      </c>
      <c r="O70" s="76"/>
      <c r="P70" s="77"/>
      <c r="Q70" s="77"/>
      <c r="R70" s="89"/>
      <c r="S70" s="49">
        <v>2</v>
      </c>
      <c r="T70" s="49">
        <v>1</v>
      </c>
      <c r="U70" s="50">
        <v>0</v>
      </c>
      <c r="V70" s="50">
        <v>0.004484</v>
      </c>
      <c r="W70" s="50">
        <v>0</v>
      </c>
      <c r="X70" s="50">
        <v>0.004776</v>
      </c>
      <c r="Y70" s="50">
        <v>0</v>
      </c>
      <c r="Z70" s="50">
        <v>0</v>
      </c>
      <c r="AA70" s="72">
        <v>70</v>
      </c>
      <c r="AB70" s="72"/>
      <c r="AC70" s="73"/>
      <c r="AD70" s="80" t="s">
        <v>1262</v>
      </c>
      <c r="AE70" s="80"/>
      <c r="AF70" s="80"/>
      <c r="AG70" s="80"/>
      <c r="AH70" s="80"/>
      <c r="AI70" s="80"/>
      <c r="AJ70" s="87">
        <v>40975.86454861111</v>
      </c>
      <c r="AK70" s="85" t="str">
        <f>HYPERLINK("https://yt3.ggpht.com/ytc/AKedOLTtIKykJDZCgw_RLamw5coaeRfUjxB_ZXawlw=s88-c-k-c0x00ffffff-no-rj")</f>
        <v>https://yt3.ggpht.com/ytc/AKedOLTtIKykJDZCgw_RLamw5coaeRfUjxB_ZXawlw=s88-c-k-c0x00ffffff-no-rj</v>
      </c>
      <c r="AL70" s="80">
        <v>1217</v>
      </c>
      <c r="AM70" s="80">
        <v>0</v>
      </c>
      <c r="AN70" s="80">
        <v>6</v>
      </c>
      <c r="AO70" s="80" t="b">
        <v>0</v>
      </c>
      <c r="AP70" s="80">
        <v>4</v>
      </c>
      <c r="AQ70" s="80"/>
      <c r="AR70" s="80"/>
      <c r="AS70" s="80" t="s">
        <v>1376</v>
      </c>
      <c r="AT70" s="85" t="str">
        <f>HYPERLINK("https://www.youtube.com/channel/UCVRsFyifrTrADDHncqwLghg")</f>
        <v>https://www.youtube.com/channel/UCVRsFyifrTrADDHncqwLghg</v>
      </c>
      <c r="AU70" s="80" t="str">
        <f>REPLACE(INDEX(GroupVertices[Group],MATCH(Vertices[[#This Row],[Vertex]],GroupVertices[Vertex],0)),1,1,"")</f>
        <v>19</v>
      </c>
      <c r="AV70" s="49"/>
      <c r="AW70" s="50"/>
      <c r="AX70" s="49"/>
      <c r="AY70" s="50"/>
      <c r="AZ70" s="49"/>
      <c r="BA70" s="50"/>
      <c r="BB70" s="49"/>
      <c r="BC70" s="50"/>
      <c r="BD70" s="49"/>
      <c r="BE70" s="49"/>
      <c r="BF70" s="49"/>
      <c r="BG70" s="49"/>
      <c r="BH70" s="49"/>
      <c r="BI70" s="49"/>
      <c r="BJ70" s="49"/>
      <c r="BK70" s="111" t="s">
        <v>1239</v>
      </c>
      <c r="BL70" s="111" t="s">
        <v>1239</v>
      </c>
      <c r="BM70" s="111" t="s">
        <v>1239</v>
      </c>
      <c r="BN70" s="111" t="s">
        <v>1239</v>
      </c>
      <c r="BO70" s="2"/>
      <c r="BP70" s="3"/>
      <c r="BQ70" s="3"/>
      <c r="BR70" s="3"/>
      <c r="BS70" s="3"/>
    </row>
    <row r="71" spans="1:71" ht="15">
      <c r="A71" s="65" t="s">
        <v>394</v>
      </c>
      <c r="B71" s="66"/>
      <c r="C71" s="66"/>
      <c r="D71" s="67">
        <v>150</v>
      </c>
      <c r="E71" s="69"/>
      <c r="F71" s="103" t="str">
        <f>HYPERLINK("https://yt3.ggpht.com/ytc/AKedOLSBu64VUsOrMZUiwU3Zpmt3eTGfFChWHGN-xxcYSw=s88-c-k-c0x00ffffff-no-rj")</f>
        <v>https://yt3.ggpht.com/ytc/AKedOLSBu64VUsOrMZUiwU3Zpmt3eTGfFChWHGN-xxcYSw=s88-c-k-c0x00ffffff-no-rj</v>
      </c>
      <c r="G71" s="66"/>
      <c r="H71" s="70" t="s">
        <v>907</v>
      </c>
      <c r="I71" s="71"/>
      <c r="J71" s="71" t="s">
        <v>159</v>
      </c>
      <c r="K71" s="70" t="s">
        <v>907</v>
      </c>
      <c r="L71" s="74">
        <v>1</v>
      </c>
      <c r="M71" s="75">
        <v>2836.524169921875</v>
      </c>
      <c r="N71" s="75">
        <v>7909.22412109375</v>
      </c>
      <c r="O71" s="76"/>
      <c r="P71" s="77"/>
      <c r="Q71" s="77"/>
      <c r="R71" s="89"/>
      <c r="S71" s="49">
        <v>0</v>
      </c>
      <c r="T71" s="49">
        <v>1</v>
      </c>
      <c r="U71" s="50">
        <v>0</v>
      </c>
      <c r="V71" s="50">
        <v>0.189881</v>
      </c>
      <c r="W71" s="50">
        <v>0.080745</v>
      </c>
      <c r="X71" s="50">
        <v>0.003874</v>
      </c>
      <c r="Y71" s="50">
        <v>0</v>
      </c>
      <c r="Z71" s="50">
        <v>0</v>
      </c>
      <c r="AA71" s="72">
        <v>71</v>
      </c>
      <c r="AB71" s="72"/>
      <c r="AC71" s="73"/>
      <c r="AD71" s="80" t="s">
        <v>907</v>
      </c>
      <c r="AE71" s="80"/>
      <c r="AF71" s="80"/>
      <c r="AG71" s="80"/>
      <c r="AH71" s="80"/>
      <c r="AI71" s="80"/>
      <c r="AJ71" s="87">
        <v>40787.52831018518</v>
      </c>
      <c r="AK71" s="85" t="str">
        <f>HYPERLINK("https://yt3.ggpht.com/ytc/AKedOLSBu64VUsOrMZUiwU3Zpmt3eTGfFChWHGN-xxcYSw=s88-c-k-c0x00ffffff-no-rj")</f>
        <v>https://yt3.ggpht.com/ytc/AKedOLSBu64VUsOrMZUiwU3Zpmt3eTGfFChWHGN-xxcYSw=s88-c-k-c0x00ffffff-no-rj</v>
      </c>
      <c r="AL71" s="80">
        <v>1618</v>
      </c>
      <c r="AM71" s="80">
        <v>0</v>
      </c>
      <c r="AN71" s="80">
        <v>14</v>
      </c>
      <c r="AO71" s="80" t="b">
        <v>0</v>
      </c>
      <c r="AP71" s="80">
        <v>14</v>
      </c>
      <c r="AQ71" s="80"/>
      <c r="AR71" s="80"/>
      <c r="AS71" s="80" t="s">
        <v>1376</v>
      </c>
      <c r="AT71" s="85" t="str">
        <f>HYPERLINK("https://www.youtube.com/channel/UCpQ5U05w9q913jvPV-T8rlw")</f>
        <v>https://www.youtube.com/channel/UCpQ5U05w9q913jvPV-T8rlw</v>
      </c>
      <c r="AU71" s="80" t="str">
        <f>REPLACE(INDEX(GroupVertices[Group],MATCH(Vertices[[#This Row],[Vertex]],GroupVertices[Vertex],0)),1,1,"")</f>
        <v>1</v>
      </c>
      <c r="AV71" s="49">
        <v>0</v>
      </c>
      <c r="AW71" s="50">
        <v>0</v>
      </c>
      <c r="AX71" s="49">
        <v>0</v>
      </c>
      <c r="AY71" s="50">
        <v>0</v>
      </c>
      <c r="AZ71" s="49">
        <v>0</v>
      </c>
      <c r="BA71" s="50">
        <v>0</v>
      </c>
      <c r="BB71" s="49">
        <v>6</v>
      </c>
      <c r="BC71" s="50">
        <v>100</v>
      </c>
      <c r="BD71" s="49">
        <v>6</v>
      </c>
      <c r="BE71" s="49"/>
      <c r="BF71" s="49"/>
      <c r="BG71" s="49"/>
      <c r="BH71" s="49"/>
      <c r="BI71" s="49"/>
      <c r="BJ71" s="49"/>
      <c r="BK71" s="111" t="s">
        <v>2408</v>
      </c>
      <c r="BL71" s="111" t="s">
        <v>2408</v>
      </c>
      <c r="BM71" s="111" t="s">
        <v>2598</v>
      </c>
      <c r="BN71" s="111" t="s">
        <v>2598</v>
      </c>
      <c r="BO71" s="2"/>
      <c r="BP71" s="3"/>
      <c r="BQ71" s="3"/>
      <c r="BR71" s="3"/>
      <c r="BS71" s="3"/>
    </row>
    <row r="72" spans="1:71" ht="15">
      <c r="A72" s="65" t="s">
        <v>395</v>
      </c>
      <c r="B72" s="66"/>
      <c r="C72" s="66"/>
      <c r="D72" s="67">
        <v>150</v>
      </c>
      <c r="E72" s="69"/>
      <c r="F72" s="103" t="str">
        <f>HYPERLINK("https://yt3.ggpht.com/ytc/AKedOLSWWwXIk2ahkXM_gU9N2p__F_6mad23SI6VmR0G3w=s88-c-k-c0x00ffffff-no-rj")</f>
        <v>https://yt3.ggpht.com/ytc/AKedOLSWWwXIk2ahkXM_gU9N2p__F_6mad23SI6VmR0G3w=s88-c-k-c0x00ffffff-no-rj</v>
      </c>
      <c r="G72" s="66"/>
      <c r="H72" s="70" t="s">
        <v>908</v>
      </c>
      <c r="I72" s="71"/>
      <c r="J72" s="71" t="s">
        <v>159</v>
      </c>
      <c r="K72" s="70" t="s">
        <v>908</v>
      </c>
      <c r="L72" s="74">
        <v>1</v>
      </c>
      <c r="M72" s="75">
        <v>2203.501708984375</v>
      </c>
      <c r="N72" s="75">
        <v>8920.90625</v>
      </c>
      <c r="O72" s="76"/>
      <c r="P72" s="77"/>
      <c r="Q72" s="77"/>
      <c r="R72" s="89"/>
      <c r="S72" s="49">
        <v>1</v>
      </c>
      <c r="T72" s="49">
        <v>1</v>
      </c>
      <c r="U72" s="50">
        <v>0</v>
      </c>
      <c r="V72" s="50">
        <v>0.189881</v>
      </c>
      <c r="W72" s="50">
        <v>0.080745</v>
      </c>
      <c r="X72" s="50">
        <v>0.003874</v>
      </c>
      <c r="Y72" s="50">
        <v>0</v>
      </c>
      <c r="Z72" s="50">
        <v>1</v>
      </c>
      <c r="AA72" s="72">
        <v>72</v>
      </c>
      <c r="AB72" s="72"/>
      <c r="AC72" s="73"/>
      <c r="AD72" s="80" t="s">
        <v>908</v>
      </c>
      <c r="AE72" s="80"/>
      <c r="AF72" s="80"/>
      <c r="AG72" s="80"/>
      <c r="AH72" s="80"/>
      <c r="AI72" s="80"/>
      <c r="AJ72" s="87">
        <v>41640.28261574074</v>
      </c>
      <c r="AK72" s="85" t="str">
        <f>HYPERLINK("https://yt3.ggpht.com/ytc/AKedOLSWWwXIk2ahkXM_gU9N2p__F_6mad23SI6VmR0G3w=s88-c-k-c0x00ffffff-no-rj")</f>
        <v>https://yt3.ggpht.com/ytc/AKedOLSWWwXIk2ahkXM_gU9N2p__F_6mad23SI6VmR0G3w=s88-c-k-c0x00ffffff-no-rj</v>
      </c>
      <c r="AL72" s="80">
        <v>13</v>
      </c>
      <c r="AM72" s="80">
        <v>0</v>
      </c>
      <c r="AN72" s="80">
        <v>0</v>
      </c>
      <c r="AO72" s="80" t="b">
        <v>0</v>
      </c>
      <c r="AP72" s="80">
        <v>1</v>
      </c>
      <c r="AQ72" s="80"/>
      <c r="AR72" s="80"/>
      <c r="AS72" s="80" t="s">
        <v>1376</v>
      </c>
      <c r="AT72" s="85" t="str">
        <f>HYPERLINK("https://www.youtube.com/channel/UC8qUxVyfs-OHn8fApXBqjaQ")</f>
        <v>https://www.youtube.com/channel/UC8qUxVyfs-OHn8fApXBqjaQ</v>
      </c>
      <c r="AU72" s="80" t="str">
        <f>REPLACE(INDEX(GroupVertices[Group],MATCH(Vertices[[#This Row],[Vertex]],GroupVertices[Vertex],0)),1,1,"")</f>
        <v>1</v>
      </c>
      <c r="AV72" s="49">
        <v>1</v>
      </c>
      <c r="AW72" s="50">
        <v>4.166666666666667</v>
      </c>
      <c r="AX72" s="49">
        <v>0</v>
      </c>
      <c r="AY72" s="50">
        <v>0</v>
      </c>
      <c r="AZ72" s="49">
        <v>0</v>
      </c>
      <c r="BA72" s="50">
        <v>0</v>
      </c>
      <c r="BB72" s="49">
        <v>23</v>
      </c>
      <c r="BC72" s="50">
        <v>95.83333333333333</v>
      </c>
      <c r="BD72" s="49">
        <v>24</v>
      </c>
      <c r="BE72" s="49"/>
      <c r="BF72" s="49"/>
      <c r="BG72" s="49"/>
      <c r="BH72" s="49"/>
      <c r="BI72" s="49"/>
      <c r="BJ72" s="49"/>
      <c r="BK72" s="111" t="s">
        <v>2409</v>
      </c>
      <c r="BL72" s="111" t="s">
        <v>2409</v>
      </c>
      <c r="BM72" s="111" t="s">
        <v>2599</v>
      </c>
      <c r="BN72" s="111" t="s">
        <v>2599</v>
      </c>
      <c r="BO72" s="2"/>
      <c r="BP72" s="3"/>
      <c r="BQ72" s="3"/>
      <c r="BR72" s="3"/>
      <c r="BS72" s="3"/>
    </row>
    <row r="73" spans="1:71" ht="15">
      <c r="A73" s="65" t="s">
        <v>396</v>
      </c>
      <c r="B73" s="66"/>
      <c r="C73" s="66"/>
      <c r="D73" s="67">
        <v>150</v>
      </c>
      <c r="E73" s="69"/>
      <c r="F73" s="103" t="str">
        <f>HYPERLINK("https://yt3.ggpht.com/ytc/AKedOLRVhmGtm0SJkDL-XjsNvJwR1kG96gqmbhxNK49jvA=s88-c-k-c0x00ffffff-no-rj")</f>
        <v>https://yt3.ggpht.com/ytc/AKedOLRVhmGtm0SJkDL-XjsNvJwR1kG96gqmbhxNK49jvA=s88-c-k-c0x00ffffff-no-rj</v>
      </c>
      <c r="G73" s="66"/>
      <c r="H73" s="70" t="s">
        <v>909</v>
      </c>
      <c r="I73" s="71"/>
      <c r="J73" s="71" t="s">
        <v>159</v>
      </c>
      <c r="K73" s="70" t="s">
        <v>909</v>
      </c>
      <c r="L73" s="74">
        <v>1</v>
      </c>
      <c r="M73" s="75">
        <v>2459.216796875</v>
      </c>
      <c r="N73" s="75">
        <v>7519.140625</v>
      </c>
      <c r="O73" s="76"/>
      <c r="P73" s="77"/>
      <c r="Q73" s="77"/>
      <c r="R73" s="89"/>
      <c r="S73" s="49">
        <v>1</v>
      </c>
      <c r="T73" s="49">
        <v>1</v>
      </c>
      <c r="U73" s="50">
        <v>0</v>
      </c>
      <c r="V73" s="50">
        <v>0.189881</v>
      </c>
      <c r="W73" s="50">
        <v>0.080745</v>
      </c>
      <c r="X73" s="50">
        <v>0.003874</v>
      </c>
      <c r="Y73" s="50">
        <v>0</v>
      </c>
      <c r="Z73" s="50">
        <v>1</v>
      </c>
      <c r="AA73" s="72">
        <v>73</v>
      </c>
      <c r="AB73" s="72"/>
      <c r="AC73" s="73"/>
      <c r="AD73" s="80" t="s">
        <v>909</v>
      </c>
      <c r="AE73" s="80"/>
      <c r="AF73" s="80"/>
      <c r="AG73" s="80"/>
      <c r="AH73" s="80"/>
      <c r="AI73" s="80"/>
      <c r="AJ73" s="87">
        <v>41145.20013888889</v>
      </c>
      <c r="AK73" s="85" t="str">
        <f>HYPERLINK("https://yt3.ggpht.com/ytc/AKedOLRVhmGtm0SJkDL-XjsNvJwR1kG96gqmbhxNK49jvA=s88-c-k-c0x00ffffff-no-rj")</f>
        <v>https://yt3.ggpht.com/ytc/AKedOLRVhmGtm0SJkDL-XjsNvJwR1kG96gqmbhxNK49jvA=s88-c-k-c0x00ffffff-no-rj</v>
      </c>
      <c r="AL73" s="80">
        <v>0</v>
      </c>
      <c r="AM73" s="80">
        <v>0</v>
      </c>
      <c r="AN73" s="80">
        <v>0</v>
      </c>
      <c r="AO73" s="80" t="b">
        <v>0</v>
      </c>
      <c r="AP73" s="80">
        <v>0</v>
      </c>
      <c r="AQ73" s="80"/>
      <c r="AR73" s="80"/>
      <c r="AS73" s="80" t="s">
        <v>1376</v>
      </c>
      <c r="AT73" s="85" t="str">
        <f>HYPERLINK("https://www.youtube.com/channel/UCC6RgeCUyUrLDxO1W6Rat-Q")</f>
        <v>https://www.youtube.com/channel/UCC6RgeCUyUrLDxO1W6Rat-Q</v>
      </c>
      <c r="AU73" s="80" t="str">
        <f>REPLACE(INDEX(GroupVertices[Group],MATCH(Vertices[[#This Row],[Vertex]],GroupVertices[Vertex],0)),1,1,"")</f>
        <v>1</v>
      </c>
      <c r="AV73" s="49">
        <v>0</v>
      </c>
      <c r="AW73" s="50">
        <v>0</v>
      </c>
      <c r="AX73" s="49">
        <v>0</v>
      </c>
      <c r="AY73" s="50">
        <v>0</v>
      </c>
      <c r="AZ73" s="49">
        <v>0</v>
      </c>
      <c r="BA73" s="50">
        <v>0</v>
      </c>
      <c r="BB73" s="49">
        <v>11</v>
      </c>
      <c r="BC73" s="50">
        <v>100</v>
      </c>
      <c r="BD73" s="49">
        <v>11</v>
      </c>
      <c r="BE73" s="49"/>
      <c r="BF73" s="49"/>
      <c r="BG73" s="49"/>
      <c r="BH73" s="49"/>
      <c r="BI73" s="49"/>
      <c r="BJ73" s="49"/>
      <c r="BK73" s="111" t="s">
        <v>2410</v>
      </c>
      <c r="BL73" s="111" t="s">
        <v>2410</v>
      </c>
      <c r="BM73" s="111" t="s">
        <v>2600</v>
      </c>
      <c r="BN73" s="111" t="s">
        <v>2600</v>
      </c>
      <c r="BO73" s="2"/>
      <c r="BP73" s="3"/>
      <c r="BQ73" s="3"/>
      <c r="BR73" s="3"/>
      <c r="BS73" s="3"/>
    </row>
    <row r="74" spans="1:71" ht="15">
      <c r="A74" s="65" t="s">
        <v>397</v>
      </c>
      <c r="B74" s="66"/>
      <c r="C74" s="66"/>
      <c r="D74" s="67">
        <v>150</v>
      </c>
      <c r="E74" s="69"/>
      <c r="F74" s="103" t="str">
        <f>HYPERLINK("https://yt3.ggpht.com/ytc/AKedOLTDWHtyCcU4EN7-jh3HlKWrVRbNd7lPMcRHiw=s88-c-k-c0x00ffffff-no-rj")</f>
        <v>https://yt3.ggpht.com/ytc/AKedOLTDWHtyCcU4EN7-jh3HlKWrVRbNd7lPMcRHiw=s88-c-k-c0x00ffffff-no-rj</v>
      </c>
      <c r="G74" s="66"/>
      <c r="H74" s="70" t="s">
        <v>910</v>
      </c>
      <c r="I74" s="71"/>
      <c r="J74" s="71" t="s">
        <v>159</v>
      </c>
      <c r="K74" s="70" t="s">
        <v>910</v>
      </c>
      <c r="L74" s="74">
        <v>1</v>
      </c>
      <c r="M74" s="75">
        <v>9006.53125</v>
      </c>
      <c r="N74" s="75">
        <v>1657.9224853515625</v>
      </c>
      <c r="O74" s="76"/>
      <c r="P74" s="77"/>
      <c r="Q74" s="77"/>
      <c r="R74" s="89"/>
      <c r="S74" s="49">
        <v>0</v>
      </c>
      <c r="T74" s="49">
        <v>1</v>
      </c>
      <c r="U74" s="50">
        <v>0</v>
      </c>
      <c r="V74" s="50">
        <v>0.143783</v>
      </c>
      <c r="W74" s="50">
        <v>0.00918</v>
      </c>
      <c r="X74" s="50">
        <v>0.004132</v>
      </c>
      <c r="Y74" s="50">
        <v>0</v>
      </c>
      <c r="Z74" s="50">
        <v>0</v>
      </c>
      <c r="AA74" s="72">
        <v>74</v>
      </c>
      <c r="AB74" s="72"/>
      <c r="AC74" s="73"/>
      <c r="AD74" s="80" t="s">
        <v>910</v>
      </c>
      <c r="AE74" s="80"/>
      <c r="AF74" s="80"/>
      <c r="AG74" s="80"/>
      <c r="AH74" s="80"/>
      <c r="AI74" s="80"/>
      <c r="AJ74" s="87">
        <v>41951.594826388886</v>
      </c>
      <c r="AK74" s="85" t="str">
        <f>HYPERLINK("https://yt3.ggpht.com/ytc/AKedOLTDWHtyCcU4EN7-jh3HlKWrVRbNd7lPMcRHiw=s88-c-k-c0x00ffffff-no-rj")</f>
        <v>https://yt3.ggpht.com/ytc/AKedOLTDWHtyCcU4EN7-jh3HlKWrVRbNd7lPMcRHiw=s88-c-k-c0x00ffffff-no-rj</v>
      </c>
      <c r="AL74" s="80">
        <v>0</v>
      </c>
      <c r="AM74" s="80">
        <v>0</v>
      </c>
      <c r="AN74" s="80">
        <v>0</v>
      </c>
      <c r="AO74" s="80" t="b">
        <v>0</v>
      </c>
      <c r="AP74" s="80">
        <v>0</v>
      </c>
      <c r="AQ74" s="80"/>
      <c r="AR74" s="80"/>
      <c r="AS74" s="80" t="s">
        <v>1376</v>
      </c>
      <c r="AT74" s="85" t="str">
        <f>HYPERLINK("https://www.youtube.com/channel/UCI8WWtGB9PmGhesq1QVChQg")</f>
        <v>https://www.youtube.com/channel/UCI8WWtGB9PmGhesq1QVChQg</v>
      </c>
      <c r="AU74" s="80" t="str">
        <f>REPLACE(INDEX(GroupVertices[Group],MATCH(Vertices[[#This Row],[Vertex]],GroupVertices[Vertex],0)),1,1,"")</f>
        <v>18</v>
      </c>
      <c r="AV74" s="49">
        <v>2</v>
      </c>
      <c r="AW74" s="50">
        <v>2.7777777777777777</v>
      </c>
      <c r="AX74" s="49">
        <v>0</v>
      </c>
      <c r="AY74" s="50">
        <v>0</v>
      </c>
      <c r="AZ74" s="49">
        <v>0</v>
      </c>
      <c r="BA74" s="50">
        <v>0</v>
      </c>
      <c r="BB74" s="49">
        <v>70</v>
      </c>
      <c r="BC74" s="50">
        <v>97.22222222222223</v>
      </c>
      <c r="BD74" s="49">
        <v>72</v>
      </c>
      <c r="BE74" s="49"/>
      <c r="BF74" s="49"/>
      <c r="BG74" s="49"/>
      <c r="BH74" s="49"/>
      <c r="BI74" s="49"/>
      <c r="BJ74" s="49"/>
      <c r="BK74" s="111" t="s">
        <v>2411</v>
      </c>
      <c r="BL74" s="111" t="s">
        <v>2530</v>
      </c>
      <c r="BM74" s="111" t="s">
        <v>2601</v>
      </c>
      <c r="BN74" s="111" t="s">
        <v>2714</v>
      </c>
      <c r="BO74" s="2"/>
      <c r="BP74" s="3"/>
      <c r="BQ74" s="3"/>
      <c r="BR74" s="3"/>
      <c r="BS74" s="3"/>
    </row>
    <row r="75" spans="1:71" ht="15">
      <c r="A75" s="65" t="s">
        <v>398</v>
      </c>
      <c r="B75" s="66"/>
      <c r="C75" s="66"/>
      <c r="D75" s="67">
        <v>358.42911877394636</v>
      </c>
      <c r="E75" s="69"/>
      <c r="F75" s="103" t="str">
        <f>HYPERLINK("https://yt3.ggpht.com/ytc/AKedOLRrRhFKj8PRhLySNiWaEhdgejpbxGIzJjgDszGL=s88-c-k-c0x00ffffff-no-rj")</f>
        <v>https://yt3.ggpht.com/ytc/AKedOLRrRhFKj8PRhLySNiWaEhdgejpbxGIzJjgDszGL=s88-c-k-c0x00ffffff-no-rj</v>
      </c>
      <c r="G75" s="66"/>
      <c r="H75" s="70" t="s">
        <v>911</v>
      </c>
      <c r="I75" s="71"/>
      <c r="J75" s="71" t="s">
        <v>75</v>
      </c>
      <c r="K75" s="70" t="s">
        <v>911</v>
      </c>
      <c r="L75" s="74">
        <v>185.61174490149398</v>
      </c>
      <c r="M75" s="75">
        <v>9006.53125</v>
      </c>
      <c r="N75" s="75">
        <v>1268.2554931640625</v>
      </c>
      <c r="O75" s="76"/>
      <c r="P75" s="77"/>
      <c r="Q75" s="77"/>
      <c r="R75" s="89"/>
      <c r="S75" s="49">
        <v>2</v>
      </c>
      <c r="T75" s="49">
        <v>1</v>
      </c>
      <c r="U75" s="50">
        <v>256</v>
      </c>
      <c r="V75" s="50">
        <v>0.190852</v>
      </c>
      <c r="W75" s="50">
        <v>0.081776</v>
      </c>
      <c r="X75" s="50">
        <v>0.004494</v>
      </c>
      <c r="Y75" s="50">
        <v>0</v>
      </c>
      <c r="Z75" s="50">
        <v>0.5</v>
      </c>
      <c r="AA75" s="72">
        <v>75</v>
      </c>
      <c r="AB75" s="72"/>
      <c r="AC75" s="73"/>
      <c r="AD75" s="80" t="s">
        <v>911</v>
      </c>
      <c r="AE75" s="80"/>
      <c r="AF75" s="80"/>
      <c r="AG75" s="80"/>
      <c r="AH75" s="80"/>
      <c r="AI75" s="80"/>
      <c r="AJ75" s="87">
        <v>39378.7199537037</v>
      </c>
      <c r="AK75" s="85" t="str">
        <f>HYPERLINK("https://yt3.ggpht.com/ytc/AKedOLRrRhFKj8PRhLySNiWaEhdgejpbxGIzJjgDszGL=s88-c-k-c0x00ffffff-no-rj")</f>
        <v>https://yt3.ggpht.com/ytc/AKedOLRrRhFKj8PRhLySNiWaEhdgejpbxGIzJjgDszGL=s88-c-k-c0x00ffffff-no-rj</v>
      </c>
      <c r="AL75" s="80">
        <v>0</v>
      </c>
      <c r="AM75" s="80">
        <v>0</v>
      </c>
      <c r="AN75" s="80">
        <v>5</v>
      </c>
      <c r="AO75" s="80" t="b">
        <v>0</v>
      </c>
      <c r="AP75" s="80">
        <v>0</v>
      </c>
      <c r="AQ75" s="80"/>
      <c r="AR75" s="80"/>
      <c r="AS75" s="80" t="s">
        <v>1376</v>
      </c>
      <c r="AT75" s="85" t="str">
        <f>HYPERLINK("https://www.youtube.com/channel/UCUm577M0SQnlguRkdcfUa1Q")</f>
        <v>https://www.youtube.com/channel/UCUm577M0SQnlguRkdcfUa1Q</v>
      </c>
      <c r="AU75" s="80" t="str">
        <f>REPLACE(INDEX(GroupVertices[Group],MATCH(Vertices[[#This Row],[Vertex]],GroupVertices[Vertex],0)),1,1,"")</f>
        <v>18</v>
      </c>
      <c r="AV75" s="49">
        <v>0</v>
      </c>
      <c r="AW75" s="50">
        <v>0</v>
      </c>
      <c r="AX75" s="49">
        <v>0</v>
      </c>
      <c r="AY75" s="50">
        <v>0</v>
      </c>
      <c r="AZ75" s="49">
        <v>0</v>
      </c>
      <c r="BA75" s="50">
        <v>0</v>
      </c>
      <c r="BB75" s="49">
        <v>24</v>
      </c>
      <c r="BC75" s="50">
        <v>100</v>
      </c>
      <c r="BD75" s="49">
        <v>24</v>
      </c>
      <c r="BE75" s="49"/>
      <c r="BF75" s="49"/>
      <c r="BG75" s="49"/>
      <c r="BH75" s="49"/>
      <c r="BI75" s="49"/>
      <c r="BJ75" s="49"/>
      <c r="BK75" s="111" t="s">
        <v>2412</v>
      </c>
      <c r="BL75" s="111" t="s">
        <v>2412</v>
      </c>
      <c r="BM75" s="111" t="s">
        <v>2602</v>
      </c>
      <c r="BN75" s="111" t="s">
        <v>2602</v>
      </c>
      <c r="BO75" s="2"/>
      <c r="BP75" s="3"/>
      <c r="BQ75" s="3"/>
      <c r="BR75" s="3"/>
      <c r="BS75" s="3"/>
    </row>
    <row r="76" spans="1:71" ht="15">
      <c r="A76" s="65" t="s">
        <v>399</v>
      </c>
      <c r="B76" s="66"/>
      <c r="C76" s="66"/>
      <c r="D76" s="67">
        <v>150</v>
      </c>
      <c r="E76" s="69"/>
      <c r="F76" s="103" t="str">
        <f>HYPERLINK("https://yt3.ggpht.com/ytc/AKedOLT5rHQR_K2OobRNPEqgepBDqkA5H8NQ58VFQQ=s88-c-k-c0x00ffffff-no-rj")</f>
        <v>https://yt3.ggpht.com/ytc/AKedOLT5rHQR_K2OobRNPEqgepBDqkA5H8NQ58VFQQ=s88-c-k-c0x00ffffff-no-rj</v>
      </c>
      <c r="G76" s="66"/>
      <c r="H76" s="70" t="s">
        <v>912</v>
      </c>
      <c r="I76" s="71"/>
      <c r="J76" s="71" t="s">
        <v>159</v>
      </c>
      <c r="K76" s="70" t="s">
        <v>912</v>
      </c>
      <c r="L76" s="74">
        <v>1</v>
      </c>
      <c r="M76" s="75">
        <v>2304.283447265625</v>
      </c>
      <c r="N76" s="75">
        <v>3517.771728515625</v>
      </c>
      <c r="O76" s="76"/>
      <c r="P76" s="77"/>
      <c r="Q76" s="77"/>
      <c r="R76" s="89"/>
      <c r="S76" s="49">
        <v>0</v>
      </c>
      <c r="T76" s="49">
        <v>1</v>
      </c>
      <c r="U76" s="50">
        <v>0</v>
      </c>
      <c r="V76" s="50">
        <v>0.189881</v>
      </c>
      <c r="W76" s="50">
        <v>0.080745</v>
      </c>
      <c r="X76" s="50">
        <v>0.003874</v>
      </c>
      <c r="Y76" s="50">
        <v>0</v>
      </c>
      <c r="Z76" s="50">
        <v>0</v>
      </c>
      <c r="AA76" s="72">
        <v>76</v>
      </c>
      <c r="AB76" s="72"/>
      <c r="AC76" s="73"/>
      <c r="AD76" s="80" t="s">
        <v>912</v>
      </c>
      <c r="AE76" s="80"/>
      <c r="AF76" s="80"/>
      <c r="AG76" s="80"/>
      <c r="AH76" s="80"/>
      <c r="AI76" s="80"/>
      <c r="AJ76" s="87">
        <v>42511.309641203705</v>
      </c>
      <c r="AK76" s="85" t="str">
        <f>HYPERLINK("https://yt3.ggpht.com/ytc/AKedOLT5rHQR_K2OobRNPEqgepBDqkA5H8NQ58VFQQ=s88-c-k-c0x00ffffff-no-rj")</f>
        <v>https://yt3.ggpht.com/ytc/AKedOLT5rHQR_K2OobRNPEqgepBDqkA5H8NQ58VFQQ=s88-c-k-c0x00ffffff-no-rj</v>
      </c>
      <c r="AL76" s="80">
        <v>118</v>
      </c>
      <c r="AM76" s="80">
        <v>0</v>
      </c>
      <c r="AN76" s="80">
        <v>1</v>
      </c>
      <c r="AO76" s="80" t="b">
        <v>0</v>
      </c>
      <c r="AP76" s="80">
        <v>1</v>
      </c>
      <c r="AQ76" s="80"/>
      <c r="AR76" s="80"/>
      <c r="AS76" s="80" t="s">
        <v>1376</v>
      </c>
      <c r="AT76" s="85" t="str">
        <f>HYPERLINK("https://www.youtube.com/channel/UCHBzTw6zFU-YYZ9ohpX9lKQ")</f>
        <v>https://www.youtube.com/channel/UCHBzTw6zFU-YYZ9ohpX9lKQ</v>
      </c>
      <c r="AU76" s="80" t="str">
        <f>REPLACE(INDEX(GroupVertices[Group],MATCH(Vertices[[#This Row],[Vertex]],GroupVertices[Vertex],0)),1,1,"")</f>
        <v>1</v>
      </c>
      <c r="AV76" s="49">
        <v>0</v>
      </c>
      <c r="AW76" s="50">
        <v>0</v>
      </c>
      <c r="AX76" s="49">
        <v>1</v>
      </c>
      <c r="AY76" s="50">
        <v>5.555555555555555</v>
      </c>
      <c r="AZ76" s="49">
        <v>0</v>
      </c>
      <c r="BA76" s="50">
        <v>0</v>
      </c>
      <c r="BB76" s="49">
        <v>17</v>
      </c>
      <c r="BC76" s="50">
        <v>94.44444444444444</v>
      </c>
      <c r="BD76" s="49">
        <v>18</v>
      </c>
      <c r="BE76" s="49"/>
      <c r="BF76" s="49"/>
      <c r="BG76" s="49"/>
      <c r="BH76" s="49"/>
      <c r="BI76" s="49"/>
      <c r="BJ76" s="49"/>
      <c r="BK76" s="111" t="s">
        <v>2413</v>
      </c>
      <c r="BL76" s="111" t="s">
        <v>2413</v>
      </c>
      <c r="BM76" s="111" t="s">
        <v>2603</v>
      </c>
      <c r="BN76" s="111" t="s">
        <v>2603</v>
      </c>
      <c r="BO76" s="2"/>
      <c r="BP76" s="3"/>
      <c r="BQ76" s="3"/>
      <c r="BR76" s="3"/>
      <c r="BS76" s="3"/>
    </row>
    <row r="77" spans="1:71" ht="15">
      <c r="A77" s="65" t="s">
        <v>400</v>
      </c>
      <c r="B77" s="66"/>
      <c r="C77" s="66"/>
      <c r="D77" s="67">
        <v>150</v>
      </c>
      <c r="E77" s="69"/>
      <c r="F77" s="103" t="str">
        <f>HYPERLINK("https://yt3.ggpht.com/ytc/AKedOLSHoPNN6PvAEa0vSXvfHJnVUlAUaJ3ucrxPYetJ=s88-c-k-c0x00ffffff-no-rj")</f>
        <v>https://yt3.ggpht.com/ytc/AKedOLSHoPNN6PvAEa0vSXvfHJnVUlAUaJ3ucrxPYetJ=s88-c-k-c0x00ffffff-no-rj</v>
      </c>
      <c r="G77" s="66"/>
      <c r="H77" s="70" t="s">
        <v>913</v>
      </c>
      <c r="I77" s="71"/>
      <c r="J77" s="71" t="s">
        <v>159</v>
      </c>
      <c r="K77" s="70" t="s">
        <v>913</v>
      </c>
      <c r="L77" s="74">
        <v>1</v>
      </c>
      <c r="M77" s="75">
        <v>1601.2001953125</v>
      </c>
      <c r="N77" s="75">
        <v>2854.277587890625</v>
      </c>
      <c r="O77" s="76"/>
      <c r="P77" s="77"/>
      <c r="Q77" s="77"/>
      <c r="R77" s="89"/>
      <c r="S77" s="49">
        <v>0</v>
      </c>
      <c r="T77" s="49">
        <v>1</v>
      </c>
      <c r="U77" s="50">
        <v>0</v>
      </c>
      <c r="V77" s="50">
        <v>0.189881</v>
      </c>
      <c r="W77" s="50">
        <v>0.080745</v>
      </c>
      <c r="X77" s="50">
        <v>0.003874</v>
      </c>
      <c r="Y77" s="50">
        <v>0</v>
      </c>
      <c r="Z77" s="50">
        <v>0</v>
      </c>
      <c r="AA77" s="72">
        <v>77</v>
      </c>
      <c r="AB77" s="72"/>
      <c r="AC77" s="73"/>
      <c r="AD77" s="80" t="s">
        <v>913</v>
      </c>
      <c r="AE77" s="80" t="s">
        <v>1308</v>
      </c>
      <c r="AF77" s="80"/>
      <c r="AG77" s="80"/>
      <c r="AH77" s="80"/>
      <c r="AI77" s="80"/>
      <c r="AJ77" s="87">
        <v>39738.33255787037</v>
      </c>
      <c r="AK77" s="85" t="str">
        <f>HYPERLINK("https://yt3.ggpht.com/ytc/AKedOLSHoPNN6PvAEa0vSXvfHJnVUlAUaJ3ucrxPYetJ=s88-c-k-c0x00ffffff-no-rj")</f>
        <v>https://yt3.ggpht.com/ytc/AKedOLSHoPNN6PvAEa0vSXvfHJnVUlAUaJ3ucrxPYetJ=s88-c-k-c0x00ffffff-no-rj</v>
      </c>
      <c r="AL77" s="80">
        <v>1607667</v>
      </c>
      <c r="AM77" s="80">
        <v>0</v>
      </c>
      <c r="AN77" s="80">
        <v>3510</v>
      </c>
      <c r="AO77" s="80" t="b">
        <v>0</v>
      </c>
      <c r="AP77" s="80">
        <v>135</v>
      </c>
      <c r="AQ77" s="80"/>
      <c r="AR77" s="80"/>
      <c r="AS77" s="80" t="s">
        <v>1376</v>
      </c>
      <c r="AT77" s="85" t="str">
        <f>HYPERLINK("https://www.youtube.com/channel/UCoLCzvtVkU29FpAVVsAK-wg")</f>
        <v>https://www.youtube.com/channel/UCoLCzvtVkU29FpAVVsAK-wg</v>
      </c>
      <c r="AU77" s="80" t="str">
        <f>REPLACE(INDEX(GroupVertices[Group],MATCH(Vertices[[#This Row],[Vertex]],GroupVertices[Vertex],0)),1,1,"")</f>
        <v>1</v>
      </c>
      <c r="AV77" s="49">
        <v>1</v>
      </c>
      <c r="AW77" s="50">
        <v>7.6923076923076925</v>
      </c>
      <c r="AX77" s="49">
        <v>1</v>
      </c>
      <c r="AY77" s="50">
        <v>7.6923076923076925</v>
      </c>
      <c r="AZ77" s="49">
        <v>0</v>
      </c>
      <c r="BA77" s="50">
        <v>0</v>
      </c>
      <c r="BB77" s="49">
        <v>11</v>
      </c>
      <c r="BC77" s="50">
        <v>84.61538461538461</v>
      </c>
      <c r="BD77" s="49">
        <v>13</v>
      </c>
      <c r="BE77" s="49"/>
      <c r="BF77" s="49"/>
      <c r="BG77" s="49"/>
      <c r="BH77" s="49"/>
      <c r="BI77" s="49"/>
      <c r="BJ77" s="49"/>
      <c r="BK77" s="111" t="s">
        <v>2414</v>
      </c>
      <c r="BL77" s="111" t="s">
        <v>2414</v>
      </c>
      <c r="BM77" s="111" t="s">
        <v>2604</v>
      </c>
      <c r="BN77" s="111" t="s">
        <v>2604</v>
      </c>
      <c r="BO77" s="2"/>
      <c r="BP77" s="3"/>
      <c r="BQ77" s="3"/>
      <c r="BR77" s="3"/>
      <c r="BS77" s="3"/>
    </row>
    <row r="78" spans="1:71" ht="15">
      <c r="A78" s="65" t="s">
        <v>401</v>
      </c>
      <c r="B78" s="66"/>
      <c r="C78" s="66"/>
      <c r="D78" s="67">
        <v>150</v>
      </c>
      <c r="E78" s="69"/>
      <c r="F78" s="103" t="str">
        <f>HYPERLINK("https://yt3.ggpht.com/ytc/AKedOLTXssWv7sKLJd6t8cqEsfYN_N_rZ21aUwZ3SJIXEg=s88-c-k-c0x00ffffff-no-rj")</f>
        <v>https://yt3.ggpht.com/ytc/AKedOLTXssWv7sKLJd6t8cqEsfYN_N_rZ21aUwZ3SJIXEg=s88-c-k-c0x00ffffff-no-rj</v>
      </c>
      <c r="G78" s="66"/>
      <c r="H78" s="70" t="s">
        <v>914</v>
      </c>
      <c r="I78" s="71"/>
      <c r="J78" s="71" t="s">
        <v>159</v>
      </c>
      <c r="K78" s="70" t="s">
        <v>914</v>
      </c>
      <c r="L78" s="74">
        <v>1</v>
      </c>
      <c r="M78" s="75">
        <v>676.3643188476562</v>
      </c>
      <c r="N78" s="75">
        <v>5975.5517578125</v>
      </c>
      <c r="O78" s="76"/>
      <c r="P78" s="77"/>
      <c r="Q78" s="77"/>
      <c r="R78" s="89"/>
      <c r="S78" s="49">
        <v>0</v>
      </c>
      <c r="T78" s="49">
        <v>1</v>
      </c>
      <c r="U78" s="50">
        <v>0</v>
      </c>
      <c r="V78" s="50">
        <v>0.189881</v>
      </c>
      <c r="W78" s="50">
        <v>0.080745</v>
      </c>
      <c r="X78" s="50">
        <v>0.003874</v>
      </c>
      <c r="Y78" s="50">
        <v>0</v>
      </c>
      <c r="Z78" s="50">
        <v>0</v>
      </c>
      <c r="AA78" s="72">
        <v>78</v>
      </c>
      <c r="AB78" s="72"/>
      <c r="AC78" s="73"/>
      <c r="AD78" s="80" t="s">
        <v>914</v>
      </c>
      <c r="AE78" s="80"/>
      <c r="AF78" s="80"/>
      <c r="AG78" s="80"/>
      <c r="AH78" s="80"/>
      <c r="AI78" s="80"/>
      <c r="AJ78" s="87">
        <v>41603.232615740744</v>
      </c>
      <c r="AK78" s="85" t="str">
        <f>HYPERLINK("https://yt3.ggpht.com/ytc/AKedOLTXssWv7sKLJd6t8cqEsfYN_N_rZ21aUwZ3SJIXEg=s88-c-k-c0x00ffffff-no-rj")</f>
        <v>https://yt3.ggpht.com/ytc/AKedOLTXssWv7sKLJd6t8cqEsfYN_N_rZ21aUwZ3SJIXEg=s88-c-k-c0x00ffffff-no-rj</v>
      </c>
      <c r="AL78" s="80">
        <v>20</v>
      </c>
      <c r="AM78" s="80">
        <v>0</v>
      </c>
      <c r="AN78" s="80">
        <v>0</v>
      </c>
      <c r="AO78" s="80" t="b">
        <v>1</v>
      </c>
      <c r="AP78" s="80">
        <v>1</v>
      </c>
      <c r="AQ78" s="80"/>
      <c r="AR78" s="80"/>
      <c r="AS78" s="80" t="s">
        <v>1376</v>
      </c>
      <c r="AT78" s="85" t="str">
        <f>HYPERLINK("https://www.youtube.com/channel/UC52SPb7BsvpH0HWbkSk8Jdg")</f>
        <v>https://www.youtube.com/channel/UC52SPb7BsvpH0HWbkSk8Jdg</v>
      </c>
      <c r="AU78" s="80" t="str">
        <f>REPLACE(INDEX(GroupVertices[Group],MATCH(Vertices[[#This Row],[Vertex]],GroupVertices[Vertex],0)),1,1,"")</f>
        <v>1</v>
      </c>
      <c r="AV78" s="49">
        <v>1</v>
      </c>
      <c r="AW78" s="50">
        <v>33.333333333333336</v>
      </c>
      <c r="AX78" s="49">
        <v>0</v>
      </c>
      <c r="AY78" s="50">
        <v>0</v>
      </c>
      <c r="AZ78" s="49">
        <v>0</v>
      </c>
      <c r="BA78" s="50">
        <v>0</v>
      </c>
      <c r="BB78" s="49">
        <v>2</v>
      </c>
      <c r="BC78" s="50">
        <v>66.66666666666667</v>
      </c>
      <c r="BD78" s="49">
        <v>3</v>
      </c>
      <c r="BE78" s="49"/>
      <c r="BF78" s="49"/>
      <c r="BG78" s="49"/>
      <c r="BH78" s="49"/>
      <c r="BI78" s="49"/>
      <c r="BJ78" s="49"/>
      <c r="BK78" s="111" t="s">
        <v>2415</v>
      </c>
      <c r="BL78" s="111" t="s">
        <v>2415</v>
      </c>
      <c r="BM78" s="111" t="s">
        <v>2605</v>
      </c>
      <c r="BN78" s="111" t="s">
        <v>2605</v>
      </c>
      <c r="BO78" s="2"/>
      <c r="BP78" s="3"/>
      <c r="BQ78" s="3"/>
      <c r="BR78" s="3"/>
      <c r="BS78" s="3"/>
    </row>
    <row r="79" spans="1:71" ht="15">
      <c r="A79" s="65" t="s">
        <v>402</v>
      </c>
      <c r="B79" s="66"/>
      <c r="C79" s="66"/>
      <c r="D79" s="67">
        <v>150</v>
      </c>
      <c r="E79" s="69"/>
      <c r="F79" s="103" t="str">
        <f>HYPERLINK("https://yt3.ggpht.com/ytc/AKedOLSaIqNfy4dJgLWTO5R8apgzbIKmsb-pSOqXQBcY8Q=s88-c-k-c0x00ffffff-no-rj")</f>
        <v>https://yt3.ggpht.com/ytc/AKedOLSaIqNfy4dJgLWTO5R8apgzbIKmsb-pSOqXQBcY8Q=s88-c-k-c0x00ffffff-no-rj</v>
      </c>
      <c r="G79" s="66"/>
      <c r="H79" s="70" t="s">
        <v>915</v>
      </c>
      <c r="I79" s="71"/>
      <c r="J79" s="71" t="s">
        <v>159</v>
      </c>
      <c r="K79" s="70" t="s">
        <v>915</v>
      </c>
      <c r="L79" s="74">
        <v>1</v>
      </c>
      <c r="M79" s="75">
        <v>1129.220703125</v>
      </c>
      <c r="N79" s="75">
        <v>4238.80322265625</v>
      </c>
      <c r="O79" s="76"/>
      <c r="P79" s="77"/>
      <c r="Q79" s="77"/>
      <c r="R79" s="89"/>
      <c r="S79" s="49">
        <v>0</v>
      </c>
      <c r="T79" s="49">
        <v>1</v>
      </c>
      <c r="U79" s="50">
        <v>0</v>
      </c>
      <c r="V79" s="50">
        <v>0.189881</v>
      </c>
      <c r="W79" s="50">
        <v>0.080745</v>
      </c>
      <c r="X79" s="50">
        <v>0.003874</v>
      </c>
      <c r="Y79" s="50">
        <v>0</v>
      </c>
      <c r="Z79" s="50">
        <v>0</v>
      </c>
      <c r="AA79" s="72">
        <v>79</v>
      </c>
      <c r="AB79" s="72"/>
      <c r="AC79" s="73"/>
      <c r="AD79" s="80" t="s">
        <v>915</v>
      </c>
      <c r="AE79" s="80"/>
      <c r="AF79" s="80"/>
      <c r="AG79" s="80"/>
      <c r="AH79" s="80"/>
      <c r="AI79" s="80"/>
      <c r="AJ79" s="87">
        <v>42500.57728009259</v>
      </c>
      <c r="AK79" s="85" t="str">
        <f>HYPERLINK("https://yt3.ggpht.com/ytc/AKedOLSaIqNfy4dJgLWTO5R8apgzbIKmsb-pSOqXQBcY8Q=s88-c-k-c0x00ffffff-no-rj")</f>
        <v>https://yt3.ggpht.com/ytc/AKedOLSaIqNfy4dJgLWTO5R8apgzbIKmsb-pSOqXQBcY8Q=s88-c-k-c0x00ffffff-no-rj</v>
      </c>
      <c r="AL79" s="80">
        <v>288</v>
      </c>
      <c r="AM79" s="80">
        <v>0</v>
      </c>
      <c r="AN79" s="80">
        <v>9</v>
      </c>
      <c r="AO79" s="80" t="b">
        <v>0</v>
      </c>
      <c r="AP79" s="80">
        <v>2</v>
      </c>
      <c r="AQ79" s="80"/>
      <c r="AR79" s="80"/>
      <c r="AS79" s="80" t="s">
        <v>1376</v>
      </c>
      <c r="AT79" s="85" t="str">
        <f>HYPERLINK("https://www.youtube.com/channel/UCbldxxrB86AYD-2LJsgqpOA")</f>
        <v>https://www.youtube.com/channel/UCbldxxrB86AYD-2LJsgqpOA</v>
      </c>
      <c r="AU79" s="80" t="str">
        <f>REPLACE(INDEX(GroupVertices[Group],MATCH(Vertices[[#This Row],[Vertex]],GroupVertices[Vertex],0)),1,1,"")</f>
        <v>1</v>
      </c>
      <c r="AV79" s="49">
        <v>1</v>
      </c>
      <c r="AW79" s="50">
        <v>2.857142857142857</v>
      </c>
      <c r="AX79" s="49">
        <v>0</v>
      </c>
      <c r="AY79" s="50">
        <v>0</v>
      </c>
      <c r="AZ79" s="49">
        <v>0</v>
      </c>
      <c r="BA79" s="50">
        <v>0</v>
      </c>
      <c r="BB79" s="49">
        <v>34</v>
      </c>
      <c r="BC79" s="50">
        <v>97.14285714285714</v>
      </c>
      <c r="BD79" s="49">
        <v>35</v>
      </c>
      <c r="BE79" s="49"/>
      <c r="BF79" s="49"/>
      <c r="BG79" s="49"/>
      <c r="BH79" s="49"/>
      <c r="BI79" s="49"/>
      <c r="BJ79" s="49"/>
      <c r="BK79" s="111" t="s">
        <v>2416</v>
      </c>
      <c r="BL79" s="111" t="s">
        <v>2416</v>
      </c>
      <c r="BM79" s="111" t="s">
        <v>2606</v>
      </c>
      <c r="BN79" s="111" t="s">
        <v>2606</v>
      </c>
      <c r="BO79" s="2"/>
      <c r="BP79" s="3"/>
      <c r="BQ79" s="3"/>
      <c r="BR79" s="3"/>
      <c r="BS79" s="3"/>
    </row>
    <row r="80" spans="1:71" ht="15">
      <c r="A80" s="65" t="s">
        <v>403</v>
      </c>
      <c r="B80" s="66"/>
      <c r="C80" s="66"/>
      <c r="D80" s="67">
        <v>150</v>
      </c>
      <c r="E80" s="69"/>
      <c r="F80" s="103" t="str">
        <f>HYPERLINK("https://yt3.ggpht.com/GDV-DHsvHx9qYhTUa4OSPd6c_Zh_PxkvYwYYrA-zdKHIYOaHeyBqfTZv2051rMuRFI4uKyJp8Q=s88-c-k-c0x00ffffff-no-rj")</f>
        <v>https://yt3.ggpht.com/GDV-DHsvHx9qYhTUa4OSPd6c_Zh_PxkvYwYYrA-zdKHIYOaHeyBqfTZv2051rMuRFI4uKyJp8Q=s88-c-k-c0x00ffffff-no-rj</v>
      </c>
      <c r="G80" s="66"/>
      <c r="H80" s="70" t="s">
        <v>916</v>
      </c>
      <c r="I80" s="71"/>
      <c r="J80" s="71" t="s">
        <v>159</v>
      </c>
      <c r="K80" s="70" t="s">
        <v>916</v>
      </c>
      <c r="L80" s="74">
        <v>1</v>
      </c>
      <c r="M80" s="75">
        <v>6189.99462890625</v>
      </c>
      <c r="N80" s="75">
        <v>3054.486572265625</v>
      </c>
      <c r="O80" s="76"/>
      <c r="P80" s="77"/>
      <c r="Q80" s="77"/>
      <c r="R80" s="89"/>
      <c r="S80" s="49">
        <v>0</v>
      </c>
      <c r="T80" s="49">
        <v>1</v>
      </c>
      <c r="U80" s="50">
        <v>0</v>
      </c>
      <c r="V80" s="50">
        <v>0.014676</v>
      </c>
      <c r="W80" s="50">
        <v>0</v>
      </c>
      <c r="X80" s="50">
        <v>0.003956</v>
      </c>
      <c r="Y80" s="50">
        <v>0</v>
      </c>
      <c r="Z80" s="50">
        <v>0</v>
      </c>
      <c r="AA80" s="72">
        <v>80</v>
      </c>
      <c r="AB80" s="72"/>
      <c r="AC80" s="73"/>
      <c r="AD80" s="80" t="s">
        <v>916</v>
      </c>
      <c r="AE80" s="80"/>
      <c r="AF80" s="80"/>
      <c r="AG80" s="80"/>
      <c r="AH80" s="80"/>
      <c r="AI80" s="80"/>
      <c r="AJ80" s="87">
        <v>40831.33283564815</v>
      </c>
      <c r="AK80" s="85" t="str">
        <f>HYPERLINK("https://yt3.ggpht.com/GDV-DHsvHx9qYhTUa4OSPd6c_Zh_PxkvYwYYrA-zdKHIYOaHeyBqfTZv2051rMuRFI4uKyJp8Q=s88-c-k-c0x00ffffff-no-rj")</f>
        <v>https://yt3.ggpht.com/GDV-DHsvHx9qYhTUa4OSPd6c_Zh_PxkvYwYYrA-zdKHIYOaHeyBqfTZv2051rMuRFI4uKyJp8Q=s88-c-k-c0x00ffffff-no-rj</v>
      </c>
      <c r="AL80" s="80">
        <v>937</v>
      </c>
      <c r="AM80" s="80">
        <v>0</v>
      </c>
      <c r="AN80" s="80">
        <v>10</v>
      </c>
      <c r="AO80" s="80" t="b">
        <v>0</v>
      </c>
      <c r="AP80" s="80">
        <v>3</v>
      </c>
      <c r="AQ80" s="80"/>
      <c r="AR80" s="80"/>
      <c r="AS80" s="80" t="s">
        <v>1376</v>
      </c>
      <c r="AT80" s="85" t="str">
        <f>HYPERLINK("https://www.youtube.com/channel/UC0qJaSE8JW7BoCYedij1fPg")</f>
        <v>https://www.youtube.com/channel/UC0qJaSE8JW7BoCYedij1fPg</v>
      </c>
      <c r="AU80" s="80" t="str">
        <f>REPLACE(INDEX(GroupVertices[Group],MATCH(Vertices[[#This Row],[Vertex]],GroupVertices[Vertex],0)),1,1,"")</f>
        <v>10</v>
      </c>
      <c r="AV80" s="49">
        <v>2</v>
      </c>
      <c r="AW80" s="50">
        <v>12.5</v>
      </c>
      <c r="AX80" s="49">
        <v>0</v>
      </c>
      <c r="AY80" s="50">
        <v>0</v>
      </c>
      <c r="AZ80" s="49">
        <v>0</v>
      </c>
      <c r="BA80" s="50">
        <v>0</v>
      </c>
      <c r="BB80" s="49">
        <v>14</v>
      </c>
      <c r="BC80" s="50">
        <v>87.5</v>
      </c>
      <c r="BD80" s="49">
        <v>16</v>
      </c>
      <c r="BE80" s="49"/>
      <c r="BF80" s="49"/>
      <c r="BG80" s="49"/>
      <c r="BH80" s="49"/>
      <c r="BI80" s="49"/>
      <c r="BJ80" s="49"/>
      <c r="BK80" s="111" t="s">
        <v>2417</v>
      </c>
      <c r="BL80" s="111" t="s">
        <v>2417</v>
      </c>
      <c r="BM80" s="111" t="s">
        <v>2607</v>
      </c>
      <c r="BN80" s="111" t="s">
        <v>2607</v>
      </c>
      <c r="BO80" s="2"/>
      <c r="BP80" s="3"/>
      <c r="BQ80" s="3"/>
      <c r="BR80" s="3"/>
      <c r="BS80" s="3"/>
    </row>
    <row r="81" spans="1:71" ht="15">
      <c r="A81" s="65" t="s">
        <v>550</v>
      </c>
      <c r="B81" s="66"/>
      <c r="C81" s="66"/>
      <c r="D81" s="67">
        <v>174.42528735632183</v>
      </c>
      <c r="E81" s="69"/>
      <c r="F81" s="103" t="str">
        <f>HYPERLINK("https://yt3.ggpht.com/ytc/AKedOLREFKkIOr9uFqSVDw3aRpnWxUmiuOrumWoeWA=s88-c-k-c0x00ffffff-no-rj")</f>
        <v>https://yt3.ggpht.com/ytc/AKedOLREFKkIOr9uFqSVDw3aRpnWxUmiuOrumWoeWA=s88-c-k-c0x00ffffff-no-rj</v>
      </c>
      <c r="G81" s="66"/>
      <c r="H81" s="70" t="s">
        <v>1263</v>
      </c>
      <c r="I81" s="71"/>
      <c r="J81" s="71" t="s">
        <v>75</v>
      </c>
      <c r="K81" s="70" t="s">
        <v>1263</v>
      </c>
      <c r="L81" s="74">
        <v>22.634188855643828</v>
      </c>
      <c r="M81" s="75">
        <v>6307.11572265625</v>
      </c>
      <c r="N81" s="75">
        <v>3490.882080078125</v>
      </c>
      <c r="O81" s="76"/>
      <c r="P81" s="77"/>
      <c r="Q81" s="77"/>
      <c r="R81" s="89"/>
      <c r="S81" s="49">
        <v>7</v>
      </c>
      <c r="T81" s="49">
        <v>1</v>
      </c>
      <c r="U81" s="50">
        <v>30</v>
      </c>
      <c r="V81" s="50">
        <v>0.026906</v>
      </c>
      <c r="W81" s="50">
        <v>0</v>
      </c>
      <c r="X81" s="50">
        <v>0.007516</v>
      </c>
      <c r="Y81" s="50">
        <v>0</v>
      </c>
      <c r="Z81" s="50">
        <v>0</v>
      </c>
      <c r="AA81" s="72">
        <v>81</v>
      </c>
      <c r="AB81" s="72"/>
      <c r="AC81" s="73"/>
      <c r="AD81" s="80" t="s">
        <v>1263</v>
      </c>
      <c r="AE81" s="80"/>
      <c r="AF81" s="80"/>
      <c r="AG81" s="80"/>
      <c r="AH81" s="80"/>
      <c r="AI81" s="80"/>
      <c r="AJ81" s="87">
        <v>41331.88664351852</v>
      </c>
      <c r="AK81" s="85" t="str">
        <f>HYPERLINK("https://yt3.ggpht.com/ytc/AKedOLREFKkIOr9uFqSVDw3aRpnWxUmiuOrumWoeWA=s88-c-k-c0x00ffffff-no-rj")</f>
        <v>https://yt3.ggpht.com/ytc/AKedOLREFKkIOr9uFqSVDw3aRpnWxUmiuOrumWoeWA=s88-c-k-c0x00ffffff-no-rj</v>
      </c>
      <c r="AL81" s="80">
        <v>11526</v>
      </c>
      <c r="AM81" s="80">
        <v>0</v>
      </c>
      <c r="AN81" s="80">
        <v>16</v>
      </c>
      <c r="AO81" s="80" t="b">
        <v>0</v>
      </c>
      <c r="AP81" s="80">
        <v>7</v>
      </c>
      <c r="AQ81" s="80"/>
      <c r="AR81" s="80"/>
      <c r="AS81" s="80" t="s">
        <v>1376</v>
      </c>
      <c r="AT81" s="85" t="str">
        <f>HYPERLINK("https://www.youtube.com/channel/UCif9JdoLvBtApiSu94tWjPg")</f>
        <v>https://www.youtube.com/channel/UCif9JdoLvBtApiSu94tWjPg</v>
      </c>
      <c r="AU81" s="80" t="str">
        <f>REPLACE(INDEX(GroupVertices[Group],MATCH(Vertices[[#This Row],[Vertex]],GroupVertices[Vertex],0)),1,1,"")</f>
        <v>10</v>
      </c>
      <c r="AV81" s="49"/>
      <c r="AW81" s="50"/>
      <c r="AX81" s="49"/>
      <c r="AY81" s="50"/>
      <c r="AZ81" s="49"/>
      <c r="BA81" s="50"/>
      <c r="BB81" s="49"/>
      <c r="BC81" s="50"/>
      <c r="BD81" s="49"/>
      <c r="BE81" s="49"/>
      <c r="BF81" s="49"/>
      <c r="BG81" s="49"/>
      <c r="BH81" s="49"/>
      <c r="BI81" s="49"/>
      <c r="BJ81" s="49"/>
      <c r="BK81" s="111" t="s">
        <v>1239</v>
      </c>
      <c r="BL81" s="111" t="s">
        <v>1239</v>
      </c>
      <c r="BM81" s="111" t="s">
        <v>1239</v>
      </c>
      <c r="BN81" s="111" t="s">
        <v>1239</v>
      </c>
      <c r="BO81" s="2"/>
      <c r="BP81" s="3"/>
      <c r="BQ81" s="3"/>
      <c r="BR81" s="3"/>
      <c r="BS81" s="3"/>
    </row>
    <row r="82" spans="1:71" ht="15">
      <c r="A82" s="65" t="s">
        <v>404</v>
      </c>
      <c r="B82" s="66"/>
      <c r="C82" s="66"/>
      <c r="D82" s="67">
        <v>150</v>
      </c>
      <c r="E82" s="69"/>
      <c r="F82" s="103" t="str">
        <f>HYPERLINK("https://yt3.ggpht.com/ytc/AKedOLSQl0zIh7zD5ttUNoq-i_SoS2wKAnyFRjky-EOj2g=s88-c-k-c0x00ffffff-no-rj")</f>
        <v>https://yt3.ggpht.com/ytc/AKedOLSQl0zIh7zD5ttUNoq-i_SoS2wKAnyFRjky-EOj2g=s88-c-k-c0x00ffffff-no-rj</v>
      </c>
      <c r="G82" s="66"/>
      <c r="H82" s="70" t="s">
        <v>917</v>
      </c>
      <c r="I82" s="71"/>
      <c r="J82" s="71" t="s">
        <v>159</v>
      </c>
      <c r="K82" s="70" t="s">
        <v>917</v>
      </c>
      <c r="L82" s="74">
        <v>1</v>
      </c>
      <c r="M82" s="75">
        <v>5859.28662109375</v>
      </c>
      <c r="N82" s="75">
        <v>1823.3470458984375</v>
      </c>
      <c r="O82" s="76"/>
      <c r="P82" s="77"/>
      <c r="Q82" s="77"/>
      <c r="R82" s="89"/>
      <c r="S82" s="49">
        <v>0</v>
      </c>
      <c r="T82" s="49">
        <v>1</v>
      </c>
      <c r="U82" s="50">
        <v>0</v>
      </c>
      <c r="V82" s="50">
        <v>0.014676</v>
      </c>
      <c r="W82" s="50">
        <v>0</v>
      </c>
      <c r="X82" s="50">
        <v>0.003956</v>
      </c>
      <c r="Y82" s="50">
        <v>0</v>
      </c>
      <c r="Z82" s="50">
        <v>0</v>
      </c>
      <c r="AA82" s="72">
        <v>82</v>
      </c>
      <c r="AB82" s="72"/>
      <c r="AC82" s="73"/>
      <c r="AD82" s="80" t="s">
        <v>917</v>
      </c>
      <c r="AE82" s="80"/>
      <c r="AF82" s="80"/>
      <c r="AG82" s="80"/>
      <c r="AH82" s="80"/>
      <c r="AI82" s="80"/>
      <c r="AJ82" s="87">
        <v>41191.68481481481</v>
      </c>
      <c r="AK82" s="85" t="str">
        <f>HYPERLINK("https://yt3.ggpht.com/ytc/AKedOLSQl0zIh7zD5ttUNoq-i_SoS2wKAnyFRjky-EOj2g=s88-c-k-c0x00ffffff-no-rj")</f>
        <v>https://yt3.ggpht.com/ytc/AKedOLSQl0zIh7zD5ttUNoq-i_SoS2wKAnyFRjky-EOj2g=s88-c-k-c0x00ffffff-no-rj</v>
      </c>
      <c r="AL82" s="80">
        <v>0</v>
      </c>
      <c r="AM82" s="80">
        <v>0</v>
      </c>
      <c r="AN82" s="80">
        <v>0</v>
      </c>
      <c r="AO82" s="80" t="b">
        <v>0</v>
      </c>
      <c r="AP82" s="80">
        <v>0</v>
      </c>
      <c r="AQ82" s="80"/>
      <c r="AR82" s="80"/>
      <c r="AS82" s="80" t="s">
        <v>1376</v>
      </c>
      <c r="AT82" s="85" t="str">
        <f>HYPERLINK("https://www.youtube.com/channel/UCXFOCi3E8fm4KWk7KA1v-FA")</f>
        <v>https://www.youtube.com/channel/UCXFOCi3E8fm4KWk7KA1v-FA</v>
      </c>
      <c r="AU82" s="80" t="str">
        <f>REPLACE(INDEX(GroupVertices[Group],MATCH(Vertices[[#This Row],[Vertex]],GroupVertices[Vertex],0)),1,1,"")</f>
        <v>10</v>
      </c>
      <c r="AV82" s="49">
        <v>2</v>
      </c>
      <c r="AW82" s="50">
        <v>16.666666666666668</v>
      </c>
      <c r="AX82" s="49">
        <v>0</v>
      </c>
      <c r="AY82" s="50">
        <v>0</v>
      </c>
      <c r="AZ82" s="49">
        <v>0</v>
      </c>
      <c r="BA82" s="50">
        <v>0</v>
      </c>
      <c r="BB82" s="49">
        <v>10</v>
      </c>
      <c r="BC82" s="50">
        <v>83.33333333333333</v>
      </c>
      <c r="BD82" s="49">
        <v>12</v>
      </c>
      <c r="BE82" s="49"/>
      <c r="BF82" s="49"/>
      <c r="BG82" s="49"/>
      <c r="BH82" s="49"/>
      <c r="BI82" s="49"/>
      <c r="BJ82" s="49"/>
      <c r="BK82" s="111" t="s">
        <v>2418</v>
      </c>
      <c r="BL82" s="111" t="s">
        <v>2418</v>
      </c>
      <c r="BM82" s="111" t="s">
        <v>2608</v>
      </c>
      <c r="BN82" s="111" t="s">
        <v>2608</v>
      </c>
      <c r="BO82" s="2"/>
      <c r="BP82" s="3"/>
      <c r="BQ82" s="3"/>
      <c r="BR82" s="3"/>
      <c r="BS82" s="3"/>
    </row>
    <row r="83" spans="1:71" ht="15">
      <c r="A83" s="65" t="s">
        <v>405</v>
      </c>
      <c r="B83" s="66"/>
      <c r="C83" s="66"/>
      <c r="D83" s="67">
        <v>150</v>
      </c>
      <c r="E83" s="69"/>
      <c r="F83" s="103" t="str">
        <f>HYPERLINK("https://yt3.ggpht.com/ytc/AKedOLTmyuY_q-2XVmEWC3oORvvIHwVzDlTfOcBhgmrFa1A=s88-c-k-c0x00ffffff-no-rj")</f>
        <v>https://yt3.ggpht.com/ytc/AKedOLTmyuY_q-2XVmEWC3oORvvIHwVzDlTfOcBhgmrFa1A=s88-c-k-c0x00ffffff-no-rj</v>
      </c>
      <c r="G83" s="66"/>
      <c r="H83" s="70" t="s">
        <v>918</v>
      </c>
      <c r="I83" s="71"/>
      <c r="J83" s="71" t="s">
        <v>159</v>
      </c>
      <c r="K83" s="70" t="s">
        <v>918</v>
      </c>
      <c r="L83" s="74">
        <v>1</v>
      </c>
      <c r="M83" s="75">
        <v>6602.927734375</v>
      </c>
      <c r="N83" s="75">
        <v>4591.40380859375</v>
      </c>
      <c r="O83" s="76"/>
      <c r="P83" s="77"/>
      <c r="Q83" s="77"/>
      <c r="R83" s="89"/>
      <c r="S83" s="49">
        <v>0</v>
      </c>
      <c r="T83" s="49">
        <v>1</v>
      </c>
      <c r="U83" s="50">
        <v>0</v>
      </c>
      <c r="V83" s="50">
        <v>0.014676</v>
      </c>
      <c r="W83" s="50">
        <v>0</v>
      </c>
      <c r="X83" s="50">
        <v>0.003956</v>
      </c>
      <c r="Y83" s="50">
        <v>0</v>
      </c>
      <c r="Z83" s="50">
        <v>0</v>
      </c>
      <c r="AA83" s="72">
        <v>83</v>
      </c>
      <c r="AB83" s="72"/>
      <c r="AC83" s="73"/>
      <c r="AD83" s="80" t="s">
        <v>918</v>
      </c>
      <c r="AE83" s="80"/>
      <c r="AF83" s="80"/>
      <c r="AG83" s="80"/>
      <c r="AH83" s="80"/>
      <c r="AI83" s="80"/>
      <c r="AJ83" s="87">
        <v>39383.98725694444</v>
      </c>
      <c r="AK83" s="85" t="str">
        <f>HYPERLINK("https://yt3.ggpht.com/ytc/AKedOLTmyuY_q-2XVmEWC3oORvvIHwVzDlTfOcBhgmrFa1A=s88-c-k-c0x00ffffff-no-rj")</f>
        <v>https://yt3.ggpht.com/ytc/AKedOLTmyuY_q-2XVmEWC3oORvvIHwVzDlTfOcBhgmrFa1A=s88-c-k-c0x00ffffff-no-rj</v>
      </c>
      <c r="AL83" s="80">
        <v>668</v>
      </c>
      <c r="AM83" s="80">
        <v>0</v>
      </c>
      <c r="AN83" s="80">
        <v>5</v>
      </c>
      <c r="AO83" s="80" t="b">
        <v>0</v>
      </c>
      <c r="AP83" s="80">
        <v>5</v>
      </c>
      <c r="AQ83" s="80"/>
      <c r="AR83" s="80"/>
      <c r="AS83" s="80" t="s">
        <v>1376</v>
      </c>
      <c r="AT83" s="85" t="str">
        <f>HYPERLINK("https://www.youtube.com/channel/UCywWdXzN6JZzrDM3WWtIcdA")</f>
        <v>https://www.youtube.com/channel/UCywWdXzN6JZzrDM3WWtIcdA</v>
      </c>
      <c r="AU83" s="80" t="str">
        <f>REPLACE(INDEX(GroupVertices[Group],MATCH(Vertices[[#This Row],[Vertex]],GroupVertices[Vertex],0)),1,1,"")</f>
        <v>10</v>
      </c>
      <c r="AV83" s="49">
        <v>1</v>
      </c>
      <c r="AW83" s="50">
        <v>5.555555555555555</v>
      </c>
      <c r="AX83" s="49">
        <v>0</v>
      </c>
      <c r="AY83" s="50">
        <v>0</v>
      </c>
      <c r="AZ83" s="49">
        <v>0</v>
      </c>
      <c r="BA83" s="50">
        <v>0</v>
      </c>
      <c r="BB83" s="49">
        <v>17</v>
      </c>
      <c r="BC83" s="50">
        <v>94.44444444444444</v>
      </c>
      <c r="BD83" s="49">
        <v>18</v>
      </c>
      <c r="BE83" s="49"/>
      <c r="BF83" s="49"/>
      <c r="BG83" s="49"/>
      <c r="BH83" s="49"/>
      <c r="BI83" s="49"/>
      <c r="BJ83" s="49"/>
      <c r="BK83" s="111" t="s">
        <v>2419</v>
      </c>
      <c r="BL83" s="111" t="s">
        <v>2419</v>
      </c>
      <c r="BM83" s="111" t="s">
        <v>2609</v>
      </c>
      <c r="BN83" s="111" t="s">
        <v>2609</v>
      </c>
      <c r="BO83" s="2"/>
      <c r="BP83" s="3"/>
      <c r="BQ83" s="3"/>
      <c r="BR83" s="3"/>
      <c r="BS83" s="3"/>
    </row>
    <row r="84" spans="1:71" ht="15">
      <c r="A84" s="65" t="s">
        <v>406</v>
      </c>
      <c r="B84" s="66"/>
      <c r="C84" s="66"/>
      <c r="D84" s="67">
        <v>150</v>
      </c>
      <c r="E84" s="69"/>
      <c r="F84" s="103" t="str">
        <f>HYPERLINK("https://yt3.ggpht.com/ytc/AKedOLR1oV5oQJ4Oq_q_cUEHWLVRChc3d3bF0i_ZuqPy=s88-c-k-c0x00ffffff-no-rj")</f>
        <v>https://yt3.ggpht.com/ytc/AKedOLR1oV5oQJ4Oq_q_cUEHWLVRChc3d3bF0i_ZuqPy=s88-c-k-c0x00ffffff-no-rj</v>
      </c>
      <c r="G84" s="66"/>
      <c r="H84" s="70" t="s">
        <v>919</v>
      </c>
      <c r="I84" s="71"/>
      <c r="J84" s="71" t="s">
        <v>159</v>
      </c>
      <c r="K84" s="70" t="s">
        <v>919</v>
      </c>
      <c r="L84" s="74">
        <v>1</v>
      </c>
      <c r="M84" s="75">
        <v>5901.0048828125</v>
      </c>
      <c r="N84" s="75">
        <v>4617.18505859375</v>
      </c>
      <c r="O84" s="76"/>
      <c r="P84" s="77"/>
      <c r="Q84" s="77"/>
      <c r="R84" s="89"/>
      <c r="S84" s="49">
        <v>0</v>
      </c>
      <c r="T84" s="49">
        <v>1</v>
      </c>
      <c r="U84" s="50">
        <v>0</v>
      </c>
      <c r="V84" s="50">
        <v>0.014676</v>
      </c>
      <c r="W84" s="50">
        <v>0</v>
      </c>
      <c r="X84" s="50">
        <v>0.003956</v>
      </c>
      <c r="Y84" s="50">
        <v>0</v>
      </c>
      <c r="Z84" s="50">
        <v>0</v>
      </c>
      <c r="AA84" s="72">
        <v>84</v>
      </c>
      <c r="AB84" s="72"/>
      <c r="AC84" s="73"/>
      <c r="AD84" s="80" t="s">
        <v>919</v>
      </c>
      <c r="AE84" s="80"/>
      <c r="AF84" s="80"/>
      <c r="AG84" s="80"/>
      <c r="AH84" s="80"/>
      <c r="AI84" s="80"/>
      <c r="AJ84" s="87">
        <v>42220.541238425925</v>
      </c>
      <c r="AK84" s="85" t="str">
        <f>HYPERLINK("https://yt3.ggpht.com/ytc/AKedOLR1oV5oQJ4Oq_q_cUEHWLVRChc3d3bF0i_ZuqPy=s88-c-k-c0x00ffffff-no-rj")</f>
        <v>https://yt3.ggpht.com/ytc/AKedOLR1oV5oQJ4Oq_q_cUEHWLVRChc3d3bF0i_ZuqPy=s88-c-k-c0x00ffffff-no-rj</v>
      </c>
      <c r="AL84" s="80">
        <v>8276</v>
      </c>
      <c r="AM84" s="80">
        <v>0</v>
      </c>
      <c r="AN84" s="80">
        <v>44</v>
      </c>
      <c r="AO84" s="80" t="b">
        <v>0</v>
      </c>
      <c r="AP84" s="80">
        <v>24</v>
      </c>
      <c r="AQ84" s="80"/>
      <c r="AR84" s="80"/>
      <c r="AS84" s="80" t="s">
        <v>1376</v>
      </c>
      <c r="AT84" s="85" t="str">
        <f>HYPERLINK("https://www.youtube.com/channel/UCIz82_qILaDCMBLYsqErOOw")</f>
        <v>https://www.youtube.com/channel/UCIz82_qILaDCMBLYsqErOOw</v>
      </c>
      <c r="AU84" s="80" t="str">
        <f>REPLACE(INDEX(GroupVertices[Group],MATCH(Vertices[[#This Row],[Vertex]],GroupVertices[Vertex],0)),1,1,"")</f>
        <v>10</v>
      </c>
      <c r="AV84" s="49">
        <v>1</v>
      </c>
      <c r="AW84" s="50">
        <v>4</v>
      </c>
      <c r="AX84" s="49">
        <v>0</v>
      </c>
      <c r="AY84" s="50">
        <v>0</v>
      </c>
      <c r="AZ84" s="49">
        <v>0</v>
      </c>
      <c r="BA84" s="50">
        <v>0</v>
      </c>
      <c r="BB84" s="49">
        <v>24</v>
      </c>
      <c r="BC84" s="50">
        <v>96</v>
      </c>
      <c r="BD84" s="49">
        <v>25</v>
      </c>
      <c r="BE84" s="49"/>
      <c r="BF84" s="49"/>
      <c r="BG84" s="49"/>
      <c r="BH84" s="49"/>
      <c r="BI84" s="49"/>
      <c r="BJ84" s="49"/>
      <c r="BK84" s="111" t="s">
        <v>2420</v>
      </c>
      <c r="BL84" s="111" t="s">
        <v>2420</v>
      </c>
      <c r="BM84" s="111" t="s">
        <v>2610</v>
      </c>
      <c r="BN84" s="111" t="s">
        <v>2610</v>
      </c>
      <c r="BO84" s="2"/>
      <c r="BP84" s="3"/>
      <c r="BQ84" s="3"/>
      <c r="BR84" s="3"/>
      <c r="BS84" s="3"/>
    </row>
    <row r="85" spans="1:71" ht="15">
      <c r="A85" s="65" t="s">
        <v>407</v>
      </c>
      <c r="B85" s="66"/>
      <c r="C85" s="66"/>
      <c r="D85" s="67">
        <v>150</v>
      </c>
      <c r="E85" s="69"/>
      <c r="F85" s="103" t="str">
        <f>HYPERLINK("https://yt3.ggpht.com/ytc/AKedOLSmPVhOLJkKYOw__UBqCcpRDHocWKX6gSd5BaYS9A=s88-c-k-c0x00ffffff-no-rj")</f>
        <v>https://yt3.ggpht.com/ytc/AKedOLSmPVhOLJkKYOw__UBqCcpRDHocWKX6gSd5BaYS9A=s88-c-k-c0x00ffffff-no-rj</v>
      </c>
      <c r="G85" s="66"/>
      <c r="H85" s="70" t="s">
        <v>920</v>
      </c>
      <c r="I85" s="71"/>
      <c r="J85" s="71" t="s">
        <v>159</v>
      </c>
      <c r="K85" s="70" t="s">
        <v>920</v>
      </c>
      <c r="L85" s="74">
        <v>1</v>
      </c>
      <c r="M85" s="75">
        <v>6013.47021484375</v>
      </c>
      <c r="N85" s="75">
        <v>2397.267822265625</v>
      </c>
      <c r="O85" s="76"/>
      <c r="P85" s="77"/>
      <c r="Q85" s="77"/>
      <c r="R85" s="89"/>
      <c r="S85" s="49">
        <v>0</v>
      </c>
      <c r="T85" s="49">
        <v>1</v>
      </c>
      <c r="U85" s="50">
        <v>0</v>
      </c>
      <c r="V85" s="50">
        <v>0.014676</v>
      </c>
      <c r="W85" s="50">
        <v>0</v>
      </c>
      <c r="X85" s="50">
        <v>0.003956</v>
      </c>
      <c r="Y85" s="50">
        <v>0</v>
      </c>
      <c r="Z85" s="50">
        <v>0</v>
      </c>
      <c r="AA85" s="72">
        <v>85</v>
      </c>
      <c r="AB85" s="72"/>
      <c r="AC85" s="73"/>
      <c r="AD85" s="80" t="s">
        <v>920</v>
      </c>
      <c r="AE85" s="80"/>
      <c r="AF85" s="80"/>
      <c r="AG85" s="80"/>
      <c r="AH85" s="80"/>
      <c r="AI85" s="80"/>
      <c r="AJ85" s="87">
        <v>43282.33015046296</v>
      </c>
      <c r="AK85" s="85" t="str">
        <f>HYPERLINK("https://yt3.ggpht.com/ytc/AKedOLSmPVhOLJkKYOw__UBqCcpRDHocWKX6gSd5BaYS9A=s88-c-k-c0x00ffffff-no-rj")</f>
        <v>https://yt3.ggpht.com/ytc/AKedOLSmPVhOLJkKYOw__UBqCcpRDHocWKX6gSd5BaYS9A=s88-c-k-c0x00ffffff-no-rj</v>
      </c>
      <c r="AL85" s="80">
        <v>0</v>
      </c>
      <c r="AM85" s="80">
        <v>0</v>
      </c>
      <c r="AN85" s="80">
        <v>0</v>
      </c>
      <c r="AO85" s="80" t="b">
        <v>0</v>
      </c>
      <c r="AP85" s="80">
        <v>0</v>
      </c>
      <c r="AQ85" s="80"/>
      <c r="AR85" s="80"/>
      <c r="AS85" s="80" t="s">
        <v>1376</v>
      </c>
      <c r="AT85" s="85" t="str">
        <f>HYPERLINK("https://www.youtube.com/channel/UC1G7AZFqSOf2CIZBzfBNmVQ")</f>
        <v>https://www.youtube.com/channel/UC1G7AZFqSOf2CIZBzfBNmVQ</v>
      </c>
      <c r="AU85" s="80" t="str">
        <f>REPLACE(INDEX(GroupVertices[Group],MATCH(Vertices[[#This Row],[Vertex]],GroupVertices[Vertex],0)),1,1,"")</f>
        <v>10</v>
      </c>
      <c r="AV85" s="49">
        <v>1</v>
      </c>
      <c r="AW85" s="50">
        <v>1.4705882352941178</v>
      </c>
      <c r="AX85" s="49">
        <v>0</v>
      </c>
      <c r="AY85" s="50">
        <v>0</v>
      </c>
      <c r="AZ85" s="49">
        <v>0</v>
      </c>
      <c r="BA85" s="50">
        <v>0</v>
      </c>
      <c r="BB85" s="49">
        <v>67</v>
      </c>
      <c r="BC85" s="50">
        <v>98.52941176470588</v>
      </c>
      <c r="BD85" s="49">
        <v>68</v>
      </c>
      <c r="BE85" s="49" t="s">
        <v>2166</v>
      </c>
      <c r="BF85" s="49" t="s">
        <v>2166</v>
      </c>
      <c r="BG85" s="49" t="s">
        <v>2174</v>
      </c>
      <c r="BH85" s="49" t="s">
        <v>2174</v>
      </c>
      <c r="BI85" s="49"/>
      <c r="BJ85" s="49"/>
      <c r="BK85" s="111" t="s">
        <v>2421</v>
      </c>
      <c r="BL85" s="111" t="s">
        <v>2421</v>
      </c>
      <c r="BM85" s="111" t="s">
        <v>2611</v>
      </c>
      <c r="BN85" s="111" t="s">
        <v>2611</v>
      </c>
      <c r="BO85" s="2"/>
      <c r="BP85" s="3"/>
      <c r="BQ85" s="3"/>
      <c r="BR85" s="3"/>
      <c r="BS85" s="3"/>
    </row>
    <row r="86" spans="1:71" ht="15">
      <c r="A86" s="65" t="s">
        <v>408</v>
      </c>
      <c r="B86" s="66"/>
      <c r="C86" s="66"/>
      <c r="D86" s="67">
        <v>150</v>
      </c>
      <c r="E86" s="69"/>
      <c r="F86" s="103" t="str">
        <f>HYPERLINK("https://yt3.ggpht.com/ytc/AKedOLQwkXG1iUvZ7cM73V8jDfJ-bbYW2V3bBEgFa5-Qzg=s88-c-k-c0x00ffffff-no-rj")</f>
        <v>https://yt3.ggpht.com/ytc/AKedOLQwkXG1iUvZ7cM73V8jDfJ-bbYW2V3bBEgFa5-Qzg=s88-c-k-c0x00ffffff-no-rj</v>
      </c>
      <c r="G86" s="66"/>
      <c r="H86" s="70" t="s">
        <v>921</v>
      </c>
      <c r="I86" s="71"/>
      <c r="J86" s="71" t="s">
        <v>159</v>
      </c>
      <c r="K86" s="70" t="s">
        <v>921</v>
      </c>
      <c r="L86" s="74">
        <v>1</v>
      </c>
      <c r="M86" s="75">
        <v>6782.76123046875</v>
      </c>
      <c r="N86" s="75">
        <v>2622.955078125</v>
      </c>
      <c r="O86" s="76"/>
      <c r="P86" s="77"/>
      <c r="Q86" s="77"/>
      <c r="R86" s="89"/>
      <c r="S86" s="49">
        <v>0</v>
      </c>
      <c r="T86" s="49">
        <v>1</v>
      </c>
      <c r="U86" s="50">
        <v>0</v>
      </c>
      <c r="V86" s="50">
        <v>0.014676</v>
      </c>
      <c r="W86" s="50">
        <v>0</v>
      </c>
      <c r="X86" s="50">
        <v>0.003956</v>
      </c>
      <c r="Y86" s="50">
        <v>0</v>
      </c>
      <c r="Z86" s="50">
        <v>0</v>
      </c>
      <c r="AA86" s="72">
        <v>86</v>
      </c>
      <c r="AB86" s="72"/>
      <c r="AC86" s="73"/>
      <c r="AD86" s="80" t="s">
        <v>921</v>
      </c>
      <c r="AE86" s="80"/>
      <c r="AF86" s="80"/>
      <c r="AG86" s="80"/>
      <c r="AH86" s="80"/>
      <c r="AI86" s="80"/>
      <c r="AJ86" s="87">
        <v>41486.79703703704</v>
      </c>
      <c r="AK86" s="85" t="str">
        <f>HYPERLINK("https://yt3.ggpht.com/ytc/AKedOLQwkXG1iUvZ7cM73V8jDfJ-bbYW2V3bBEgFa5-Qzg=s88-c-k-c0x00ffffff-no-rj")</f>
        <v>https://yt3.ggpht.com/ytc/AKedOLQwkXG1iUvZ7cM73V8jDfJ-bbYW2V3bBEgFa5-Qzg=s88-c-k-c0x00ffffff-no-rj</v>
      </c>
      <c r="AL86" s="80">
        <v>0</v>
      </c>
      <c r="AM86" s="80">
        <v>0</v>
      </c>
      <c r="AN86" s="80">
        <v>0</v>
      </c>
      <c r="AO86" s="80" t="b">
        <v>0</v>
      </c>
      <c r="AP86" s="80">
        <v>0</v>
      </c>
      <c r="AQ86" s="80"/>
      <c r="AR86" s="80"/>
      <c r="AS86" s="80" t="s">
        <v>1376</v>
      </c>
      <c r="AT86" s="85" t="str">
        <f>HYPERLINK("https://www.youtube.com/channel/UChA9cIhy_R5-REFhn28MQOw")</f>
        <v>https://www.youtube.com/channel/UChA9cIhy_R5-REFhn28MQOw</v>
      </c>
      <c r="AU86" s="80" t="str">
        <f>REPLACE(INDEX(GroupVertices[Group],MATCH(Vertices[[#This Row],[Vertex]],GroupVertices[Vertex],0)),1,1,"")</f>
        <v>10</v>
      </c>
      <c r="AV86" s="49">
        <v>0</v>
      </c>
      <c r="AW86" s="50">
        <v>0</v>
      </c>
      <c r="AX86" s="49">
        <v>0</v>
      </c>
      <c r="AY86" s="50">
        <v>0</v>
      </c>
      <c r="AZ86" s="49">
        <v>0</v>
      </c>
      <c r="BA86" s="50">
        <v>0</v>
      </c>
      <c r="BB86" s="49">
        <v>31</v>
      </c>
      <c r="BC86" s="50">
        <v>100</v>
      </c>
      <c r="BD86" s="49">
        <v>31</v>
      </c>
      <c r="BE86" s="49"/>
      <c r="BF86" s="49"/>
      <c r="BG86" s="49"/>
      <c r="BH86" s="49"/>
      <c r="BI86" s="49"/>
      <c r="BJ86" s="49"/>
      <c r="BK86" s="111" t="s">
        <v>2422</v>
      </c>
      <c r="BL86" s="111" t="s">
        <v>2422</v>
      </c>
      <c r="BM86" s="111" t="s">
        <v>2612</v>
      </c>
      <c r="BN86" s="111" t="s">
        <v>2612</v>
      </c>
      <c r="BO86" s="2"/>
      <c r="BP86" s="3"/>
      <c r="BQ86" s="3"/>
      <c r="BR86" s="3"/>
      <c r="BS86" s="3"/>
    </row>
    <row r="87" spans="1:71" ht="15">
      <c r="A87" s="65" t="s">
        <v>409</v>
      </c>
      <c r="B87" s="66"/>
      <c r="C87" s="66"/>
      <c r="D87" s="67">
        <v>150</v>
      </c>
      <c r="E87" s="69"/>
      <c r="F87" s="103" t="str">
        <f>HYPERLINK("https://yt3.ggpht.com/ytc/AKedOLT51g2goIuDNqKyz9oyrKACIyLW5cqmjJcIDg=s88-c-k-c0x00ffffff-no-rj")</f>
        <v>https://yt3.ggpht.com/ytc/AKedOLT51g2goIuDNqKyz9oyrKACIyLW5cqmjJcIDg=s88-c-k-c0x00ffffff-no-rj</v>
      </c>
      <c r="G87" s="66"/>
      <c r="H87" s="70" t="s">
        <v>922</v>
      </c>
      <c r="I87" s="71"/>
      <c r="J87" s="71" t="s">
        <v>159</v>
      </c>
      <c r="K87" s="70" t="s">
        <v>922</v>
      </c>
      <c r="L87" s="74">
        <v>1</v>
      </c>
      <c r="M87" s="75">
        <v>7894.5302734375</v>
      </c>
      <c r="N87" s="75">
        <v>7337.283203125</v>
      </c>
      <c r="O87" s="76"/>
      <c r="P87" s="77"/>
      <c r="Q87" s="77"/>
      <c r="R87" s="89"/>
      <c r="S87" s="49">
        <v>0</v>
      </c>
      <c r="T87" s="49">
        <v>1</v>
      </c>
      <c r="U87" s="50">
        <v>0</v>
      </c>
      <c r="V87" s="50">
        <v>0.146896</v>
      </c>
      <c r="W87" s="50">
        <v>0.004722</v>
      </c>
      <c r="X87" s="50">
        <v>0.003897</v>
      </c>
      <c r="Y87" s="50">
        <v>0</v>
      </c>
      <c r="Z87" s="50">
        <v>0</v>
      </c>
      <c r="AA87" s="72">
        <v>87</v>
      </c>
      <c r="AB87" s="72"/>
      <c r="AC87" s="73"/>
      <c r="AD87" s="80" t="s">
        <v>922</v>
      </c>
      <c r="AE87" s="80"/>
      <c r="AF87" s="80"/>
      <c r="AG87" s="80"/>
      <c r="AH87" s="80"/>
      <c r="AI87" s="80"/>
      <c r="AJ87" s="87">
        <v>39570.375601851854</v>
      </c>
      <c r="AK87" s="85" t="str">
        <f>HYPERLINK("https://yt3.ggpht.com/ytc/AKedOLT51g2goIuDNqKyz9oyrKACIyLW5cqmjJcIDg=s88-c-k-c0x00ffffff-no-rj")</f>
        <v>https://yt3.ggpht.com/ytc/AKedOLT51g2goIuDNqKyz9oyrKACIyLW5cqmjJcIDg=s88-c-k-c0x00ffffff-no-rj</v>
      </c>
      <c r="AL87" s="80">
        <v>128</v>
      </c>
      <c r="AM87" s="80">
        <v>0</v>
      </c>
      <c r="AN87" s="80">
        <v>0</v>
      </c>
      <c r="AO87" s="80" t="b">
        <v>1</v>
      </c>
      <c r="AP87" s="80">
        <v>2</v>
      </c>
      <c r="AQ87" s="80"/>
      <c r="AR87" s="80"/>
      <c r="AS87" s="80" t="s">
        <v>1376</v>
      </c>
      <c r="AT87" s="85" t="str">
        <f>HYPERLINK("https://www.youtube.com/channel/UCWmEXXyyg4CeL3TS4ba8iUg")</f>
        <v>https://www.youtube.com/channel/UCWmEXXyyg4CeL3TS4ba8iUg</v>
      </c>
      <c r="AU87" s="80" t="str">
        <f>REPLACE(INDEX(GroupVertices[Group],MATCH(Vertices[[#This Row],[Vertex]],GroupVertices[Vertex],0)),1,1,"")</f>
        <v>3</v>
      </c>
      <c r="AV87" s="49">
        <v>2</v>
      </c>
      <c r="AW87" s="50">
        <v>28.571428571428573</v>
      </c>
      <c r="AX87" s="49">
        <v>0</v>
      </c>
      <c r="AY87" s="50">
        <v>0</v>
      </c>
      <c r="AZ87" s="49">
        <v>0</v>
      </c>
      <c r="BA87" s="50">
        <v>0</v>
      </c>
      <c r="BB87" s="49">
        <v>5</v>
      </c>
      <c r="BC87" s="50">
        <v>71.42857142857143</v>
      </c>
      <c r="BD87" s="49">
        <v>7</v>
      </c>
      <c r="BE87" s="49"/>
      <c r="BF87" s="49"/>
      <c r="BG87" s="49"/>
      <c r="BH87" s="49"/>
      <c r="BI87" s="49"/>
      <c r="BJ87" s="49"/>
      <c r="BK87" s="111" t="s">
        <v>2423</v>
      </c>
      <c r="BL87" s="111" t="s">
        <v>2423</v>
      </c>
      <c r="BM87" s="111" t="s">
        <v>2613</v>
      </c>
      <c r="BN87" s="111" t="s">
        <v>2613</v>
      </c>
      <c r="BO87" s="2"/>
      <c r="BP87" s="3"/>
      <c r="BQ87" s="3"/>
      <c r="BR87" s="3"/>
      <c r="BS87" s="3"/>
    </row>
    <row r="88" spans="1:71" ht="15">
      <c r="A88" s="65" t="s">
        <v>561</v>
      </c>
      <c r="B88" s="66"/>
      <c r="C88" s="66"/>
      <c r="D88" s="67">
        <v>1000</v>
      </c>
      <c r="E88" s="69"/>
      <c r="F88" s="103" t="str">
        <f>HYPERLINK("https://yt3.ggpht.com/ytc/AKedOLRocvkX7Ncx4qJPKiqJwvXpMkbvQu3JcQJp4w=s88-c-k-c0x00ffffff-no-rj")</f>
        <v>https://yt3.ggpht.com/ytc/AKedOLRocvkX7Ncx4qJPKiqJwvXpMkbvQu3JcQJp4w=s88-c-k-c0x00ffffff-no-rj</v>
      </c>
      <c r="G88" s="66"/>
      <c r="H88" s="70" t="s">
        <v>1264</v>
      </c>
      <c r="I88" s="71"/>
      <c r="J88" s="71" t="s">
        <v>75</v>
      </c>
      <c r="K88" s="70" t="s">
        <v>1264</v>
      </c>
      <c r="L88" s="74">
        <v>4437.691374299821</v>
      </c>
      <c r="M88" s="75">
        <v>7393.31005859375</v>
      </c>
      <c r="N88" s="75">
        <v>8069.67138671875</v>
      </c>
      <c r="O88" s="76"/>
      <c r="P88" s="77"/>
      <c r="Q88" s="77"/>
      <c r="R88" s="89"/>
      <c r="S88" s="49">
        <v>17</v>
      </c>
      <c r="T88" s="49">
        <v>1</v>
      </c>
      <c r="U88" s="50">
        <v>6152.333333</v>
      </c>
      <c r="V88" s="50">
        <v>0.196377</v>
      </c>
      <c r="W88" s="50">
        <v>0.042064</v>
      </c>
      <c r="X88" s="50">
        <v>0.011557</v>
      </c>
      <c r="Y88" s="50">
        <v>0</v>
      </c>
      <c r="Z88" s="50">
        <v>0</v>
      </c>
      <c r="AA88" s="72">
        <v>88</v>
      </c>
      <c r="AB88" s="72"/>
      <c r="AC88" s="73"/>
      <c r="AD88" s="80" t="s">
        <v>1264</v>
      </c>
      <c r="AE88" s="80"/>
      <c r="AF88" s="80"/>
      <c r="AG88" s="80"/>
      <c r="AH88" s="80"/>
      <c r="AI88" s="80"/>
      <c r="AJ88" s="87">
        <v>41005.4305787037</v>
      </c>
      <c r="AK88" s="85" t="str">
        <f>HYPERLINK("https://yt3.ggpht.com/ytc/AKedOLRocvkX7Ncx4qJPKiqJwvXpMkbvQu3JcQJp4w=s88-c-k-c0x00ffffff-no-rj")</f>
        <v>https://yt3.ggpht.com/ytc/AKedOLRocvkX7Ncx4qJPKiqJwvXpMkbvQu3JcQJp4w=s88-c-k-c0x00ffffff-no-rj</v>
      </c>
      <c r="AL88" s="80">
        <v>145380</v>
      </c>
      <c r="AM88" s="80">
        <v>0</v>
      </c>
      <c r="AN88" s="80">
        <v>208</v>
      </c>
      <c r="AO88" s="80" t="b">
        <v>0</v>
      </c>
      <c r="AP88" s="80">
        <v>3</v>
      </c>
      <c r="AQ88" s="80"/>
      <c r="AR88" s="80"/>
      <c r="AS88" s="80" t="s">
        <v>1376</v>
      </c>
      <c r="AT88" s="85" t="str">
        <f>HYPERLINK("https://www.youtube.com/channel/UCfpw3xq_g1xpdwlyq11atZQ")</f>
        <v>https://www.youtube.com/channel/UCfpw3xq_g1xpdwlyq11atZQ</v>
      </c>
      <c r="AU88" s="80" t="str">
        <f>REPLACE(INDEX(GroupVertices[Group],MATCH(Vertices[[#This Row],[Vertex]],GroupVertices[Vertex],0)),1,1,"")</f>
        <v>3</v>
      </c>
      <c r="AV88" s="49"/>
      <c r="AW88" s="50"/>
      <c r="AX88" s="49"/>
      <c r="AY88" s="50"/>
      <c r="AZ88" s="49"/>
      <c r="BA88" s="50"/>
      <c r="BB88" s="49"/>
      <c r="BC88" s="50"/>
      <c r="BD88" s="49"/>
      <c r="BE88" s="49"/>
      <c r="BF88" s="49"/>
      <c r="BG88" s="49"/>
      <c r="BH88" s="49"/>
      <c r="BI88" s="49"/>
      <c r="BJ88" s="49"/>
      <c r="BK88" s="111" t="s">
        <v>1239</v>
      </c>
      <c r="BL88" s="111" t="s">
        <v>1239</v>
      </c>
      <c r="BM88" s="111" t="s">
        <v>1239</v>
      </c>
      <c r="BN88" s="111" t="s">
        <v>1239</v>
      </c>
      <c r="BO88" s="2"/>
      <c r="BP88" s="3"/>
      <c r="BQ88" s="3"/>
      <c r="BR88" s="3"/>
      <c r="BS88" s="3"/>
    </row>
    <row r="89" spans="1:71" ht="15">
      <c r="A89" s="65" t="s">
        <v>410</v>
      </c>
      <c r="B89" s="66"/>
      <c r="C89" s="66"/>
      <c r="D89" s="67">
        <v>150</v>
      </c>
      <c r="E89" s="69"/>
      <c r="F89" s="103" t="str">
        <f>HYPERLINK("https://yt3.ggpht.com/ytc/AKedOLTKBz5CumnuUCPx2h7fHSyztIbUIW4Y86V8UA=s88-c-k-c0x00ffffff-no-rj")</f>
        <v>https://yt3.ggpht.com/ytc/AKedOLTKBz5CumnuUCPx2h7fHSyztIbUIW4Y86V8UA=s88-c-k-c0x00ffffff-no-rj</v>
      </c>
      <c r="G89" s="66"/>
      <c r="H89" s="70" t="s">
        <v>923</v>
      </c>
      <c r="I89" s="71"/>
      <c r="J89" s="71" t="s">
        <v>159</v>
      </c>
      <c r="K89" s="70" t="s">
        <v>923</v>
      </c>
      <c r="L89" s="74">
        <v>1</v>
      </c>
      <c r="M89" s="75">
        <v>7331.3974609375</v>
      </c>
      <c r="N89" s="75">
        <v>6543.46337890625</v>
      </c>
      <c r="O89" s="76"/>
      <c r="P89" s="77"/>
      <c r="Q89" s="77"/>
      <c r="R89" s="89"/>
      <c r="S89" s="49">
        <v>0</v>
      </c>
      <c r="T89" s="49">
        <v>1</v>
      </c>
      <c r="U89" s="50">
        <v>0</v>
      </c>
      <c r="V89" s="50">
        <v>0.146896</v>
      </c>
      <c r="W89" s="50">
        <v>0.004722</v>
      </c>
      <c r="X89" s="50">
        <v>0.003897</v>
      </c>
      <c r="Y89" s="50">
        <v>0</v>
      </c>
      <c r="Z89" s="50">
        <v>0</v>
      </c>
      <c r="AA89" s="72">
        <v>89</v>
      </c>
      <c r="AB89" s="72"/>
      <c r="AC89" s="73"/>
      <c r="AD89" s="80" t="s">
        <v>923</v>
      </c>
      <c r="AE89" s="80"/>
      <c r="AF89" s="80"/>
      <c r="AG89" s="80"/>
      <c r="AH89" s="80"/>
      <c r="AI89" s="80"/>
      <c r="AJ89" s="87">
        <v>40917.71365740741</v>
      </c>
      <c r="AK89" s="85" t="str">
        <f>HYPERLINK("https://yt3.ggpht.com/ytc/AKedOLTKBz5CumnuUCPx2h7fHSyztIbUIW4Y86V8UA=s88-c-k-c0x00ffffff-no-rj")</f>
        <v>https://yt3.ggpht.com/ytc/AKedOLTKBz5CumnuUCPx2h7fHSyztIbUIW4Y86V8UA=s88-c-k-c0x00ffffff-no-rj</v>
      </c>
      <c r="AL89" s="80">
        <v>84</v>
      </c>
      <c r="AM89" s="80">
        <v>0</v>
      </c>
      <c r="AN89" s="80">
        <v>0</v>
      </c>
      <c r="AO89" s="80" t="b">
        <v>0</v>
      </c>
      <c r="AP89" s="80">
        <v>2</v>
      </c>
      <c r="AQ89" s="80"/>
      <c r="AR89" s="80"/>
      <c r="AS89" s="80" t="s">
        <v>1376</v>
      </c>
      <c r="AT89" s="85" t="str">
        <f>HYPERLINK("https://www.youtube.com/channel/UChlTB5NW6iUzi67TzRxRcTg")</f>
        <v>https://www.youtube.com/channel/UChlTB5NW6iUzi67TzRxRcTg</v>
      </c>
      <c r="AU89" s="80" t="str">
        <f>REPLACE(INDEX(GroupVertices[Group],MATCH(Vertices[[#This Row],[Vertex]],GroupVertices[Vertex],0)),1,1,"")</f>
        <v>3</v>
      </c>
      <c r="AV89" s="49">
        <v>1</v>
      </c>
      <c r="AW89" s="50">
        <v>25</v>
      </c>
      <c r="AX89" s="49">
        <v>0</v>
      </c>
      <c r="AY89" s="50">
        <v>0</v>
      </c>
      <c r="AZ89" s="49">
        <v>0</v>
      </c>
      <c r="BA89" s="50">
        <v>0</v>
      </c>
      <c r="BB89" s="49">
        <v>3</v>
      </c>
      <c r="BC89" s="50">
        <v>75</v>
      </c>
      <c r="BD89" s="49">
        <v>4</v>
      </c>
      <c r="BE89" s="49"/>
      <c r="BF89" s="49"/>
      <c r="BG89" s="49"/>
      <c r="BH89" s="49"/>
      <c r="BI89" s="49"/>
      <c r="BJ89" s="49"/>
      <c r="BK89" s="111" t="s">
        <v>2424</v>
      </c>
      <c r="BL89" s="111" t="s">
        <v>2424</v>
      </c>
      <c r="BM89" s="111" t="s">
        <v>2614</v>
      </c>
      <c r="BN89" s="111" t="s">
        <v>2614</v>
      </c>
      <c r="BO89" s="2"/>
      <c r="BP89" s="3"/>
      <c r="BQ89" s="3"/>
      <c r="BR89" s="3"/>
      <c r="BS89" s="3"/>
    </row>
    <row r="90" spans="1:71" ht="15">
      <c r="A90" s="65" t="s">
        <v>411</v>
      </c>
      <c r="B90" s="66"/>
      <c r="C90" s="66"/>
      <c r="D90" s="67">
        <v>150</v>
      </c>
      <c r="E90" s="69"/>
      <c r="F90" s="103" t="str">
        <f>HYPERLINK("https://yt3.ggpht.com/ytc/AKedOLRx63Tdptz7aVZldm-Qt3Cqg51asdZVm2r7tN2pVQ=s88-c-k-c0x00ffffff-no-rj")</f>
        <v>https://yt3.ggpht.com/ytc/AKedOLRx63Tdptz7aVZldm-Qt3Cqg51asdZVm2r7tN2pVQ=s88-c-k-c0x00ffffff-no-rj</v>
      </c>
      <c r="G90" s="66"/>
      <c r="H90" s="70" t="s">
        <v>924</v>
      </c>
      <c r="I90" s="71"/>
      <c r="J90" s="71" t="s">
        <v>159</v>
      </c>
      <c r="K90" s="70" t="s">
        <v>924</v>
      </c>
      <c r="L90" s="74">
        <v>1</v>
      </c>
      <c r="M90" s="75">
        <v>7017.97314453125</v>
      </c>
      <c r="N90" s="75">
        <v>7946.01904296875</v>
      </c>
      <c r="O90" s="76"/>
      <c r="P90" s="77"/>
      <c r="Q90" s="77"/>
      <c r="R90" s="89"/>
      <c r="S90" s="49">
        <v>0</v>
      </c>
      <c r="T90" s="49">
        <v>1</v>
      </c>
      <c r="U90" s="50">
        <v>0</v>
      </c>
      <c r="V90" s="50">
        <v>0.146896</v>
      </c>
      <c r="W90" s="50">
        <v>0.004722</v>
      </c>
      <c r="X90" s="50">
        <v>0.003897</v>
      </c>
      <c r="Y90" s="50">
        <v>0</v>
      </c>
      <c r="Z90" s="50">
        <v>0</v>
      </c>
      <c r="AA90" s="72">
        <v>90</v>
      </c>
      <c r="AB90" s="72"/>
      <c r="AC90" s="73"/>
      <c r="AD90" s="80" t="s">
        <v>924</v>
      </c>
      <c r="AE90" s="80"/>
      <c r="AF90" s="80"/>
      <c r="AG90" s="80"/>
      <c r="AH90" s="80"/>
      <c r="AI90" s="80"/>
      <c r="AJ90" s="87">
        <v>42714.99076388889</v>
      </c>
      <c r="AK90" s="85" t="str">
        <f>HYPERLINK("https://yt3.ggpht.com/ytc/AKedOLRx63Tdptz7aVZldm-Qt3Cqg51asdZVm2r7tN2pVQ=s88-c-k-c0x00ffffff-no-rj")</f>
        <v>https://yt3.ggpht.com/ytc/AKedOLRx63Tdptz7aVZldm-Qt3Cqg51asdZVm2r7tN2pVQ=s88-c-k-c0x00ffffff-no-rj</v>
      </c>
      <c r="AL90" s="80">
        <v>0</v>
      </c>
      <c r="AM90" s="80">
        <v>0</v>
      </c>
      <c r="AN90" s="80">
        <v>0</v>
      </c>
      <c r="AO90" s="80" t="b">
        <v>0</v>
      </c>
      <c r="AP90" s="80">
        <v>0</v>
      </c>
      <c r="AQ90" s="80"/>
      <c r="AR90" s="80"/>
      <c r="AS90" s="80" t="s">
        <v>1376</v>
      </c>
      <c r="AT90" s="85" t="str">
        <f>HYPERLINK("https://www.youtube.com/channel/UCEkBJ8bqPbMoZwqFrKmPqSA")</f>
        <v>https://www.youtube.com/channel/UCEkBJ8bqPbMoZwqFrKmPqSA</v>
      </c>
      <c r="AU90" s="80" t="str">
        <f>REPLACE(INDEX(GroupVertices[Group],MATCH(Vertices[[#This Row],[Vertex]],GroupVertices[Vertex],0)),1,1,"")</f>
        <v>3</v>
      </c>
      <c r="AV90" s="49">
        <v>2</v>
      </c>
      <c r="AW90" s="50">
        <v>22.22222222222222</v>
      </c>
      <c r="AX90" s="49">
        <v>0</v>
      </c>
      <c r="AY90" s="50">
        <v>0</v>
      </c>
      <c r="AZ90" s="49">
        <v>0</v>
      </c>
      <c r="BA90" s="50">
        <v>0</v>
      </c>
      <c r="BB90" s="49">
        <v>7</v>
      </c>
      <c r="BC90" s="50">
        <v>77.77777777777777</v>
      </c>
      <c r="BD90" s="49">
        <v>9</v>
      </c>
      <c r="BE90" s="49"/>
      <c r="BF90" s="49"/>
      <c r="BG90" s="49"/>
      <c r="BH90" s="49"/>
      <c r="BI90" s="49"/>
      <c r="BJ90" s="49"/>
      <c r="BK90" s="111" t="s">
        <v>2425</v>
      </c>
      <c r="BL90" s="111" t="s">
        <v>2425</v>
      </c>
      <c r="BM90" s="111" t="s">
        <v>2615</v>
      </c>
      <c r="BN90" s="111" t="s">
        <v>2615</v>
      </c>
      <c r="BO90" s="2"/>
      <c r="BP90" s="3"/>
      <c r="BQ90" s="3"/>
      <c r="BR90" s="3"/>
      <c r="BS90" s="3"/>
    </row>
    <row r="91" spans="1:71" ht="15">
      <c r="A91" s="65" t="s">
        <v>412</v>
      </c>
      <c r="B91" s="66"/>
      <c r="C91" s="66"/>
      <c r="D91" s="67">
        <v>150</v>
      </c>
      <c r="E91" s="69"/>
      <c r="F91" s="103" t="str">
        <f>HYPERLINK("https://yt3.ggpht.com/ytc/AKedOLT8-fNj_SdEWOeuUbbR8zySuQc2wDf6vy5bdqHG=s88-c-k-c0x00ffffff-no-rj")</f>
        <v>https://yt3.ggpht.com/ytc/AKedOLT8-fNj_SdEWOeuUbbR8zySuQc2wDf6vy5bdqHG=s88-c-k-c0x00ffffff-no-rj</v>
      </c>
      <c r="G91" s="66"/>
      <c r="H91" s="70" t="s">
        <v>925</v>
      </c>
      <c r="I91" s="71"/>
      <c r="J91" s="71" t="s">
        <v>159</v>
      </c>
      <c r="K91" s="70" t="s">
        <v>925</v>
      </c>
      <c r="L91" s="74">
        <v>1</v>
      </c>
      <c r="M91" s="75">
        <v>8340.94140625</v>
      </c>
      <c r="N91" s="75">
        <v>6855.80810546875</v>
      </c>
      <c r="O91" s="76"/>
      <c r="P91" s="77"/>
      <c r="Q91" s="77"/>
      <c r="R91" s="89"/>
      <c r="S91" s="49">
        <v>0</v>
      </c>
      <c r="T91" s="49">
        <v>1</v>
      </c>
      <c r="U91" s="50">
        <v>0</v>
      </c>
      <c r="V91" s="50">
        <v>0.016902</v>
      </c>
      <c r="W91" s="50">
        <v>0</v>
      </c>
      <c r="X91" s="50">
        <v>0.004137</v>
      </c>
      <c r="Y91" s="50">
        <v>0</v>
      </c>
      <c r="Z91" s="50">
        <v>0</v>
      </c>
      <c r="AA91" s="72">
        <v>91</v>
      </c>
      <c r="AB91" s="72"/>
      <c r="AC91" s="73"/>
      <c r="AD91" s="80" t="s">
        <v>925</v>
      </c>
      <c r="AE91" s="80"/>
      <c r="AF91" s="80"/>
      <c r="AG91" s="80"/>
      <c r="AH91" s="80"/>
      <c r="AI91" s="80"/>
      <c r="AJ91" s="87">
        <v>42673.65288194444</v>
      </c>
      <c r="AK91" s="85" t="str">
        <f>HYPERLINK("https://yt3.ggpht.com/ytc/AKedOLT8-fNj_SdEWOeuUbbR8zySuQc2wDf6vy5bdqHG=s88-c-k-c0x00ffffff-no-rj")</f>
        <v>https://yt3.ggpht.com/ytc/AKedOLT8-fNj_SdEWOeuUbbR8zySuQc2wDf6vy5bdqHG=s88-c-k-c0x00ffffff-no-rj</v>
      </c>
      <c r="AL91" s="80">
        <v>0</v>
      </c>
      <c r="AM91" s="80">
        <v>0</v>
      </c>
      <c r="AN91" s="80">
        <v>1</v>
      </c>
      <c r="AO91" s="80" t="b">
        <v>0</v>
      </c>
      <c r="AP91" s="80">
        <v>0</v>
      </c>
      <c r="AQ91" s="80"/>
      <c r="AR91" s="80"/>
      <c r="AS91" s="80" t="s">
        <v>1376</v>
      </c>
      <c r="AT91" s="85" t="str">
        <f>HYPERLINK("https://www.youtube.com/channel/UCVoF08vw5_TGZoAo2JKf0MA")</f>
        <v>https://www.youtube.com/channel/UCVoF08vw5_TGZoAo2JKf0MA</v>
      </c>
      <c r="AU91" s="80" t="str">
        <f>REPLACE(INDEX(GroupVertices[Group],MATCH(Vertices[[#This Row],[Vertex]],GroupVertices[Vertex],0)),1,1,"")</f>
        <v>5</v>
      </c>
      <c r="AV91" s="49">
        <v>0</v>
      </c>
      <c r="AW91" s="50">
        <v>0</v>
      </c>
      <c r="AX91" s="49">
        <v>0</v>
      </c>
      <c r="AY91" s="50">
        <v>0</v>
      </c>
      <c r="AZ91" s="49">
        <v>0</v>
      </c>
      <c r="BA91" s="50">
        <v>0</v>
      </c>
      <c r="BB91" s="49">
        <v>25</v>
      </c>
      <c r="BC91" s="50">
        <v>100</v>
      </c>
      <c r="BD91" s="49">
        <v>25</v>
      </c>
      <c r="BE91" s="49"/>
      <c r="BF91" s="49"/>
      <c r="BG91" s="49"/>
      <c r="BH91" s="49"/>
      <c r="BI91" s="49"/>
      <c r="BJ91" s="49"/>
      <c r="BK91" s="111" t="s">
        <v>2426</v>
      </c>
      <c r="BL91" s="111" t="s">
        <v>2426</v>
      </c>
      <c r="BM91" s="111" t="s">
        <v>2616</v>
      </c>
      <c r="BN91" s="111" t="s">
        <v>2616</v>
      </c>
      <c r="BO91" s="2"/>
      <c r="BP91" s="3"/>
      <c r="BQ91" s="3"/>
      <c r="BR91" s="3"/>
      <c r="BS91" s="3"/>
    </row>
    <row r="92" spans="1:71" ht="15">
      <c r="A92" s="65" t="s">
        <v>413</v>
      </c>
      <c r="B92" s="66"/>
      <c r="C92" s="66"/>
      <c r="D92" s="67">
        <v>171.16858237547893</v>
      </c>
      <c r="E92" s="69"/>
      <c r="F92" s="103" t="str">
        <f>HYPERLINK("https://yt3.ggpht.com/TcikFK1JqjO2SGbdW3fVJOM-QCP6v4dO3EH87uLTYsKxXo-6QSsUONNapHPXLLNe6c6ELz7fGTM=s88-c-k-c0x00ffffff-no-rj")</f>
        <v>https://yt3.ggpht.com/TcikFK1JqjO2SGbdW3fVJOM-QCP6v4dO3EH87uLTYsKxXo-6QSsUONNapHPXLLNe6c6ELz7fGTM=s88-c-k-c0x00ffffff-no-rj</v>
      </c>
      <c r="G92" s="66"/>
      <c r="H92" s="70" t="s">
        <v>926</v>
      </c>
      <c r="I92" s="71"/>
      <c r="J92" s="71" t="s">
        <v>75</v>
      </c>
      <c r="K92" s="70" t="s">
        <v>926</v>
      </c>
      <c r="L92" s="74">
        <v>19.74963034155798</v>
      </c>
      <c r="M92" s="75">
        <v>8576.673828125</v>
      </c>
      <c r="N92" s="75">
        <v>7386.2431640625</v>
      </c>
      <c r="O92" s="76"/>
      <c r="P92" s="77"/>
      <c r="Q92" s="77"/>
      <c r="R92" s="89"/>
      <c r="S92" s="49">
        <v>1</v>
      </c>
      <c r="T92" s="49">
        <v>1</v>
      </c>
      <c r="U92" s="50">
        <v>26</v>
      </c>
      <c r="V92" s="50">
        <v>0.022537</v>
      </c>
      <c r="W92" s="50">
        <v>0</v>
      </c>
      <c r="X92" s="50">
        <v>0.004558</v>
      </c>
      <c r="Y92" s="50">
        <v>0</v>
      </c>
      <c r="Z92" s="50">
        <v>0</v>
      </c>
      <c r="AA92" s="72">
        <v>92</v>
      </c>
      <c r="AB92" s="72"/>
      <c r="AC92" s="73"/>
      <c r="AD92" s="80" t="s">
        <v>926</v>
      </c>
      <c r="AE92" s="80"/>
      <c r="AF92" s="80"/>
      <c r="AG92" s="80"/>
      <c r="AH92" s="80"/>
      <c r="AI92" s="80"/>
      <c r="AJ92" s="87">
        <v>42598.66537037037</v>
      </c>
      <c r="AK92" s="85" t="str">
        <f>HYPERLINK("https://yt3.ggpht.com/TcikFK1JqjO2SGbdW3fVJOM-QCP6v4dO3EH87uLTYsKxXo-6QSsUONNapHPXLLNe6c6ELz7fGTM=s88-c-k-c0x00ffffff-no-rj")</f>
        <v>https://yt3.ggpht.com/TcikFK1JqjO2SGbdW3fVJOM-QCP6v4dO3EH87uLTYsKxXo-6QSsUONNapHPXLLNe6c6ELz7fGTM=s88-c-k-c0x00ffffff-no-rj</v>
      </c>
      <c r="AL92" s="80">
        <v>90</v>
      </c>
      <c r="AM92" s="80">
        <v>0</v>
      </c>
      <c r="AN92" s="80">
        <v>19</v>
      </c>
      <c r="AO92" s="80" t="b">
        <v>0</v>
      </c>
      <c r="AP92" s="80">
        <v>1</v>
      </c>
      <c r="AQ92" s="80"/>
      <c r="AR92" s="80"/>
      <c r="AS92" s="80" t="s">
        <v>1376</v>
      </c>
      <c r="AT92" s="85" t="str">
        <f>HYPERLINK("https://www.youtube.com/channel/UCVJfW61X3yS0PH-25gIjpNA")</f>
        <v>https://www.youtube.com/channel/UCVJfW61X3yS0PH-25gIjpNA</v>
      </c>
      <c r="AU92" s="80" t="str">
        <f>REPLACE(INDEX(GroupVertices[Group],MATCH(Vertices[[#This Row],[Vertex]],GroupVertices[Vertex],0)),1,1,"")</f>
        <v>5</v>
      </c>
      <c r="AV92" s="49">
        <v>0</v>
      </c>
      <c r="AW92" s="50">
        <v>0</v>
      </c>
      <c r="AX92" s="49">
        <v>0</v>
      </c>
      <c r="AY92" s="50">
        <v>0</v>
      </c>
      <c r="AZ92" s="49">
        <v>0</v>
      </c>
      <c r="BA92" s="50">
        <v>0</v>
      </c>
      <c r="BB92" s="49">
        <v>15</v>
      </c>
      <c r="BC92" s="50">
        <v>100</v>
      </c>
      <c r="BD92" s="49">
        <v>15</v>
      </c>
      <c r="BE92" s="49"/>
      <c r="BF92" s="49"/>
      <c r="BG92" s="49"/>
      <c r="BH92" s="49"/>
      <c r="BI92" s="49"/>
      <c r="BJ92" s="49"/>
      <c r="BK92" s="111" t="s">
        <v>2427</v>
      </c>
      <c r="BL92" s="111" t="s">
        <v>2427</v>
      </c>
      <c r="BM92" s="111" t="s">
        <v>2617</v>
      </c>
      <c r="BN92" s="111" t="s">
        <v>2617</v>
      </c>
      <c r="BO92" s="2"/>
      <c r="BP92" s="3"/>
      <c r="BQ92" s="3"/>
      <c r="BR92" s="3"/>
      <c r="BS92" s="3"/>
    </row>
    <row r="93" spans="1:71" ht="15">
      <c r="A93" s="65" t="s">
        <v>551</v>
      </c>
      <c r="B93" s="66"/>
      <c r="C93" s="66"/>
      <c r="D93" s="67">
        <v>265.6130268199234</v>
      </c>
      <c r="E93" s="69"/>
      <c r="F93" s="103" t="str">
        <f>HYPERLINK("https://yt3.ggpht.com/ytc/AKedOLSQgKX3eGV9yFEmw2c08Cmdw-0kYZA0SMzP1Bev=s88-c-k-c0x00ffffff-no-rj")</f>
        <v>https://yt3.ggpht.com/ytc/AKedOLSQgKX3eGV9yFEmw2c08Cmdw-0kYZA0SMzP1Bev=s88-c-k-c0x00ffffff-no-rj</v>
      </c>
      <c r="G93" s="66"/>
      <c r="H93" s="70" t="s">
        <v>1265</v>
      </c>
      <c r="I93" s="71"/>
      <c r="J93" s="71" t="s">
        <v>75</v>
      </c>
      <c r="K93" s="70" t="s">
        <v>1265</v>
      </c>
      <c r="L93" s="74">
        <v>103.40182725004745</v>
      </c>
      <c r="M93" s="75">
        <v>8856.939453125</v>
      </c>
      <c r="N93" s="75">
        <v>7896.44873046875</v>
      </c>
      <c r="O93" s="76"/>
      <c r="P93" s="77"/>
      <c r="Q93" s="77"/>
      <c r="R93" s="89"/>
      <c r="S93" s="49">
        <v>6</v>
      </c>
      <c r="T93" s="49">
        <v>1</v>
      </c>
      <c r="U93" s="50">
        <v>142</v>
      </c>
      <c r="V93" s="50">
        <v>0.03139</v>
      </c>
      <c r="W93" s="50">
        <v>0</v>
      </c>
      <c r="X93" s="50">
        <v>0.005721</v>
      </c>
      <c r="Y93" s="50">
        <v>0</v>
      </c>
      <c r="Z93" s="50">
        <v>0</v>
      </c>
      <c r="AA93" s="72">
        <v>93</v>
      </c>
      <c r="AB93" s="72"/>
      <c r="AC93" s="73"/>
      <c r="AD93" s="80" t="s">
        <v>1265</v>
      </c>
      <c r="AE93" s="80"/>
      <c r="AF93" s="80"/>
      <c r="AG93" s="80"/>
      <c r="AH93" s="80"/>
      <c r="AI93" s="80"/>
      <c r="AJ93" s="87">
        <v>42623.81214120371</v>
      </c>
      <c r="AK93" s="85" t="str">
        <f>HYPERLINK("https://yt3.ggpht.com/ytc/AKedOLSQgKX3eGV9yFEmw2c08Cmdw-0kYZA0SMzP1Bev=s88-c-k-c0x00ffffff-no-rj")</f>
        <v>https://yt3.ggpht.com/ytc/AKedOLSQgKX3eGV9yFEmw2c08Cmdw-0kYZA0SMzP1Bev=s88-c-k-c0x00ffffff-no-rj</v>
      </c>
      <c r="AL93" s="80">
        <v>39393</v>
      </c>
      <c r="AM93" s="80">
        <v>0</v>
      </c>
      <c r="AN93" s="80">
        <v>504</v>
      </c>
      <c r="AO93" s="80" t="b">
        <v>0</v>
      </c>
      <c r="AP93" s="80">
        <v>8</v>
      </c>
      <c r="AQ93" s="80"/>
      <c r="AR93" s="80"/>
      <c r="AS93" s="80" t="s">
        <v>1376</v>
      </c>
      <c r="AT93" s="85" t="str">
        <f>HYPERLINK("https://www.youtube.com/channel/UCcyRyUvk-VLYGh8srnf9E2Q")</f>
        <v>https://www.youtube.com/channel/UCcyRyUvk-VLYGh8srnf9E2Q</v>
      </c>
      <c r="AU93" s="80" t="str">
        <f>REPLACE(INDEX(GroupVertices[Group],MATCH(Vertices[[#This Row],[Vertex]],GroupVertices[Vertex],0)),1,1,"")</f>
        <v>5</v>
      </c>
      <c r="AV93" s="49"/>
      <c r="AW93" s="50"/>
      <c r="AX93" s="49"/>
      <c r="AY93" s="50"/>
      <c r="AZ93" s="49"/>
      <c r="BA93" s="50"/>
      <c r="BB93" s="49"/>
      <c r="BC93" s="50"/>
      <c r="BD93" s="49"/>
      <c r="BE93" s="49"/>
      <c r="BF93" s="49"/>
      <c r="BG93" s="49"/>
      <c r="BH93" s="49"/>
      <c r="BI93" s="49"/>
      <c r="BJ93" s="49"/>
      <c r="BK93" s="111" t="s">
        <v>1239</v>
      </c>
      <c r="BL93" s="111" t="s">
        <v>1239</v>
      </c>
      <c r="BM93" s="111" t="s">
        <v>1239</v>
      </c>
      <c r="BN93" s="111" t="s">
        <v>1239</v>
      </c>
      <c r="BO93" s="2"/>
      <c r="BP93" s="3"/>
      <c r="BQ93" s="3"/>
      <c r="BR93" s="3"/>
      <c r="BS93" s="3"/>
    </row>
    <row r="94" spans="1:71" ht="15">
      <c r="A94" s="65" t="s">
        <v>414</v>
      </c>
      <c r="B94" s="66"/>
      <c r="C94" s="66"/>
      <c r="D94" s="67">
        <v>150</v>
      </c>
      <c r="E94" s="69"/>
      <c r="F94" s="103" t="str">
        <f>HYPERLINK("https://yt3.ggpht.com/ytc/AKedOLRhVjpDt15Olda-NLqmh_9G14O3m2coGqM029QqnQ=s88-c-k-c0x00ffffff-no-rj")</f>
        <v>https://yt3.ggpht.com/ytc/AKedOLRhVjpDt15Olda-NLqmh_9G14O3m2coGqM029QqnQ=s88-c-k-c0x00ffffff-no-rj</v>
      </c>
      <c r="G94" s="66"/>
      <c r="H94" s="70" t="s">
        <v>927</v>
      </c>
      <c r="I94" s="71"/>
      <c r="J94" s="71" t="s">
        <v>159</v>
      </c>
      <c r="K94" s="70" t="s">
        <v>927</v>
      </c>
      <c r="L94" s="74">
        <v>1</v>
      </c>
      <c r="M94" s="75">
        <v>8882.3544921875</v>
      </c>
      <c r="N94" s="75">
        <v>7544.61669921875</v>
      </c>
      <c r="O94" s="76"/>
      <c r="P94" s="77"/>
      <c r="Q94" s="77"/>
      <c r="R94" s="89"/>
      <c r="S94" s="49">
        <v>0</v>
      </c>
      <c r="T94" s="49">
        <v>1</v>
      </c>
      <c r="U94" s="50">
        <v>0</v>
      </c>
      <c r="V94" s="50">
        <v>0.021437</v>
      </c>
      <c r="W94" s="50">
        <v>0</v>
      </c>
      <c r="X94" s="50">
        <v>0.003938</v>
      </c>
      <c r="Y94" s="50">
        <v>0</v>
      </c>
      <c r="Z94" s="50">
        <v>0</v>
      </c>
      <c r="AA94" s="72">
        <v>94</v>
      </c>
      <c r="AB94" s="72"/>
      <c r="AC94" s="73"/>
      <c r="AD94" s="80" t="s">
        <v>927</v>
      </c>
      <c r="AE94" s="80"/>
      <c r="AF94" s="80"/>
      <c r="AG94" s="80"/>
      <c r="AH94" s="80"/>
      <c r="AI94" s="80" t="s">
        <v>1355</v>
      </c>
      <c r="AJ94" s="87">
        <v>42559.46797453704</v>
      </c>
      <c r="AK94" s="85" t="str">
        <f>HYPERLINK("https://yt3.ggpht.com/ytc/AKedOLRhVjpDt15Olda-NLqmh_9G14O3m2coGqM029QqnQ=s88-c-k-c0x00ffffff-no-rj")</f>
        <v>https://yt3.ggpht.com/ytc/AKedOLRhVjpDt15Olda-NLqmh_9G14O3m2coGqM029QqnQ=s88-c-k-c0x00ffffff-no-rj</v>
      </c>
      <c r="AL94" s="80">
        <v>137169</v>
      </c>
      <c r="AM94" s="80">
        <v>0</v>
      </c>
      <c r="AN94" s="80">
        <v>2120</v>
      </c>
      <c r="AO94" s="80" t="b">
        <v>0</v>
      </c>
      <c r="AP94" s="80">
        <v>79</v>
      </c>
      <c r="AQ94" s="80"/>
      <c r="AR94" s="80"/>
      <c r="AS94" s="80" t="s">
        <v>1376</v>
      </c>
      <c r="AT94" s="85" t="str">
        <f>HYPERLINK("https://www.youtube.com/channel/UC3ZPFGJ9YYuozcr4cSnBJ2A")</f>
        <v>https://www.youtube.com/channel/UC3ZPFGJ9YYuozcr4cSnBJ2A</v>
      </c>
      <c r="AU94" s="80" t="str">
        <f>REPLACE(INDEX(GroupVertices[Group],MATCH(Vertices[[#This Row],[Vertex]],GroupVertices[Vertex],0)),1,1,"")</f>
        <v>5</v>
      </c>
      <c r="AV94" s="49">
        <v>0</v>
      </c>
      <c r="AW94" s="50">
        <v>0</v>
      </c>
      <c r="AX94" s="49">
        <v>0</v>
      </c>
      <c r="AY94" s="50">
        <v>0</v>
      </c>
      <c r="AZ94" s="49">
        <v>0</v>
      </c>
      <c r="BA94" s="50">
        <v>0</v>
      </c>
      <c r="BB94" s="49">
        <v>6</v>
      </c>
      <c r="BC94" s="50">
        <v>100</v>
      </c>
      <c r="BD94" s="49">
        <v>6</v>
      </c>
      <c r="BE94" s="49"/>
      <c r="BF94" s="49"/>
      <c r="BG94" s="49"/>
      <c r="BH94" s="49"/>
      <c r="BI94" s="49"/>
      <c r="BJ94" s="49"/>
      <c r="BK94" s="111" t="s">
        <v>2428</v>
      </c>
      <c r="BL94" s="111" t="s">
        <v>2428</v>
      </c>
      <c r="BM94" s="111" t="s">
        <v>2618</v>
      </c>
      <c r="BN94" s="111" t="s">
        <v>2618</v>
      </c>
      <c r="BO94" s="2"/>
      <c r="BP94" s="3"/>
      <c r="BQ94" s="3"/>
      <c r="BR94" s="3"/>
      <c r="BS94" s="3"/>
    </row>
    <row r="95" spans="1:71" ht="15">
      <c r="A95" s="65" t="s">
        <v>415</v>
      </c>
      <c r="B95" s="66"/>
      <c r="C95" s="66"/>
      <c r="D95" s="67">
        <v>150</v>
      </c>
      <c r="E95" s="69"/>
      <c r="F95" s="103" t="str">
        <f>HYPERLINK("https://yt3.ggpht.com/ytc/AKedOLRF4_pAd--eT3uh7doAFKxkl7YSht9nJwRaocwWdA=s88-c-k-c0x00ffffff-no-rj")</f>
        <v>https://yt3.ggpht.com/ytc/AKedOLRF4_pAd--eT3uh7doAFKxkl7YSht9nJwRaocwWdA=s88-c-k-c0x00ffffff-no-rj</v>
      </c>
      <c r="G95" s="66"/>
      <c r="H95" s="70" t="s">
        <v>928</v>
      </c>
      <c r="I95" s="71"/>
      <c r="J95" s="71" t="s">
        <v>159</v>
      </c>
      <c r="K95" s="70" t="s">
        <v>928</v>
      </c>
      <c r="L95" s="74">
        <v>1</v>
      </c>
      <c r="M95" s="75">
        <v>8272.388671875</v>
      </c>
      <c r="N95" s="75">
        <v>8776.0185546875</v>
      </c>
      <c r="O95" s="76"/>
      <c r="P95" s="77"/>
      <c r="Q95" s="77"/>
      <c r="R95" s="89"/>
      <c r="S95" s="49">
        <v>0</v>
      </c>
      <c r="T95" s="49">
        <v>1</v>
      </c>
      <c r="U95" s="50">
        <v>0</v>
      </c>
      <c r="V95" s="50">
        <v>0.017578</v>
      </c>
      <c r="W95" s="50">
        <v>0</v>
      </c>
      <c r="X95" s="50">
        <v>0.003995</v>
      </c>
      <c r="Y95" s="50">
        <v>0</v>
      </c>
      <c r="Z95" s="50">
        <v>0</v>
      </c>
      <c r="AA95" s="72">
        <v>95</v>
      </c>
      <c r="AB95" s="72"/>
      <c r="AC95" s="73"/>
      <c r="AD95" s="80" t="s">
        <v>928</v>
      </c>
      <c r="AE95" s="80"/>
      <c r="AF95" s="80"/>
      <c r="AG95" s="80"/>
      <c r="AH95" s="80"/>
      <c r="AI95" s="80"/>
      <c r="AJ95" s="87">
        <v>42210.492847222224</v>
      </c>
      <c r="AK95" s="85" t="str">
        <f>HYPERLINK("https://yt3.ggpht.com/ytc/AKedOLRF4_pAd--eT3uh7doAFKxkl7YSht9nJwRaocwWdA=s88-c-k-c0x00ffffff-no-rj")</f>
        <v>https://yt3.ggpht.com/ytc/AKedOLRF4_pAd--eT3uh7doAFKxkl7YSht9nJwRaocwWdA=s88-c-k-c0x00ffffff-no-rj</v>
      </c>
      <c r="AL95" s="80">
        <v>0</v>
      </c>
      <c r="AM95" s="80">
        <v>0</v>
      </c>
      <c r="AN95" s="80">
        <v>2</v>
      </c>
      <c r="AO95" s="80" t="b">
        <v>0</v>
      </c>
      <c r="AP95" s="80">
        <v>0</v>
      </c>
      <c r="AQ95" s="80"/>
      <c r="AR95" s="80"/>
      <c r="AS95" s="80" t="s">
        <v>1376</v>
      </c>
      <c r="AT95" s="85" t="str">
        <f>HYPERLINK("https://www.youtube.com/channel/UCgHRnRM04bqxuFsbmaogYoQ")</f>
        <v>https://www.youtube.com/channel/UCgHRnRM04bqxuFsbmaogYoQ</v>
      </c>
      <c r="AU95" s="80" t="str">
        <f>REPLACE(INDEX(GroupVertices[Group],MATCH(Vertices[[#This Row],[Vertex]],GroupVertices[Vertex],0)),1,1,"")</f>
        <v>5</v>
      </c>
      <c r="AV95" s="49">
        <v>0</v>
      </c>
      <c r="AW95" s="50">
        <v>0</v>
      </c>
      <c r="AX95" s="49">
        <v>0</v>
      </c>
      <c r="AY95" s="50">
        <v>0</v>
      </c>
      <c r="AZ95" s="49">
        <v>0</v>
      </c>
      <c r="BA95" s="50">
        <v>0</v>
      </c>
      <c r="BB95" s="49">
        <v>8</v>
      </c>
      <c r="BC95" s="50">
        <v>100</v>
      </c>
      <c r="BD95" s="49">
        <v>8</v>
      </c>
      <c r="BE95" s="49"/>
      <c r="BF95" s="49"/>
      <c r="BG95" s="49"/>
      <c r="BH95" s="49"/>
      <c r="BI95" s="49"/>
      <c r="BJ95" s="49"/>
      <c r="BK95" s="111" t="s">
        <v>2429</v>
      </c>
      <c r="BL95" s="111" t="s">
        <v>2429</v>
      </c>
      <c r="BM95" s="111" t="s">
        <v>2619</v>
      </c>
      <c r="BN95" s="111" t="s">
        <v>2619</v>
      </c>
      <c r="BO95" s="2"/>
      <c r="BP95" s="3"/>
      <c r="BQ95" s="3"/>
      <c r="BR95" s="3"/>
      <c r="BS95" s="3"/>
    </row>
    <row r="96" spans="1:71" ht="15">
      <c r="A96" s="65" t="s">
        <v>417</v>
      </c>
      <c r="B96" s="66"/>
      <c r="C96" s="66"/>
      <c r="D96" s="67">
        <v>190.7088122605364</v>
      </c>
      <c r="E96" s="69"/>
      <c r="F96" s="103" t="str">
        <f>HYPERLINK("https://yt3.ggpht.com/ytc/AKedOLTJatyMkebesSt35FBz8RalSEEu1vHLbQF10VySAw=s88-c-k-c0x00ffffff-no-rj")</f>
        <v>https://yt3.ggpht.com/ytc/AKedOLTJatyMkebesSt35FBz8RalSEEu1vHLbQF10VySAw=s88-c-k-c0x00ffffff-no-rj</v>
      </c>
      <c r="G96" s="66"/>
      <c r="H96" s="70" t="s">
        <v>930</v>
      </c>
      <c r="I96" s="71"/>
      <c r="J96" s="71" t="s">
        <v>75</v>
      </c>
      <c r="K96" s="70" t="s">
        <v>930</v>
      </c>
      <c r="L96" s="74">
        <v>37.056981426073044</v>
      </c>
      <c r="M96" s="75">
        <v>8508.7255859375</v>
      </c>
      <c r="N96" s="75">
        <v>8256.974609375</v>
      </c>
      <c r="O96" s="76"/>
      <c r="P96" s="77"/>
      <c r="Q96" s="77"/>
      <c r="R96" s="89"/>
      <c r="S96" s="49">
        <v>3</v>
      </c>
      <c r="T96" s="49">
        <v>2</v>
      </c>
      <c r="U96" s="50">
        <v>50</v>
      </c>
      <c r="V96" s="50">
        <v>0.023755</v>
      </c>
      <c r="W96" s="50">
        <v>0</v>
      </c>
      <c r="X96" s="50">
        <v>0.005336</v>
      </c>
      <c r="Y96" s="50">
        <v>0</v>
      </c>
      <c r="Z96" s="50">
        <v>0</v>
      </c>
      <c r="AA96" s="72">
        <v>96</v>
      </c>
      <c r="AB96" s="72"/>
      <c r="AC96" s="73"/>
      <c r="AD96" s="80" t="s">
        <v>930</v>
      </c>
      <c r="AE96" s="80"/>
      <c r="AF96" s="80"/>
      <c r="AG96" s="80"/>
      <c r="AH96" s="80"/>
      <c r="AI96" s="80"/>
      <c r="AJ96" s="87">
        <v>40947.37039351852</v>
      </c>
      <c r="AK96" s="85" t="str">
        <f>HYPERLINK("https://yt3.ggpht.com/ytc/AKedOLTJatyMkebesSt35FBz8RalSEEu1vHLbQF10VySAw=s88-c-k-c0x00ffffff-no-rj")</f>
        <v>https://yt3.ggpht.com/ytc/AKedOLTJatyMkebesSt35FBz8RalSEEu1vHLbQF10VySAw=s88-c-k-c0x00ffffff-no-rj</v>
      </c>
      <c r="AL96" s="80">
        <v>0</v>
      </c>
      <c r="AM96" s="80">
        <v>0</v>
      </c>
      <c r="AN96" s="80">
        <v>1</v>
      </c>
      <c r="AO96" s="80" t="b">
        <v>0</v>
      </c>
      <c r="AP96" s="80">
        <v>0</v>
      </c>
      <c r="AQ96" s="80"/>
      <c r="AR96" s="80"/>
      <c r="AS96" s="80" t="s">
        <v>1376</v>
      </c>
      <c r="AT96" s="85" t="str">
        <f>HYPERLINK("https://www.youtube.com/channel/UCk1fFx94xROs0rc-0X9B5xQ")</f>
        <v>https://www.youtube.com/channel/UCk1fFx94xROs0rc-0X9B5xQ</v>
      </c>
      <c r="AU96" s="80" t="str">
        <f>REPLACE(INDEX(GroupVertices[Group],MATCH(Vertices[[#This Row],[Vertex]],GroupVertices[Vertex],0)),1,1,"")</f>
        <v>5</v>
      </c>
      <c r="AV96" s="49">
        <v>1</v>
      </c>
      <c r="AW96" s="50">
        <v>0.9523809523809523</v>
      </c>
      <c r="AX96" s="49">
        <v>0</v>
      </c>
      <c r="AY96" s="50">
        <v>0</v>
      </c>
      <c r="AZ96" s="49">
        <v>0</v>
      </c>
      <c r="BA96" s="50">
        <v>0</v>
      </c>
      <c r="BB96" s="49">
        <v>104</v>
      </c>
      <c r="BC96" s="50">
        <v>99.04761904761905</v>
      </c>
      <c r="BD96" s="49">
        <v>105</v>
      </c>
      <c r="BE96" s="49" t="s">
        <v>2337</v>
      </c>
      <c r="BF96" s="49" t="s">
        <v>2337</v>
      </c>
      <c r="BG96" s="49" t="s">
        <v>2348</v>
      </c>
      <c r="BH96" s="49" t="s">
        <v>2348</v>
      </c>
      <c r="BI96" s="49"/>
      <c r="BJ96" s="49"/>
      <c r="BK96" s="111" t="s">
        <v>2430</v>
      </c>
      <c r="BL96" s="111" t="s">
        <v>2531</v>
      </c>
      <c r="BM96" s="111" t="s">
        <v>2620</v>
      </c>
      <c r="BN96" s="111" t="s">
        <v>2620</v>
      </c>
      <c r="BO96" s="2"/>
      <c r="BP96" s="3"/>
      <c r="BQ96" s="3"/>
      <c r="BR96" s="3"/>
      <c r="BS96" s="3"/>
    </row>
    <row r="97" spans="1:71" ht="15">
      <c r="A97" s="65" t="s">
        <v>416</v>
      </c>
      <c r="B97" s="66"/>
      <c r="C97" s="66"/>
      <c r="D97" s="67">
        <v>150</v>
      </c>
      <c r="E97" s="69"/>
      <c r="F97" s="103" t="str">
        <f>HYPERLINK("https://yt3.ggpht.com/ytc/AKedOLST3sHaaRoGCwjpZGIFPnplgx_3wwc8zIKxztUZug=s88-c-k-c0x00ffffff-no-rj")</f>
        <v>https://yt3.ggpht.com/ytc/AKedOLST3sHaaRoGCwjpZGIFPnplgx_3wwc8zIKxztUZug=s88-c-k-c0x00ffffff-no-rj</v>
      </c>
      <c r="G97" s="66"/>
      <c r="H97" s="70" t="s">
        <v>929</v>
      </c>
      <c r="I97" s="71"/>
      <c r="J97" s="71" t="s">
        <v>159</v>
      </c>
      <c r="K97" s="70" t="s">
        <v>929</v>
      </c>
      <c r="L97" s="74">
        <v>1</v>
      </c>
      <c r="M97" s="75">
        <v>8109.59228515625</v>
      </c>
      <c r="N97" s="75">
        <v>8236.8310546875</v>
      </c>
      <c r="O97" s="76"/>
      <c r="P97" s="77"/>
      <c r="Q97" s="77"/>
      <c r="R97" s="89"/>
      <c r="S97" s="49">
        <v>0</v>
      </c>
      <c r="T97" s="49">
        <v>1</v>
      </c>
      <c r="U97" s="50">
        <v>0</v>
      </c>
      <c r="V97" s="50">
        <v>0.017578</v>
      </c>
      <c r="W97" s="50">
        <v>0</v>
      </c>
      <c r="X97" s="50">
        <v>0.003995</v>
      </c>
      <c r="Y97" s="50">
        <v>0</v>
      </c>
      <c r="Z97" s="50">
        <v>0</v>
      </c>
      <c r="AA97" s="72">
        <v>97</v>
      </c>
      <c r="AB97" s="72"/>
      <c r="AC97" s="73"/>
      <c r="AD97" s="80" t="s">
        <v>929</v>
      </c>
      <c r="AE97" s="80"/>
      <c r="AF97" s="80"/>
      <c r="AG97" s="80"/>
      <c r="AH97" s="80"/>
      <c r="AI97" s="80"/>
      <c r="AJ97" s="87">
        <v>41506.116875</v>
      </c>
      <c r="AK97" s="85" t="str">
        <f>HYPERLINK("https://yt3.ggpht.com/ytc/AKedOLST3sHaaRoGCwjpZGIFPnplgx_3wwc8zIKxztUZug=s88-c-k-c0x00ffffff-no-rj")</f>
        <v>https://yt3.ggpht.com/ytc/AKedOLST3sHaaRoGCwjpZGIFPnplgx_3wwc8zIKxztUZug=s88-c-k-c0x00ffffff-no-rj</v>
      </c>
      <c r="AL97" s="80">
        <v>2540</v>
      </c>
      <c r="AM97" s="80">
        <v>0</v>
      </c>
      <c r="AN97" s="80">
        <v>12</v>
      </c>
      <c r="AO97" s="80" t="b">
        <v>0</v>
      </c>
      <c r="AP97" s="80">
        <v>29</v>
      </c>
      <c r="AQ97" s="80"/>
      <c r="AR97" s="80"/>
      <c r="AS97" s="80" t="s">
        <v>1376</v>
      </c>
      <c r="AT97" s="85" t="str">
        <f>HYPERLINK("https://www.youtube.com/channel/UCNqum2PJcIKJNqgdpJT_BAQ")</f>
        <v>https://www.youtube.com/channel/UCNqum2PJcIKJNqgdpJT_BAQ</v>
      </c>
      <c r="AU97" s="80" t="str">
        <f>REPLACE(INDEX(GroupVertices[Group],MATCH(Vertices[[#This Row],[Vertex]],GroupVertices[Vertex],0)),1,1,"")</f>
        <v>5</v>
      </c>
      <c r="AV97" s="49">
        <v>0</v>
      </c>
      <c r="AW97" s="50">
        <v>0</v>
      </c>
      <c r="AX97" s="49">
        <v>0</v>
      </c>
      <c r="AY97" s="50">
        <v>0</v>
      </c>
      <c r="AZ97" s="49">
        <v>0</v>
      </c>
      <c r="BA97" s="50">
        <v>0</v>
      </c>
      <c r="BB97" s="49">
        <v>21</v>
      </c>
      <c r="BC97" s="50">
        <v>100</v>
      </c>
      <c r="BD97" s="49">
        <v>21</v>
      </c>
      <c r="BE97" s="49" t="s">
        <v>2141</v>
      </c>
      <c r="BF97" s="49" t="s">
        <v>2141</v>
      </c>
      <c r="BG97" s="49" t="s">
        <v>2171</v>
      </c>
      <c r="BH97" s="49" t="s">
        <v>2171</v>
      </c>
      <c r="BI97" s="49"/>
      <c r="BJ97" s="49"/>
      <c r="BK97" s="111" t="s">
        <v>2431</v>
      </c>
      <c r="BL97" s="111" t="s">
        <v>2431</v>
      </c>
      <c r="BM97" s="111" t="s">
        <v>2621</v>
      </c>
      <c r="BN97" s="111" t="s">
        <v>2621</v>
      </c>
      <c r="BO97" s="2"/>
      <c r="BP97" s="3"/>
      <c r="BQ97" s="3"/>
      <c r="BR97" s="3"/>
      <c r="BS97" s="3"/>
    </row>
    <row r="98" spans="1:71" ht="15">
      <c r="A98" s="65" t="s">
        <v>418</v>
      </c>
      <c r="B98" s="66"/>
      <c r="C98" s="66"/>
      <c r="D98" s="67">
        <v>150</v>
      </c>
      <c r="E98" s="69"/>
      <c r="F98" s="103" t="str">
        <f>HYPERLINK("https://yt3.ggpht.com/ytc/AKedOLSBBR3nhUCXCK5V2J-3whI1TaNBAQpoDafPOx35xQ=s88-c-k-c0x00ffffff-no-rj")</f>
        <v>https://yt3.ggpht.com/ytc/AKedOLSBBR3nhUCXCK5V2J-3whI1TaNBAQpoDafPOx35xQ=s88-c-k-c0x00ffffff-no-rj</v>
      </c>
      <c r="G98" s="66"/>
      <c r="H98" s="70" t="s">
        <v>931</v>
      </c>
      <c r="I98" s="71"/>
      <c r="J98" s="71" t="s">
        <v>159</v>
      </c>
      <c r="K98" s="70" t="s">
        <v>931</v>
      </c>
      <c r="L98" s="74">
        <v>1</v>
      </c>
      <c r="M98" s="75">
        <v>9176.82421875</v>
      </c>
      <c r="N98" s="75">
        <v>6543.46337890625</v>
      </c>
      <c r="O98" s="76"/>
      <c r="P98" s="77"/>
      <c r="Q98" s="77"/>
      <c r="R98" s="89"/>
      <c r="S98" s="49">
        <v>0</v>
      </c>
      <c r="T98" s="49">
        <v>1</v>
      </c>
      <c r="U98" s="50">
        <v>0</v>
      </c>
      <c r="V98" s="50">
        <v>0.016902</v>
      </c>
      <c r="W98" s="50">
        <v>0</v>
      </c>
      <c r="X98" s="50">
        <v>0.004137</v>
      </c>
      <c r="Y98" s="50">
        <v>0</v>
      </c>
      <c r="Z98" s="50">
        <v>0</v>
      </c>
      <c r="AA98" s="72">
        <v>98</v>
      </c>
      <c r="AB98" s="72"/>
      <c r="AC98" s="73"/>
      <c r="AD98" s="80" t="s">
        <v>931</v>
      </c>
      <c r="AE98" s="80"/>
      <c r="AF98" s="80"/>
      <c r="AG98" s="80"/>
      <c r="AH98" s="80"/>
      <c r="AI98" s="80"/>
      <c r="AJ98" s="87">
        <v>42744.8528125</v>
      </c>
      <c r="AK98" s="85" t="str">
        <f>HYPERLINK("https://yt3.ggpht.com/ytc/AKedOLSBBR3nhUCXCK5V2J-3whI1TaNBAQpoDafPOx35xQ=s88-c-k-c0x00ffffff-no-rj")</f>
        <v>https://yt3.ggpht.com/ytc/AKedOLSBBR3nhUCXCK5V2J-3whI1TaNBAQpoDafPOx35xQ=s88-c-k-c0x00ffffff-no-rj</v>
      </c>
      <c r="AL98" s="80">
        <v>0</v>
      </c>
      <c r="AM98" s="80">
        <v>0</v>
      </c>
      <c r="AN98" s="80">
        <v>0</v>
      </c>
      <c r="AO98" s="80" t="b">
        <v>0</v>
      </c>
      <c r="AP98" s="80">
        <v>0</v>
      </c>
      <c r="AQ98" s="80"/>
      <c r="AR98" s="80"/>
      <c r="AS98" s="80" t="s">
        <v>1376</v>
      </c>
      <c r="AT98" s="85" t="str">
        <f>HYPERLINK("https://www.youtube.com/channel/UCaHhU-OK1Vac5L2ghUiDtfw")</f>
        <v>https://www.youtube.com/channel/UCaHhU-OK1Vac5L2ghUiDtfw</v>
      </c>
      <c r="AU98" s="80" t="str">
        <f>REPLACE(INDEX(GroupVertices[Group],MATCH(Vertices[[#This Row],[Vertex]],GroupVertices[Vertex],0)),1,1,"")</f>
        <v>5</v>
      </c>
      <c r="AV98" s="49">
        <v>0</v>
      </c>
      <c r="AW98" s="50">
        <v>0</v>
      </c>
      <c r="AX98" s="49">
        <v>0</v>
      </c>
      <c r="AY98" s="50">
        <v>0</v>
      </c>
      <c r="AZ98" s="49">
        <v>0</v>
      </c>
      <c r="BA98" s="50">
        <v>0</v>
      </c>
      <c r="BB98" s="49">
        <v>14</v>
      </c>
      <c r="BC98" s="50">
        <v>100</v>
      </c>
      <c r="BD98" s="49">
        <v>14</v>
      </c>
      <c r="BE98" s="49"/>
      <c r="BF98" s="49"/>
      <c r="BG98" s="49"/>
      <c r="BH98" s="49"/>
      <c r="BI98" s="49"/>
      <c r="BJ98" s="49"/>
      <c r="BK98" s="111" t="s">
        <v>2432</v>
      </c>
      <c r="BL98" s="111" t="s">
        <v>2432</v>
      </c>
      <c r="BM98" s="111" t="s">
        <v>2622</v>
      </c>
      <c r="BN98" s="111" t="s">
        <v>2622</v>
      </c>
      <c r="BO98" s="2"/>
      <c r="BP98" s="3"/>
      <c r="BQ98" s="3"/>
      <c r="BR98" s="3"/>
      <c r="BS98" s="3"/>
    </row>
    <row r="99" spans="1:71" ht="15">
      <c r="A99" s="65" t="s">
        <v>419</v>
      </c>
      <c r="B99" s="66"/>
      <c r="C99" s="66"/>
      <c r="D99" s="67">
        <v>171.16858237547893</v>
      </c>
      <c r="E99" s="69"/>
      <c r="F99" s="103" t="str">
        <f>HYPERLINK("https://yt3.ggpht.com/ytc/AKedOLQtEDauYdjrDa2lsLedViOztuYVZy1ndol531x1eA=s88-c-k-c0x00ffffff-no-rj")</f>
        <v>https://yt3.ggpht.com/ytc/AKedOLQtEDauYdjrDa2lsLedViOztuYVZy1ndol531x1eA=s88-c-k-c0x00ffffff-no-rj</v>
      </c>
      <c r="G99" s="66"/>
      <c r="H99" s="70" t="s">
        <v>932</v>
      </c>
      <c r="I99" s="71"/>
      <c r="J99" s="71" t="s">
        <v>75</v>
      </c>
      <c r="K99" s="70" t="s">
        <v>932</v>
      </c>
      <c r="L99" s="74">
        <v>19.74963034155798</v>
      </c>
      <c r="M99" s="75">
        <v>9069.8125</v>
      </c>
      <c r="N99" s="75">
        <v>7179.0009765625</v>
      </c>
      <c r="O99" s="76"/>
      <c r="P99" s="77"/>
      <c r="Q99" s="77"/>
      <c r="R99" s="89"/>
      <c r="S99" s="49">
        <v>1</v>
      </c>
      <c r="T99" s="49">
        <v>1</v>
      </c>
      <c r="U99" s="50">
        <v>26</v>
      </c>
      <c r="V99" s="50">
        <v>0.022537</v>
      </c>
      <c r="W99" s="50">
        <v>0</v>
      </c>
      <c r="X99" s="50">
        <v>0.004558</v>
      </c>
      <c r="Y99" s="50">
        <v>0</v>
      </c>
      <c r="Z99" s="50">
        <v>0</v>
      </c>
      <c r="AA99" s="72">
        <v>99</v>
      </c>
      <c r="AB99" s="72"/>
      <c r="AC99" s="73"/>
      <c r="AD99" s="80" t="s">
        <v>932</v>
      </c>
      <c r="AE99" s="80"/>
      <c r="AF99" s="80"/>
      <c r="AG99" s="80"/>
      <c r="AH99" s="80"/>
      <c r="AI99" s="80"/>
      <c r="AJ99" s="87">
        <v>41352.686793981484</v>
      </c>
      <c r="AK99" s="85" t="str">
        <f>HYPERLINK("https://yt3.ggpht.com/ytc/AKedOLQtEDauYdjrDa2lsLedViOztuYVZy1ndol531x1eA=s88-c-k-c0x00ffffff-no-rj")</f>
        <v>https://yt3.ggpht.com/ytc/AKedOLQtEDauYdjrDa2lsLedViOztuYVZy1ndol531x1eA=s88-c-k-c0x00ffffff-no-rj</v>
      </c>
      <c r="AL99" s="80">
        <v>0</v>
      </c>
      <c r="AM99" s="80">
        <v>0</v>
      </c>
      <c r="AN99" s="80">
        <v>0</v>
      </c>
      <c r="AO99" s="80" t="b">
        <v>0</v>
      </c>
      <c r="AP99" s="80">
        <v>0</v>
      </c>
      <c r="AQ99" s="80"/>
      <c r="AR99" s="80"/>
      <c r="AS99" s="80" t="s">
        <v>1376</v>
      </c>
      <c r="AT99" s="85" t="str">
        <f>HYPERLINK("https://www.youtube.com/channel/UC9WOPcj0UJiSLURpeHpTLGg")</f>
        <v>https://www.youtube.com/channel/UC9WOPcj0UJiSLURpeHpTLGg</v>
      </c>
      <c r="AU99" s="80" t="str">
        <f>REPLACE(INDEX(GroupVertices[Group],MATCH(Vertices[[#This Row],[Vertex]],GroupVertices[Vertex],0)),1,1,"")</f>
        <v>5</v>
      </c>
      <c r="AV99" s="49">
        <v>0</v>
      </c>
      <c r="AW99" s="50">
        <v>0</v>
      </c>
      <c r="AX99" s="49">
        <v>0</v>
      </c>
      <c r="AY99" s="50">
        <v>0</v>
      </c>
      <c r="AZ99" s="49">
        <v>0</v>
      </c>
      <c r="BA99" s="50">
        <v>0</v>
      </c>
      <c r="BB99" s="49">
        <v>45</v>
      </c>
      <c r="BC99" s="50">
        <v>100</v>
      </c>
      <c r="BD99" s="49">
        <v>45</v>
      </c>
      <c r="BE99" s="49" t="s">
        <v>2143</v>
      </c>
      <c r="BF99" s="49" t="s">
        <v>2143</v>
      </c>
      <c r="BG99" s="49" t="s">
        <v>1221</v>
      </c>
      <c r="BH99" s="49" t="s">
        <v>1221</v>
      </c>
      <c r="BI99" s="49"/>
      <c r="BJ99" s="49"/>
      <c r="BK99" s="111" t="s">
        <v>2433</v>
      </c>
      <c r="BL99" s="111" t="s">
        <v>2433</v>
      </c>
      <c r="BM99" s="111" t="s">
        <v>2623</v>
      </c>
      <c r="BN99" s="111" t="s">
        <v>2623</v>
      </c>
      <c r="BO99" s="2"/>
      <c r="BP99" s="3"/>
      <c r="BQ99" s="3"/>
      <c r="BR99" s="3"/>
      <c r="BS99" s="3"/>
    </row>
    <row r="100" spans="1:71" ht="15">
      <c r="A100" s="65" t="s">
        <v>420</v>
      </c>
      <c r="B100" s="66"/>
      <c r="C100" s="66"/>
      <c r="D100" s="67">
        <v>150</v>
      </c>
      <c r="E100" s="69"/>
      <c r="F100" s="103" t="str">
        <f>HYPERLINK("https://yt3.ggpht.com/ytc/AKedOLQLYJJNd_jVSVBshW1DVTjtt8NsOBXa0nKJwzGwNQ=s88-c-k-c0x00ffffff-no-rj")</f>
        <v>https://yt3.ggpht.com/ytc/AKedOLQLYJJNd_jVSVBshW1DVTjtt8NsOBXa0nKJwzGwNQ=s88-c-k-c0x00ffffff-no-rj</v>
      </c>
      <c r="G100" s="66"/>
      <c r="H100" s="70" t="s">
        <v>933</v>
      </c>
      <c r="I100" s="71"/>
      <c r="J100" s="71" t="s">
        <v>159</v>
      </c>
      <c r="K100" s="70" t="s">
        <v>933</v>
      </c>
      <c r="L100" s="74">
        <v>1</v>
      </c>
      <c r="M100" s="75">
        <v>1839.4130859375</v>
      </c>
      <c r="N100" s="75">
        <v>3574.66552734375</v>
      </c>
      <c r="O100" s="76"/>
      <c r="P100" s="77"/>
      <c r="Q100" s="77"/>
      <c r="R100" s="89"/>
      <c r="S100" s="49">
        <v>0</v>
      </c>
      <c r="T100" s="49">
        <v>1</v>
      </c>
      <c r="U100" s="50">
        <v>0</v>
      </c>
      <c r="V100" s="50">
        <v>0.189881</v>
      </c>
      <c r="W100" s="50">
        <v>0.080745</v>
      </c>
      <c r="X100" s="50">
        <v>0.003874</v>
      </c>
      <c r="Y100" s="50">
        <v>0</v>
      </c>
      <c r="Z100" s="50">
        <v>0</v>
      </c>
      <c r="AA100" s="72">
        <v>100</v>
      </c>
      <c r="AB100" s="72"/>
      <c r="AC100" s="73"/>
      <c r="AD100" s="80" t="s">
        <v>933</v>
      </c>
      <c r="AE100" s="80"/>
      <c r="AF100" s="80"/>
      <c r="AG100" s="80"/>
      <c r="AH100" s="80"/>
      <c r="AI100" s="80"/>
      <c r="AJ100" s="87">
        <v>40922.51002314815</v>
      </c>
      <c r="AK100" s="85" t="str">
        <f>HYPERLINK("https://yt3.ggpht.com/ytc/AKedOLQLYJJNd_jVSVBshW1DVTjtt8NsOBXa0nKJwzGwNQ=s88-c-k-c0x00ffffff-no-rj")</f>
        <v>https://yt3.ggpht.com/ytc/AKedOLQLYJJNd_jVSVBshW1DVTjtt8NsOBXa0nKJwzGwNQ=s88-c-k-c0x00ffffff-no-rj</v>
      </c>
      <c r="AL100" s="80">
        <v>0</v>
      </c>
      <c r="AM100" s="80">
        <v>0</v>
      </c>
      <c r="AN100" s="80">
        <v>0</v>
      </c>
      <c r="AO100" s="80" t="b">
        <v>0</v>
      </c>
      <c r="AP100" s="80">
        <v>0</v>
      </c>
      <c r="AQ100" s="80"/>
      <c r="AR100" s="80"/>
      <c r="AS100" s="80" t="s">
        <v>1376</v>
      </c>
      <c r="AT100" s="85" t="str">
        <f>HYPERLINK("https://www.youtube.com/channel/UCJIZkb4wSJWKnDl2y3zC5Fg")</f>
        <v>https://www.youtube.com/channel/UCJIZkb4wSJWKnDl2y3zC5Fg</v>
      </c>
      <c r="AU100" s="80" t="str">
        <f>REPLACE(INDEX(GroupVertices[Group],MATCH(Vertices[[#This Row],[Vertex]],GroupVertices[Vertex],0)),1,1,"")</f>
        <v>1</v>
      </c>
      <c r="AV100" s="49">
        <v>0</v>
      </c>
      <c r="AW100" s="50">
        <v>0</v>
      </c>
      <c r="AX100" s="49">
        <v>1</v>
      </c>
      <c r="AY100" s="50">
        <v>1.9230769230769231</v>
      </c>
      <c r="AZ100" s="49">
        <v>0</v>
      </c>
      <c r="BA100" s="50">
        <v>0</v>
      </c>
      <c r="BB100" s="49">
        <v>51</v>
      </c>
      <c r="BC100" s="50">
        <v>98.07692307692308</v>
      </c>
      <c r="BD100" s="49">
        <v>52</v>
      </c>
      <c r="BE100" s="49"/>
      <c r="BF100" s="49"/>
      <c r="BG100" s="49"/>
      <c r="BH100" s="49"/>
      <c r="BI100" s="49"/>
      <c r="BJ100" s="49"/>
      <c r="BK100" s="111" t="s">
        <v>2434</v>
      </c>
      <c r="BL100" s="111" t="s">
        <v>2434</v>
      </c>
      <c r="BM100" s="111" t="s">
        <v>2624</v>
      </c>
      <c r="BN100" s="111" t="s">
        <v>2624</v>
      </c>
      <c r="BO100" s="2"/>
      <c r="BP100" s="3"/>
      <c r="BQ100" s="3"/>
      <c r="BR100" s="3"/>
      <c r="BS100" s="3"/>
    </row>
    <row r="101" spans="1:71" ht="15">
      <c r="A101" s="65" t="s">
        <v>421</v>
      </c>
      <c r="B101" s="66"/>
      <c r="C101" s="66"/>
      <c r="D101" s="67">
        <v>150</v>
      </c>
      <c r="E101" s="69"/>
      <c r="F101" s="103" t="str">
        <f>HYPERLINK("https://yt3.ggpht.com/ytc/AKedOLTe6PSjp4vs5MA-qdQQ7yGLX1kHsr4wTOPETeQB=s88-c-k-c0x00ffffff-no-rj")</f>
        <v>https://yt3.ggpht.com/ytc/AKedOLTe6PSjp4vs5MA-qdQQ7yGLX1kHsr4wTOPETeQB=s88-c-k-c0x00ffffff-no-rj</v>
      </c>
      <c r="G101" s="66"/>
      <c r="H101" s="70" t="s">
        <v>934</v>
      </c>
      <c r="I101" s="71"/>
      <c r="J101" s="71" t="s">
        <v>159</v>
      </c>
      <c r="K101" s="70" t="s">
        <v>934</v>
      </c>
      <c r="L101" s="74">
        <v>1</v>
      </c>
      <c r="M101" s="75">
        <v>6882.42138671875</v>
      </c>
      <c r="N101" s="75">
        <v>4764.2294921875</v>
      </c>
      <c r="O101" s="76"/>
      <c r="P101" s="77"/>
      <c r="Q101" s="77"/>
      <c r="R101" s="89"/>
      <c r="S101" s="49">
        <v>0</v>
      </c>
      <c r="T101" s="49">
        <v>1</v>
      </c>
      <c r="U101" s="50">
        <v>0</v>
      </c>
      <c r="V101" s="50">
        <v>0.121339</v>
      </c>
      <c r="W101" s="50">
        <v>0.001293</v>
      </c>
      <c r="X101" s="50">
        <v>0.00393</v>
      </c>
      <c r="Y101" s="50">
        <v>0</v>
      </c>
      <c r="Z101" s="50">
        <v>0</v>
      </c>
      <c r="AA101" s="72">
        <v>101</v>
      </c>
      <c r="AB101" s="72"/>
      <c r="AC101" s="73"/>
      <c r="AD101" s="80" t="s">
        <v>934</v>
      </c>
      <c r="AE101" s="80"/>
      <c r="AF101" s="80"/>
      <c r="AG101" s="80"/>
      <c r="AH101" s="80"/>
      <c r="AI101" s="80"/>
      <c r="AJ101" s="87">
        <v>39285.815254629626</v>
      </c>
      <c r="AK101" s="85" t="str">
        <f>HYPERLINK("https://yt3.ggpht.com/ytc/AKedOLTe6PSjp4vs5MA-qdQQ7yGLX1kHsr4wTOPETeQB=s88-c-k-c0x00ffffff-no-rj")</f>
        <v>https://yt3.ggpht.com/ytc/AKedOLTe6PSjp4vs5MA-qdQQ7yGLX1kHsr4wTOPETeQB=s88-c-k-c0x00ffffff-no-rj</v>
      </c>
      <c r="AL101" s="80">
        <v>1861</v>
      </c>
      <c r="AM101" s="80">
        <v>0</v>
      </c>
      <c r="AN101" s="80">
        <v>11</v>
      </c>
      <c r="AO101" s="80" t="b">
        <v>0</v>
      </c>
      <c r="AP101" s="80">
        <v>7</v>
      </c>
      <c r="AQ101" s="80"/>
      <c r="AR101" s="80"/>
      <c r="AS101" s="80" t="s">
        <v>1376</v>
      </c>
      <c r="AT101" s="85" t="str">
        <f>HYPERLINK("https://www.youtube.com/channel/UCdroRJc0_ZpOqXd_5Gp1UEA")</f>
        <v>https://www.youtube.com/channel/UCdroRJc0_ZpOqXd_5Gp1UEA</v>
      </c>
      <c r="AU101" s="80" t="str">
        <f>REPLACE(INDEX(GroupVertices[Group],MATCH(Vertices[[#This Row],[Vertex]],GroupVertices[Vertex],0)),1,1,"")</f>
        <v>7</v>
      </c>
      <c r="AV101" s="49">
        <v>0</v>
      </c>
      <c r="AW101" s="50">
        <v>0</v>
      </c>
      <c r="AX101" s="49">
        <v>0</v>
      </c>
      <c r="AY101" s="50">
        <v>0</v>
      </c>
      <c r="AZ101" s="49">
        <v>0</v>
      </c>
      <c r="BA101" s="50">
        <v>0</v>
      </c>
      <c r="BB101" s="49">
        <v>5</v>
      </c>
      <c r="BC101" s="50">
        <v>100</v>
      </c>
      <c r="BD101" s="49">
        <v>5</v>
      </c>
      <c r="BE101" s="49"/>
      <c r="BF101" s="49"/>
      <c r="BG101" s="49"/>
      <c r="BH101" s="49"/>
      <c r="BI101" s="49"/>
      <c r="BJ101" s="49"/>
      <c r="BK101" s="111" t="s">
        <v>1452</v>
      </c>
      <c r="BL101" s="111" t="s">
        <v>1452</v>
      </c>
      <c r="BM101" s="111" t="s">
        <v>1239</v>
      </c>
      <c r="BN101" s="111" t="s">
        <v>1239</v>
      </c>
      <c r="BO101" s="2"/>
      <c r="BP101" s="3"/>
      <c r="BQ101" s="3"/>
      <c r="BR101" s="3"/>
      <c r="BS101" s="3"/>
    </row>
    <row r="102" spans="1:71" ht="15">
      <c r="A102" s="65" t="s">
        <v>430</v>
      </c>
      <c r="B102" s="66"/>
      <c r="C102" s="66"/>
      <c r="D102" s="67">
        <v>1000</v>
      </c>
      <c r="E102" s="69"/>
      <c r="F102" s="103" t="str">
        <f>HYPERLINK("https://yt3.ggpht.com/ytc/AKedOLRQPHRW2lKEMd2Qh8ichaP00bOPZszcEl_Z7YXG7g=s88-c-k-c0x00ffffff-no-rj")</f>
        <v>https://yt3.ggpht.com/ytc/AKedOLRQPHRW2lKEMd2Qh8ichaP00bOPZszcEl_Z7YXG7g=s88-c-k-c0x00ffffff-no-rj</v>
      </c>
      <c r="G102" s="66"/>
      <c r="H102" s="70" t="s">
        <v>943</v>
      </c>
      <c r="I102" s="71"/>
      <c r="J102" s="71" t="s">
        <v>75</v>
      </c>
      <c r="K102" s="70" t="s">
        <v>943</v>
      </c>
      <c r="L102" s="74">
        <v>1436.0678607577072</v>
      </c>
      <c r="M102" s="75">
        <v>7041.10205078125</v>
      </c>
      <c r="N102" s="75">
        <v>5313.5927734375</v>
      </c>
      <c r="O102" s="76"/>
      <c r="P102" s="77"/>
      <c r="Q102" s="77"/>
      <c r="R102" s="89"/>
      <c r="S102" s="49">
        <v>9</v>
      </c>
      <c r="T102" s="49">
        <v>2</v>
      </c>
      <c r="U102" s="50">
        <v>1990</v>
      </c>
      <c r="V102" s="50">
        <v>0.153231</v>
      </c>
      <c r="W102" s="50">
        <v>0.011521</v>
      </c>
      <c r="X102" s="50">
        <v>0.008109</v>
      </c>
      <c r="Y102" s="50">
        <v>0</v>
      </c>
      <c r="Z102" s="50">
        <v>0.125</v>
      </c>
      <c r="AA102" s="72">
        <v>102</v>
      </c>
      <c r="AB102" s="72"/>
      <c r="AC102" s="73"/>
      <c r="AD102" s="80" t="s">
        <v>943</v>
      </c>
      <c r="AE102" s="80"/>
      <c r="AF102" s="80"/>
      <c r="AG102" s="80"/>
      <c r="AH102" s="80"/>
      <c r="AI102" s="80" t="s">
        <v>1356</v>
      </c>
      <c r="AJ102" s="87">
        <v>41399.14829861111</v>
      </c>
      <c r="AK102" s="85" t="str">
        <f>HYPERLINK("https://yt3.ggpht.com/ytc/AKedOLRQPHRW2lKEMd2Qh8ichaP00bOPZszcEl_Z7YXG7g=s88-c-k-c0x00ffffff-no-rj")</f>
        <v>https://yt3.ggpht.com/ytc/AKedOLRQPHRW2lKEMd2Qh8ichaP00bOPZszcEl_Z7YXG7g=s88-c-k-c0x00ffffff-no-rj</v>
      </c>
      <c r="AL102" s="80">
        <v>20134</v>
      </c>
      <c r="AM102" s="80">
        <v>0</v>
      </c>
      <c r="AN102" s="80">
        <v>0</v>
      </c>
      <c r="AO102" s="80" t="b">
        <v>1</v>
      </c>
      <c r="AP102" s="80">
        <v>20</v>
      </c>
      <c r="AQ102" s="80"/>
      <c r="AR102" s="80"/>
      <c r="AS102" s="80" t="s">
        <v>1376</v>
      </c>
      <c r="AT102" s="85" t="str">
        <f>HYPERLINK("https://www.youtube.com/channel/UC4B0PCHbdzSSzlHORDsaYjQ")</f>
        <v>https://www.youtube.com/channel/UC4B0PCHbdzSSzlHORDsaYjQ</v>
      </c>
      <c r="AU102" s="80" t="str">
        <f>REPLACE(INDEX(GroupVertices[Group],MATCH(Vertices[[#This Row],[Vertex]],GroupVertices[Vertex],0)),1,1,"")</f>
        <v>7</v>
      </c>
      <c r="AV102" s="49">
        <v>0</v>
      </c>
      <c r="AW102" s="50">
        <v>0</v>
      </c>
      <c r="AX102" s="49">
        <v>0</v>
      </c>
      <c r="AY102" s="50">
        <v>0</v>
      </c>
      <c r="AZ102" s="49">
        <v>0</v>
      </c>
      <c r="BA102" s="50">
        <v>0</v>
      </c>
      <c r="BB102" s="49">
        <v>14</v>
      </c>
      <c r="BC102" s="50">
        <v>100</v>
      </c>
      <c r="BD102" s="49">
        <v>14</v>
      </c>
      <c r="BE102" s="49"/>
      <c r="BF102" s="49"/>
      <c r="BG102" s="49"/>
      <c r="BH102" s="49"/>
      <c r="BI102" s="49"/>
      <c r="BJ102" s="49"/>
      <c r="BK102" s="111" t="s">
        <v>2435</v>
      </c>
      <c r="BL102" s="111" t="s">
        <v>2435</v>
      </c>
      <c r="BM102" s="111" t="s">
        <v>2625</v>
      </c>
      <c r="BN102" s="111" t="s">
        <v>2625</v>
      </c>
      <c r="BO102" s="2"/>
      <c r="BP102" s="3"/>
      <c r="BQ102" s="3"/>
      <c r="BR102" s="3"/>
      <c r="BS102" s="3"/>
    </row>
    <row r="103" spans="1:71" ht="15">
      <c r="A103" s="65" t="s">
        <v>422</v>
      </c>
      <c r="B103" s="66"/>
      <c r="C103" s="66"/>
      <c r="D103" s="67">
        <v>150</v>
      </c>
      <c r="E103" s="69"/>
      <c r="F103" s="103" t="str">
        <f>HYPERLINK("https://yt3.ggpht.com/ytc/AKedOLT6TMRG7XrixtgI81CB41ixv_b5wCMeZul4-5qbEA=s88-c-k-c0x00ffffff-no-rj")</f>
        <v>https://yt3.ggpht.com/ytc/AKedOLT6TMRG7XrixtgI81CB41ixv_b5wCMeZul4-5qbEA=s88-c-k-c0x00ffffff-no-rj</v>
      </c>
      <c r="G103" s="66"/>
      <c r="H103" s="70" t="s">
        <v>935</v>
      </c>
      <c r="I103" s="71"/>
      <c r="J103" s="71" t="s">
        <v>159</v>
      </c>
      <c r="K103" s="70" t="s">
        <v>935</v>
      </c>
      <c r="L103" s="74">
        <v>1</v>
      </c>
      <c r="M103" s="75">
        <v>7681.79296875</v>
      </c>
      <c r="N103" s="75">
        <v>4850.32177734375</v>
      </c>
      <c r="O103" s="76"/>
      <c r="P103" s="77"/>
      <c r="Q103" s="77"/>
      <c r="R103" s="89"/>
      <c r="S103" s="49">
        <v>0</v>
      </c>
      <c r="T103" s="49">
        <v>1</v>
      </c>
      <c r="U103" s="50">
        <v>0</v>
      </c>
      <c r="V103" s="50">
        <v>0.121339</v>
      </c>
      <c r="W103" s="50">
        <v>0.001293</v>
      </c>
      <c r="X103" s="50">
        <v>0.00393</v>
      </c>
      <c r="Y103" s="50">
        <v>0</v>
      </c>
      <c r="Z103" s="50">
        <v>0</v>
      </c>
      <c r="AA103" s="72">
        <v>103</v>
      </c>
      <c r="AB103" s="72"/>
      <c r="AC103" s="73"/>
      <c r="AD103" s="80" t="s">
        <v>935</v>
      </c>
      <c r="AE103" s="80"/>
      <c r="AF103" s="80"/>
      <c r="AG103" s="80"/>
      <c r="AH103" s="80"/>
      <c r="AI103" s="80"/>
      <c r="AJ103" s="87">
        <v>41908.727534722224</v>
      </c>
      <c r="AK103" s="85" t="str">
        <f>HYPERLINK("https://yt3.ggpht.com/ytc/AKedOLT6TMRG7XrixtgI81CB41ixv_b5wCMeZul4-5qbEA=s88-c-k-c0x00ffffff-no-rj")</f>
        <v>https://yt3.ggpht.com/ytc/AKedOLT6TMRG7XrixtgI81CB41ixv_b5wCMeZul4-5qbEA=s88-c-k-c0x00ffffff-no-rj</v>
      </c>
      <c r="AL103" s="80">
        <v>515</v>
      </c>
      <c r="AM103" s="80">
        <v>0</v>
      </c>
      <c r="AN103" s="80">
        <v>3</v>
      </c>
      <c r="AO103" s="80" t="b">
        <v>0</v>
      </c>
      <c r="AP103" s="80">
        <v>6</v>
      </c>
      <c r="AQ103" s="80"/>
      <c r="AR103" s="80"/>
      <c r="AS103" s="80" t="s">
        <v>1376</v>
      </c>
      <c r="AT103" s="85" t="str">
        <f>HYPERLINK("https://www.youtube.com/channel/UCh3yYzeRVs-FINrguoLPzjA")</f>
        <v>https://www.youtube.com/channel/UCh3yYzeRVs-FINrguoLPzjA</v>
      </c>
      <c r="AU103" s="80" t="str">
        <f>REPLACE(INDEX(GroupVertices[Group],MATCH(Vertices[[#This Row],[Vertex]],GroupVertices[Vertex],0)),1,1,"")</f>
        <v>7</v>
      </c>
      <c r="AV103" s="49">
        <v>0</v>
      </c>
      <c r="AW103" s="50">
        <v>0</v>
      </c>
      <c r="AX103" s="49">
        <v>0</v>
      </c>
      <c r="AY103" s="50">
        <v>0</v>
      </c>
      <c r="AZ103" s="49">
        <v>0</v>
      </c>
      <c r="BA103" s="50">
        <v>0</v>
      </c>
      <c r="BB103" s="49">
        <v>12</v>
      </c>
      <c r="BC103" s="50">
        <v>100</v>
      </c>
      <c r="BD103" s="49">
        <v>12</v>
      </c>
      <c r="BE103" s="49"/>
      <c r="BF103" s="49"/>
      <c r="BG103" s="49"/>
      <c r="BH103" s="49"/>
      <c r="BI103" s="49"/>
      <c r="BJ103" s="49"/>
      <c r="BK103" s="111" t="s">
        <v>2436</v>
      </c>
      <c r="BL103" s="111" t="s">
        <v>2436</v>
      </c>
      <c r="BM103" s="111" t="s">
        <v>2626</v>
      </c>
      <c r="BN103" s="111" t="s">
        <v>2626</v>
      </c>
      <c r="BO103" s="2"/>
      <c r="BP103" s="3"/>
      <c r="BQ103" s="3"/>
      <c r="BR103" s="3"/>
      <c r="BS103" s="3"/>
    </row>
    <row r="104" spans="1:71" ht="15">
      <c r="A104" s="65" t="s">
        <v>423</v>
      </c>
      <c r="B104" s="66"/>
      <c r="C104" s="66"/>
      <c r="D104" s="67">
        <v>150</v>
      </c>
      <c r="E104" s="69"/>
      <c r="F104" s="103" t="str">
        <f>HYPERLINK("https://yt3.ggpht.com/ytc/AKedOLTUH2rqUXaeaGEdtEbpuBCQh6G2HBXItMjO3R9wXg=s88-c-k-c0x00ffffff-no-rj")</f>
        <v>https://yt3.ggpht.com/ytc/AKedOLTUH2rqUXaeaGEdtEbpuBCQh6G2HBXItMjO3R9wXg=s88-c-k-c0x00ffffff-no-rj</v>
      </c>
      <c r="G104" s="66"/>
      <c r="H104" s="70" t="s">
        <v>936</v>
      </c>
      <c r="I104" s="71"/>
      <c r="J104" s="71" t="s">
        <v>159</v>
      </c>
      <c r="K104" s="70" t="s">
        <v>936</v>
      </c>
      <c r="L104" s="74">
        <v>1</v>
      </c>
      <c r="M104" s="75">
        <v>6163.046875</v>
      </c>
      <c r="N104" s="75">
        <v>4954.9345703125</v>
      </c>
      <c r="O104" s="76"/>
      <c r="P104" s="77"/>
      <c r="Q104" s="77"/>
      <c r="R104" s="89"/>
      <c r="S104" s="49">
        <v>0</v>
      </c>
      <c r="T104" s="49">
        <v>1</v>
      </c>
      <c r="U104" s="50">
        <v>0</v>
      </c>
      <c r="V104" s="50">
        <v>0.121339</v>
      </c>
      <c r="W104" s="50">
        <v>0.001293</v>
      </c>
      <c r="X104" s="50">
        <v>0.00393</v>
      </c>
      <c r="Y104" s="50">
        <v>0</v>
      </c>
      <c r="Z104" s="50">
        <v>0</v>
      </c>
      <c r="AA104" s="72">
        <v>104</v>
      </c>
      <c r="AB104" s="72"/>
      <c r="AC104" s="73"/>
      <c r="AD104" s="80" t="s">
        <v>936</v>
      </c>
      <c r="AE104" s="80"/>
      <c r="AF104" s="80"/>
      <c r="AG104" s="80"/>
      <c r="AH104" s="80"/>
      <c r="AI104" s="80"/>
      <c r="AJ104" s="87">
        <v>39542.09347222222</v>
      </c>
      <c r="AK104" s="85" t="str">
        <f>HYPERLINK("https://yt3.ggpht.com/ytc/AKedOLTUH2rqUXaeaGEdtEbpuBCQh6G2HBXItMjO3R9wXg=s88-c-k-c0x00ffffff-no-rj")</f>
        <v>https://yt3.ggpht.com/ytc/AKedOLTUH2rqUXaeaGEdtEbpuBCQh6G2HBXItMjO3R9wXg=s88-c-k-c0x00ffffff-no-rj</v>
      </c>
      <c r="AL104" s="80">
        <v>0</v>
      </c>
      <c r="AM104" s="80">
        <v>0</v>
      </c>
      <c r="AN104" s="80">
        <v>1</v>
      </c>
      <c r="AO104" s="80" t="b">
        <v>0</v>
      </c>
      <c r="AP104" s="80">
        <v>0</v>
      </c>
      <c r="AQ104" s="80"/>
      <c r="AR104" s="80"/>
      <c r="AS104" s="80" t="s">
        <v>1376</v>
      </c>
      <c r="AT104" s="85" t="str">
        <f>HYPERLINK("https://www.youtube.com/channel/UCixxAbFxgX_ukjZQmAnkSPw")</f>
        <v>https://www.youtube.com/channel/UCixxAbFxgX_ukjZQmAnkSPw</v>
      </c>
      <c r="AU104" s="80" t="str">
        <f>REPLACE(INDEX(GroupVertices[Group],MATCH(Vertices[[#This Row],[Vertex]],GroupVertices[Vertex],0)),1,1,"")</f>
        <v>7</v>
      </c>
      <c r="AV104" s="49">
        <v>0</v>
      </c>
      <c r="AW104" s="50">
        <v>0</v>
      </c>
      <c r="AX104" s="49">
        <v>0</v>
      </c>
      <c r="AY104" s="50">
        <v>0</v>
      </c>
      <c r="AZ104" s="49">
        <v>0</v>
      </c>
      <c r="BA104" s="50">
        <v>0</v>
      </c>
      <c r="BB104" s="49">
        <v>12</v>
      </c>
      <c r="BC104" s="50">
        <v>100</v>
      </c>
      <c r="BD104" s="49">
        <v>12</v>
      </c>
      <c r="BE104" s="49"/>
      <c r="BF104" s="49"/>
      <c r="BG104" s="49"/>
      <c r="BH104" s="49"/>
      <c r="BI104" s="49"/>
      <c r="BJ104" s="49"/>
      <c r="BK104" s="111" t="s">
        <v>2437</v>
      </c>
      <c r="BL104" s="111" t="s">
        <v>2437</v>
      </c>
      <c r="BM104" s="111" t="s">
        <v>2627</v>
      </c>
      <c r="BN104" s="111" t="s">
        <v>2627</v>
      </c>
      <c r="BO104" s="2"/>
      <c r="BP104" s="3"/>
      <c r="BQ104" s="3"/>
      <c r="BR104" s="3"/>
      <c r="BS104" s="3"/>
    </row>
    <row r="105" spans="1:71" ht="15">
      <c r="A105" s="65" t="s">
        <v>424</v>
      </c>
      <c r="B105" s="66"/>
      <c r="C105" s="66"/>
      <c r="D105" s="67">
        <v>150</v>
      </c>
      <c r="E105" s="69"/>
      <c r="F105" s="103" t="str">
        <f>HYPERLINK("https://yt3.ggpht.com/ytc/AKedOLQgiUiXiD6IcaiDQ-qpsCFiltpAMvO6YlxXkA_Y-QI=s88-c-k-c0x00ffffff-no-rj")</f>
        <v>https://yt3.ggpht.com/ytc/AKedOLQgiUiXiD6IcaiDQ-qpsCFiltpAMvO6YlxXkA_Y-QI=s88-c-k-c0x00ffffff-no-rj</v>
      </c>
      <c r="G105" s="66"/>
      <c r="H105" s="70" t="s">
        <v>937</v>
      </c>
      <c r="I105" s="71"/>
      <c r="J105" s="71" t="s">
        <v>159</v>
      </c>
      <c r="K105" s="70" t="s">
        <v>937</v>
      </c>
      <c r="L105" s="74">
        <v>1</v>
      </c>
      <c r="M105" s="75">
        <v>8183.89501953125</v>
      </c>
      <c r="N105" s="75">
        <v>5165.6201171875</v>
      </c>
      <c r="O105" s="76"/>
      <c r="P105" s="77"/>
      <c r="Q105" s="77"/>
      <c r="R105" s="89"/>
      <c r="S105" s="49">
        <v>0</v>
      </c>
      <c r="T105" s="49">
        <v>1</v>
      </c>
      <c r="U105" s="50">
        <v>0</v>
      </c>
      <c r="V105" s="50">
        <v>0.121339</v>
      </c>
      <c r="W105" s="50">
        <v>0.001293</v>
      </c>
      <c r="X105" s="50">
        <v>0.00393</v>
      </c>
      <c r="Y105" s="50">
        <v>0</v>
      </c>
      <c r="Z105" s="50">
        <v>0</v>
      </c>
      <c r="AA105" s="72">
        <v>105</v>
      </c>
      <c r="AB105" s="72"/>
      <c r="AC105" s="73"/>
      <c r="AD105" s="80" t="s">
        <v>937</v>
      </c>
      <c r="AE105" s="80"/>
      <c r="AF105" s="80"/>
      <c r="AG105" s="80"/>
      <c r="AH105" s="80"/>
      <c r="AI105" s="80" t="s">
        <v>1357</v>
      </c>
      <c r="AJ105" s="87">
        <v>39755.862175925926</v>
      </c>
      <c r="AK105" s="85" t="str">
        <f>HYPERLINK("https://yt3.ggpht.com/ytc/AKedOLQgiUiXiD6IcaiDQ-qpsCFiltpAMvO6YlxXkA_Y-QI=s88-c-k-c0x00ffffff-no-rj")</f>
        <v>https://yt3.ggpht.com/ytc/AKedOLQgiUiXiD6IcaiDQ-qpsCFiltpAMvO6YlxXkA_Y-QI=s88-c-k-c0x00ffffff-no-rj</v>
      </c>
      <c r="AL105" s="80">
        <v>251</v>
      </c>
      <c r="AM105" s="80">
        <v>0</v>
      </c>
      <c r="AN105" s="80">
        <v>10</v>
      </c>
      <c r="AO105" s="80" t="b">
        <v>0</v>
      </c>
      <c r="AP105" s="80">
        <v>4</v>
      </c>
      <c r="AQ105" s="80"/>
      <c r="AR105" s="80"/>
      <c r="AS105" s="80" t="s">
        <v>1376</v>
      </c>
      <c r="AT105" s="85" t="str">
        <f>HYPERLINK("https://www.youtube.com/channel/UCI9yBt6c5JsNA4ojCmidRiQ")</f>
        <v>https://www.youtube.com/channel/UCI9yBt6c5JsNA4ojCmidRiQ</v>
      </c>
      <c r="AU105" s="80" t="str">
        <f>REPLACE(INDEX(GroupVertices[Group],MATCH(Vertices[[#This Row],[Vertex]],GroupVertices[Vertex],0)),1,1,"")</f>
        <v>7</v>
      </c>
      <c r="AV105" s="49">
        <v>2</v>
      </c>
      <c r="AW105" s="50">
        <v>28.571428571428573</v>
      </c>
      <c r="AX105" s="49">
        <v>0</v>
      </c>
      <c r="AY105" s="50">
        <v>0</v>
      </c>
      <c r="AZ105" s="49">
        <v>0</v>
      </c>
      <c r="BA105" s="50">
        <v>0</v>
      </c>
      <c r="BB105" s="49">
        <v>5</v>
      </c>
      <c r="BC105" s="50">
        <v>71.42857142857143</v>
      </c>
      <c r="BD105" s="49">
        <v>7</v>
      </c>
      <c r="BE105" s="49"/>
      <c r="BF105" s="49"/>
      <c r="BG105" s="49"/>
      <c r="BH105" s="49"/>
      <c r="BI105" s="49"/>
      <c r="BJ105" s="49"/>
      <c r="BK105" s="111" t="s">
        <v>2438</v>
      </c>
      <c r="BL105" s="111" t="s">
        <v>2438</v>
      </c>
      <c r="BM105" s="111" t="s">
        <v>2628</v>
      </c>
      <c r="BN105" s="111" t="s">
        <v>2628</v>
      </c>
      <c r="BO105" s="2"/>
      <c r="BP105" s="3"/>
      <c r="BQ105" s="3"/>
      <c r="BR105" s="3"/>
      <c r="BS105" s="3"/>
    </row>
    <row r="106" spans="1:71" ht="15">
      <c r="A106" s="65" t="s">
        <v>425</v>
      </c>
      <c r="B106" s="66"/>
      <c r="C106" s="66"/>
      <c r="D106" s="67">
        <v>150</v>
      </c>
      <c r="E106" s="69"/>
      <c r="F106" s="103" t="str">
        <f>HYPERLINK("https://yt3.ggpht.com/ytc/AKedOLQJXWohZlC2js2TInzsw3gQLGvZVMTWBACw-Q=s88-c-k-c0x00ffffff-no-rj")</f>
        <v>https://yt3.ggpht.com/ytc/AKedOLQJXWohZlC2js2TInzsw3gQLGvZVMTWBACw-Q=s88-c-k-c0x00ffffff-no-rj</v>
      </c>
      <c r="G106" s="66"/>
      <c r="H106" s="70" t="s">
        <v>938</v>
      </c>
      <c r="I106" s="71"/>
      <c r="J106" s="71" t="s">
        <v>159</v>
      </c>
      <c r="K106" s="70" t="s">
        <v>938</v>
      </c>
      <c r="L106" s="74">
        <v>1</v>
      </c>
      <c r="M106" s="75">
        <v>6230.87353515625</v>
      </c>
      <c r="N106" s="75">
        <v>5660.75244140625</v>
      </c>
      <c r="O106" s="76"/>
      <c r="P106" s="77"/>
      <c r="Q106" s="77"/>
      <c r="R106" s="89"/>
      <c r="S106" s="49">
        <v>0</v>
      </c>
      <c r="T106" s="49">
        <v>1</v>
      </c>
      <c r="U106" s="50">
        <v>0</v>
      </c>
      <c r="V106" s="50">
        <v>0.121339</v>
      </c>
      <c r="W106" s="50">
        <v>0.001293</v>
      </c>
      <c r="X106" s="50">
        <v>0.00393</v>
      </c>
      <c r="Y106" s="50">
        <v>0</v>
      </c>
      <c r="Z106" s="50">
        <v>0</v>
      </c>
      <c r="AA106" s="72">
        <v>106</v>
      </c>
      <c r="AB106" s="72"/>
      <c r="AC106" s="73"/>
      <c r="AD106" s="80" t="s">
        <v>938</v>
      </c>
      <c r="AE106" s="80"/>
      <c r="AF106" s="80"/>
      <c r="AG106" s="80"/>
      <c r="AH106" s="80"/>
      <c r="AI106" s="80"/>
      <c r="AJ106" s="87">
        <v>40838.83972222222</v>
      </c>
      <c r="AK106" s="85" t="str">
        <f>HYPERLINK("https://yt3.ggpht.com/ytc/AKedOLQJXWohZlC2js2TInzsw3gQLGvZVMTWBACw-Q=s88-c-k-c0x00ffffff-no-rj")</f>
        <v>https://yt3.ggpht.com/ytc/AKedOLQJXWohZlC2js2TInzsw3gQLGvZVMTWBACw-Q=s88-c-k-c0x00ffffff-no-rj</v>
      </c>
      <c r="AL106" s="80">
        <v>0</v>
      </c>
      <c r="AM106" s="80">
        <v>0</v>
      </c>
      <c r="AN106" s="80">
        <v>0</v>
      </c>
      <c r="AO106" s="80" t="b">
        <v>0</v>
      </c>
      <c r="AP106" s="80">
        <v>0</v>
      </c>
      <c r="AQ106" s="80"/>
      <c r="AR106" s="80"/>
      <c r="AS106" s="80" t="s">
        <v>1376</v>
      </c>
      <c r="AT106" s="85" t="str">
        <f>HYPERLINK("https://www.youtube.com/channel/UCKuZZ1l9Em5c5WYrPKvLJWg")</f>
        <v>https://www.youtube.com/channel/UCKuZZ1l9Em5c5WYrPKvLJWg</v>
      </c>
      <c r="AU106" s="80" t="str">
        <f>REPLACE(INDEX(GroupVertices[Group],MATCH(Vertices[[#This Row],[Vertex]],GroupVertices[Vertex],0)),1,1,"")</f>
        <v>7</v>
      </c>
      <c r="AV106" s="49">
        <v>2</v>
      </c>
      <c r="AW106" s="50">
        <v>50</v>
      </c>
      <c r="AX106" s="49">
        <v>0</v>
      </c>
      <c r="AY106" s="50">
        <v>0</v>
      </c>
      <c r="AZ106" s="49">
        <v>0</v>
      </c>
      <c r="BA106" s="50">
        <v>0</v>
      </c>
      <c r="BB106" s="49">
        <v>2</v>
      </c>
      <c r="BC106" s="50">
        <v>50</v>
      </c>
      <c r="BD106" s="49">
        <v>4</v>
      </c>
      <c r="BE106" s="49"/>
      <c r="BF106" s="49"/>
      <c r="BG106" s="49"/>
      <c r="BH106" s="49"/>
      <c r="BI106" s="49"/>
      <c r="BJ106" s="49"/>
      <c r="BK106" s="111" t="s">
        <v>1454</v>
      </c>
      <c r="BL106" s="111" t="s">
        <v>1454</v>
      </c>
      <c r="BM106" s="111" t="s">
        <v>1239</v>
      </c>
      <c r="BN106" s="111" t="s">
        <v>1239</v>
      </c>
      <c r="BO106" s="2"/>
      <c r="BP106" s="3"/>
      <c r="BQ106" s="3"/>
      <c r="BR106" s="3"/>
      <c r="BS106" s="3"/>
    </row>
    <row r="107" spans="1:71" ht="15">
      <c r="A107" s="65" t="s">
        <v>426</v>
      </c>
      <c r="B107" s="66"/>
      <c r="C107" s="66"/>
      <c r="D107" s="67">
        <v>150</v>
      </c>
      <c r="E107" s="69"/>
      <c r="F107" s="103" t="str">
        <f>HYPERLINK("https://yt3.ggpht.com/ytc/AKedOLSFuQ-53UlBSkCWkEWMfrY2hHX6ZkJ7jcJbeG25hA=s88-c-k-c0x00ffffff-no-rj")</f>
        <v>https://yt3.ggpht.com/ytc/AKedOLSFuQ-53UlBSkCWkEWMfrY2hHX6ZkJ7jcJbeG25hA=s88-c-k-c0x00ffffff-no-rj</v>
      </c>
      <c r="G107" s="66"/>
      <c r="H107" s="70" t="s">
        <v>939</v>
      </c>
      <c r="I107" s="71"/>
      <c r="J107" s="71" t="s">
        <v>159</v>
      </c>
      <c r="K107" s="70" t="s">
        <v>939</v>
      </c>
      <c r="L107" s="74">
        <v>1</v>
      </c>
      <c r="M107" s="75">
        <v>7260.42041015625</v>
      </c>
      <c r="N107" s="75">
        <v>1311.1436767578125</v>
      </c>
      <c r="O107" s="76"/>
      <c r="P107" s="77"/>
      <c r="Q107" s="77"/>
      <c r="R107" s="89"/>
      <c r="S107" s="49">
        <v>0</v>
      </c>
      <c r="T107" s="49">
        <v>1</v>
      </c>
      <c r="U107" s="50">
        <v>0</v>
      </c>
      <c r="V107" s="50">
        <v>0.005979</v>
      </c>
      <c r="W107" s="50">
        <v>0</v>
      </c>
      <c r="X107" s="50">
        <v>0.004058</v>
      </c>
      <c r="Y107" s="50">
        <v>0</v>
      </c>
      <c r="Z107" s="50">
        <v>0</v>
      </c>
      <c r="AA107" s="72">
        <v>107</v>
      </c>
      <c r="AB107" s="72"/>
      <c r="AC107" s="73"/>
      <c r="AD107" s="80" t="s">
        <v>939</v>
      </c>
      <c r="AE107" s="80"/>
      <c r="AF107" s="80"/>
      <c r="AG107" s="80"/>
      <c r="AH107" s="80"/>
      <c r="AI107" s="80"/>
      <c r="AJ107" s="87">
        <v>44033.65892361111</v>
      </c>
      <c r="AK107" s="85" t="str">
        <f>HYPERLINK("https://yt3.ggpht.com/ytc/AKedOLSFuQ-53UlBSkCWkEWMfrY2hHX6ZkJ7jcJbeG25hA=s88-c-k-c0x00ffffff-no-rj")</f>
        <v>https://yt3.ggpht.com/ytc/AKedOLSFuQ-53UlBSkCWkEWMfrY2hHX6ZkJ7jcJbeG25hA=s88-c-k-c0x00ffffff-no-rj</v>
      </c>
      <c r="AL107" s="80">
        <v>93</v>
      </c>
      <c r="AM107" s="80">
        <v>0</v>
      </c>
      <c r="AN107" s="80">
        <v>2</v>
      </c>
      <c r="AO107" s="80" t="b">
        <v>0</v>
      </c>
      <c r="AP107" s="80">
        <v>1</v>
      </c>
      <c r="AQ107" s="80"/>
      <c r="AR107" s="80"/>
      <c r="AS107" s="80" t="s">
        <v>1376</v>
      </c>
      <c r="AT107" s="85" t="str">
        <f>HYPERLINK("https://www.youtube.com/channel/UC5lFWTaAy8fFiZpMxEhN98A")</f>
        <v>https://www.youtube.com/channel/UC5lFWTaAy8fFiZpMxEhN98A</v>
      </c>
      <c r="AU107" s="80" t="str">
        <f>REPLACE(INDEX(GroupVertices[Group],MATCH(Vertices[[#This Row],[Vertex]],GroupVertices[Vertex],0)),1,1,"")</f>
        <v>15</v>
      </c>
      <c r="AV107" s="49">
        <v>0</v>
      </c>
      <c r="AW107" s="50">
        <v>0</v>
      </c>
      <c r="AX107" s="49">
        <v>1</v>
      </c>
      <c r="AY107" s="50">
        <v>12.5</v>
      </c>
      <c r="AZ107" s="49">
        <v>0</v>
      </c>
      <c r="BA107" s="50">
        <v>0</v>
      </c>
      <c r="BB107" s="49">
        <v>7</v>
      </c>
      <c r="BC107" s="50">
        <v>87.5</v>
      </c>
      <c r="BD107" s="49">
        <v>8</v>
      </c>
      <c r="BE107" s="49"/>
      <c r="BF107" s="49"/>
      <c r="BG107" s="49"/>
      <c r="BH107" s="49"/>
      <c r="BI107" s="49"/>
      <c r="BJ107" s="49"/>
      <c r="BK107" s="111" t="s">
        <v>2439</v>
      </c>
      <c r="BL107" s="111" t="s">
        <v>2439</v>
      </c>
      <c r="BM107" s="111" t="s">
        <v>2629</v>
      </c>
      <c r="BN107" s="111" t="s">
        <v>2629</v>
      </c>
      <c r="BO107" s="2"/>
      <c r="BP107" s="3"/>
      <c r="BQ107" s="3"/>
      <c r="BR107" s="3"/>
      <c r="BS107" s="3"/>
    </row>
    <row r="108" spans="1:71" ht="15">
      <c r="A108" s="65" t="s">
        <v>552</v>
      </c>
      <c r="B108" s="66"/>
      <c r="C108" s="66"/>
      <c r="D108" s="67">
        <v>151.62835249042146</v>
      </c>
      <c r="E108" s="69"/>
      <c r="F108" s="103" t="str">
        <f>HYPERLINK("https://yt3.ggpht.com/ytc/AKedOLSlNQnndFizBierBRYx6Rhqx41H4Gimqmtv4wAoag=s88-c-k-c0x00ffffff-no-rj")</f>
        <v>https://yt3.ggpht.com/ytc/AKedOLSlNQnndFizBierBRYx6Rhqx41H4Gimqmtv4wAoag=s88-c-k-c0x00ffffff-no-rj</v>
      </c>
      <c r="G108" s="66"/>
      <c r="H108" s="70" t="s">
        <v>1266</v>
      </c>
      <c r="I108" s="71"/>
      <c r="J108" s="71" t="s">
        <v>75</v>
      </c>
      <c r="K108" s="70" t="s">
        <v>1266</v>
      </c>
      <c r="L108" s="74">
        <v>2.4422792570429217</v>
      </c>
      <c r="M108" s="75">
        <v>7260.42041015625</v>
      </c>
      <c r="N108" s="75">
        <v>379.8636779785156</v>
      </c>
      <c r="O108" s="76"/>
      <c r="P108" s="77"/>
      <c r="Q108" s="77"/>
      <c r="R108" s="89"/>
      <c r="S108" s="49">
        <v>3</v>
      </c>
      <c r="T108" s="49">
        <v>1</v>
      </c>
      <c r="U108" s="50">
        <v>2</v>
      </c>
      <c r="V108" s="50">
        <v>0.008969</v>
      </c>
      <c r="W108" s="50">
        <v>0</v>
      </c>
      <c r="X108" s="50">
        <v>0.005276</v>
      </c>
      <c r="Y108" s="50">
        <v>0</v>
      </c>
      <c r="Z108" s="50">
        <v>0</v>
      </c>
      <c r="AA108" s="72">
        <v>108</v>
      </c>
      <c r="AB108" s="72"/>
      <c r="AC108" s="73"/>
      <c r="AD108" s="80" t="s">
        <v>1266</v>
      </c>
      <c r="AE108" s="80" t="s">
        <v>1309</v>
      </c>
      <c r="AF108" s="80"/>
      <c r="AG108" s="80"/>
      <c r="AH108" s="80"/>
      <c r="AI108" s="80"/>
      <c r="AJ108" s="87">
        <v>43597.034733796296</v>
      </c>
      <c r="AK108" s="85" t="str">
        <f>HYPERLINK("https://yt3.ggpht.com/ytc/AKedOLSlNQnndFizBierBRYx6Rhqx41H4Gimqmtv4wAoag=s88-c-k-c0x00ffffff-no-rj")</f>
        <v>https://yt3.ggpht.com/ytc/AKedOLSlNQnndFizBierBRYx6Rhqx41H4Gimqmtv4wAoag=s88-c-k-c0x00ffffff-no-rj</v>
      </c>
      <c r="AL108" s="80">
        <v>14545</v>
      </c>
      <c r="AM108" s="80">
        <v>0</v>
      </c>
      <c r="AN108" s="80">
        <v>177</v>
      </c>
      <c r="AO108" s="80" t="b">
        <v>0</v>
      </c>
      <c r="AP108" s="80">
        <v>279</v>
      </c>
      <c r="AQ108" s="80"/>
      <c r="AR108" s="80"/>
      <c r="AS108" s="80" t="s">
        <v>1376</v>
      </c>
      <c r="AT108" s="85" t="str">
        <f>HYPERLINK("https://www.youtube.com/channel/UCGajcAd0-l59-ly_FeDMYXw")</f>
        <v>https://www.youtube.com/channel/UCGajcAd0-l59-ly_FeDMYXw</v>
      </c>
      <c r="AU108" s="80" t="str">
        <f>REPLACE(INDEX(GroupVertices[Group],MATCH(Vertices[[#This Row],[Vertex]],GroupVertices[Vertex],0)),1,1,"")</f>
        <v>15</v>
      </c>
      <c r="AV108" s="49"/>
      <c r="AW108" s="50"/>
      <c r="AX108" s="49"/>
      <c r="AY108" s="50"/>
      <c r="AZ108" s="49"/>
      <c r="BA108" s="50"/>
      <c r="BB108" s="49"/>
      <c r="BC108" s="50"/>
      <c r="BD108" s="49"/>
      <c r="BE108" s="49"/>
      <c r="BF108" s="49"/>
      <c r="BG108" s="49"/>
      <c r="BH108" s="49"/>
      <c r="BI108" s="49"/>
      <c r="BJ108" s="49"/>
      <c r="BK108" s="111" t="s">
        <v>1239</v>
      </c>
      <c r="BL108" s="111" t="s">
        <v>1239</v>
      </c>
      <c r="BM108" s="111" t="s">
        <v>1239</v>
      </c>
      <c r="BN108" s="111" t="s">
        <v>1239</v>
      </c>
      <c r="BO108" s="2"/>
      <c r="BP108" s="3"/>
      <c r="BQ108" s="3"/>
      <c r="BR108" s="3"/>
      <c r="BS108" s="3"/>
    </row>
    <row r="109" spans="1:71" ht="15">
      <c r="A109" s="65" t="s">
        <v>427</v>
      </c>
      <c r="B109" s="66"/>
      <c r="C109" s="66"/>
      <c r="D109" s="67">
        <v>150</v>
      </c>
      <c r="E109" s="69"/>
      <c r="F109" s="103" t="str">
        <f>HYPERLINK("https://yt3.ggpht.com/ytc/AKedOLTK3b-x8fC8Kxzkku_R_JMpL4zYmYaThdE2Tax-=s88-c-k-c0x00ffffff-no-rj")</f>
        <v>https://yt3.ggpht.com/ytc/AKedOLTK3b-x8fC8Kxzkku_R_JMpL4zYmYaThdE2Tax-=s88-c-k-c0x00ffffff-no-rj</v>
      </c>
      <c r="G109" s="66"/>
      <c r="H109" s="70" t="s">
        <v>940</v>
      </c>
      <c r="I109" s="71"/>
      <c r="J109" s="71" t="s">
        <v>159</v>
      </c>
      <c r="K109" s="70" t="s">
        <v>940</v>
      </c>
      <c r="L109" s="74">
        <v>1</v>
      </c>
      <c r="M109" s="75">
        <v>7260.42041015625</v>
      </c>
      <c r="N109" s="75">
        <v>845.503662109375</v>
      </c>
      <c r="O109" s="76"/>
      <c r="P109" s="77"/>
      <c r="Q109" s="77"/>
      <c r="R109" s="89"/>
      <c r="S109" s="49">
        <v>0</v>
      </c>
      <c r="T109" s="49">
        <v>1</v>
      </c>
      <c r="U109" s="50">
        <v>0</v>
      </c>
      <c r="V109" s="50">
        <v>0.005979</v>
      </c>
      <c r="W109" s="50">
        <v>0</v>
      </c>
      <c r="X109" s="50">
        <v>0.004058</v>
      </c>
      <c r="Y109" s="50">
        <v>0</v>
      </c>
      <c r="Z109" s="50">
        <v>0</v>
      </c>
      <c r="AA109" s="72">
        <v>109</v>
      </c>
      <c r="AB109" s="72"/>
      <c r="AC109" s="73"/>
      <c r="AD109" s="80" t="s">
        <v>940</v>
      </c>
      <c r="AE109" s="80"/>
      <c r="AF109" s="80"/>
      <c r="AG109" s="80"/>
      <c r="AH109" s="80"/>
      <c r="AI109" s="80"/>
      <c r="AJ109" s="87">
        <v>44335.39126157408</v>
      </c>
      <c r="AK109" s="85" t="str">
        <f>HYPERLINK("https://yt3.ggpht.com/ytc/AKedOLTK3b-x8fC8Kxzkku_R_JMpL4zYmYaThdE2Tax-=s88-c-k-c0x00ffffff-no-rj")</f>
        <v>https://yt3.ggpht.com/ytc/AKedOLTK3b-x8fC8Kxzkku_R_JMpL4zYmYaThdE2Tax-=s88-c-k-c0x00ffffff-no-rj</v>
      </c>
      <c r="AL109" s="80">
        <v>0</v>
      </c>
      <c r="AM109" s="80">
        <v>0</v>
      </c>
      <c r="AN109" s="80">
        <v>0</v>
      </c>
      <c r="AO109" s="80" t="b">
        <v>0</v>
      </c>
      <c r="AP109" s="80">
        <v>0</v>
      </c>
      <c r="AQ109" s="80"/>
      <c r="AR109" s="80"/>
      <c r="AS109" s="80" t="s">
        <v>1376</v>
      </c>
      <c r="AT109" s="85" t="str">
        <f>HYPERLINK("https://www.youtube.com/channel/UCJL0AOQJZ0BewrdqUoIoqRw")</f>
        <v>https://www.youtube.com/channel/UCJL0AOQJZ0BewrdqUoIoqRw</v>
      </c>
      <c r="AU109" s="80" t="str">
        <f>REPLACE(INDEX(GroupVertices[Group],MATCH(Vertices[[#This Row],[Vertex]],GroupVertices[Vertex],0)),1,1,"")</f>
        <v>15</v>
      </c>
      <c r="AV109" s="49">
        <v>1</v>
      </c>
      <c r="AW109" s="50">
        <v>25</v>
      </c>
      <c r="AX109" s="49">
        <v>0</v>
      </c>
      <c r="AY109" s="50">
        <v>0</v>
      </c>
      <c r="AZ109" s="49">
        <v>0</v>
      </c>
      <c r="BA109" s="50">
        <v>0</v>
      </c>
      <c r="BB109" s="49">
        <v>3</v>
      </c>
      <c r="BC109" s="50">
        <v>75</v>
      </c>
      <c r="BD109" s="49">
        <v>4</v>
      </c>
      <c r="BE109" s="49"/>
      <c r="BF109" s="49"/>
      <c r="BG109" s="49"/>
      <c r="BH109" s="49"/>
      <c r="BI109" s="49"/>
      <c r="BJ109" s="49"/>
      <c r="BK109" s="111" t="s">
        <v>2440</v>
      </c>
      <c r="BL109" s="111" t="s">
        <v>2440</v>
      </c>
      <c r="BM109" s="111" t="s">
        <v>2630</v>
      </c>
      <c r="BN109" s="111" t="s">
        <v>2630</v>
      </c>
      <c r="BO109" s="2"/>
      <c r="BP109" s="3"/>
      <c r="BQ109" s="3"/>
      <c r="BR109" s="3"/>
      <c r="BS109" s="3"/>
    </row>
    <row r="110" spans="1:71" ht="15">
      <c r="A110" s="65" t="s">
        <v>428</v>
      </c>
      <c r="B110" s="66"/>
      <c r="C110" s="66"/>
      <c r="D110" s="67">
        <v>150</v>
      </c>
      <c r="E110" s="69"/>
      <c r="F110" s="103" t="str">
        <f>HYPERLINK("https://yt3.ggpht.com/ytc/AKedOLT0UkO-KOq5LZxC37ehc3rqWCXp3wCpK1Dr1D5-rg=s88-c-k-c0x00ffffff-no-rj")</f>
        <v>https://yt3.ggpht.com/ytc/AKedOLT0UkO-KOq5LZxC37ehc3rqWCXp3wCpK1Dr1D5-rg=s88-c-k-c0x00ffffff-no-rj</v>
      </c>
      <c r="G110" s="66"/>
      <c r="H110" s="70" t="s">
        <v>941</v>
      </c>
      <c r="I110" s="71"/>
      <c r="J110" s="71" t="s">
        <v>159</v>
      </c>
      <c r="K110" s="70" t="s">
        <v>941</v>
      </c>
      <c r="L110" s="74">
        <v>1</v>
      </c>
      <c r="M110" s="75">
        <v>8016.08935546875</v>
      </c>
      <c r="N110" s="75">
        <v>5537.6240234375</v>
      </c>
      <c r="O110" s="76"/>
      <c r="P110" s="77"/>
      <c r="Q110" s="77"/>
      <c r="R110" s="89"/>
      <c r="S110" s="49">
        <v>0</v>
      </c>
      <c r="T110" s="49">
        <v>1</v>
      </c>
      <c r="U110" s="50">
        <v>0</v>
      </c>
      <c r="V110" s="50">
        <v>0.121339</v>
      </c>
      <c r="W110" s="50">
        <v>0.001293</v>
      </c>
      <c r="X110" s="50">
        <v>0.00393</v>
      </c>
      <c r="Y110" s="50">
        <v>0</v>
      </c>
      <c r="Z110" s="50">
        <v>0</v>
      </c>
      <c r="AA110" s="72">
        <v>110</v>
      </c>
      <c r="AB110" s="72"/>
      <c r="AC110" s="73"/>
      <c r="AD110" s="80" t="s">
        <v>941</v>
      </c>
      <c r="AE110" s="80"/>
      <c r="AF110" s="80"/>
      <c r="AG110" s="80"/>
      <c r="AH110" s="80"/>
      <c r="AI110" s="80"/>
      <c r="AJ110" s="87">
        <v>41434.84957175926</v>
      </c>
      <c r="AK110" s="85" t="str">
        <f>HYPERLINK("https://yt3.ggpht.com/ytc/AKedOLT0UkO-KOq5LZxC37ehc3rqWCXp3wCpK1Dr1D5-rg=s88-c-k-c0x00ffffff-no-rj")</f>
        <v>https://yt3.ggpht.com/ytc/AKedOLT0UkO-KOq5LZxC37ehc3rqWCXp3wCpK1Dr1D5-rg=s88-c-k-c0x00ffffff-no-rj</v>
      </c>
      <c r="AL110" s="80">
        <v>508</v>
      </c>
      <c r="AM110" s="80">
        <v>0</v>
      </c>
      <c r="AN110" s="80">
        <v>0</v>
      </c>
      <c r="AO110" s="80" t="b">
        <v>1</v>
      </c>
      <c r="AP110" s="80">
        <v>8</v>
      </c>
      <c r="AQ110" s="80"/>
      <c r="AR110" s="80"/>
      <c r="AS110" s="80" t="s">
        <v>1376</v>
      </c>
      <c r="AT110" s="85" t="str">
        <f>HYPERLINK("https://www.youtube.com/channel/UCOTJh6zzR3-NAPJBNKaqOgw")</f>
        <v>https://www.youtube.com/channel/UCOTJh6zzR3-NAPJBNKaqOgw</v>
      </c>
      <c r="AU110" s="80" t="str">
        <f>REPLACE(INDEX(GroupVertices[Group],MATCH(Vertices[[#This Row],[Vertex]],GroupVertices[Vertex],0)),1,1,"")</f>
        <v>7</v>
      </c>
      <c r="AV110" s="49">
        <v>2</v>
      </c>
      <c r="AW110" s="50">
        <v>50</v>
      </c>
      <c r="AX110" s="49">
        <v>0</v>
      </c>
      <c r="AY110" s="50">
        <v>0</v>
      </c>
      <c r="AZ110" s="49">
        <v>0</v>
      </c>
      <c r="BA110" s="50">
        <v>0</v>
      </c>
      <c r="BB110" s="49">
        <v>2</v>
      </c>
      <c r="BC110" s="50">
        <v>50</v>
      </c>
      <c r="BD110" s="49">
        <v>4</v>
      </c>
      <c r="BE110" s="49"/>
      <c r="BF110" s="49"/>
      <c r="BG110" s="49"/>
      <c r="BH110" s="49"/>
      <c r="BI110" s="49"/>
      <c r="BJ110" s="49"/>
      <c r="BK110" s="111" t="s">
        <v>2441</v>
      </c>
      <c r="BL110" s="111" t="s">
        <v>2441</v>
      </c>
      <c r="BM110" s="111" t="s">
        <v>2631</v>
      </c>
      <c r="BN110" s="111" t="s">
        <v>2631</v>
      </c>
      <c r="BO110" s="2"/>
      <c r="BP110" s="3"/>
      <c r="BQ110" s="3"/>
      <c r="BR110" s="3"/>
      <c r="BS110" s="3"/>
    </row>
    <row r="111" spans="1:71" ht="15">
      <c r="A111" s="65" t="s">
        <v>429</v>
      </c>
      <c r="B111" s="66"/>
      <c r="C111" s="66"/>
      <c r="D111" s="67">
        <v>150</v>
      </c>
      <c r="E111" s="69"/>
      <c r="F111" s="103" t="str">
        <f>HYPERLINK("https://yt3.ggpht.com/ytc/AKedOLRq9ZA9p_sM9gVkIWf5khWFs05CIg-JF5pfzQ=s88-c-k-c0x00ffffff-no-rj")</f>
        <v>https://yt3.ggpht.com/ytc/AKedOLRq9ZA9p_sM9gVkIWf5khWFs05CIg-JF5pfzQ=s88-c-k-c0x00ffffff-no-rj</v>
      </c>
      <c r="G111" s="66"/>
      <c r="H111" s="70" t="s">
        <v>942</v>
      </c>
      <c r="I111" s="71"/>
      <c r="J111" s="71" t="s">
        <v>159</v>
      </c>
      <c r="K111" s="70" t="s">
        <v>942</v>
      </c>
      <c r="L111" s="74">
        <v>1</v>
      </c>
      <c r="M111" s="75">
        <v>7354.779296875</v>
      </c>
      <c r="N111" s="75">
        <v>6396.4189453125</v>
      </c>
      <c r="O111" s="76"/>
      <c r="P111" s="77"/>
      <c r="Q111" s="77"/>
      <c r="R111" s="89"/>
      <c r="S111" s="49">
        <v>0</v>
      </c>
      <c r="T111" s="49">
        <v>1</v>
      </c>
      <c r="U111" s="50">
        <v>0</v>
      </c>
      <c r="V111" s="50">
        <v>0.100706</v>
      </c>
      <c r="W111" s="50">
        <v>0.000147</v>
      </c>
      <c r="X111" s="50">
        <v>0.004136</v>
      </c>
      <c r="Y111" s="50">
        <v>0</v>
      </c>
      <c r="Z111" s="50">
        <v>0</v>
      </c>
      <c r="AA111" s="72">
        <v>111</v>
      </c>
      <c r="AB111" s="72"/>
      <c r="AC111" s="73"/>
      <c r="AD111" s="80" t="s">
        <v>942</v>
      </c>
      <c r="AE111" s="80"/>
      <c r="AF111" s="80"/>
      <c r="AG111" s="80"/>
      <c r="AH111" s="80"/>
      <c r="AI111" s="80"/>
      <c r="AJ111" s="87">
        <v>42345.134560185186</v>
      </c>
      <c r="AK111" s="85" t="str">
        <f>HYPERLINK("https://yt3.ggpht.com/ytc/AKedOLRq9ZA9p_sM9gVkIWf5khWFs05CIg-JF5pfzQ=s88-c-k-c0x00ffffff-no-rj")</f>
        <v>https://yt3.ggpht.com/ytc/AKedOLRq9ZA9p_sM9gVkIWf5khWFs05CIg-JF5pfzQ=s88-c-k-c0x00ffffff-no-rj</v>
      </c>
      <c r="AL111" s="80">
        <v>0</v>
      </c>
      <c r="AM111" s="80">
        <v>0</v>
      </c>
      <c r="AN111" s="80">
        <v>0</v>
      </c>
      <c r="AO111" s="80" t="b">
        <v>0</v>
      </c>
      <c r="AP111" s="80">
        <v>0</v>
      </c>
      <c r="AQ111" s="80"/>
      <c r="AR111" s="80"/>
      <c r="AS111" s="80" t="s">
        <v>1376</v>
      </c>
      <c r="AT111" s="85" t="str">
        <f>HYPERLINK("https://www.youtube.com/channel/UC0UMID05DoGXImC7u-VQ8cA")</f>
        <v>https://www.youtube.com/channel/UC0UMID05DoGXImC7u-VQ8cA</v>
      </c>
      <c r="AU111" s="80" t="str">
        <f>REPLACE(INDEX(GroupVertices[Group],MATCH(Vertices[[#This Row],[Vertex]],GroupVertices[Vertex],0)),1,1,"")</f>
        <v>7</v>
      </c>
      <c r="AV111" s="49">
        <v>1</v>
      </c>
      <c r="AW111" s="50">
        <v>3.5714285714285716</v>
      </c>
      <c r="AX111" s="49">
        <v>0</v>
      </c>
      <c r="AY111" s="50">
        <v>0</v>
      </c>
      <c r="AZ111" s="49">
        <v>0</v>
      </c>
      <c r="BA111" s="50">
        <v>0</v>
      </c>
      <c r="BB111" s="49">
        <v>27</v>
      </c>
      <c r="BC111" s="50">
        <v>96.42857142857143</v>
      </c>
      <c r="BD111" s="49">
        <v>28</v>
      </c>
      <c r="BE111" s="49"/>
      <c r="BF111" s="49"/>
      <c r="BG111" s="49"/>
      <c r="BH111" s="49"/>
      <c r="BI111" s="49"/>
      <c r="BJ111" s="49"/>
      <c r="BK111" s="111" t="s">
        <v>2442</v>
      </c>
      <c r="BL111" s="111" t="s">
        <v>2442</v>
      </c>
      <c r="BM111" s="111" t="s">
        <v>2632</v>
      </c>
      <c r="BN111" s="111" t="s">
        <v>2632</v>
      </c>
      <c r="BO111" s="2"/>
      <c r="BP111" s="3"/>
      <c r="BQ111" s="3"/>
      <c r="BR111" s="3"/>
      <c r="BS111" s="3"/>
    </row>
    <row r="112" spans="1:71" ht="15">
      <c r="A112" s="65" t="s">
        <v>431</v>
      </c>
      <c r="B112" s="66"/>
      <c r="C112" s="66"/>
      <c r="D112" s="67">
        <v>358.42911877394636</v>
      </c>
      <c r="E112" s="69"/>
      <c r="F112" s="103" t="str">
        <f>HYPERLINK("https://yt3.ggpht.com/ytc/AKedOLS77hqcdyqMRedmdUdEGobhuTAFXSjWduv0jQ=s88-c-k-c0x00ffffff-no-rj")</f>
        <v>https://yt3.ggpht.com/ytc/AKedOLS77hqcdyqMRedmdUdEGobhuTAFXSjWduv0jQ=s88-c-k-c0x00ffffff-no-rj</v>
      </c>
      <c r="G112" s="66"/>
      <c r="H112" s="70" t="s">
        <v>944</v>
      </c>
      <c r="I112" s="71"/>
      <c r="J112" s="71" t="s">
        <v>75</v>
      </c>
      <c r="K112" s="70" t="s">
        <v>944</v>
      </c>
      <c r="L112" s="74">
        <v>185.61174490149398</v>
      </c>
      <c r="M112" s="75">
        <v>7204.76416015625</v>
      </c>
      <c r="N112" s="75">
        <v>5879.59130859375</v>
      </c>
      <c r="O112" s="76"/>
      <c r="P112" s="77"/>
      <c r="Q112" s="77"/>
      <c r="R112" s="89"/>
      <c r="S112" s="49">
        <v>2</v>
      </c>
      <c r="T112" s="49">
        <v>1</v>
      </c>
      <c r="U112" s="50">
        <v>256</v>
      </c>
      <c r="V112" s="50">
        <v>0.121735</v>
      </c>
      <c r="W112" s="50">
        <v>0.00131</v>
      </c>
      <c r="X112" s="50">
        <v>0.00455</v>
      </c>
      <c r="Y112" s="50">
        <v>0</v>
      </c>
      <c r="Z112" s="50">
        <v>0.5</v>
      </c>
      <c r="AA112" s="72">
        <v>112</v>
      </c>
      <c r="AB112" s="72"/>
      <c r="AC112" s="73"/>
      <c r="AD112" s="80" t="s">
        <v>944</v>
      </c>
      <c r="AE112" s="80"/>
      <c r="AF112" s="80"/>
      <c r="AG112" s="80"/>
      <c r="AH112" s="80"/>
      <c r="AI112" s="80"/>
      <c r="AJ112" s="87">
        <v>40222.39488425926</v>
      </c>
      <c r="AK112" s="85" t="str">
        <f>HYPERLINK("https://yt3.ggpht.com/ytc/AKedOLS77hqcdyqMRedmdUdEGobhuTAFXSjWduv0jQ=s88-c-k-c0x00ffffff-no-rj")</f>
        <v>https://yt3.ggpht.com/ytc/AKedOLS77hqcdyqMRedmdUdEGobhuTAFXSjWduv0jQ=s88-c-k-c0x00ffffff-no-rj</v>
      </c>
      <c r="AL112" s="80">
        <v>0</v>
      </c>
      <c r="AM112" s="80">
        <v>0</v>
      </c>
      <c r="AN112" s="80">
        <v>1</v>
      </c>
      <c r="AO112" s="80" t="b">
        <v>0</v>
      </c>
      <c r="AP112" s="80">
        <v>0</v>
      </c>
      <c r="AQ112" s="80"/>
      <c r="AR112" s="80"/>
      <c r="AS112" s="80" t="s">
        <v>1376</v>
      </c>
      <c r="AT112" s="85" t="str">
        <f>HYPERLINK("https://www.youtube.com/channel/UCwya1YV0VVcNVA1ALPpaZ5g")</f>
        <v>https://www.youtube.com/channel/UCwya1YV0VVcNVA1ALPpaZ5g</v>
      </c>
      <c r="AU112" s="80" t="str">
        <f>REPLACE(INDEX(GroupVertices[Group],MATCH(Vertices[[#This Row],[Vertex]],GroupVertices[Vertex],0)),1,1,"")</f>
        <v>7</v>
      </c>
      <c r="AV112" s="49">
        <v>0</v>
      </c>
      <c r="AW112" s="50">
        <v>0</v>
      </c>
      <c r="AX112" s="49">
        <v>0</v>
      </c>
      <c r="AY112" s="50">
        <v>0</v>
      </c>
      <c r="AZ112" s="49">
        <v>0</v>
      </c>
      <c r="BA112" s="50">
        <v>0</v>
      </c>
      <c r="BB112" s="49">
        <v>10</v>
      </c>
      <c r="BC112" s="50">
        <v>100</v>
      </c>
      <c r="BD112" s="49">
        <v>10</v>
      </c>
      <c r="BE112" s="49"/>
      <c r="BF112" s="49"/>
      <c r="BG112" s="49"/>
      <c r="BH112" s="49"/>
      <c r="BI112" s="49"/>
      <c r="BJ112" s="49"/>
      <c r="BK112" s="111" t="s">
        <v>2443</v>
      </c>
      <c r="BL112" s="111" t="s">
        <v>2443</v>
      </c>
      <c r="BM112" s="111" t="s">
        <v>2633</v>
      </c>
      <c r="BN112" s="111" t="s">
        <v>2633</v>
      </c>
      <c r="BO112" s="2"/>
      <c r="BP112" s="3"/>
      <c r="BQ112" s="3"/>
      <c r="BR112" s="3"/>
      <c r="BS112" s="3"/>
    </row>
    <row r="113" spans="1:71" ht="15">
      <c r="A113" s="65" t="s">
        <v>432</v>
      </c>
      <c r="B113" s="66"/>
      <c r="C113" s="66"/>
      <c r="D113" s="67">
        <v>150</v>
      </c>
      <c r="E113" s="69"/>
      <c r="F113" s="103" t="str">
        <f>HYPERLINK("https://yt3.ggpht.com/ytc/AKedOLRTF2M2a9jEtTjjBK1KCtbTiyCbr6CavVbqdg=s88-c-k-c0x00ffffff-no-rj")</f>
        <v>https://yt3.ggpht.com/ytc/AKedOLRTF2M2a9jEtTjjBK1KCtbTiyCbr6CavVbqdg=s88-c-k-c0x00ffffff-no-rj</v>
      </c>
      <c r="G113" s="66"/>
      <c r="H113" s="70" t="s">
        <v>945</v>
      </c>
      <c r="I113" s="71"/>
      <c r="J113" s="71" t="s">
        <v>159</v>
      </c>
      <c r="K113" s="70" t="s">
        <v>945</v>
      </c>
      <c r="L113" s="74">
        <v>1</v>
      </c>
      <c r="M113" s="75">
        <v>2716.88134765625</v>
      </c>
      <c r="N113" s="75">
        <v>7159.53076171875</v>
      </c>
      <c r="O113" s="76"/>
      <c r="P113" s="77"/>
      <c r="Q113" s="77"/>
      <c r="R113" s="89"/>
      <c r="S113" s="49">
        <v>2</v>
      </c>
      <c r="T113" s="49">
        <v>2</v>
      </c>
      <c r="U113" s="50">
        <v>0</v>
      </c>
      <c r="V113" s="50">
        <v>0.189881</v>
      </c>
      <c r="W113" s="50">
        <v>0.090956</v>
      </c>
      <c r="X113" s="50">
        <v>0.004188</v>
      </c>
      <c r="Y113" s="50">
        <v>0</v>
      </c>
      <c r="Z113" s="50">
        <v>1</v>
      </c>
      <c r="AA113" s="72">
        <v>113</v>
      </c>
      <c r="AB113" s="72"/>
      <c r="AC113" s="73"/>
      <c r="AD113" s="80" t="s">
        <v>945</v>
      </c>
      <c r="AE113" s="80"/>
      <c r="AF113" s="80"/>
      <c r="AG113" s="80"/>
      <c r="AH113" s="80"/>
      <c r="AI113" s="80"/>
      <c r="AJ113" s="87">
        <v>42528.420694444445</v>
      </c>
      <c r="AK113" s="85" t="str">
        <f>HYPERLINK("https://yt3.ggpht.com/ytc/AKedOLRTF2M2a9jEtTjjBK1KCtbTiyCbr6CavVbqdg=s88-c-k-c0x00ffffff-no-rj")</f>
        <v>https://yt3.ggpht.com/ytc/AKedOLRTF2M2a9jEtTjjBK1KCtbTiyCbr6CavVbqdg=s88-c-k-c0x00ffffff-no-rj</v>
      </c>
      <c r="AL113" s="80">
        <v>21</v>
      </c>
      <c r="AM113" s="80">
        <v>0</v>
      </c>
      <c r="AN113" s="80">
        <v>0</v>
      </c>
      <c r="AO113" s="80" t="b">
        <v>0</v>
      </c>
      <c r="AP113" s="80">
        <v>1</v>
      </c>
      <c r="AQ113" s="80"/>
      <c r="AR113" s="80"/>
      <c r="AS113" s="80" t="s">
        <v>1376</v>
      </c>
      <c r="AT113" s="85" t="str">
        <f>HYPERLINK("https://www.youtube.com/channel/UCuPfgSrWOc2EmNcS-dnRC8A")</f>
        <v>https://www.youtube.com/channel/UCuPfgSrWOc2EmNcS-dnRC8A</v>
      </c>
      <c r="AU113" s="80" t="str">
        <f>REPLACE(INDEX(GroupVertices[Group],MATCH(Vertices[[#This Row],[Vertex]],GroupVertices[Vertex],0)),1,1,"")</f>
        <v>1</v>
      </c>
      <c r="AV113" s="49">
        <v>4</v>
      </c>
      <c r="AW113" s="50">
        <v>6.153846153846154</v>
      </c>
      <c r="AX113" s="49">
        <v>0</v>
      </c>
      <c r="AY113" s="50">
        <v>0</v>
      </c>
      <c r="AZ113" s="49">
        <v>0</v>
      </c>
      <c r="BA113" s="50">
        <v>0</v>
      </c>
      <c r="BB113" s="49">
        <v>61</v>
      </c>
      <c r="BC113" s="50">
        <v>93.84615384615384</v>
      </c>
      <c r="BD113" s="49">
        <v>65</v>
      </c>
      <c r="BE113" s="49"/>
      <c r="BF113" s="49"/>
      <c r="BG113" s="49"/>
      <c r="BH113" s="49"/>
      <c r="BI113" s="49"/>
      <c r="BJ113" s="49"/>
      <c r="BK113" s="111" t="s">
        <v>2444</v>
      </c>
      <c r="BL113" s="111" t="s">
        <v>2444</v>
      </c>
      <c r="BM113" s="111" t="s">
        <v>2634</v>
      </c>
      <c r="BN113" s="111" t="s">
        <v>2634</v>
      </c>
      <c r="BO113" s="2"/>
      <c r="BP113" s="3"/>
      <c r="BQ113" s="3"/>
      <c r="BR113" s="3"/>
      <c r="BS113" s="3"/>
    </row>
    <row r="114" spans="1:71" ht="15">
      <c r="A114" s="65" t="s">
        <v>433</v>
      </c>
      <c r="B114" s="66"/>
      <c r="C114" s="66"/>
      <c r="D114" s="67">
        <v>150</v>
      </c>
      <c r="E114" s="69"/>
      <c r="F114" s="103" t="str">
        <f>HYPERLINK("https://yt3.ggpht.com/ytc/AKedOLQ__XjI3tgP4E-_g19wyRqxIIXDa7JYO_lR9yJsIQ=s88-c-k-c0x00ffffff-no-rj")</f>
        <v>https://yt3.ggpht.com/ytc/AKedOLQ__XjI3tgP4E-_g19wyRqxIIXDa7JYO_lR9yJsIQ=s88-c-k-c0x00ffffff-no-rj</v>
      </c>
      <c r="G114" s="66"/>
      <c r="H114" s="70" t="s">
        <v>946</v>
      </c>
      <c r="I114" s="71"/>
      <c r="J114" s="71" t="s">
        <v>159</v>
      </c>
      <c r="K114" s="70" t="s">
        <v>946</v>
      </c>
      <c r="L114" s="74">
        <v>1</v>
      </c>
      <c r="M114" s="75">
        <v>2138.9287109375</v>
      </c>
      <c r="N114" s="75">
        <v>4171.115234375</v>
      </c>
      <c r="O114" s="76"/>
      <c r="P114" s="77"/>
      <c r="Q114" s="77"/>
      <c r="R114" s="89"/>
      <c r="S114" s="49">
        <v>0</v>
      </c>
      <c r="T114" s="49">
        <v>1</v>
      </c>
      <c r="U114" s="50">
        <v>0</v>
      </c>
      <c r="V114" s="50">
        <v>0.189881</v>
      </c>
      <c r="W114" s="50">
        <v>0.080745</v>
      </c>
      <c r="X114" s="50">
        <v>0.003874</v>
      </c>
      <c r="Y114" s="50">
        <v>0</v>
      </c>
      <c r="Z114" s="50">
        <v>0</v>
      </c>
      <c r="AA114" s="72">
        <v>114</v>
      </c>
      <c r="AB114" s="72"/>
      <c r="AC114" s="73"/>
      <c r="AD114" s="80" t="s">
        <v>946</v>
      </c>
      <c r="AE114" s="80"/>
      <c r="AF114" s="80"/>
      <c r="AG114" s="80"/>
      <c r="AH114" s="80"/>
      <c r="AI114" s="80"/>
      <c r="AJ114" s="87">
        <v>40815.11960648148</v>
      </c>
      <c r="AK114" s="85" t="str">
        <f>HYPERLINK("https://yt3.ggpht.com/ytc/AKedOLQ__XjI3tgP4E-_g19wyRqxIIXDa7JYO_lR9yJsIQ=s88-c-k-c0x00ffffff-no-rj")</f>
        <v>https://yt3.ggpht.com/ytc/AKedOLQ__XjI3tgP4E-_g19wyRqxIIXDa7JYO_lR9yJsIQ=s88-c-k-c0x00ffffff-no-rj</v>
      </c>
      <c r="AL114" s="80">
        <v>0</v>
      </c>
      <c r="AM114" s="80">
        <v>0</v>
      </c>
      <c r="AN114" s="80">
        <v>2</v>
      </c>
      <c r="AO114" s="80" t="b">
        <v>0</v>
      </c>
      <c r="AP114" s="80">
        <v>0</v>
      </c>
      <c r="AQ114" s="80"/>
      <c r="AR114" s="80"/>
      <c r="AS114" s="80" t="s">
        <v>1376</v>
      </c>
      <c r="AT114" s="85" t="str">
        <f>HYPERLINK("https://www.youtube.com/channel/UCdtcABJ52mOHCXSIzO6SpGA")</f>
        <v>https://www.youtube.com/channel/UCdtcABJ52mOHCXSIzO6SpGA</v>
      </c>
      <c r="AU114" s="80" t="str">
        <f>REPLACE(INDEX(GroupVertices[Group],MATCH(Vertices[[#This Row],[Vertex]],GroupVertices[Vertex],0)),1,1,"")</f>
        <v>1</v>
      </c>
      <c r="AV114" s="49">
        <v>1</v>
      </c>
      <c r="AW114" s="50">
        <v>50</v>
      </c>
      <c r="AX114" s="49">
        <v>0</v>
      </c>
      <c r="AY114" s="50">
        <v>0</v>
      </c>
      <c r="AZ114" s="49">
        <v>0</v>
      </c>
      <c r="BA114" s="50">
        <v>0</v>
      </c>
      <c r="BB114" s="49">
        <v>1</v>
      </c>
      <c r="BC114" s="50">
        <v>50</v>
      </c>
      <c r="BD114" s="49">
        <v>2</v>
      </c>
      <c r="BE114" s="49"/>
      <c r="BF114" s="49"/>
      <c r="BG114" s="49"/>
      <c r="BH114" s="49"/>
      <c r="BI114" s="49"/>
      <c r="BJ114" s="49"/>
      <c r="BK114" s="111" t="s">
        <v>1439</v>
      </c>
      <c r="BL114" s="111" t="s">
        <v>1439</v>
      </c>
      <c r="BM114" s="111" t="s">
        <v>1239</v>
      </c>
      <c r="BN114" s="111" t="s">
        <v>1239</v>
      </c>
      <c r="BO114" s="2"/>
      <c r="BP114" s="3"/>
      <c r="BQ114" s="3"/>
      <c r="BR114" s="3"/>
      <c r="BS114" s="3"/>
    </row>
    <row r="115" spans="1:71" ht="15">
      <c r="A115" s="65" t="s">
        <v>434</v>
      </c>
      <c r="B115" s="66"/>
      <c r="C115" s="66"/>
      <c r="D115" s="67">
        <v>150</v>
      </c>
      <c r="E115" s="69"/>
      <c r="F115" s="103" t="str">
        <f>HYPERLINK("https://yt3.ggpht.com/ytc/AKedOLRhVWRahWxcJpDGSU5P_jNkllr1wDNf-ofkNfbMpA=s88-c-k-c0x00ffffff-no-rj")</f>
        <v>https://yt3.ggpht.com/ytc/AKedOLRhVWRahWxcJpDGSU5P_jNkllr1wDNf-ofkNfbMpA=s88-c-k-c0x00ffffff-no-rj</v>
      </c>
      <c r="G115" s="66"/>
      <c r="H115" s="70" t="s">
        <v>947</v>
      </c>
      <c r="I115" s="71"/>
      <c r="J115" s="71" t="s">
        <v>159</v>
      </c>
      <c r="K115" s="70" t="s">
        <v>947</v>
      </c>
      <c r="L115" s="74">
        <v>1</v>
      </c>
      <c r="M115" s="75">
        <v>2058.408935546875</v>
      </c>
      <c r="N115" s="75">
        <v>9433.193359375</v>
      </c>
      <c r="O115" s="76"/>
      <c r="P115" s="77"/>
      <c r="Q115" s="77"/>
      <c r="R115" s="89"/>
      <c r="S115" s="49">
        <v>0</v>
      </c>
      <c r="T115" s="49">
        <v>1</v>
      </c>
      <c r="U115" s="50">
        <v>0</v>
      </c>
      <c r="V115" s="50">
        <v>0.189881</v>
      </c>
      <c r="W115" s="50">
        <v>0.080745</v>
      </c>
      <c r="X115" s="50">
        <v>0.003874</v>
      </c>
      <c r="Y115" s="50">
        <v>0</v>
      </c>
      <c r="Z115" s="50">
        <v>0</v>
      </c>
      <c r="AA115" s="72">
        <v>115</v>
      </c>
      <c r="AB115" s="72"/>
      <c r="AC115" s="73"/>
      <c r="AD115" s="80" t="s">
        <v>947</v>
      </c>
      <c r="AE115" s="80" t="s">
        <v>1310</v>
      </c>
      <c r="AF115" s="80"/>
      <c r="AG115" s="80"/>
      <c r="AH115" s="80"/>
      <c r="AI115" s="80" t="s">
        <v>1358</v>
      </c>
      <c r="AJ115" s="87">
        <v>40184.75665509259</v>
      </c>
      <c r="AK115" s="85" t="str">
        <f>HYPERLINK("https://yt3.ggpht.com/ytc/AKedOLRhVWRahWxcJpDGSU5P_jNkllr1wDNf-ofkNfbMpA=s88-c-k-c0x00ffffff-no-rj")</f>
        <v>https://yt3.ggpht.com/ytc/AKedOLRhVWRahWxcJpDGSU5P_jNkllr1wDNf-ofkNfbMpA=s88-c-k-c0x00ffffff-no-rj</v>
      </c>
      <c r="AL115" s="80">
        <v>18488</v>
      </c>
      <c r="AM115" s="80">
        <v>0</v>
      </c>
      <c r="AN115" s="80">
        <v>11</v>
      </c>
      <c r="AO115" s="80" t="b">
        <v>0</v>
      </c>
      <c r="AP115" s="80">
        <v>12</v>
      </c>
      <c r="AQ115" s="80"/>
      <c r="AR115" s="80"/>
      <c r="AS115" s="80" t="s">
        <v>1376</v>
      </c>
      <c r="AT115" s="85" t="str">
        <f>HYPERLINK("https://www.youtube.com/channel/UC9cKkmwkK5RE3Yon6NglcwA")</f>
        <v>https://www.youtube.com/channel/UC9cKkmwkK5RE3Yon6NglcwA</v>
      </c>
      <c r="AU115" s="80" t="str">
        <f>REPLACE(INDEX(GroupVertices[Group],MATCH(Vertices[[#This Row],[Vertex]],GroupVertices[Vertex],0)),1,1,"")</f>
        <v>1</v>
      </c>
      <c r="AV115" s="49">
        <v>2</v>
      </c>
      <c r="AW115" s="50">
        <v>66.66666666666667</v>
      </c>
      <c r="AX115" s="49">
        <v>0</v>
      </c>
      <c r="AY115" s="50">
        <v>0</v>
      </c>
      <c r="AZ115" s="49">
        <v>0</v>
      </c>
      <c r="BA115" s="50">
        <v>0</v>
      </c>
      <c r="BB115" s="49">
        <v>1</v>
      </c>
      <c r="BC115" s="50">
        <v>33.333333333333336</v>
      </c>
      <c r="BD115" s="49">
        <v>3</v>
      </c>
      <c r="BE115" s="49"/>
      <c r="BF115" s="49"/>
      <c r="BG115" s="49"/>
      <c r="BH115" s="49"/>
      <c r="BI115" s="49"/>
      <c r="BJ115" s="49"/>
      <c r="BK115" s="111" t="s">
        <v>2445</v>
      </c>
      <c r="BL115" s="111" t="s">
        <v>2445</v>
      </c>
      <c r="BM115" s="111" t="s">
        <v>2635</v>
      </c>
      <c r="BN115" s="111" t="s">
        <v>2635</v>
      </c>
      <c r="BO115" s="2"/>
      <c r="BP115" s="3"/>
      <c r="BQ115" s="3"/>
      <c r="BR115" s="3"/>
      <c r="BS115" s="3"/>
    </row>
    <row r="116" spans="1:71" ht="15">
      <c r="A116" s="65" t="s">
        <v>435</v>
      </c>
      <c r="B116" s="66"/>
      <c r="C116" s="66"/>
      <c r="D116" s="67">
        <v>150</v>
      </c>
      <c r="E116" s="69"/>
      <c r="F116" s="103" t="str">
        <f>HYPERLINK("https://yt3.ggpht.com/ytc/AKedOLSxjCaR0UhrZLD7cy1BgQOp3EtPNvqGnUASNg03=s88-c-k-c0x00ffffff-no-rj")</f>
        <v>https://yt3.ggpht.com/ytc/AKedOLSxjCaR0UhrZLD7cy1BgQOp3EtPNvqGnUASNg03=s88-c-k-c0x00ffffff-no-rj</v>
      </c>
      <c r="G116" s="66"/>
      <c r="H116" s="70" t="s">
        <v>948</v>
      </c>
      <c r="I116" s="71"/>
      <c r="J116" s="71" t="s">
        <v>159</v>
      </c>
      <c r="K116" s="70" t="s">
        <v>948</v>
      </c>
      <c r="L116" s="74">
        <v>1</v>
      </c>
      <c r="M116" s="75">
        <v>7894.333984375</v>
      </c>
      <c r="N116" s="75">
        <v>9000.123046875</v>
      </c>
      <c r="O116" s="76"/>
      <c r="P116" s="77"/>
      <c r="Q116" s="77"/>
      <c r="R116" s="89"/>
      <c r="S116" s="49">
        <v>0</v>
      </c>
      <c r="T116" s="49">
        <v>1</v>
      </c>
      <c r="U116" s="50">
        <v>0</v>
      </c>
      <c r="V116" s="50">
        <v>0.146896</v>
      </c>
      <c r="W116" s="50">
        <v>0.004722</v>
      </c>
      <c r="X116" s="50">
        <v>0.003897</v>
      </c>
      <c r="Y116" s="50">
        <v>0</v>
      </c>
      <c r="Z116" s="50">
        <v>0</v>
      </c>
      <c r="AA116" s="72">
        <v>116</v>
      </c>
      <c r="AB116" s="72"/>
      <c r="AC116" s="73"/>
      <c r="AD116" s="80" t="s">
        <v>948</v>
      </c>
      <c r="AE116" s="80"/>
      <c r="AF116" s="80"/>
      <c r="AG116" s="80"/>
      <c r="AH116" s="80"/>
      <c r="AI116" s="80"/>
      <c r="AJ116" s="87">
        <v>43314.79400462963</v>
      </c>
      <c r="AK116" s="85" t="str">
        <f>HYPERLINK("https://yt3.ggpht.com/ytc/AKedOLSxjCaR0UhrZLD7cy1BgQOp3EtPNvqGnUASNg03=s88-c-k-c0x00ffffff-no-rj")</f>
        <v>https://yt3.ggpht.com/ytc/AKedOLSxjCaR0UhrZLD7cy1BgQOp3EtPNvqGnUASNg03=s88-c-k-c0x00ffffff-no-rj</v>
      </c>
      <c r="AL116" s="80">
        <v>0</v>
      </c>
      <c r="AM116" s="80">
        <v>0</v>
      </c>
      <c r="AN116" s="80">
        <v>0</v>
      </c>
      <c r="AO116" s="80" t="b">
        <v>0</v>
      </c>
      <c r="AP116" s="80">
        <v>0</v>
      </c>
      <c r="AQ116" s="80"/>
      <c r="AR116" s="80"/>
      <c r="AS116" s="80" t="s">
        <v>1376</v>
      </c>
      <c r="AT116" s="85" t="str">
        <f>HYPERLINK("https://www.youtube.com/channel/UC6OBGTpqEY5Pn4-4xWg8QhQ")</f>
        <v>https://www.youtube.com/channel/UC6OBGTpqEY5Pn4-4xWg8QhQ</v>
      </c>
      <c r="AU116" s="80" t="str">
        <f>REPLACE(INDEX(GroupVertices[Group],MATCH(Vertices[[#This Row],[Vertex]],GroupVertices[Vertex],0)),1,1,"")</f>
        <v>3</v>
      </c>
      <c r="AV116" s="49">
        <v>3</v>
      </c>
      <c r="AW116" s="50">
        <v>10</v>
      </c>
      <c r="AX116" s="49">
        <v>0</v>
      </c>
      <c r="AY116" s="50">
        <v>0</v>
      </c>
      <c r="AZ116" s="49">
        <v>0</v>
      </c>
      <c r="BA116" s="50">
        <v>0</v>
      </c>
      <c r="BB116" s="49">
        <v>27</v>
      </c>
      <c r="BC116" s="50">
        <v>90</v>
      </c>
      <c r="BD116" s="49">
        <v>30</v>
      </c>
      <c r="BE116" s="49"/>
      <c r="BF116" s="49"/>
      <c r="BG116" s="49"/>
      <c r="BH116" s="49"/>
      <c r="BI116" s="49"/>
      <c r="BJ116" s="49"/>
      <c r="BK116" s="111" t="s">
        <v>2446</v>
      </c>
      <c r="BL116" s="111" t="s">
        <v>2446</v>
      </c>
      <c r="BM116" s="111" t="s">
        <v>2636</v>
      </c>
      <c r="BN116" s="111" t="s">
        <v>2636</v>
      </c>
      <c r="BO116" s="2"/>
      <c r="BP116" s="3"/>
      <c r="BQ116" s="3"/>
      <c r="BR116" s="3"/>
      <c r="BS116" s="3"/>
    </row>
    <row r="117" spans="1:71" ht="15">
      <c r="A117" s="65" t="s">
        <v>436</v>
      </c>
      <c r="B117" s="66"/>
      <c r="C117" s="66"/>
      <c r="D117" s="67">
        <v>150</v>
      </c>
      <c r="E117" s="69"/>
      <c r="F117" s="103" t="str">
        <f>HYPERLINK("https://yt3.ggpht.com/ytc/AKedOLTz1csf6YKkXsoZsgP-4WYBFs1Lm30gMWZywBZiyUA=s88-c-k-c0x00ffffff-no-rj")</f>
        <v>https://yt3.ggpht.com/ytc/AKedOLTz1csf6YKkXsoZsgP-4WYBFs1Lm30gMWZywBZiyUA=s88-c-k-c0x00ffffff-no-rj</v>
      </c>
      <c r="G117" s="66"/>
      <c r="H117" s="70" t="s">
        <v>949</v>
      </c>
      <c r="I117" s="71"/>
      <c r="J117" s="71" t="s">
        <v>159</v>
      </c>
      <c r="K117" s="70" t="s">
        <v>949</v>
      </c>
      <c r="L117" s="74">
        <v>1</v>
      </c>
      <c r="M117" s="75">
        <v>7233.83935546875</v>
      </c>
      <c r="N117" s="75">
        <v>8937.595703125</v>
      </c>
      <c r="O117" s="76"/>
      <c r="P117" s="77"/>
      <c r="Q117" s="77"/>
      <c r="R117" s="89"/>
      <c r="S117" s="49">
        <v>0</v>
      </c>
      <c r="T117" s="49">
        <v>1</v>
      </c>
      <c r="U117" s="50">
        <v>0</v>
      </c>
      <c r="V117" s="50">
        <v>0.146896</v>
      </c>
      <c r="W117" s="50">
        <v>0.004722</v>
      </c>
      <c r="X117" s="50">
        <v>0.003897</v>
      </c>
      <c r="Y117" s="50">
        <v>0</v>
      </c>
      <c r="Z117" s="50">
        <v>0</v>
      </c>
      <c r="AA117" s="72">
        <v>117</v>
      </c>
      <c r="AB117" s="72"/>
      <c r="AC117" s="73"/>
      <c r="AD117" s="80" t="s">
        <v>949</v>
      </c>
      <c r="AE117" s="80"/>
      <c r="AF117" s="80"/>
      <c r="AG117" s="80"/>
      <c r="AH117" s="80"/>
      <c r="AI117" s="80"/>
      <c r="AJ117" s="87">
        <v>43380.61917824074</v>
      </c>
      <c r="AK117" s="85" t="str">
        <f>HYPERLINK("https://yt3.ggpht.com/ytc/AKedOLTz1csf6YKkXsoZsgP-4WYBFs1Lm30gMWZywBZiyUA=s88-c-k-c0x00ffffff-no-rj")</f>
        <v>https://yt3.ggpht.com/ytc/AKedOLTz1csf6YKkXsoZsgP-4WYBFs1Lm30gMWZywBZiyUA=s88-c-k-c0x00ffffff-no-rj</v>
      </c>
      <c r="AL117" s="80">
        <v>0</v>
      </c>
      <c r="AM117" s="80">
        <v>0</v>
      </c>
      <c r="AN117" s="80">
        <v>0</v>
      </c>
      <c r="AO117" s="80" t="b">
        <v>0</v>
      </c>
      <c r="AP117" s="80">
        <v>0</v>
      </c>
      <c r="AQ117" s="80"/>
      <c r="AR117" s="80"/>
      <c r="AS117" s="80" t="s">
        <v>1376</v>
      </c>
      <c r="AT117" s="85" t="str">
        <f>HYPERLINK("https://www.youtube.com/channel/UCCwmutQCZD-xOlzyKKl5fag")</f>
        <v>https://www.youtube.com/channel/UCCwmutQCZD-xOlzyKKl5fag</v>
      </c>
      <c r="AU117" s="80" t="str">
        <f>REPLACE(INDEX(GroupVertices[Group],MATCH(Vertices[[#This Row],[Vertex]],GroupVertices[Vertex],0)),1,1,"")</f>
        <v>3</v>
      </c>
      <c r="AV117" s="49">
        <v>2</v>
      </c>
      <c r="AW117" s="50">
        <v>6.896551724137931</v>
      </c>
      <c r="AX117" s="49">
        <v>1</v>
      </c>
      <c r="AY117" s="50">
        <v>3.4482758620689653</v>
      </c>
      <c r="AZ117" s="49">
        <v>0</v>
      </c>
      <c r="BA117" s="50">
        <v>0</v>
      </c>
      <c r="BB117" s="49">
        <v>26</v>
      </c>
      <c r="BC117" s="50">
        <v>89.65517241379311</v>
      </c>
      <c r="BD117" s="49">
        <v>29</v>
      </c>
      <c r="BE117" s="49"/>
      <c r="BF117" s="49"/>
      <c r="BG117" s="49"/>
      <c r="BH117" s="49"/>
      <c r="BI117" s="49"/>
      <c r="BJ117" s="49"/>
      <c r="BK117" s="111" t="s">
        <v>2447</v>
      </c>
      <c r="BL117" s="111" t="s">
        <v>2447</v>
      </c>
      <c r="BM117" s="111" t="s">
        <v>2637</v>
      </c>
      <c r="BN117" s="111" t="s">
        <v>2637</v>
      </c>
      <c r="BO117" s="2"/>
      <c r="BP117" s="3"/>
      <c r="BQ117" s="3"/>
      <c r="BR117" s="3"/>
      <c r="BS117" s="3"/>
    </row>
    <row r="118" spans="1:71" ht="15">
      <c r="A118" s="65" t="s">
        <v>437</v>
      </c>
      <c r="B118" s="66"/>
      <c r="C118" s="66"/>
      <c r="D118" s="67">
        <v>150</v>
      </c>
      <c r="E118" s="69"/>
      <c r="F118" s="103" t="str">
        <f>HYPERLINK("https://yt3.ggpht.com/ytc/AKedOLSDHOYFjeScg6Mm7C_SISXAiv_dO1qCv0fAsCwF6g=s88-c-k-c0x00ffffff-no-rj")</f>
        <v>https://yt3.ggpht.com/ytc/AKedOLSDHOYFjeScg6Mm7C_SISXAiv_dO1qCv0fAsCwF6g=s88-c-k-c0x00ffffff-no-rj</v>
      </c>
      <c r="G118" s="66"/>
      <c r="H118" s="70" t="s">
        <v>950</v>
      </c>
      <c r="I118" s="71"/>
      <c r="J118" s="71" t="s">
        <v>159</v>
      </c>
      <c r="K118" s="70" t="s">
        <v>950</v>
      </c>
      <c r="L118" s="74">
        <v>1</v>
      </c>
      <c r="M118" s="75">
        <v>3821.27392578125</v>
      </c>
      <c r="N118" s="75">
        <v>7782.03515625</v>
      </c>
      <c r="O118" s="76"/>
      <c r="P118" s="77"/>
      <c r="Q118" s="77"/>
      <c r="R118" s="89"/>
      <c r="S118" s="49">
        <v>0</v>
      </c>
      <c r="T118" s="49">
        <v>1</v>
      </c>
      <c r="U118" s="50">
        <v>0</v>
      </c>
      <c r="V118" s="50">
        <v>0.103071</v>
      </c>
      <c r="W118" s="50">
        <v>7.7E-05</v>
      </c>
      <c r="X118" s="50">
        <v>0.003956</v>
      </c>
      <c r="Y118" s="50">
        <v>0</v>
      </c>
      <c r="Z118" s="50">
        <v>0</v>
      </c>
      <c r="AA118" s="72">
        <v>118</v>
      </c>
      <c r="AB118" s="72"/>
      <c r="AC118" s="73"/>
      <c r="AD118" s="80" t="s">
        <v>950</v>
      </c>
      <c r="AE118" s="80"/>
      <c r="AF118" s="80"/>
      <c r="AG118" s="80"/>
      <c r="AH118" s="80"/>
      <c r="AI118" s="80"/>
      <c r="AJ118" s="87">
        <v>40881.95925925926</v>
      </c>
      <c r="AK118" s="85" t="str">
        <f>HYPERLINK("https://yt3.ggpht.com/ytc/AKedOLSDHOYFjeScg6Mm7C_SISXAiv_dO1qCv0fAsCwF6g=s88-c-k-c0x00ffffff-no-rj")</f>
        <v>https://yt3.ggpht.com/ytc/AKedOLSDHOYFjeScg6Mm7C_SISXAiv_dO1qCv0fAsCwF6g=s88-c-k-c0x00ffffff-no-rj</v>
      </c>
      <c r="AL118" s="80">
        <v>51</v>
      </c>
      <c r="AM118" s="80">
        <v>0</v>
      </c>
      <c r="AN118" s="80">
        <v>79</v>
      </c>
      <c r="AO118" s="80" t="b">
        <v>0</v>
      </c>
      <c r="AP118" s="80">
        <v>6</v>
      </c>
      <c r="AQ118" s="80"/>
      <c r="AR118" s="80"/>
      <c r="AS118" s="80" t="s">
        <v>1376</v>
      </c>
      <c r="AT118" s="85" t="str">
        <f>HYPERLINK("https://www.youtube.com/channel/UChPvILLGvBiP_SiUg9srazw")</f>
        <v>https://www.youtube.com/channel/UChPvILLGvBiP_SiUg9srazw</v>
      </c>
      <c r="AU118" s="80" t="str">
        <f>REPLACE(INDEX(GroupVertices[Group],MATCH(Vertices[[#This Row],[Vertex]],GroupVertices[Vertex],0)),1,1,"")</f>
        <v>4</v>
      </c>
      <c r="AV118" s="49">
        <v>0</v>
      </c>
      <c r="AW118" s="50">
        <v>0</v>
      </c>
      <c r="AX118" s="49">
        <v>0</v>
      </c>
      <c r="AY118" s="50">
        <v>0</v>
      </c>
      <c r="AZ118" s="49">
        <v>0</v>
      </c>
      <c r="BA118" s="50">
        <v>0</v>
      </c>
      <c r="BB118" s="49">
        <v>2</v>
      </c>
      <c r="BC118" s="50">
        <v>100</v>
      </c>
      <c r="BD118" s="49">
        <v>2</v>
      </c>
      <c r="BE118" s="49"/>
      <c r="BF118" s="49"/>
      <c r="BG118" s="49"/>
      <c r="BH118" s="49"/>
      <c r="BI118" s="49"/>
      <c r="BJ118" s="49"/>
      <c r="BK118" s="111" t="s">
        <v>1239</v>
      </c>
      <c r="BL118" s="111" t="s">
        <v>1239</v>
      </c>
      <c r="BM118" s="111" t="s">
        <v>1239</v>
      </c>
      <c r="BN118" s="111" t="s">
        <v>1239</v>
      </c>
      <c r="BO118" s="2"/>
      <c r="BP118" s="3"/>
      <c r="BQ118" s="3"/>
      <c r="BR118" s="3"/>
      <c r="BS118" s="3"/>
    </row>
    <row r="119" spans="1:71" ht="15">
      <c r="A119" s="65" t="s">
        <v>560</v>
      </c>
      <c r="B119" s="66"/>
      <c r="C119" s="66"/>
      <c r="D119" s="67">
        <v>973.9463601532567</v>
      </c>
      <c r="E119" s="69"/>
      <c r="F119" s="103" t="str">
        <f>HYPERLINK("https://yt3.ggpht.com/ytc/AKedOLQqJSljagjV1C0NbEV0Tl3Ug5e7fYt6jh6DthVg=s88-c-k-c0x00ffffff-no-rj")</f>
        <v>https://yt3.ggpht.com/ytc/AKedOLQqJSljagjV1C0NbEV0Tl3Ug5e7fYt6jh6DthVg=s88-c-k-c0x00ffffff-no-rj</v>
      </c>
      <c r="G119" s="66"/>
      <c r="H119" s="70" t="s">
        <v>1267</v>
      </c>
      <c r="I119" s="71"/>
      <c r="J119" s="71" t="s">
        <v>75</v>
      </c>
      <c r="K119" s="70" t="s">
        <v>1267</v>
      </c>
      <c r="L119" s="74">
        <v>730.7933040637184</v>
      </c>
      <c r="M119" s="75">
        <v>4313.14697265625</v>
      </c>
      <c r="N119" s="75">
        <v>7842.4931640625</v>
      </c>
      <c r="O119" s="76"/>
      <c r="P119" s="77"/>
      <c r="Q119" s="77"/>
      <c r="R119" s="89"/>
      <c r="S119" s="49">
        <v>6</v>
      </c>
      <c r="T119" s="49">
        <v>1</v>
      </c>
      <c r="U119" s="50">
        <v>1012</v>
      </c>
      <c r="V119" s="50">
        <v>0.125207</v>
      </c>
      <c r="W119" s="50">
        <v>0.000684</v>
      </c>
      <c r="X119" s="50">
        <v>0.006453</v>
      </c>
      <c r="Y119" s="50">
        <v>0</v>
      </c>
      <c r="Z119" s="50">
        <v>0</v>
      </c>
      <c r="AA119" s="72">
        <v>119</v>
      </c>
      <c r="AB119" s="72"/>
      <c r="AC119" s="73"/>
      <c r="AD119" s="80" t="s">
        <v>1267</v>
      </c>
      <c r="AE119" s="80" t="s">
        <v>1311</v>
      </c>
      <c r="AF119" s="80"/>
      <c r="AG119" s="80"/>
      <c r="AH119" s="80"/>
      <c r="AI119" s="80"/>
      <c r="AJ119" s="87">
        <v>42922.49681712963</v>
      </c>
      <c r="AK119" s="85" t="str">
        <f>HYPERLINK("https://yt3.ggpht.com/ytc/AKedOLQqJSljagjV1C0NbEV0Tl3Ug5e7fYt6jh6DthVg=s88-c-k-c0x00ffffff-no-rj")</f>
        <v>https://yt3.ggpht.com/ytc/AKedOLQqJSljagjV1C0NbEV0Tl3Ug5e7fYt6jh6DthVg=s88-c-k-c0x00ffffff-no-rj</v>
      </c>
      <c r="AL119" s="80">
        <v>7731</v>
      </c>
      <c r="AM119" s="80">
        <v>0</v>
      </c>
      <c r="AN119" s="80">
        <v>155</v>
      </c>
      <c r="AO119" s="80" t="b">
        <v>0</v>
      </c>
      <c r="AP119" s="80">
        <v>6</v>
      </c>
      <c r="AQ119" s="80"/>
      <c r="AR119" s="80"/>
      <c r="AS119" s="80" t="s">
        <v>1376</v>
      </c>
      <c r="AT119" s="85" t="str">
        <f>HYPERLINK("https://www.youtube.com/channel/UCnrbbUoV6A2YP0tCJJfJSsg")</f>
        <v>https://www.youtube.com/channel/UCnrbbUoV6A2YP0tCJJfJSsg</v>
      </c>
      <c r="AU119" s="80" t="str">
        <f>REPLACE(INDEX(GroupVertices[Group],MATCH(Vertices[[#This Row],[Vertex]],GroupVertices[Vertex],0)),1,1,"")</f>
        <v>4</v>
      </c>
      <c r="AV119" s="49"/>
      <c r="AW119" s="50"/>
      <c r="AX119" s="49"/>
      <c r="AY119" s="50"/>
      <c r="AZ119" s="49"/>
      <c r="BA119" s="50"/>
      <c r="BB119" s="49"/>
      <c r="BC119" s="50"/>
      <c r="BD119" s="49"/>
      <c r="BE119" s="49"/>
      <c r="BF119" s="49"/>
      <c r="BG119" s="49"/>
      <c r="BH119" s="49"/>
      <c r="BI119" s="49"/>
      <c r="BJ119" s="49"/>
      <c r="BK119" s="111" t="s">
        <v>1239</v>
      </c>
      <c r="BL119" s="111" t="s">
        <v>1239</v>
      </c>
      <c r="BM119" s="111" t="s">
        <v>1239</v>
      </c>
      <c r="BN119" s="111" t="s">
        <v>1239</v>
      </c>
      <c r="BO119" s="2"/>
      <c r="BP119" s="3"/>
      <c r="BQ119" s="3"/>
      <c r="BR119" s="3"/>
      <c r="BS119" s="3"/>
    </row>
    <row r="120" spans="1:71" ht="15">
      <c r="A120" s="65" t="s">
        <v>438</v>
      </c>
      <c r="B120" s="66"/>
      <c r="C120" s="66"/>
      <c r="D120" s="67">
        <v>150</v>
      </c>
      <c r="E120" s="69"/>
      <c r="F120" s="103" t="str">
        <f>HYPERLINK("https://yt3.ggpht.com/ytc/AKedOLRZV9aUc787PXnHRwXdiqDQv_Zmo1OvVN8YktOh=s88-c-k-c0x00ffffff-no-rj")</f>
        <v>https://yt3.ggpht.com/ytc/AKedOLRZV9aUc787PXnHRwXdiqDQv_Zmo1OvVN8YktOh=s88-c-k-c0x00ffffff-no-rj</v>
      </c>
      <c r="G120" s="66"/>
      <c r="H120" s="70" t="s">
        <v>951</v>
      </c>
      <c r="I120" s="71"/>
      <c r="J120" s="71" t="s">
        <v>159</v>
      </c>
      <c r="K120" s="70" t="s">
        <v>951</v>
      </c>
      <c r="L120" s="74">
        <v>1</v>
      </c>
      <c r="M120" s="75">
        <v>5332.515625</v>
      </c>
      <c r="N120" s="75">
        <v>6543.46337890625</v>
      </c>
      <c r="O120" s="76"/>
      <c r="P120" s="77"/>
      <c r="Q120" s="77"/>
      <c r="R120" s="89"/>
      <c r="S120" s="49">
        <v>0</v>
      </c>
      <c r="T120" s="49">
        <v>1</v>
      </c>
      <c r="U120" s="50">
        <v>0</v>
      </c>
      <c r="V120" s="50">
        <v>0.102224</v>
      </c>
      <c r="W120" s="50">
        <v>7.3E-05</v>
      </c>
      <c r="X120" s="50">
        <v>0.004033</v>
      </c>
      <c r="Y120" s="50">
        <v>0</v>
      </c>
      <c r="Z120" s="50">
        <v>0</v>
      </c>
      <c r="AA120" s="72">
        <v>120</v>
      </c>
      <c r="AB120" s="72"/>
      <c r="AC120" s="73"/>
      <c r="AD120" s="80" t="s">
        <v>951</v>
      </c>
      <c r="AE120" s="80"/>
      <c r="AF120" s="80"/>
      <c r="AG120" s="80"/>
      <c r="AH120" s="80"/>
      <c r="AI120" s="80"/>
      <c r="AJ120" s="87">
        <v>43114.156956018516</v>
      </c>
      <c r="AK120" s="85" t="str">
        <f>HYPERLINK("https://yt3.ggpht.com/ytc/AKedOLRZV9aUc787PXnHRwXdiqDQv_Zmo1OvVN8YktOh=s88-c-k-c0x00ffffff-no-rj")</f>
        <v>https://yt3.ggpht.com/ytc/AKedOLRZV9aUc787PXnHRwXdiqDQv_Zmo1OvVN8YktOh=s88-c-k-c0x00ffffff-no-rj</v>
      </c>
      <c r="AL120" s="80">
        <v>5219</v>
      </c>
      <c r="AM120" s="80">
        <v>0</v>
      </c>
      <c r="AN120" s="80">
        <v>29</v>
      </c>
      <c r="AO120" s="80" t="b">
        <v>0</v>
      </c>
      <c r="AP120" s="80">
        <v>67</v>
      </c>
      <c r="AQ120" s="80"/>
      <c r="AR120" s="80"/>
      <c r="AS120" s="80" t="s">
        <v>1376</v>
      </c>
      <c r="AT120" s="85" t="str">
        <f>HYPERLINK("https://www.youtube.com/channel/UCkNEkfKxEtYneNKzdgiefWg")</f>
        <v>https://www.youtube.com/channel/UCkNEkfKxEtYneNKzdgiefWg</v>
      </c>
      <c r="AU120" s="80" t="str">
        <f>REPLACE(INDEX(GroupVertices[Group],MATCH(Vertices[[#This Row],[Vertex]],GroupVertices[Vertex],0)),1,1,"")</f>
        <v>4</v>
      </c>
      <c r="AV120" s="49">
        <v>1</v>
      </c>
      <c r="AW120" s="50">
        <v>10</v>
      </c>
      <c r="AX120" s="49">
        <v>0</v>
      </c>
      <c r="AY120" s="50">
        <v>0</v>
      </c>
      <c r="AZ120" s="49">
        <v>0</v>
      </c>
      <c r="BA120" s="50">
        <v>0</v>
      </c>
      <c r="BB120" s="49">
        <v>9</v>
      </c>
      <c r="BC120" s="50">
        <v>90</v>
      </c>
      <c r="BD120" s="49">
        <v>10</v>
      </c>
      <c r="BE120" s="49"/>
      <c r="BF120" s="49"/>
      <c r="BG120" s="49"/>
      <c r="BH120" s="49"/>
      <c r="BI120" s="49"/>
      <c r="BJ120" s="49"/>
      <c r="BK120" s="111" t="s">
        <v>2448</v>
      </c>
      <c r="BL120" s="111" t="s">
        <v>2448</v>
      </c>
      <c r="BM120" s="111" t="s">
        <v>2638</v>
      </c>
      <c r="BN120" s="111" t="s">
        <v>2638</v>
      </c>
      <c r="BO120" s="2"/>
      <c r="BP120" s="3"/>
      <c r="BQ120" s="3"/>
      <c r="BR120" s="3"/>
      <c r="BS120" s="3"/>
    </row>
    <row r="121" spans="1:71" ht="15">
      <c r="A121" s="65" t="s">
        <v>555</v>
      </c>
      <c r="B121" s="66"/>
      <c r="C121" s="66"/>
      <c r="D121" s="67">
        <v>358.42911877394636</v>
      </c>
      <c r="E121" s="69"/>
      <c r="F121" s="103" t="str">
        <f>HYPERLINK("https://yt3.ggpht.com/ytc/AKedOLRcRRwYuxMZUQXaV4lTjEUsIucshFnXo8Cs-zVq=s88-c-k-c0x00ffffff-no-rj")</f>
        <v>https://yt3.ggpht.com/ytc/AKedOLRcRRwYuxMZUQXaV4lTjEUsIucshFnXo8Cs-zVq=s88-c-k-c0x00ffffff-no-rj</v>
      </c>
      <c r="G121" s="66"/>
      <c r="H121" s="70" t="s">
        <v>1268</v>
      </c>
      <c r="I121" s="71"/>
      <c r="J121" s="71" t="s">
        <v>75</v>
      </c>
      <c r="K121" s="70" t="s">
        <v>1268</v>
      </c>
      <c r="L121" s="74">
        <v>185.61174490149398</v>
      </c>
      <c r="M121" s="75">
        <v>5110.13525390625</v>
      </c>
      <c r="N121" s="75">
        <v>7310.65234375</v>
      </c>
      <c r="O121" s="76"/>
      <c r="P121" s="77"/>
      <c r="Q121" s="77"/>
      <c r="R121" s="89"/>
      <c r="S121" s="49">
        <v>3</v>
      </c>
      <c r="T121" s="49">
        <v>1</v>
      </c>
      <c r="U121" s="50">
        <v>256</v>
      </c>
      <c r="V121" s="50">
        <v>0.123959</v>
      </c>
      <c r="W121" s="50">
        <v>0.000654</v>
      </c>
      <c r="X121" s="50">
        <v>0.004761</v>
      </c>
      <c r="Y121" s="50">
        <v>0</v>
      </c>
      <c r="Z121" s="50">
        <v>0</v>
      </c>
      <c r="AA121" s="72">
        <v>121</v>
      </c>
      <c r="AB121" s="72"/>
      <c r="AC121" s="73"/>
      <c r="AD121" s="80" t="s">
        <v>1268</v>
      </c>
      <c r="AE121" s="80"/>
      <c r="AF121" s="80"/>
      <c r="AG121" s="80"/>
      <c r="AH121" s="80"/>
      <c r="AI121" s="80" t="s">
        <v>1359</v>
      </c>
      <c r="AJ121" s="87">
        <v>40532.38302083333</v>
      </c>
      <c r="AK121" s="85" t="str">
        <f>HYPERLINK("https://yt3.ggpht.com/ytc/AKedOLRcRRwYuxMZUQXaV4lTjEUsIucshFnXo8Cs-zVq=s88-c-k-c0x00ffffff-no-rj")</f>
        <v>https://yt3.ggpht.com/ytc/AKedOLRcRRwYuxMZUQXaV4lTjEUsIucshFnXo8Cs-zVq=s88-c-k-c0x00ffffff-no-rj</v>
      </c>
      <c r="AL121" s="80">
        <v>370217</v>
      </c>
      <c r="AM121" s="80">
        <v>0</v>
      </c>
      <c r="AN121" s="80">
        <v>2240</v>
      </c>
      <c r="AO121" s="80" t="b">
        <v>0</v>
      </c>
      <c r="AP121" s="80">
        <v>57</v>
      </c>
      <c r="AQ121" s="80"/>
      <c r="AR121" s="80"/>
      <c r="AS121" s="80" t="s">
        <v>1376</v>
      </c>
      <c r="AT121" s="85" t="str">
        <f>HYPERLINK("https://www.youtube.com/channel/UCqS6Idv3FEU9VQX7-yHwnSw")</f>
        <v>https://www.youtube.com/channel/UCqS6Idv3FEU9VQX7-yHwnSw</v>
      </c>
      <c r="AU121" s="80" t="str">
        <f>REPLACE(INDEX(GroupVertices[Group],MATCH(Vertices[[#This Row],[Vertex]],GroupVertices[Vertex],0)),1,1,"")</f>
        <v>4</v>
      </c>
      <c r="AV121" s="49"/>
      <c r="AW121" s="50"/>
      <c r="AX121" s="49"/>
      <c r="AY121" s="50"/>
      <c r="AZ121" s="49"/>
      <c r="BA121" s="50"/>
      <c r="BB121" s="49"/>
      <c r="BC121" s="50"/>
      <c r="BD121" s="49"/>
      <c r="BE121" s="49"/>
      <c r="BF121" s="49"/>
      <c r="BG121" s="49"/>
      <c r="BH121" s="49"/>
      <c r="BI121" s="49"/>
      <c r="BJ121" s="49"/>
      <c r="BK121" s="111" t="s">
        <v>1239</v>
      </c>
      <c r="BL121" s="111" t="s">
        <v>1239</v>
      </c>
      <c r="BM121" s="111" t="s">
        <v>1239</v>
      </c>
      <c r="BN121" s="111" t="s">
        <v>1239</v>
      </c>
      <c r="BO121" s="2"/>
      <c r="BP121" s="3"/>
      <c r="BQ121" s="3"/>
      <c r="BR121" s="3"/>
      <c r="BS121" s="3"/>
    </row>
    <row r="122" spans="1:71" ht="15">
      <c r="A122" s="65" t="s">
        <v>439</v>
      </c>
      <c r="B122" s="66"/>
      <c r="C122" s="66"/>
      <c r="D122" s="67">
        <v>150</v>
      </c>
      <c r="E122" s="69"/>
      <c r="F122" s="103" t="str">
        <f>HYPERLINK("https://yt3.ggpht.com/ytc/AKedOLRqDdZx5ZwdRdeEJw006khGpsZ2ZEIp5dvvAw=s88-c-k-c0x00ffffff-no-rj")</f>
        <v>https://yt3.ggpht.com/ytc/AKedOLRqDdZx5ZwdRdeEJw006khGpsZ2ZEIp5dvvAw=s88-c-k-c0x00ffffff-no-rj</v>
      </c>
      <c r="G122" s="66"/>
      <c r="H122" s="70" t="s">
        <v>952</v>
      </c>
      <c r="I122" s="71"/>
      <c r="J122" s="71" t="s">
        <v>159</v>
      </c>
      <c r="K122" s="70" t="s">
        <v>952</v>
      </c>
      <c r="L122" s="74">
        <v>1</v>
      </c>
      <c r="M122" s="75">
        <v>9692.48046875</v>
      </c>
      <c r="N122" s="75">
        <v>9822.326171875</v>
      </c>
      <c r="O122" s="76"/>
      <c r="P122" s="77"/>
      <c r="Q122" s="77"/>
      <c r="R122" s="89"/>
      <c r="S122" s="49">
        <v>0</v>
      </c>
      <c r="T122" s="49">
        <v>1</v>
      </c>
      <c r="U122" s="50">
        <v>0</v>
      </c>
      <c r="V122" s="50">
        <v>0.014649</v>
      </c>
      <c r="W122" s="50">
        <v>0</v>
      </c>
      <c r="X122" s="50">
        <v>0.004139</v>
      </c>
      <c r="Y122" s="50">
        <v>0</v>
      </c>
      <c r="Z122" s="50">
        <v>0</v>
      </c>
      <c r="AA122" s="72">
        <v>122</v>
      </c>
      <c r="AB122" s="72"/>
      <c r="AC122" s="73"/>
      <c r="AD122" s="80" t="s">
        <v>952</v>
      </c>
      <c r="AE122" s="80"/>
      <c r="AF122" s="80"/>
      <c r="AG122" s="80"/>
      <c r="AH122" s="80"/>
      <c r="AI122" s="80"/>
      <c r="AJ122" s="87">
        <v>41685.481574074074</v>
      </c>
      <c r="AK122" s="85" t="str">
        <f>HYPERLINK("https://yt3.ggpht.com/ytc/AKedOLRqDdZx5ZwdRdeEJw006khGpsZ2ZEIp5dvvAw=s88-c-k-c0x00ffffff-no-rj")</f>
        <v>https://yt3.ggpht.com/ytc/AKedOLRqDdZx5ZwdRdeEJw006khGpsZ2ZEIp5dvvAw=s88-c-k-c0x00ffffff-no-rj</v>
      </c>
      <c r="AL122" s="80">
        <v>0</v>
      </c>
      <c r="AM122" s="80">
        <v>0</v>
      </c>
      <c r="AN122" s="80">
        <v>0</v>
      </c>
      <c r="AO122" s="80" t="b">
        <v>0</v>
      </c>
      <c r="AP122" s="80">
        <v>0</v>
      </c>
      <c r="AQ122" s="80"/>
      <c r="AR122" s="80"/>
      <c r="AS122" s="80" t="s">
        <v>1376</v>
      </c>
      <c r="AT122" s="85" t="str">
        <f>HYPERLINK("https://www.youtube.com/channel/UC-abaNhleZ9l8u2eiQgIHXA")</f>
        <v>https://www.youtube.com/channel/UC-abaNhleZ9l8u2eiQgIHXA</v>
      </c>
      <c r="AU122" s="80" t="str">
        <f>REPLACE(INDEX(GroupVertices[Group],MATCH(Vertices[[#This Row],[Vertex]],GroupVertices[Vertex],0)),1,1,"")</f>
        <v>5</v>
      </c>
      <c r="AV122" s="49">
        <v>0</v>
      </c>
      <c r="AW122" s="50">
        <v>0</v>
      </c>
      <c r="AX122" s="49">
        <v>0</v>
      </c>
      <c r="AY122" s="50">
        <v>0</v>
      </c>
      <c r="AZ122" s="49">
        <v>0</v>
      </c>
      <c r="BA122" s="50">
        <v>0</v>
      </c>
      <c r="BB122" s="49">
        <v>32</v>
      </c>
      <c r="BC122" s="50">
        <v>100</v>
      </c>
      <c r="BD122" s="49">
        <v>32</v>
      </c>
      <c r="BE122" s="49"/>
      <c r="BF122" s="49"/>
      <c r="BG122" s="49"/>
      <c r="BH122" s="49"/>
      <c r="BI122" s="49"/>
      <c r="BJ122" s="49"/>
      <c r="BK122" s="111" t="s">
        <v>2449</v>
      </c>
      <c r="BL122" s="111" t="s">
        <v>2449</v>
      </c>
      <c r="BM122" s="111" t="s">
        <v>2639</v>
      </c>
      <c r="BN122" s="111" t="s">
        <v>2639</v>
      </c>
      <c r="BO122" s="2"/>
      <c r="BP122" s="3"/>
      <c r="BQ122" s="3"/>
      <c r="BR122" s="3"/>
      <c r="BS122" s="3"/>
    </row>
    <row r="123" spans="1:71" ht="15">
      <c r="A123" s="65" t="s">
        <v>440</v>
      </c>
      <c r="B123" s="66"/>
      <c r="C123" s="66"/>
      <c r="D123" s="67">
        <v>171.16858237547893</v>
      </c>
      <c r="E123" s="69"/>
      <c r="F123" s="103" t="str">
        <f>HYPERLINK("https://yt3.ggpht.com/ytc/AKedOLRnspDY9sEEuwCISXhBLsnPjhWVNYoupxlclHzV=s88-c-k-c0x00ffffff-no-rj")</f>
        <v>https://yt3.ggpht.com/ytc/AKedOLRnspDY9sEEuwCISXhBLsnPjhWVNYoupxlclHzV=s88-c-k-c0x00ffffff-no-rj</v>
      </c>
      <c r="G123" s="66"/>
      <c r="H123" s="70" t="s">
        <v>953</v>
      </c>
      <c r="I123" s="71"/>
      <c r="J123" s="71" t="s">
        <v>75</v>
      </c>
      <c r="K123" s="70" t="s">
        <v>953</v>
      </c>
      <c r="L123" s="74">
        <v>19.74963034155798</v>
      </c>
      <c r="M123" s="75">
        <v>9547.7802734375</v>
      </c>
      <c r="N123" s="75">
        <v>9279.787109375</v>
      </c>
      <c r="O123" s="76"/>
      <c r="P123" s="77"/>
      <c r="Q123" s="77"/>
      <c r="R123" s="89"/>
      <c r="S123" s="49">
        <v>1</v>
      </c>
      <c r="T123" s="49">
        <v>1</v>
      </c>
      <c r="U123" s="50">
        <v>26</v>
      </c>
      <c r="V123" s="50">
        <v>0.018701</v>
      </c>
      <c r="W123" s="50">
        <v>0</v>
      </c>
      <c r="X123" s="50">
        <v>0.00459</v>
      </c>
      <c r="Y123" s="50">
        <v>0</v>
      </c>
      <c r="Z123" s="50">
        <v>0</v>
      </c>
      <c r="AA123" s="72">
        <v>123</v>
      </c>
      <c r="AB123" s="72"/>
      <c r="AC123" s="73"/>
      <c r="AD123" s="80" t="s">
        <v>953</v>
      </c>
      <c r="AE123" s="80"/>
      <c r="AF123" s="80"/>
      <c r="AG123" s="80"/>
      <c r="AH123" s="80"/>
      <c r="AI123" s="80"/>
      <c r="AJ123" s="87">
        <v>41054.62478009259</v>
      </c>
      <c r="AK123" s="85" t="str">
        <f>HYPERLINK("https://yt3.ggpht.com/ytc/AKedOLRnspDY9sEEuwCISXhBLsnPjhWVNYoupxlclHzV=s88-c-k-c0x00ffffff-no-rj")</f>
        <v>https://yt3.ggpht.com/ytc/AKedOLRnspDY9sEEuwCISXhBLsnPjhWVNYoupxlclHzV=s88-c-k-c0x00ffffff-no-rj</v>
      </c>
      <c r="AL123" s="80">
        <v>35790</v>
      </c>
      <c r="AM123" s="80">
        <v>0</v>
      </c>
      <c r="AN123" s="80">
        <v>101</v>
      </c>
      <c r="AO123" s="80" t="b">
        <v>0</v>
      </c>
      <c r="AP123" s="80">
        <v>18</v>
      </c>
      <c r="AQ123" s="80"/>
      <c r="AR123" s="80"/>
      <c r="AS123" s="80" t="s">
        <v>1376</v>
      </c>
      <c r="AT123" s="85" t="str">
        <f>HYPERLINK("https://www.youtube.com/channel/UCmB6rgL4vwKdmtRwoK6hNRA")</f>
        <v>https://www.youtube.com/channel/UCmB6rgL4vwKdmtRwoK6hNRA</v>
      </c>
      <c r="AU123" s="80" t="str">
        <f>REPLACE(INDEX(GroupVertices[Group],MATCH(Vertices[[#This Row],[Vertex]],GroupVertices[Vertex],0)),1,1,"")</f>
        <v>5</v>
      </c>
      <c r="AV123" s="49">
        <v>0</v>
      </c>
      <c r="AW123" s="50">
        <v>0</v>
      </c>
      <c r="AX123" s="49">
        <v>0</v>
      </c>
      <c r="AY123" s="50">
        <v>0</v>
      </c>
      <c r="AZ123" s="49">
        <v>0</v>
      </c>
      <c r="BA123" s="50">
        <v>0</v>
      </c>
      <c r="BB123" s="49">
        <v>22</v>
      </c>
      <c r="BC123" s="50">
        <v>100</v>
      </c>
      <c r="BD123" s="49">
        <v>22</v>
      </c>
      <c r="BE123" s="49"/>
      <c r="BF123" s="49"/>
      <c r="BG123" s="49"/>
      <c r="BH123" s="49"/>
      <c r="BI123" s="49"/>
      <c r="BJ123" s="49"/>
      <c r="BK123" s="111" t="s">
        <v>2450</v>
      </c>
      <c r="BL123" s="111" t="s">
        <v>2450</v>
      </c>
      <c r="BM123" s="111" t="s">
        <v>2640</v>
      </c>
      <c r="BN123" s="111" t="s">
        <v>2640</v>
      </c>
      <c r="BO123" s="2"/>
      <c r="BP123" s="3"/>
      <c r="BQ123" s="3"/>
      <c r="BR123" s="3"/>
      <c r="BS123" s="3"/>
    </row>
    <row r="124" spans="1:71" ht="15">
      <c r="A124" s="65" t="s">
        <v>441</v>
      </c>
      <c r="B124" s="66"/>
      <c r="C124" s="66"/>
      <c r="D124" s="67">
        <v>223.27586206896552</v>
      </c>
      <c r="E124" s="69"/>
      <c r="F124" s="103" t="str">
        <f>HYPERLINK("https://yt3.ggpht.com/ytc/AKedOLSOoCFQMh8_E2tyt9q2II9FGM3xMOqytTju6N9Ftw=s88-c-k-c0x00ffffff-no-rj")</f>
        <v>https://yt3.ggpht.com/ytc/AKedOLSOoCFQMh8_E2tyt9q2II9FGM3xMOqytTju6N9Ftw=s88-c-k-c0x00ffffff-no-rj</v>
      </c>
      <c r="G124" s="66"/>
      <c r="H124" s="70" t="s">
        <v>954</v>
      </c>
      <c r="I124" s="71"/>
      <c r="J124" s="71" t="s">
        <v>75</v>
      </c>
      <c r="K124" s="70" t="s">
        <v>954</v>
      </c>
      <c r="L124" s="74">
        <v>65.90256656693148</v>
      </c>
      <c r="M124" s="75">
        <v>9507.150390625</v>
      </c>
      <c r="N124" s="75">
        <v>8601.369140625</v>
      </c>
      <c r="O124" s="76"/>
      <c r="P124" s="77"/>
      <c r="Q124" s="77"/>
      <c r="R124" s="89"/>
      <c r="S124" s="49">
        <v>5</v>
      </c>
      <c r="T124" s="49">
        <v>2</v>
      </c>
      <c r="U124" s="50">
        <v>90</v>
      </c>
      <c r="V124" s="50">
        <v>0.024415</v>
      </c>
      <c r="W124" s="50">
        <v>0</v>
      </c>
      <c r="X124" s="50">
        <v>0.005812</v>
      </c>
      <c r="Y124" s="50">
        <v>0</v>
      </c>
      <c r="Z124" s="50">
        <v>0.25</v>
      </c>
      <c r="AA124" s="72">
        <v>124</v>
      </c>
      <c r="AB124" s="72"/>
      <c r="AC124" s="73"/>
      <c r="AD124" s="80" t="s">
        <v>954</v>
      </c>
      <c r="AE124" s="80"/>
      <c r="AF124" s="80"/>
      <c r="AG124" s="80"/>
      <c r="AH124" s="80"/>
      <c r="AI124" s="80"/>
      <c r="AJ124" s="87">
        <v>41928.922847222224</v>
      </c>
      <c r="AK124" s="85" t="str">
        <f>HYPERLINK("https://yt3.ggpht.com/ytc/AKedOLSOoCFQMh8_E2tyt9q2II9FGM3xMOqytTju6N9Ftw=s88-c-k-c0x00ffffff-no-rj")</f>
        <v>https://yt3.ggpht.com/ytc/AKedOLSOoCFQMh8_E2tyt9q2II9FGM3xMOqytTju6N9Ftw=s88-c-k-c0x00ffffff-no-rj</v>
      </c>
      <c r="AL124" s="80">
        <v>1685</v>
      </c>
      <c r="AM124" s="80">
        <v>0</v>
      </c>
      <c r="AN124" s="80">
        <v>14</v>
      </c>
      <c r="AO124" s="80" t="b">
        <v>0</v>
      </c>
      <c r="AP124" s="80">
        <v>1</v>
      </c>
      <c r="AQ124" s="80"/>
      <c r="AR124" s="80"/>
      <c r="AS124" s="80" t="s">
        <v>1376</v>
      </c>
      <c r="AT124" s="85" t="str">
        <f>HYPERLINK("https://www.youtube.com/channel/UCaz5lJl4O-DlZ0Ype11GGDQ")</f>
        <v>https://www.youtube.com/channel/UCaz5lJl4O-DlZ0Ype11GGDQ</v>
      </c>
      <c r="AU124" s="80" t="str">
        <f>REPLACE(INDEX(GroupVertices[Group],MATCH(Vertices[[#This Row],[Vertex]],GroupVertices[Vertex],0)),1,1,"")</f>
        <v>5</v>
      </c>
      <c r="AV124" s="49">
        <v>0</v>
      </c>
      <c r="AW124" s="50">
        <v>0</v>
      </c>
      <c r="AX124" s="49">
        <v>0</v>
      </c>
      <c r="AY124" s="50">
        <v>0</v>
      </c>
      <c r="AZ124" s="49">
        <v>0</v>
      </c>
      <c r="BA124" s="50">
        <v>0</v>
      </c>
      <c r="BB124" s="49">
        <v>130</v>
      </c>
      <c r="BC124" s="50">
        <v>100</v>
      </c>
      <c r="BD124" s="49">
        <v>130</v>
      </c>
      <c r="BE124" s="49" t="s">
        <v>2140</v>
      </c>
      <c r="BF124" s="49" t="s">
        <v>2140</v>
      </c>
      <c r="BG124" s="49" t="s">
        <v>2172</v>
      </c>
      <c r="BH124" s="49" t="s">
        <v>2172</v>
      </c>
      <c r="BI124" s="49"/>
      <c r="BJ124" s="49"/>
      <c r="BK124" s="111" t="s">
        <v>2451</v>
      </c>
      <c r="BL124" s="111" t="s">
        <v>2532</v>
      </c>
      <c r="BM124" s="111" t="s">
        <v>2322</v>
      </c>
      <c r="BN124" s="111" t="s">
        <v>2715</v>
      </c>
      <c r="BO124" s="2"/>
      <c r="BP124" s="3"/>
      <c r="BQ124" s="3"/>
      <c r="BR124" s="3"/>
      <c r="BS124" s="3"/>
    </row>
    <row r="125" spans="1:71" ht="15">
      <c r="A125" s="65" t="s">
        <v>442</v>
      </c>
      <c r="B125" s="66"/>
      <c r="C125" s="66"/>
      <c r="D125" s="67">
        <v>150</v>
      </c>
      <c r="E125" s="69"/>
      <c r="F125" s="103" t="str">
        <f>HYPERLINK("https://yt3.ggpht.com/ytc/AKedOLT3TLlctKOKINlQl-LIvLEiL7BIqIw0oSdmC3DuulI=s88-c-k-c0x00ffffff-no-rj")</f>
        <v>https://yt3.ggpht.com/ytc/AKedOLT3TLlctKOKINlQl-LIvLEiL7BIqIw0oSdmC3DuulI=s88-c-k-c0x00ffffff-no-rj</v>
      </c>
      <c r="G125" s="66"/>
      <c r="H125" s="70" t="s">
        <v>955</v>
      </c>
      <c r="I125" s="71"/>
      <c r="J125" s="71" t="s">
        <v>159</v>
      </c>
      <c r="K125" s="70" t="s">
        <v>955</v>
      </c>
      <c r="L125" s="74">
        <v>1</v>
      </c>
      <c r="M125" s="75">
        <v>9849.2783203125</v>
      </c>
      <c r="N125" s="75">
        <v>8733.4609375</v>
      </c>
      <c r="O125" s="76"/>
      <c r="P125" s="77"/>
      <c r="Q125" s="77"/>
      <c r="R125" s="89"/>
      <c r="S125" s="49">
        <v>1</v>
      </c>
      <c r="T125" s="49">
        <v>1</v>
      </c>
      <c r="U125" s="50">
        <v>0</v>
      </c>
      <c r="V125" s="50">
        <v>0.017937</v>
      </c>
      <c r="W125" s="50">
        <v>0</v>
      </c>
      <c r="X125" s="50">
        <v>0.003969</v>
      </c>
      <c r="Y125" s="50">
        <v>0</v>
      </c>
      <c r="Z125" s="50">
        <v>1</v>
      </c>
      <c r="AA125" s="72">
        <v>125</v>
      </c>
      <c r="AB125" s="72"/>
      <c r="AC125" s="73"/>
      <c r="AD125" s="80" t="s">
        <v>955</v>
      </c>
      <c r="AE125" s="80"/>
      <c r="AF125" s="80"/>
      <c r="AG125" s="80"/>
      <c r="AH125" s="80"/>
      <c r="AI125" s="80"/>
      <c r="AJ125" s="87">
        <v>41514.430601851855</v>
      </c>
      <c r="AK125" s="85" t="str">
        <f>HYPERLINK("https://yt3.ggpht.com/ytc/AKedOLT3TLlctKOKINlQl-LIvLEiL7BIqIw0oSdmC3DuulI=s88-c-k-c0x00ffffff-no-rj")</f>
        <v>https://yt3.ggpht.com/ytc/AKedOLT3TLlctKOKINlQl-LIvLEiL7BIqIw0oSdmC3DuulI=s88-c-k-c0x00ffffff-no-rj</v>
      </c>
      <c r="AL125" s="80">
        <v>548</v>
      </c>
      <c r="AM125" s="80">
        <v>0</v>
      </c>
      <c r="AN125" s="80">
        <v>1</v>
      </c>
      <c r="AO125" s="80" t="b">
        <v>0</v>
      </c>
      <c r="AP125" s="80">
        <v>2</v>
      </c>
      <c r="AQ125" s="80"/>
      <c r="AR125" s="80"/>
      <c r="AS125" s="80" t="s">
        <v>1376</v>
      </c>
      <c r="AT125" s="85" t="str">
        <f>HYPERLINK("https://www.youtube.com/channel/UCiFbxhlcapLxvMvBOJfgiAQ")</f>
        <v>https://www.youtube.com/channel/UCiFbxhlcapLxvMvBOJfgiAQ</v>
      </c>
      <c r="AU125" s="80" t="str">
        <f>REPLACE(INDEX(GroupVertices[Group],MATCH(Vertices[[#This Row],[Vertex]],GroupVertices[Vertex],0)),1,1,"")</f>
        <v>5</v>
      </c>
      <c r="AV125" s="49">
        <v>0</v>
      </c>
      <c r="AW125" s="50">
        <v>0</v>
      </c>
      <c r="AX125" s="49">
        <v>0</v>
      </c>
      <c r="AY125" s="50">
        <v>0</v>
      </c>
      <c r="AZ125" s="49">
        <v>0</v>
      </c>
      <c r="BA125" s="50">
        <v>0</v>
      </c>
      <c r="BB125" s="49">
        <v>8</v>
      </c>
      <c r="BC125" s="50">
        <v>100</v>
      </c>
      <c r="BD125" s="49">
        <v>8</v>
      </c>
      <c r="BE125" s="49"/>
      <c r="BF125" s="49"/>
      <c r="BG125" s="49"/>
      <c r="BH125" s="49"/>
      <c r="BI125" s="49"/>
      <c r="BJ125" s="49"/>
      <c r="BK125" s="111" t="s">
        <v>2452</v>
      </c>
      <c r="BL125" s="111" t="s">
        <v>2452</v>
      </c>
      <c r="BM125" s="111" t="s">
        <v>2641</v>
      </c>
      <c r="BN125" s="111" t="s">
        <v>2641</v>
      </c>
      <c r="BO125" s="2"/>
      <c r="BP125" s="3"/>
      <c r="BQ125" s="3"/>
      <c r="BR125" s="3"/>
      <c r="BS125" s="3"/>
    </row>
    <row r="126" spans="1:71" ht="15">
      <c r="A126" s="65" t="s">
        <v>443</v>
      </c>
      <c r="B126" s="66"/>
      <c r="C126" s="66"/>
      <c r="D126" s="67">
        <v>150</v>
      </c>
      <c r="E126" s="69"/>
      <c r="F126" s="103" t="str">
        <f>HYPERLINK("https://yt3.ggpht.com/ytc/AKedOLTWlIM_E_fDe8NVfUEbZ8nbIemUjocrJRReTRByhw=s88-c-k-c0x00ffffff-no-rj")</f>
        <v>https://yt3.ggpht.com/ytc/AKedOLTWlIM_E_fDe8NVfUEbZ8nbIemUjocrJRReTRByhw=s88-c-k-c0x00ffffff-no-rj</v>
      </c>
      <c r="G126" s="66"/>
      <c r="H126" s="70" t="s">
        <v>956</v>
      </c>
      <c r="I126" s="71"/>
      <c r="J126" s="71" t="s">
        <v>159</v>
      </c>
      <c r="K126" s="70" t="s">
        <v>956</v>
      </c>
      <c r="L126" s="74">
        <v>1</v>
      </c>
      <c r="M126" s="75">
        <v>9871.46484375</v>
      </c>
      <c r="N126" s="75">
        <v>8241.0078125</v>
      </c>
      <c r="O126" s="76"/>
      <c r="P126" s="77"/>
      <c r="Q126" s="77"/>
      <c r="R126" s="89"/>
      <c r="S126" s="49">
        <v>0</v>
      </c>
      <c r="T126" s="49">
        <v>1</v>
      </c>
      <c r="U126" s="50">
        <v>0</v>
      </c>
      <c r="V126" s="50">
        <v>0.017937</v>
      </c>
      <c r="W126" s="50">
        <v>0</v>
      </c>
      <c r="X126" s="50">
        <v>0.003969</v>
      </c>
      <c r="Y126" s="50">
        <v>0</v>
      </c>
      <c r="Z126" s="50">
        <v>0</v>
      </c>
      <c r="AA126" s="72">
        <v>126</v>
      </c>
      <c r="AB126" s="72"/>
      <c r="AC126" s="73"/>
      <c r="AD126" s="80" t="s">
        <v>956</v>
      </c>
      <c r="AE126" s="80"/>
      <c r="AF126" s="80"/>
      <c r="AG126" s="80"/>
      <c r="AH126" s="80"/>
      <c r="AI126" s="80"/>
      <c r="AJ126" s="87">
        <v>42881.021516203706</v>
      </c>
      <c r="AK126" s="85" t="str">
        <f>HYPERLINK("https://yt3.ggpht.com/ytc/AKedOLTWlIM_E_fDe8NVfUEbZ8nbIemUjocrJRReTRByhw=s88-c-k-c0x00ffffff-no-rj")</f>
        <v>https://yt3.ggpht.com/ytc/AKedOLTWlIM_E_fDe8NVfUEbZ8nbIemUjocrJRReTRByhw=s88-c-k-c0x00ffffff-no-rj</v>
      </c>
      <c r="AL126" s="80">
        <v>0</v>
      </c>
      <c r="AM126" s="80">
        <v>0</v>
      </c>
      <c r="AN126" s="80">
        <v>9</v>
      </c>
      <c r="AO126" s="80" t="b">
        <v>0</v>
      </c>
      <c r="AP126" s="80">
        <v>0</v>
      </c>
      <c r="AQ126" s="80"/>
      <c r="AR126" s="80"/>
      <c r="AS126" s="80" t="s">
        <v>1376</v>
      </c>
      <c r="AT126" s="85" t="str">
        <f>HYPERLINK("https://www.youtube.com/channel/UC500ecg6iu4_fZI7ppnH5xg")</f>
        <v>https://www.youtube.com/channel/UC500ecg6iu4_fZI7ppnH5xg</v>
      </c>
      <c r="AU126" s="80" t="str">
        <f>REPLACE(INDEX(GroupVertices[Group],MATCH(Vertices[[#This Row],[Vertex]],GroupVertices[Vertex],0)),1,1,"")</f>
        <v>5</v>
      </c>
      <c r="AV126" s="49">
        <v>0</v>
      </c>
      <c r="AW126" s="50">
        <v>0</v>
      </c>
      <c r="AX126" s="49">
        <v>0</v>
      </c>
      <c r="AY126" s="50">
        <v>0</v>
      </c>
      <c r="AZ126" s="49">
        <v>0</v>
      </c>
      <c r="BA126" s="50">
        <v>0</v>
      </c>
      <c r="BB126" s="49">
        <v>6</v>
      </c>
      <c r="BC126" s="50">
        <v>100</v>
      </c>
      <c r="BD126" s="49">
        <v>6</v>
      </c>
      <c r="BE126" s="49"/>
      <c r="BF126" s="49"/>
      <c r="BG126" s="49"/>
      <c r="BH126" s="49"/>
      <c r="BI126" s="49"/>
      <c r="BJ126" s="49"/>
      <c r="BK126" s="111" t="s">
        <v>2453</v>
      </c>
      <c r="BL126" s="111" t="s">
        <v>2453</v>
      </c>
      <c r="BM126" s="111" t="s">
        <v>2642</v>
      </c>
      <c r="BN126" s="111" t="s">
        <v>2642</v>
      </c>
      <c r="BO126" s="2"/>
      <c r="BP126" s="3"/>
      <c r="BQ126" s="3"/>
      <c r="BR126" s="3"/>
      <c r="BS126" s="3"/>
    </row>
    <row r="127" spans="1:71" ht="15">
      <c r="A127" s="65" t="s">
        <v>444</v>
      </c>
      <c r="B127" s="66"/>
      <c r="C127" s="66"/>
      <c r="D127" s="67">
        <v>223.27586206896552</v>
      </c>
      <c r="E127" s="69"/>
      <c r="F127" s="103" t="str">
        <f>HYPERLINK("https://yt3.ggpht.com/ytc/AKedOLQ14jlNl5hLS_r5TOqxp0tHO_V1R8hv--VhLij-WIU=s88-c-k-c0x00ffffff-no-rj")</f>
        <v>https://yt3.ggpht.com/ytc/AKedOLQ14jlNl5hLS_r5TOqxp0tHO_V1R8hv--VhLij-WIU=s88-c-k-c0x00ffffff-no-rj</v>
      </c>
      <c r="G127" s="66"/>
      <c r="H127" s="70" t="s">
        <v>957</v>
      </c>
      <c r="I127" s="71"/>
      <c r="J127" s="71" t="s">
        <v>75</v>
      </c>
      <c r="K127" s="70" t="s">
        <v>957</v>
      </c>
      <c r="L127" s="74">
        <v>65.90256656693148</v>
      </c>
      <c r="M127" s="75">
        <v>9180.625</v>
      </c>
      <c r="N127" s="75">
        <v>8269.810546875</v>
      </c>
      <c r="O127" s="76"/>
      <c r="P127" s="77"/>
      <c r="Q127" s="77"/>
      <c r="R127" s="89"/>
      <c r="S127" s="49">
        <v>0</v>
      </c>
      <c r="T127" s="49">
        <v>2</v>
      </c>
      <c r="U127" s="50">
        <v>90</v>
      </c>
      <c r="V127" s="50">
        <v>0.028352</v>
      </c>
      <c r="W127" s="50">
        <v>0</v>
      </c>
      <c r="X127" s="50">
        <v>0.004112</v>
      </c>
      <c r="Y127" s="50">
        <v>0</v>
      </c>
      <c r="Z127" s="50">
        <v>0</v>
      </c>
      <c r="AA127" s="72">
        <v>127</v>
      </c>
      <c r="AB127" s="72"/>
      <c r="AC127" s="73"/>
      <c r="AD127" s="80" t="s">
        <v>957</v>
      </c>
      <c r="AE127" s="80" t="s">
        <v>1312</v>
      </c>
      <c r="AF127" s="80"/>
      <c r="AG127" s="80"/>
      <c r="AH127" s="80"/>
      <c r="AI127" s="80"/>
      <c r="AJ127" s="87">
        <v>43102.9484375</v>
      </c>
      <c r="AK127" s="85" t="str">
        <f>HYPERLINK("https://yt3.ggpht.com/ytc/AKedOLQ14jlNl5hLS_r5TOqxp0tHO_V1R8hv--VhLij-WIU=s88-c-k-c0x00ffffff-no-rj")</f>
        <v>https://yt3.ggpht.com/ytc/AKedOLQ14jlNl5hLS_r5TOqxp0tHO_V1R8hv--VhLij-WIU=s88-c-k-c0x00ffffff-no-rj</v>
      </c>
      <c r="AL127" s="80">
        <v>28196</v>
      </c>
      <c r="AM127" s="80">
        <v>0</v>
      </c>
      <c r="AN127" s="80">
        <v>62</v>
      </c>
      <c r="AO127" s="80" t="b">
        <v>0</v>
      </c>
      <c r="AP127" s="80">
        <v>12</v>
      </c>
      <c r="AQ127" s="80"/>
      <c r="AR127" s="80"/>
      <c r="AS127" s="80" t="s">
        <v>1376</v>
      </c>
      <c r="AT127" s="85" t="str">
        <f>HYPERLINK("https://www.youtube.com/channel/UCyKVToG2bdyFm9Zr7487GbQ")</f>
        <v>https://www.youtube.com/channel/UCyKVToG2bdyFm9Zr7487GbQ</v>
      </c>
      <c r="AU127" s="80" t="str">
        <f>REPLACE(INDEX(GroupVertices[Group],MATCH(Vertices[[#This Row],[Vertex]],GroupVertices[Vertex],0)),1,1,"")</f>
        <v>5</v>
      </c>
      <c r="AV127" s="49">
        <v>0</v>
      </c>
      <c r="AW127" s="50">
        <v>0</v>
      </c>
      <c r="AX127" s="49">
        <v>0</v>
      </c>
      <c r="AY127" s="50">
        <v>0</v>
      </c>
      <c r="AZ127" s="49">
        <v>0</v>
      </c>
      <c r="BA127" s="50">
        <v>0</v>
      </c>
      <c r="BB127" s="49">
        <v>17</v>
      </c>
      <c r="BC127" s="50">
        <v>100</v>
      </c>
      <c r="BD127" s="49">
        <v>17</v>
      </c>
      <c r="BE127" s="49"/>
      <c r="BF127" s="49"/>
      <c r="BG127" s="49"/>
      <c r="BH127" s="49"/>
      <c r="BI127" s="49"/>
      <c r="BJ127" s="49"/>
      <c r="BK127" s="111" t="s">
        <v>2454</v>
      </c>
      <c r="BL127" s="111" t="s">
        <v>2454</v>
      </c>
      <c r="BM127" s="111" t="s">
        <v>2643</v>
      </c>
      <c r="BN127" s="111" t="s">
        <v>2643</v>
      </c>
      <c r="BO127" s="2"/>
      <c r="BP127" s="3"/>
      <c r="BQ127" s="3"/>
      <c r="BR127" s="3"/>
      <c r="BS127" s="3"/>
    </row>
    <row r="128" spans="1:71" ht="15">
      <c r="A128" s="65" t="s">
        <v>445</v>
      </c>
      <c r="B128" s="66"/>
      <c r="C128" s="66"/>
      <c r="D128" s="67">
        <v>150</v>
      </c>
      <c r="E128" s="69"/>
      <c r="F128" s="103" t="str">
        <f>HYPERLINK("https://yt3.ggpht.com/ytc/AKedOLReYLk28KVf7UODjfbKi60vX07IA8IiUVfIKw=s88-c-k-c0x00ffffff-no-rj")</f>
        <v>https://yt3.ggpht.com/ytc/AKedOLReYLk28KVf7UODjfbKi60vX07IA8IiUVfIKw=s88-c-k-c0x00ffffff-no-rj</v>
      </c>
      <c r="G128" s="66"/>
      <c r="H128" s="70" t="s">
        <v>958</v>
      </c>
      <c r="I128" s="71"/>
      <c r="J128" s="71" t="s">
        <v>159</v>
      </c>
      <c r="K128" s="70" t="s">
        <v>958</v>
      </c>
      <c r="L128" s="74">
        <v>1</v>
      </c>
      <c r="M128" s="75">
        <v>4724.82763671875</v>
      </c>
      <c r="N128" s="75">
        <v>176.67372131347656</v>
      </c>
      <c r="O128" s="76"/>
      <c r="P128" s="77"/>
      <c r="Q128" s="77"/>
      <c r="R128" s="89"/>
      <c r="S128" s="49">
        <v>0</v>
      </c>
      <c r="T128" s="49">
        <v>1</v>
      </c>
      <c r="U128" s="50">
        <v>0</v>
      </c>
      <c r="V128" s="50">
        <v>0.128219</v>
      </c>
      <c r="W128" s="50">
        <v>0.00137</v>
      </c>
      <c r="X128" s="50">
        <v>0.004134</v>
      </c>
      <c r="Y128" s="50">
        <v>0</v>
      </c>
      <c r="Z128" s="50">
        <v>0</v>
      </c>
      <c r="AA128" s="72">
        <v>128</v>
      </c>
      <c r="AB128" s="72"/>
      <c r="AC128" s="73"/>
      <c r="AD128" s="80" t="s">
        <v>958</v>
      </c>
      <c r="AE128" s="80"/>
      <c r="AF128" s="80"/>
      <c r="AG128" s="80"/>
      <c r="AH128" s="80"/>
      <c r="AI128" s="80"/>
      <c r="AJ128" s="87">
        <v>40692.70460648148</v>
      </c>
      <c r="AK128" s="85" t="str">
        <f>HYPERLINK("https://yt3.ggpht.com/ytc/AKedOLReYLk28KVf7UODjfbKi60vX07IA8IiUVfIKw=s88-c-k-c0x00ffffff-no-rj")</f>
        <v>https://yt3.ggpht.com/ytc/AKedOLReYLk28KVf7UODjfbKi60vX07IA8IiUVfIKw=s88-c-k-c0x00ffffff-no-rj</v>
      </c>
      <c r="AL128" s="80">
        <v>0</v>
      </c>
      <c r="AM128" s="80">
        <v>0</v>
      </c>
      <c r="AN128" s="80">
        <v>1</v>
      </c>
      <c r="AO128" s="80" t="b">
        <v>0</v>
      </c>
      <c r="AP128" s="80">
        <v>0</v>
      </c>
      <c r="AQ128" s="80"/>
      <c r="AR128" s="80"/>
      <c r="AS128" s="80" t="s">
        <v>1376</v>
      </c>
      <c r="AT128" s="85" t="str">
        <f>HYPERLINK("https://www.youtube.com/channel/UCTpiluusEpdQER2ESjtp0dQ")</f>
        <v>https://www.youtube.com/channel/UCTpiluusEpdQER2ESjtp0dQ</v>
      </c>
      <c r="AU128" s="80" t="str">
        <f>REPLACE(INDEX(GroupVertices[Group],MATCH(Vertices[[#This Row],[Vertex]],GroupVertices[Vertex],0)),1,1,"")</f>
        <v>6</v>
      </c>
      <c r="AV128" s="49">
        <v>1</v>
      </c>
      <c r="AW128" s="50">
        <v>12.5</v>
      </c>
      <c r="AX128" s="49">
        <v>2</v>
      </c>
      <c r="AY128" s="50">
        <v>25</v>
      </c>
      <c r="AZ128" s="49">
        <v>0</v>
      </c>
      <c r="BA128" s="50">
        <v>0</v>
      </c>
      <c r="BB128" s="49">
        <v>5</v>
      </c>
      <c r="BC128" s="50">
        <v>62.5</v>
      </c>
      <c r="BD128" s="49">
        <v>8</v>
      </c>
      <c r="BE128" s="49"/>
      <c r="BF128" s="49"/>
      <c r="BG128" s="49"/>
      <c r="BH128" s="49"/>
      <c r="BI128" s="49"/>
      <c r="BJ128" s="49"/>
      <c r="BK128" s="111" t="s">
        <v>2455</v>
      </c>
      <c r="BL128" s="111" t="s">
        <v>2455</v>
      </c>
      <c r="BM128" s="111" t="s">
        <v>2644</v>
      </c>
      <c r="BN128" s="111" t="s">
        <v>2644</v>
      </c>
      <c r="BO128" s="2"/>
      <c r="BP128" s="3"/>
      <c r="BQ128" s="3"/>
      <c r="BR128" s="3"/>
      <c r="BS128" s="3"/>
    </row>
    <row r="129" spans="1:71" ht="15">
      <c r="A129" s="65" t="s">
        <v>446</v>
      </c>
      <c r="B129" s="66"/>
      <c r="C129" s="66"/>
      <c r="D129" s="67">
        <v>358.42911877394636</v>
      </c>
      <c r="E129" s="69"/>
      <c r="F129" s="103" t="str">
        <f>HYPERLINK("https://yt3.ggpht.com/ytc/AKedOLSKnailaJ46TIbmZQEFjkStWUVkurKHgDczZQ=s88-c-k-c0x00ffffff-no-rj")</f>
        <v>https://yt3.ggpht.com/ytc/AKedOLSKnailaJ46TIbmZQEFjkStWUVkurKHgDczZQ=s88-c-k-c0x00ffffff-no-rj</v>
      </c>
      <c r="G129" s="66"/>
      <c r="H129" s="70" t="s">
        <v>959</v>
      </c>
      <c r="I129" s="71"/>
      <c r="J129" s="71" t="s">
        <v>75</v>
      </c>
      <c r="K129" s="70" t="s">
        <v>959</v>
      </c>
      <c r="L129" s="74">
        <v>185.61174490149398</v>
      </c>
      <c r="M129" s="75">
        <v>4753.0380859375</v>
      </c>
      <c r="N129" s="75">
        <v>775.6864013671875</v>
      </c>
      <c r="O129" s="76"/>
      <c r="P129" s="77"/>
      <c r="Q129" s="77"/>
      <c r="R129" s="89"/>
      <c r="S129" s="49">
        <v>1</v>
      </c>
      <c r="T129" s="49">
        <v>1</v>
      </c>
      <c r="U129" s="50">
        <v>256</v>
      </c>
      <c r="V129" s="50">
        <v>0.164369</v>
      </c>
      <c r="W129" s="50">
        <v>0.012205</v>
      </c>
      <c r="X129" s="50">
        <v>0.004524</v>
      </c>
      <c r="Y129" s="50">
        <v>0</v>
      </c>
      <c r="Z129" s="50">
        <v>0</v>
      </c>
      <c r="AA129" s="72">
        <v>129</v>
      </c>
      <c r="AB129" s="72"/>
      <c r="AC129" s="73"/>
      <c r="AD129" s="80" t="s">
        <v>959</v>
      </c>
      <c r="AE129" s="80"/>
      <c r="AF129" s="80"/>
      <c r="AG129" s="80"/>
      <c r="AH129" s="80"/>
      <c r="AI129" s="80"/>
      <c r="AJ129" s="87">
        <v>41120.77564814815</v>
      </c>
      <c r="AK129" s="85" t="str">
        <f>HYPERLINK("https://yt3.ggpht.com/ytc/AKedOLSKnailaJ46TIbmZQEFjkStWUVkurKHgDczZQ=s88-c-k-c0x00ffffff-no-rj")</f>
        <v>https://yt3.ggpht.com/ytc/AKedOLSKnailaJ46TIbmZQEFjkStWUVkurKHgDczZQ=s88-c-k-c0x00ffffff-no-rj</v>
      </c>
      <c r="AL129" s="80">
        <v>5499</v>
      </c>
      <c r="AM129" s="80">
        <v>0</v>
      </c>
      <c r="AN129" s="80">
        <v>15</v>
      </c>
      <c r="AO129" s="80" t="b">
        <v>0</v>
      </c>
      <c r="AP129" s="80">
        <v>14</v>
      </c>
      <c r="AQ129" s="80"/>
      <c r="AR129" s="80"/>
      <c r="AS129" s="80" t="s">
        <v>1376</v>
      </c>
      <c r="AT129" s="85" t="str">
        <f>HYPERLINK("https://www.youtube.com/channel/UCntzGT7YKCWZXmfs7yCRbnw")</f>
        <v>https://www.youtube.com/channel/UCntzGT7YKCWZXmfs7yCRbnw</v>
      </c>
      <c r="AU129" s="80" t="str">
        <f>REPLACE(INDEX(GroupVertices[Group],MATCH(Vertices[[#This Row],[Vertex]],GroupVertices[Vertex],0)),1,1,"")</f>
        <v>6</v>
      </c>
      <c r="AV129" s="49">
        <v>0</v>
      </c>
      <c r="AW129" s="50">
        <v>0</v>
      </c>
      <c r="AX129" s="49">
        <v>0</v>
      </c>
      <c r="AY129" s="50">
        <v>0</v>
      </c>
      <c r="AZ129" s="49">
        <v>0</v>
      </c>
      <c r="BA129" s="50">
        <v>0</v>
      </c>
      <c r="BB129" s="49">
        <v>8</v>
      </c>
      <c r="BC129" s="50">
        <v>100</v>
      </c>
      <c r="BD129" s="49">
        <v>8</v>
      </c>
      <c r="BE129" s="49"/>
      <c r="BF129" s="49"/>
      <c r="BG129" s="49"/>
      <c r="BH129" s="49"/>
      <c r="BI129" s="49"/>
      <c r="BJ129" s="49"/>
      <c r="BK129" s="111" t="s">
        <v>2456</v>
      </c>
      <c r="BL129" s="111" t="s">
        <v>2456</v>
      </c>
      <c r="BM129" s="111" t="s">
        <v>2645</v>
      </c>
      <c r="BN129" s="111" t="s">
        <v>2645</v>
      </c>
      <c r="BO129" s="2"/>
      <c r="BP129" s="3"/>
      <c r="BQ129" s="3"/>
      <c r="BR129" s="3"/>
      <c r="BS129" s="3"/>
    </row>
    <row r="130" spans="1:71" ht="15">
      <c r="A130" s="65" t="s">
        <v>447</v>
      </c>
      <c r="B130" s="66"/>
      <c r="C130" s="66"/>
      <c r="D130" s="67">
        <v>150</v>
      </c>
      <c r="E130" s="69"/>
      <c r="F130" s="103" t="str">
        <f>HYPERLINK("https://yt3.ggpht.com/ytc/AKedOLSyrvVZzhBUN-eVgz3XSnu29wB6_HyZv56-CzGfjSw=s88-c-k-c0x00ffffff-no-rj")</f>
        <v>https://yt3.ggpht.com/ytc/AKedOLSyrvVZzhBUN-eVgz3XSnu29wB6_HyZv56-CzGfjSw=s88-c-k-c0x00ffffff-no-rj</v>
      </c>
      <c r="G130" s="66"/>
      <c r="H130" s="70" t="s">
        <v>960</v>
      </c>
      <c r="I130" s="71"/>
      <c r="J130" s="71" t="s">
        <v>159</v>
      </c>
      <c r="K130" s="70" t="s">
        <v>960</v>
      </c>
      <c r="L130" s="74">
        <v>1</v>
      </c>
      <c r="M130" s="75">
        <v>5753.14013671875</v>
      </c>
      <c r="N130" s="75">
        <v>1524.7579345703125</v>
      </c>
      <c r="O130" s="76"/>
      <c r="P130" s="77"/>
      <c r="Q130" s="77"/>
      <c r="R130" s="89"/>
      <c r="S130" s="49">
        <v>0</v>
      </c>
      <c r="T130" s="49">
        <v>1</v>
      </c>
      <c r="U130" s="50">
        <v>0</v>
      </c>
      <c r="V130" s="50">
        <v>0.163648</v>
      </c>
      <c r="W130" s="50">
        <v>0.012051</v>
      </c>
      <c r="X130" s="50">
        <v>0.003904</v>
      </c>
      <c r="Y130" s="50">
        <v>0</v>
      </c>
      <c r="Z130" s="50">
        <v>0</v>
      </c>
      <c r="AA130" s="72">
        <v>130</v>
      </c>
      <c r="AB130" s="72"/>
      <c r="AC130" s="73"/>
      <c r="AD130" s="80" t="s">
        <v>960</v>
      </c>
      <c r="AE130" s="80" t="s">
        <v>1313</v>
      </c>
      <c r="AF130" s="80"/>
      <c r="AG130" s="80"/>
      <c r="AH130" s="80"/>
      <c r="AI130" s="80"/>
      <c r="AJ130" s="87">
        <v>40081.999375</v>
      </c>
      <c r="AK130" s="85" t="str">
        <f>HYPERLINK("https://yt3.ggpht.com/ytc/AKedOLSyrvVZzhBUN-eVgz3XSnu29wB6_HyZv56-CzGfjSw=s88-c-k-c0x00ffffff-no-rj")</f>
        <v>https://yt3.ggpht.com/ytc/AKedOLSyrvVZzhBUN-eVgz3XSnu29wB6_HyZv56-CzGfjSw=s88-c-k-c0x00ffffff-no-rj</v>
      </c>
      <c r="AL130" s="80">
        <v>32336</v>
      </c>
      <c r="AM130" s="80">
        <v>0</v>
      </c>
      <c r="AN130" s="80">
        <v>37</v>
      </c>
      <c r="AO130" s="80" t="b">
        <v>0</v>
      </c>
      <c r="AP130" s="80">
        <v>29</v>
      </c>
      <c r="AQ130" s="80"/>
      <c r="AR130" s="80"/>
      <c r="AS130" s="80" t="s">
        <v>1376</v>
      </c>
      <c r="AT130" s="85" t="str">
        <f>HYPERLINK("https://www.youtube.com/channel/UCvGUF5crGKWgcjNfy69om-w")</f>
        <v>https://www.youtube.com/channel/UCvGUF5crGKWgcjNfy69om-w</v>
      </c>
      <c r="AU130" s="80" t="str">
        <f>REPLACE(INDEX(GroupVertices[Group],MATCH(Vertices[[#This Row],[Vertex]],GroupVertices[Vertex],0)),1,1,"")</f>
        <v>6</v>
      </c>
      <c r="AV130" s="49">
        <v>0</v>
      </c>
      <c r="AW130" s="50">
        <v>0</v>
      </c>
      <c r="AX130" s="49">
        <v>0</v>
      </c>
      <c r="AY130" s="50">
        <v>0</v>
      </c>
      <c r="AZ130" s="49">
        <v>0</v>
      </c>
      <c r="BA130" s="50">
        <v>0</v>
      </c>
      <c r="BB130" s="49">
        <v>7</v>
      </c>
      <c r="BC130" s="50">
        <v>100</v>
      </c>
      <c r="BD130" s="49">
        <v>7</v>
      </c>
      <c r="BE130" s="49"/>
      <c r="BF130" s="49"/>
      <c r="BG130" s="49"/>
      <c r="BH130" s="49"/>
      <c r="BI130" s="49"/>
      <c r="BJ130" s="49"/>
      <c r="BK130" s="111" t="s">
        <v>2457</v>
      </c>
      <c r="BL130" s="111" t="s">
        <v>2457</v>
      </c>
      <c r="BM130" s="111" t="s">
        <v>2646</v>
      </c>
      <c r="BN130" s="111" t="s">
        <v>2646</v>
      </c>
      <c r="BO130" s="2"/>
      <c r="BP130" s="3"/>
      <c r="BQ130" s="3"/>
      <c r="BR130" s="3"/>
      <c r="BS130" s="3"/>
    </row>
    <row r="131" spans="1:71" ht="15">
      <c r="A131" s="65" t="s">
        <v>448</v>
      </c>
      <c r="B131" s="66"/>
      <c r="C131" s="66"/>
      <c r="D131" s="67">
        <v>150</v>
      </c>
      <c r="E131" s="69"/>
      <c r="F131" s="103" t="str">
        <f>HYPERLINK("https://yt3.ggpht.com/ytc/AKedOLRr2HAPZQUZ3zjOBxQsngnmvFsSBtyjlknwx2NbPYs=s88-c-k-c0x00ffffff-no-rj")</f>
        <v>https://yt3.ggpht.com/ytc/AKedOLRr2HAPZQUZ3zjOBxQsngnmvFsSBtyjlknwx2NbPYs=s88-c-k-c0x00ffffff-no-rj</v>
      </c>
      <c r="G131" s="66"/>
      <c r="H131" s="70" t="s">
        <v>961</v>
      </c>
      <c r="I131" s="71"/>
      <c r="J131" s="71" t="s">
        <v>159</v>
      </c>
      <c r="K131" s="70" t="s">
        <v>961</v>
      </c>
      <c r="L131" s="74">
        <v>1</v>
      </c>
      <c r="M131" s="75">
        <v>4174.5595703125</v>
      </c>
      <c r="N131" s="75">
        <v>1978.2406005859375</v>
      </c>
      <c r="O131" s="76"/>
      <c r="P131" s="77"/>
      <c r="Q131" s="77"/>
      <c r="R131" s="89"/>
      <c r="S131" s="49">
        <v>0</v>
      </c>
      <c r="T131" s="49">
        <v>1</v>
      </c>
      <c r="U131" s="50">
        <v>0</v>
      </c>
      <c r="V131" s="50">
        <v>0.163648</v>
      </c>
      <c r="W131" s="50">
        <v>0.012051</v>
      </c>
      <c r="X131" s="50">
        <v>0.003904</v>
      </c>
      <c r="Y131" s="50">
        <v>0</v>
      </c>
      <c r="Z131" s="50">
        <v>0</v>
      </c>
      <c r="AA131" s="72">
        <v>131</v>
      </c>
      <c r="AB131" s="72"/>
      <c r="AC131" s="73"/>
      <c r="AD131" s="80" t="s">
        <v>961</v>
      </c>
      <c r="AE131" s="80" t="s">
        <v>1314</v>
      </c>
      <c r="AF131" s="80"/>
      <c r="AG131" s="80"/>
      <c r="AH131" s="80"/>
      <c r="AI131" s="80"/>
      <c r="AJ131" s="87">
        <v>40258.925729166665</v>
      </c>
      <c r="AK131" s="85" t="str">
        <f>HYPERLINK("https://yt3.ggpht.com/ytc/AKedOLRr2HAPZQUZ3zjOBxQsngnmvFsSBtyjlknwx2NbPYs=s88-c-k-c0x00ffffff-no-rj")</f>
        <v>https://yt3.ggpht.com/ytc/AKedOLRr2HAPZQUZ3zjOBxQsngnmvFsSBtyjlknwx2NbPYs=s88-c-k-c0x00ffffff-no-rj</v>
      </c>
      <c r="AL131" s="80">
        <v>39850</v>
      </c>
      <c r="AM131" s="80">
        <v>0</v>
      </c>
      <c r="AN131" s="80">
        <v>0</v>
      </c>
      <c r="AO131" s="80" t="b">
        <v>1</v>
      </c>
      <c r="AP131" s="80">
        <v>19</v>
      </c>
      <c r="AQ131" s="80"/>
      <c r="AR131" s="80"/>
      <c r="AS131" s="80" t="s">
        <v>1376</v>
      </c>
      <c r="AT131" s="85" t="str">
        <f>HYPERLINK("https://www.youtube.com/channel/UCkC3h3DJjv33UNvnAUmP8QA")</f>
        <v>https://www.youtube.com/channel/UCkC3h3DJjv33UNvnAUmP8QA</v>
      </c>
      <c r="AU131" s="80" t="str">
        <f>REPLACE(INDEX(GroupVertices[Group],MATCH(Vertices[[#This Row],[Vertex]],GroupVertices[Vertex],0)),1,1,"")</f>
        <v>6</v>
      </c>
      <c r="AV131" s="49">
        <v>1</v>
      </c>
      <c r="AW131" s="50">
        <v>8.333333333333334</v>
      </c>
      <c r="AX131" s="49">
        <v>0</v>
      </c>
      <c r="AY131" s="50">
        <v>0</v>
      </c>
      <c r="AZ131" s="49">
        <v>0</v>
      </c>
      <c r="BA131" s="50">
        <v>0</v>
      </c>
      <c r="BB131" s="49">
        <v>11</v>
      </c>
      <c r="BC131" s="50">
        <v>91.66666666666667</v>
      </c>
      <c r="BD131" s="49">
        <v>12</v>
      </c>
      <c r="BE131" s="49"/>
      <c r="BF131" s="49"/>
      <c r="BG131" s="49"/>
      <c r="BH131" s="49"/>
      <c r="BI131" s="49"/>
      <c r="BJ131" s="49"/>
      <c r="BK131" s="111" t="s">
        <v>2458</v>
      </c>
      <c r="BL131" s="111" t="s">
        <v>2458</v>
      </c>
      <c r="BM131" s="111" t="s">
        <v>2647</v>
      </c>
      <c r="BN131" s="111" t="s">
        <v>2647</v>
      </c>
      <c r="BO131" s="2"/>
      <c r="BP131" s="3"/>
      <c r="BQ131" s="3"/>
      <c r="BR131" s="3"/>
      <c r="BS131" s="3"/>
    </row>
    <row r="132" spans="1:71" ht="15">
      <c r="A132" s="65" t="s">
        <v>449</v>
      </c>
      <c r="B132" s="66"/>
      <c r="C132" s="66"/>
      <c r="D132" s="67">
        <v>150</v>
      </c>
      <c r="E132" s="69"/>
      <c r="F132" s="103" t="str">
        <f>HYPERLINK("https://yt3.ggpht.com/ytc/AKedOLRl6rRwGbUSv6Y65A3n9Cfva5wFnW0Oa6tjrQ=s88-c-k-c0x00ffffff-no-rj")</f>
        <v>https://yt3.ggpht.com/ytc/AKedOLRl6rRwGbUSv6Y65A3n9Cfva5wFnW0Oa6tjrQ=s88-c-k-c0x00ffffff-no-rj</v>
      </c>
      <c r="G132" s="66"/>
      <c r="H132" s="70" t="s">
        <v>962</v>
      </c>
      <c r="I132" s="71"/>
      <c r="J132" s="71" t="s">
        <v>159</v>
      </c>
      <c r="K132" s="70" t="s">
        <v>962</v>
      </c>
      <c r="L132" s="74">
        <v>1</v>
      </c>
      <c r="M132" s="75">
        <v>5436.94091796875</v>
      </c>
      <c r="N132" s="75">
        <v>1949.6646728515625</v>
      </c>
      <c r="O132" s="76"/>
      <c r="P132" s="77"/>
      <c r="Q132" s="77"/>
      <c r="R132" s="89"/>
      <c r="S132" s="49">
        <v>0</v>
      </c>
      <c r="T132" s="49">
        <v>1</v>
      </c>
      <c r="U132" s="50">
        <v>0</v>
      </c>
      <c r="V132" s="50">
        <v>0.163648</v>
      </c>
      <c r="W132" s="50">
        <v>0.012051</v>
      </c>
      <c r="X132" s="50">
        <v>0.003904</v>
      </c>
      <c r="Y132" s="50">
        <v>0</v>
      </c>
      <c r="Z132" s="50">
        <v>0</v>
      </c>
      <c r="AA132" s="72">
        <v>132</v>
      </c>
      <c r="AB132" s="72"/>
      <c r="AC132" s="73"/>
      <c r="AD132" s="80" t="s">
        <v>962</v>
      </c>
      <c r="AE132" s="80"/>
      <c r="AF132" s="80"/>
      <c r="AG132" s="80"/>
      <c r="AH132" s="80"/>
      <c r="AI132" s="80"/>
      <c r="AJ132" s="87">
        <v>43972.178032407406</v>
      </c>
      <c r="AK132" s="85" t="str">
        <f>HYPERLINK("https://yt3.ggpht.com/ytc/AKedOLRl6rRwGbUSv6Y65A3n9Cfva5wFnW0Oa6tjrQ=s88-c-k-c0x00ffffff-no-rj")</f>
        <v>https://yt3.ggpht.com/ytc/AKedOLRl6rRwGbUSv6Y65A3n9Cfva5wFnW0Oa6tjrQ=s88-c-k-c0x00ffffff-no-rj</v>
      </c>
      <c r="AL132" s="80">
        <v>0</v>
      </c>
      <c r="AM132" s="80">
        <v>0</v>
      </c>
      <c r="AN132" s="80">
        <v>0</v>
      </c>
      <c r="AO132" s="80" t="b">
        <v>0</v>
      </c>
      <c r="AP132" s="80">
        <v>0</v>
      </c>
      <c r="AQ132" s="80"/>
      <c r="AR132" s="80"/>
      <c r="AS132" s="80" t="s">
        <v>1376</v>
      </c>
      <c r="AT132" s="85" t="str">
        <f>HYPERLINK("https://www.youtube.com/channel/UCs_w8C3KKuchf7tTDjLH6EQ")</f>
        <v>https://www.youtube.com/channel/UCs_w8C3KKuchf7tTDjLH6EQ</v>
      </c>
      <c r="AU132" s="80" t="str">
        <f>REPLACE(INDEX(GroupVertices[Group],MATCH(Vertices[[#This Row],[Vertex]],GroupVertices[Vertex],0)),1,1,"")</f>
        <v>6</v>
      </c>
      <c r="AV132" s="49">
        <v>0</v>
      </c>
      <c r="AW132" s="50">
        <v>0</v>
      </c>
      <c r="AX132" s="49">
        <v>0</v>
      </c>
      <c r="AY132" s="50">
        <v>0</v>
      </c>
      <c r="AZ132" s="49">
        <v>0</v>
      </c>
      <c r="BA132" s="50">
        <v>0</v>
      </c>
      <c r="BB132" s="49">
        <v>4</v>
      </c>
      <c r="BC132" s="50">
        <v>100</v>
      </c>
      <c r="BD132" s="49">
        <v>4</v>
      </c>
      <c r="BE132" s="49"/>
      <c r="BF132" s="49"/>
      <c r="BG132" s="49"/>
      <c r="BH132" s="49"/>
      <c r="BI132" s="49"/>
      <c r="BJ132" s="49"/>
      <c r="BK132" s="111" t="s">
        <v>2459</v>
      </c>
      <c r="BL132" s="111" t="s">
        <v>2459</v>
      </c>
      <c r="BM132" s="111" t="s">
        <v>2648</v>
      </c>
      <c r="BN132" s="111" t="s">
        <v>2648</v>
      </c>
      <c r="BO132" s="2"/>
      <c r="BP132" s="3"/>
      <c r="BQ132" s="3"/>
      <c r="BR132" s="3"/>
      <c r="BS132" s="3"/>
    </row>
    <row r="133" spans="1:71" ht="15">
      <c r="A133" s="65" t="s">
        <v>451</v>
      </c>
      <c r="B133" s="66"/>
      <c r="C133" s="66"/>
      <c r="D133" s="67">
        <v>150</v>
      </c>
      <c r="E133" s="69"/>
      <c r="F133" s="103" t="str">
        <f>HYPERLINK("https://yt3.ggpht.com/ytc/AKedOLQlbNSSKebjMbnnVxr16RYCrupcUgsL9uFozQ=s88-c-k-c0x00ffffff-no-rj")</f>
        <v>https://yt3.ggpht.com/ytc/AKedOLQlbNSSKebjMbnnVxr16RYCrupcUgsL9uFozQ=s88-c-k-c0x00ffffff-no-rj</v>
      </c>
      <c r="G133" s="66"/>
      <c r="H133" s="70" t="s">
        <v>964</v>
      </c>
      <c r="I133" s="71"/>
      <c r="J133" s="71" t="s">
        <v>159</v>
      </c>
      <c r="K133" s="70" t="s">
        <v>964</v>
      </c>
      <c r="L133" s="74">
        <v>1</v>
      </c>
      <c r="M133" s="75">
        <v>5510.0810546875</v>
      </c>
      <c r="N133" s="75">
        <v>1099.915771484375</v>
      </c>
      <c r="O133" s="76"/>
      <c r="P133" s="77"/>
      <c r="Q133" s="77"/>
      <c r="R133" s="89"/>
      <c r="S133" s="49">
        <v>1</v>
      </c>
      <c r="T133" s="49">
        <v>1</v>
      </c>
      <c r="U133" s="50">
        <v>0</v>
      </c>
      <c r="V133" s="50">
        <v>0.163648</v>
      </c>
      <c r="W133" s="50">
        <v>0.012051</v>
      </c>
      <c r="X133" s="50">
        <v>0.003904</v>
      </c>
      <c r="Y133" s="50">
        <v>0</v>
      </c>
      <c r="Z133" s="50">
        <v>1</v>
      </c>
      <c r="AA133" s="72">
        <v>133</v>
      </c>
      <c r="AB133" s="72"/>
      <c r="AC133" s="73"/>
      <c r="AD133" s="80" t="s">
        <v>964</v>
      </c>
      <c r="AE133" s="80"/>
      <c r="AF133" s="80"/>
      <c r="AG133" s="80"/>
      <c r="AH133" s="80"/>
      <c r="AI133" s="80"/>
      <c r="AJ133" s="87">
        <v>44015.69081018519</v>
      </c>
      <c r="AK133" s="85" t="str">
        <f>HYPERLINK("https://yt3.ggpht.com/ytc/AKedOLQlbNSSKebjMbnnVxr16RYCrupcUgsL9uFozQ=s88-c-k-c0x00ffffff-no-rj")</f>
        <v>https://yt3.ggpht.com/ytc/AKedOLQlbNSSKebjMbnnVxr16RYCrupcUgsL9uFozQ=s88-c-k-c0x00ffffff-no-rj</v>
      </c>
      <c r="AL133" s="80">
        <v>0</v>
      </c>
      <c r="AM133" s="80">
        <v>0</v>
      </c>
      <c r="AN133" s="80">
        <v>0</v>
      </c>
      <c r="AO133" s="80" t="b">
        <v>0</v>
      </c>
      <c r="AP133" s="80">
        <v>0</v>
      </c>
      <c r="AQ133" s="80"/>
      <c r="AR133" s="80"/>
      <c r="AS133" s="80" t="s">
        <v>1376</v>
      </c>
      <c r="AT133" s="85" t="str">
        <f>HYPERLINK("https://www.youtube.com/channel/UC33YvdKdCbETlDVRz_I42sw")</f>
        <v>https://www.youtube.com/channel/UC33YvdKdCbETlDVRz_I42sw</v>
      </c>
      <c r="AU133" s="80" t="str">
        <f>REPLACE(INDEX(GroupVertices[Group],MATCH(Vertices[[#This Row],[Vertex]],GroupVertices[Vertex],0)),1,1,"")</f>
        <v>6</v>
      </c>
      <c r="AV133" s="49">
        <v>0</v>
      </c>
      <c r="AW133" s="50">
        <v>0</v>
      </c>
      <c r="AX133" s="49">
        <v>0</v>
      </c>
      <c r="AY133" s="50">
        <v>0</v>
      </c>
      <c r="AZ133" s="49">
        <v>0</v>
      </c>
      <c r="BA133" s="50">
        <v>0</v>
      </c>
      <c r="BB133" s="49">
        <v>10</v>
      </c>
      <c r="BC133" s="50">
        <v>100</v>
      </c>
      <c r="BD133" s="49">
        <v>10</v>
      </c>
      <c r="BE133" s="49"/>
      <c r="BF133" s="49"/>
      <c r="BG133" s="49"/>
      <c r="BH133" s="49"/>
      <c r="BI133" s="49"/>
      <c r="BJ133" s="49"/>
      <c r="BK133" s="111" t="s">
        <v>2460</v>
      </c>
      <c r="BL133" s="111" t="s">
        <v>2460</v>
      </c>
      <c r="BM133" s="111" t="s">
        <v>2649</v>
      </c>
      <c r="BN133" s="111" t="s">
        <v>2649</v>
      </c>
      <c r="BO133" s="2"/>
      <c r="BP133" s="3"/>
      <c r="BQ133" s="3"/>
      <c r="BR133" s="3"/>
      <c r="BS133" s="3"/>
    </row>
    <row r="134" spans="1:71" ht="15">
      <c r="A134" s="65" t="s">
        <v>452</v>
      </c>
      <c r="B134" s="66"/>
      <c r="C134" s="66"/>
      <c r="D134" s="67">
        <v>150</v>
      </c>
      <c r="E134" s="69"/>
      <c r="F134" s="103" t="str">
        <f>HYPERLINK("https://yt3.ggpht.com/ytc/AKedOLQrOp3M4fqqtkONNP6bXsHn-_CYBRdVIYNZkswaeg=s88-c-k-c0x00ffffff-no-rj")</f>
        <v>https://yt3.ggpht.com/ytc/AKedOLQrOp3M4fqqtkONNP6bXsHn-_CYBRdVIYNZkswaeg=s88-c-k-c0x00ffffff-no-rj</v>
      </c>
      <c r="G134" s="66"/>
      <c r="H134" s="70" t="s">
        <v>965</v>
      </c>
      <c r="I134" s="71"/>
      <c r="J134" s="71" t="s">
        <v>159</v>
      </c>
      <c r="K134" s="70" t="s">
        <v>965</v>
      </c>
      <c r="L134" s="74">
        <v>1</v>
      </c>
      <c r="M134" s="75">
        <v>3967.971923828125</v>
      </c>
      <c r="N134" s="75">
        <v>7261.4169921875</v>
      </c>
      <c r="O134" s="76"/>
      <c r="P134" s="77"/>
      <c r="Q134" s="77"/>
      <c r="R134" s="89"/>
      <c r="S134" s="49">
        <v>0</v>
      </c>
      <c r="T134" s="49">
        <v>1</v>
      </c>
      <c r="U134" s="50">
        <v>0</v>
      </c>
      <c r="V134" s="50">
        <v>0.103071</v>
      </c>
      <c r="W134" s="50">
        <v>7.7E-05</v>
      </c>
      <c r="X134" s="50">
        <v>0.003956</v>
      </c>
      <c r="Y134" s="50">
        <v>0</v>
      </c>
      <c r="Z134" s="50">
        <v>0</v>
      </c>
      <c r="AA134" s="72">
        <v>134</v>
      </c>
      <c r="AB134" s="72"/>
      <c r="AC134" s="73"/>
      <c r="AD134" s="80" t="s">
        <v>965</v>
      </c>
      <c r="AE134" s="80"/>
      <c r="AF134" s="80"/>
      <c r="AG134" s="80"/>
      <c r="AH134" s="80"/>
      <c r="AI134" s="80"/>
      <c r="AJ134" s="87">
        <v>40899.04900462963</v>
      </c>
      <c r="AK134" s="85" t="str">
        <f>HYPERLINK("https://yt3.ggpht.com/ytc/AKedOLQrOp3M4fqqtkONNP6bXsHn-_CYBRdVIYNZkswaeg=s88-c-k-c0x00ffffff-no-rj")</f>
        <v>https://yt3.ggpht.com/ytc/AKedOLQrOp3M4fqqtkONNP6bXsHn-_CYBRdVIYNZkswaeg=s88-c-k-c0x00ffffff-no-rj</v>
      </c>
      <c r="AL134" s="80">
        <v>0</v>
      </c>
      <c r="AM134" s="80">
        <v>0</v>
      </c>
      <c r="AN134" s="80">
        <v>0</v>
      </c>
      <c r="AO134" s="80" t="b">
        <v>0</v>
      </c>
      <c r="AP134" s="80">
        <v>0</v>
      </c>
      <c r="AQ134" s="80"/>
      <c r="AR134" s="80"/>
      <c r="AS134" s="80" t="s">
        <v>1376</v>
      </c>
      <c r="AT134" s="85" t="str">
        <f>HYPERLINK("https://www.youtube.com/channel/UCMS61u_TGqi-c_UEhywFcQg")</f>
        <v>https://www.youtube.com/channel/UCMS61u_TGqi-c_UEhywFcQg</v>
      </c>
      <c r="AU134" s="80" t="str">
        <f>REPLACE(INDEX(GroupVertices[Group],MATCH(Vertices[[#This Row],[Vertex]],GroupVertices[Vertex],0)),1,1,"")</f>
        <v>4</v>
      </c>
      <c r="AV134" s="49">
        <v>0</v>
      </c>
      <c r="AW134" s="50">
        <v>0</v>
      </c>
      <c r="AX134" s="49">
        <v>0</v>
      </c>
      <c r="AY134" s="50">
        <v>0</v>
      </c>
      <c r="AZ134" s="49">
        <v>0</v>
      </c>
      <c r="BA134" s="50">
        <v>0</v>
      </c>
      <c r="BB134" s="49">
        <v>1</v>
      </c>
      <c r="BC134" s="50">
        <v>100</v>
      </c>
      <c r="BD134" s="49">
        <v>1</v>
      </c>
      <c r="BE134" s="49"/>
      <c r="BF134" s="49"/>
      <c r="BG134" s="49"/>
      <c r="BH134" s="49"/>
      <c r="BI134" s="49"/>
      <c r="BJ134" s="49"/>
      <c r="BK134" s="111" t="s">
        <v>1239</v>
      </c>
      <c r="BL134" s="111" t="s">
        <v>1239</v>
      </c>
      <c r="BM134" s="111" t="s">
        <v>1239</v>
      </c>
      <c r="BN134" s="111" t="s">
        <v>1239</v>
      </c>
      <c r="BO134" s="2"/>
      <c r="BP134" s="3"/>
      <c r="BQ134" s="3"/>
      <c r="BR134" s="3"/>
      <c r="BS134" s="3"/>
    </row>
    <row r="135" spans="1:71" ht="15">
      <c r="A135" s="65" t="s">
        <v>453</v>
      </c>
      <c r="B135" s="66"/>
      <c r="C135" s="66"/>
      <c r="D135" s="67">
        <v>150</v>
      </c>
      <c r="E135" s="69"/>
      <c r="F135" s="103" t="str">
        <f>HYPERLINK("https://yt3.ggpht.com/ytc/AKedOLTL_mtyreQfcP0btrAgFfYqTOeDsxEPcxonQm1t=s88-c-k-c0x00ffffff-no-rj")</f>
        <v>https://yt3.ggpht.com/ytc/AKedOLTL_mtyreQfcP0btrAgFfYqTOeDsxEPcxonQm1t=s88-c-k-c0x00ffffff-no-rj</v>
      </c>
      <c r="G135" s="66"/>
      <c r="H135" s="70" t="s">
        <v>966</v>
      </c>
      <c r="I135" s="71"/>
      <c r="J135" s="71" t="s">
        <v>159</v>
      </c>
      <c r="K135" s="70" t="s">
        <v>966</v>
      </c>
      <c r="L135" s="74">
        <v>1</v>
      </c>
      <c r="M135" s="75">
        <v>4236.10009765625</v>
      </c>
      <c r="N135" s="75">
        <v>6926.71044921875</v>
      </c>
      <c r="O135" s="76"/>
      <c r="P135" s="77"/>
      <c r="Q135" s="77"/>
      <c r="R135" s="89"/>
      <c r="S135" s="49">
        <v>0</v>
      </c>
      <c r="T135" s="49">
        <v>1</v>
      </c>
      <c r="U135" s="50">
        <v>0</v>
      </c>
      <c r="V135" s="50">
        <v>0.103071</v>
      </c>
      <c r="W135" s="50">
        <v>7.7E-05</v>
      </c>
      <c r="X135" s="50">
        <v>0.003956</v>
      </c>
      <c r="Y135" s="50">
        <v>0</v>
      </c>
      <c r="Z135" s="50">
        <v>0</v>
      </c>
      <c r="AA135" s="72">
        <v>135</v>
      </c>
      <c r="AB135" s="72"/>
      <c r="AC135" s="73"/>
      <c r="AD135" s="80" t="s">
        <v>966</v>
      </c>
      <c r="AE135" s="80" t="s">
        <v>1315</v>
      </c>
      <c r="AF135" s="80"/>
      <c r="AG135" s="80"/>
      <c r="AH135" s="80"/>
      <c r="AI135" s="80"/>
      <c r="AJ135" s="87">
        <v>44089.23604166666</v>
      </c>
      <c r="AK135" s="85" t="str">
        <f>HYPERLINK("https://yt3.ggpht.com/ytc/AKedOLTL_mtyreQfcP0btrAgFfYqTOeDsxEPcxonQm1t=s88-c-k-c0x00ffffff-no-rj")</f>
        <v>https://yt3.ggpht.com/ytc/AKedOLTL_mtyreQfcP0btrAgFfYqTOeDsxEPcxonQm1t=s88-c-k-c0x00ffffff-no-rj</v>
      </c>
      <c r="AL135" s="80">
        <v>77004</v>
      </c>
      <c r="AM135" s="80">
        <v>0</v>
      </c>
      <c r="AN135" s="80">
        <v>3010</v>
      </c>
      <c r="AO135" s="80" t="b">
        <v>0</v>
      </c>
      <c r="AP135" s="80">
        <v>22</v>
      </c>
      <c r="AQ135" s="80"/>
      <c r="AR135" s="80"/>
      <c r="AS135" s="80" t="s">
        <v>1376</v>
      </c>
      <c r="AT135" s="85" t="str">
        <f>HYPERLINK("https://www.youtube.com/channel/UCeIJT2rmwfiwi5iuVCrorfQ")</f>
        <v>https://www.youtube.com/channel/UCeIJT2rmwfiwi5iuVCrorfQ</v>
      </c>
      <c r="AU135" s="80" t="str">
        <f>REPLACE(INDEX(GroupVertices[Group],MATCH(Vertices[[#This Row],[Vertex]],GroupVertices[Vertex],0)),1,1,"")</f>
        <v>4</v>
      </c>
      <c r="AV135" s="49">
        <v>1</v>
      </c>
      <c r="AW135" s="50">
        <v>100</v>
      </c>
      <c r="AX135" s="49">
        <v>0</v>
      </c>
      <c r="AY135" s="50">
        <v>0</v>
      </c>
      <c r="AZ135" s="49">
        <v>0</v>
      </c>
      <c r="BA135" s="50">
        <v>0</v>
      </c>
      <c r="BB135" s="49">
        <v>0</v>
      </c>
      <c r="BC135" s="50">
        <v>0</v>
      </c>
      <c r="BD135" s="49">
        <v>1</v>
      </c>
      <c r="BE135" s="49"/>
      <c r="BF135" s="49"/>
      <c r="BG135" s="49"/>
      <c r="BH135" s="49"/>
      <c r="BI135" s="49"/>
      <c r="BJ135" s="49"/>
      <c r="BK135" s="111" t="s">
        <v>1542</v>
      </c>
      <c r="BL135" s="111" t="s">
        <v>1542</v>
      </c>
      <c r="BM135" s="111" t="s">
        <v>1239</v>
      </c>
      <c r="BN135" s="111" t="s">
        <v>1239</v>
      </c>
      <c r="BO135" s="2"/>
      <c r="BP135" s="3"/>
      <c r="BQ135" s="3"/>
      <c r="BR135" s="3"/>
      <c r="BS135" s="3"/>
    </row>
    <row r="136" spans="1:71" ht="15">
      <c r="A136" s="65" t="s">
        <v>454</v>
      </c>
      <c r="B136" s="66"/>
      <c r="C136" s="66"/>
      <c r="D136" s="67">
        <v>150</v>
      </c>
      <c r="E136" s="69"/>
      <c r="F136" s="103" t="str">
        <f>HYPERLINK("https://yt3.ggpht.com/ytc/AKedOLSy2bHOfszBiJy2EI2eACpPATNATOOU9u3zPfTzUQ=s88-c-k-c0x00ffffff-no-rj")</f>
        <v>https://yt3.ggpht.com/ytc/AKedOLSy2bHOfszBiJy2EI2eACpPATNATOOU9u3zPfTzUQ=s88-c-k-c0x00ffffff-no-rj</v>
      </c>
      <c r="G136" s="66"/>
      <c r="H136" s="70" t="s">
        <v>967</v>
      </c>
      <c r="I136" s="71"/>
      <c r="J136" s="71" t="s">
        <v>159</v>
      </c>
      <c r="K136" s="70" t="s">
        <v>967</v>
      </c>
      <c r="L136" s="74">
        <v>1</v>
      </c>
      <c r="M136" s="75">
        <v>3848.297607421875</v>
      </c>
      <c r="N136" s="75">
        <v>8311.298828125</v>
      </c>
      <c r="O136" s="76"/>
      <c r="P136" s="77"/>
      <c r="Q136" s="77"/>
      <c r="R136" s="89"/>
      <c r="S136" s="49">
        <v>0</v>
      </c>
      <c r="T136" s="49">
        <v>1</v>
      </c>
      <c r="U136" s="50">
        <v>0</v>
      </c>
      <c r="V136" s="50">
        <v>0.103071</v>
      </c>
      <c r="W136" s="50">
        <v>7.7E-05</v>
      </c>
      <c r="X136" s="50">
        <v>0.003956</v>
      </c>
      <c r="Y136" s="50">
        <v>0</v>
      </c>
      <c r="Z136" s="50">
        <v>0</v>
      </c>
      <c r="AA136" s="72">
        <v>136</v>
      </c>
      <c r="AB136" s="72"/>
      <c r="AC136" s="73"/>
      <c r="AD136" s="80" t="s">
        <v>967</v>
      </c>
      <c r="AE136" s="80" t="s">
        <v>1316</v>
      </c>
      <c r="AF136" s="80"/>
      <c r="AG136" s="80"/>
      <c r="AH136" s="80"/>
      <c r="AI136" s="80"/>
      <c r="AJ136" s="87">
        <v>40925.25241898148</v>
      </c>
      <c r="AK136" s="85" t="str">
        <f>HYPERLINK("https://yt3.ggpht.com/ytc/AKedOLSy2bHOfszBiJy2EI2eACpPATNATOOU9u3zPfTzUQ=s88-c-k-c0x00ffffff-no-rj")</f>
        <v>https://yt3.ggpht.com/ytc/AKedOLSy2bHOfszBiJy2EI2eACpPATNATOOU9u3zPfTzUQ=s88-c-k-c0x00ffffff-no-rj</v>
      </c>
      <c r="AL136" s="80">
        <v>14493</v>
      </c>
      <c r="AM136" s="80">
        <v>0</v>
      </c>
      <c r="AN136" s="80">
        <v>443</v>
      </c>
      <c r="AO136" s="80" t="b">
        <v>0</v>
      </c>
      <c r="AP136" s="80">
        <v>68</v>
      </c>
      <c r="AQ136" s="80"/>
      <c r="AR136" s="80"/>
      <c r="AS136" s="80" t="s">
        <v>1376</v>
      </c>
      <c r="AT136" s="85" t="str">
        <f>HYPERLINK("https://www.youtube.com/channel/UCA3wy2ieu53FkBf19GeaSzw")</f>
        <v>https://www.youtube.com/channel/UCA3wy2ieu53FkBf19GeaSzw</v>
      </c>
      <c r="AU136" s="80" t="str">
        <f>REPLACE(INDEX(GroupVertices[Group],MATCH(Vertices[[#This Row],[Vertex]],GroupVertices[Vertex],0)),1,1,"")</f>
        <v>4</v>
      </c>
      <c r="AV136" s="49">
        <v>0</v>
      </c>
      <c r="AW136" s="50">
        <v>0</v>
      </c>
      <c r="AX136" s="49">
        <v>0</v>
      </c>
      <c r="AY136" s="50">
        <v>0</v>
      </c>
      <c r="AZ136" s="49">
        <v>0</v>
      </c>
      <c r="BA136" s="50">
        <v>0</v>
      </c>
      <c r="BB136" s="49">
        <v>14</v>
      </c>
      <c r="BC136" s="50">
        <v>100</v>
      </c>
      <c r="BD136" s="49">
        <v>14</v>
      </c>
      <c r="BE136" s="49"/>
      <c r="BF136" s="49"/>
      <c r="BG136" s="49"/>
      <c r="BH136" s="49"/>
      <c r="BI136" s="49"/>
      <c r="BJ136" s="49"/>
      <c r="BK136" s="111" t="s">
        <v>2461</v>
      </c>
      <c r="BL136" s="111" t="s">
        <v>2461</v>
      </c>
      <c r="BM136" s="111" t="s">
        <v>2650</v>
      </c>
      <c r="BN136" s="111" t="s">
        <v>2650</v>
      </c>
      <c r="BO136" s="2"/>
      <c r="BP136" s="3"/>
      <c r="BQ136" s="3"/>
      <c r="BR136" s="3"/>
      <c r="BS136" s="3"/>
    </row>
    <row r="137" spans="1:71" ht="15">
      <c r="A137" s="65" t="s">
        <v>455</v>
      </c>
      <c r="B137" s="66"/>
      <c r="C137" s="66"/>
      <c r="D137" s="67">
        <v>150</v>
      </c>
      <c r="E137" s="69"/>
      <c r="F137" s="103" t="str">
        <f>HYPERLINK("https://yt3.ggpht.com/ytc/AKedOLSbWWiSk-T1Yxvqpl4pYoQztC2OOx9YSHNdRCdg=s88-c-k-c0x00ffffff-no-rj")</f>
        <v>https://yt3.ggpht.com/ytc/AKedOLSbWWiSk-T1Yxvqpl4pYoQztC2OOx9YSHNdRCdg=s88-c-k-c0x00ffffff-no-rj</v>
      </c>
      <c r="G137" s="66"/>
      <c r="H137" s="70" t="s">
        <v>968</v>
      </c>
      <c r="I137" s="71"/>
      <c r="J137" s="71" t="s">
        <v>159</v>
      </c>
      <c r="K137" s="70" t="s">
        <v>968</v>
      </c>
      <c r="L137" s="74">
        <v>1</v>
      </c>
      <c r="M137" s="75">
        <v>8788.9296875</v>
      </c>
      <c r="N137" s="75">
        <v>4267.95556640625</v>
      </c>
      <c r="O137" s="76"/>
      <c r="P137" s="77"/>
      <c r="Q137" s="77"/>
      <c r="R137" s="89"/>
      <c r="S137" s="49">
        <v>0</v>
      </c>
      <c r="T137" s="49">
        <v>1</v>
      </c>
      <c r="U137" s="50">
        <v>0</v>
      </c>
      <c r="V137" s="50">
        <v>0.008072</v>
      </c>
      <c r="W137" s="50">
        <v>0</v>
      </c>
      <c r="X137" s="50">
        <v>0.004013</v>
      </c>
      <c r="Y137" s="50">
        <v>0</v>
      </c>
      <c r="Z137" s="50">
        <v>0</v>
      </c>
      <c r="AA137" s="72">
        <v>137</v>
      </c>
      <c r="AB137" s="72"/>
      <c r="AC137" s="73"/>
      <c r="AD137" s="80" t="s">
        <v>968</v>
      </c>
      <c r="AE137" s="80" t="s">
        <v>1317</v>
      </c>
      <c r="AF137" s="80"/>
      <c r="AG137" s="80"/>
      <c r="AH137" s="80"/>
      <c r="AI137" s="80"/>
      <c r="AJ137" s="87">
        <v>41582.65070601852</v>
      </c>
      <c r="AK137" s="85" t="str">
        <f>HYPERLINK("https://yt3.ggpht.com/ytc/AKedOLSbWWiSk-T1Yxvqpl4pYoQztC2OOx9YSHNdRCdg=s88-c-k-c0x00ffffff-no-rj")</f>
        <v>https://yt3.ggpht.com/ytc/AKedOLSbWWiSk-T1Yxvqpl4pYoQztC2OOx9YSHNdRCdg=s88-c-k-c0x00ffffff-no-rj</v>
      </c>
      <c r="AL137" s="80">
        <v>3239</v>
      </c>
      <c r="AM137" s="80">
        <v>0</v>
      </c>
      <c r="AN137" s="80">
        <v>30</v>
      </c>
      <c r="AO137" s="80" t="b">
        <v>0</v>
      </c>
      <c r="AP137" s="80">
        <v>11</v>
      </c>
      <c r="AQ137" s="80"/>
      <c r="AR137" s="80"/>
      <c r="AS137" s="80" t="s">
        <v>1376</v>
      </c>
      <c r="AT137" s="85" t="str">
        <f>HYPERLINK("https://www.youtube.com/channel/UCqdyyZiSL4ZHyXE11pNa-PQ")</f>
        <v>https://www.youtube.com/channel/UCqdyyZiSL4ZHyXE11pNa-PQ</v>
      </c>
      <c r="AU137" s="80" t="str">
        <f>REPLACE(INDEX(GroupVertices[Group],MATCH(Vertices[[#This Row],[Vertex]],GroupVertices[Vertex],0)),1,1,"")</f>
        <v>12</v>
      </c>
      <c r="AV137" s="49">
        <v>0</v>
      </c>
      <c r="AW137" s="50">
        <v>0</v>
      </c>
      <c r="AX137" s="49">
        <v>0</v>
      </c>
      <c r="AY137" s="50">
        <v>0</v>
      </c>
      <c r="AZ137" s="49">
        <v>0</v>
      </c>
      <c r="BA137" s="50">
        <v>0</v>
      </c>
      <c r="BB137" s="49">
        <v>1</v>
      </c>
      <c r="BC137" s="50">
        <v>100</v>
      </c>
      <c r="BD137" s="49">
        <v>1</v>
      </c>
      <c r="BE137" s="49"/>
      <c r="BF137" s="49"/>
      <c r="BG137" s="49"/>
      <c r="BH137" s="49"/>
      <c r="BI137" s="49"/>
      <c r="BJ137" s="49"/>
      <c r="BK137" s="111" t="s">
        <v>2462</v>
      </c>
      <c r="BL137" s="111" t="s">
        <v>2462</v>
      </c>
      <c r="BM137" s="111" t="s">
        <v>1239</v>
      </c>
      <c r="BN137" s="111" t="s">
        <v>1239</v>
      </c>
      <c r="BO137" s="2"/>
      <c r="BP137" s="3"/>
      <c r="BQ137" s="3"/>
      <c r="BR137" s="3"/>
      <c r="BS137" s="3"/>
    </row>
    <row r="138" spans="1:71" ht="15">
      <c r="A138" s="65" t="s">
        <v>559</v>
      </c>
      <c r="B138" s="66"/>
      <c r="C138" s="66"/>
      <c r="D138" s="67">
        <v>154.88505747126436</v>
      </c>
      <c r="E138" s="69"/>
      <c r="F138" s="103" t="str">
        <f>HYPERLINK("https://yt3.ggpht.com/ytc/AKedOLSjmmA-Z46gYbZ-5aKPNB3oZiamWDkG6JBHwUq8=s88-c-k-c0x00ffffff-no-rj")</f>
        <v>https://yt3.ggpht.com/ytc/AKedOLSjmmA-Z46gYbZ-5aKPNB3oZiamWDkG6JBHwUq8=s88-c-k-c0x00ffffff-no-rj</v>
      </c>
      <c r="G138" s="66"/>
      <c r="H138" s="70" t="s">
        <v>1269</v>
      </c>
      <c r="I138" s="71"/>
      <c r="J138" s="71" t="s">
        <v>75</v>
      </c>
      <c r="K138" s="70" t="s">
        <v>1269</v>
      </c>
      <c r="L138" s="74">
        <v>5.3268377711287656</v>
      </c>
      <c r="M138" s="75">
        <v>8788.9296875</v>
      </c>
      <c r="N138" s="75">
        <v>3569.495849609375</v>
      </c>
      <c r="O138" s="76"/>
      <c r="P138" s="77"/>
      <c r="Q138" s="77"/>
      <c r="R138" s="89"/>
      <c r="S138" s="49">
        <v>4</v>
      </c>
      <c r="T138" s="49">
        <v>1</v>
      </c>
      <c r="U138" s="50">
        <v>6</v>
      </c>
      <c r="V138" s="50">
        <v>0.013453</v>
      </c>
      <c r="W138" s="50">
        <v>0</v>
      </c>
      <c r="X138" s="50">
        <v>0.005819</v>
      </c>
      <c r="Y138" s="50">
        <v>0</v>
      </c>
      <c r="Z138" s="50">
        <v>0</v>
      </c>
      <c r="AA138" s="72">
        <v>138</v>
      </c>
      <c r="AB138" s="72"/>
      <c r="AC138" s="73"/>
      <c r="AD138" s="80" t="s">
        <v>1269</v>
      </c>
      <c r="AE138" s="80"/>
      <c r="AF138" s="80"/>
      <c r="AG138" s="80"/>
      <c r="AH138" s="80"/>
      <c r="AI138" s="80"/>
      <c r="AJ138" s="87">
        <v>43377.55987268518</v>
      </c>
      <c r="AK138" s="85" t="str">
        <f>HYPERLINK("https://yt3.ggpht.com/ytc/AKedOLSjmmA-Z46gYbZ-5aKPNB3oZiamWDkG6JBHwUq8=s88-c-k-c0x00ffffff-no-rj")</f>
        <v>https://yt3.ggpht.com/ytc/AKedOLSjmmA-Z46gYbZ-5aKPNB3oZiamWDkG6JBHwUq8=s88-c-k-c0x00ffffff-no-rj</v>
      </c>
      <c r="AL138" s="80">
        <v>2583</v>
      </c>
      <c r="AM138" s="80">
        <v>0</v>
      </c>
      <c r="AN138" s="80">
        <v>72</v>
      </c>
      <c r="AO138" s="80" t="b">
        <v>0</v>
      </c>
      <c r="AP138" s="80">
        <v>14</v>
      </c>
      <c r="AQ138" s="80"/>
      <c r="AR138" s="80"/>
      <c r="AS138" s="80" t="s">
        <v>1376</v>
      </c>
      <c r="AT138" s="85" t="str">
        <f>HYPERLINK("https://www.youtube.com/channel/UClF3Q-_xtSxneYXZZIs3rtQ")</f>
        <v>https://www.youtube.com/channel/UClF3Q-_xtSxneYXZZIs3rtQ</v>
      </c>
      <c r="AU138" s="80" t="str">
        <f>REPLACE(INDEX(GroupVertices[Group],MATCH(Vertices[[#This Row],[Vertex]],GroupVertices[Vertex],0)),1,1,"")</f>
        <v>12</v>
      </c>
      <c r="AV138" s="49"/>
      <c r="AW138" s="50"/>
      <c r="AX138" s="49"/>
      <c r="AY138" s="50"/>
      <c r="AZ138" s="49"/>
      <c r="BA138" s="50"/>
      <c r="BB138" s="49"/>
      <c r="BC138" s="50"/>
      <c r="BD138" s="49"/>
      <c r="BE138" s="49"/>
      <c r="BF138" s="49"/>
      <c r="BG138" s="49"/>
      <c r="BH138" s="49"/>
      <c r="BI138" s="49"/>
      <c r="BJ138" s="49"/>
      <c r="BK138" s="111" t="s">
        <v>1239</v>
      </c>
      <c r="BL138" s="111" t="s">
        <v>1239</v>
      </c>
      <c r="BM138" s="111" t="s">
        <v>1239</v>
      </c>
      <c r="BN138" s="111" t="s">
        <v>1239</v>
      </c>
      <c r="BO138" s="2"/>
      <c r="BP138" s="3"/>
      <c r="BQ138" s="3"/>
      <c r="BR138" s="3"/>
      <c r="BS138" s="3"/>
    </row>
    <row r="139" spans="1:71" ht="15">
      <c r="A139" s="65" t="s">
        <v>456</v>
      </c>
      <c r="B139" s="66"/>
      <c r="C139" s="66"/>
      <c r="D139" s="67">
        <v>150</v>
      </c>
      <c r="E139" s="69"/>
      <c r="F139" s="103" t="str">
        <f>HYPERLINK("https://yt3.ggpht.com/b82Iy5mn_DHEuU2yTHXXe8QHERIjk763B-wl3xcF6T54TTpVYFqFLzjmGC-HrnPHUO1C8JaJ=s88-c-k-c0x00ffffff-no-rj")</f>
        <v>https://yt3.ggpht.com/b82Iy5mn_DHEuU2yTHXXe8QHERIjk763B-wl3xcF6T54TTpVYFqFLzjmGC-HrnPHUO1C8JaJ=s88-c-k-c0x00ffffff-no-rj</v>
      </c>
      <c r="G139" s="66"/>
      <c r="H139" s="70" t="s">
        <v>969</v>
      </c>
      <c r="I139" s="71"/>
      <c r="J139" s="71" t="s">
        <v>159</v>
      </c>
      <c r="K139" s="70" t="s">
        <v>969</v>
      </c>
      <c r="L139" s="74">
        <v>1</v>
      </c>
      <c r="M139" s="75">
        <v>8279.4267578125</v>
      </c>
      <c r="N139" s="75">
        <v>4267.95556640625</v>
      </c>
      <c r="O139" s="76"/>
      <c r="P139" s="77"/>
      <c r="Q139" s="77"/>
      <c r="R139" s="89"/>
      <c r="S139" s="49">
        <v>0</v>
      </c>
      <c r="T139" s="49">
        <v>1</v>
      </c>
      <c r="U139" s="50">
        <v>0</v>
      </c>
      <c r="V139" s="50">
        <v>0.008072</v>
      </c>
      <c r="W139" s="50">
        <v>0</v>
      </c>
      <c r="X139" s="50">
        <v>0.004013</v>
      </c>
      <c r="Y139" s="50">
        <v>0</v>
      </c>
      <c r="Z139" s="50">
        <v>0</v>
      </c>
      <c r="AA139" s="72">
        <v>139</v>
      </c>
      <c r="AB139" s="72"/>
      <c r="AC139" s="73"/>
      <c r="AD139" s="80" t="s">
        <v>969</v>
      </c>
      <c r="AE139" s="80" t="s">
        <v>1318</v>
      </c>
      <c r="AF139" s="80"/>
      <c r="AG139" s="80"/>
      <c r="AH139" s="80"/>
      <c r="AI139" s="80"/>
      <c r="AJ139" s="87">
        <v>43160.7896875</v>
      </c>
      <c r="AK139" s="85" t="str">
        <f>HYPERLINK("https://yt3.ggpht.com/b82Iy5mn_DHEuU2yTHXXe8QHERIjk763B-wl3xcF6T54TTpVYFqFLzjmGC-HrnPHUO1C8JaJ=s88-c-k-c0x00ffffff-no-rj")</f>
        <v>https://yt3.ggpht.com/b82Iy5mn_DHEuU2yTHXXe8QHERIjk763B-wl3xcF6T54TTpVYFqFLzjmGC-HrnPHUO1C8JaJ=s88-c-k-c0x00ffffff-no-rj</v>
      </c>
      <c r="AL139" s="80">
        <v>20756</v>
      </c>
      <c r="AM139" s="80">
        <v>0</v>
      </c>
      <c r="AN139" s="80">
        <v>0</v>
      </c>
      <c r="AO139" s="80" t="b">
        <v>1</v>
      </c>
      <c r="AP139" s="80">
        <v>52</v>
      </c>
      <c r="AQ139" s="80"/>
      <c r="AR139" s="80"/>
      <c r="AS139" s="80" t="s">
        <v>1376</v>
      </c>
      <c r="AT139" s="85" t="str">
        <f>HYPERLINK("https://www.youtube.com/channel/UCZCEX7jMFA4Utg6Rl9LjtpQ")</f>
        <v>https://www.youtube.com/channel/UCZCEX7jMFA4Utg6Rl9LjtpQ</v>
      </c>
      <c r="AU139" s="80" t="str">
        <f>REPLACE(INDEX(GroupVertices[Group],MATCH(Vertices[[#This Row],[Vertex]],GroupVertices[Vertex],0)),1,1,"")</f>
        <v>12</v>
      </c>
      <c r="AV139" s="49">
        <v>0</v>
      </c>
      <c r="AW139" s="50">
        <v>0</v>
      </c>
      <c r="AX139" s="49">
        <v>0</v>
      </c>
      <c r="AY139" s="50">
        <v>0</v>
      </c>
      <c r="AZ139" s="49">
        <v>0</v>
      </c>
      <c r="BA139" s="50">
        <v>0</v>
      </c>
      <c r="BB139" s="49">
        <v>35</v>
      </c>
      <c r="BC139" s="50">
        <v>100</v>
      </c>
      <c r="BD139" s="49">
        <v>35</v>
      </c>
      <c r="BE139" s="49"/>
      <c r="BF139" s="49"/>
      <c r="BG139" s="49"/>
      <c r="BH139" s="49"/>
      <c r="BI139" s="49"/>
      <c r="BJ139" s="49"/>
      <c r="BK139" s="111" t="s">
        <v>2463</v>
      </c>
      <c r="BL139" s="111" t="s">
        <v>2463</v>
      </c>
      <c r="BM139" s="111" t="s">
        <v>2651</v>
      </c>
      <c r="BN139" s="111" t="s">
        <v>2651</v>
      </c>
      <c r="BO139" s="2"/>
      <c r="BP139" s="3"/>
      <c r="BQ139" s="3"/>
      <c r="BR139" s="3"/>
      <c r="BS139" s="3"/>
    </row>
    <row r="140" spans="1:71" ht="15">
      <c r="A140" s="65" t="s">
        <v>457</v>
      </c>
      <c r="B140" s="66"/>
      <c r="C140" s="66"/>
      <c r="D140" s="67">
        <v>150</v>
      </c>
      <c r="E140" s="69"/>
      <c r="F140" s="103" t="str">
        <f>HYPERLINK("https://yt3.ggpht.com/ytc/AKedOLTjt73V5qSUdinHk_k-TlUiyHUhBduPAEdaLEkKmVfz7Qbuen367RmaBNXodwWX=s88-c-k-c0x00ffffff-no-rj")</f>
        <v>https://yt3.ggpht.com/ytc/AKedOLTjt73V5qSUdinHk_k-TlUiyHUhBduPAEdaLEkKmVfz7Qbuen367RmaBNXodwWX=s88-c-k-c0x00ffffff-no-rj</v>
      </c>
      <c r="G140" s="66"/>
      <c r="H140" s="70" t="s">
        <v>970</v>
      </c>
      <c r="I140" s="71"/>
      <c r="J140" s="71" t="s">
        <v>159</v>
      </c>
      <c r="K140" s="70" t="s">
        <v>970</v>
      </c>
      <c r="L140" s="74">
        <v>1</v>
      </c>
      <c r="M140" s="75">
        <v>8279.4267578125</v>
      </c>
      <c r="N140" s="75">
        <v>3569.495849609375</v>
      </c>
      <c r="O140" s="76"/>
      <c r="P140" s="77"/>
      <c r="Q140" s="77"/>
      <c r="R140" s="89"/>
      <c r="S140" s="49">
        <v>0</v>
      </c>
      <c r="T140" s="49">
        <v>1</v>
      </c>
      <c r="U140" s="50">
        <v>0</v>
      </c>
      <c r="V140" s="50">
        <v>0.008072</v>
      </c>
      <c r="W140" s="50">
        <v>0</v>
      </c>
      <c r="X140" s="50">
        <v>0.004013</v>
      </c>
      <c r="Y140" s="50">
        <v>0</v>
      </c>
      <c r="Z140" s="50">
        <v>0</v>
      </c>
      <c r="AA140" s="72">
        <v>140</v>
      </c>
      <c r="AB140" s="72"/>
      <c r="AC140" s="73"/>
      <c r="AD140" s="80" t="s">
        <v>970</v>
      </c>
      <c r="AE140" s="80"/>
      <c r="AF140" s="80"/>
      <c r="AG140" s="80"/>
      <c r="AH140" s="80"/>
      <c r="AI140" s="80"/>
      <c r="AJ140" s="87">
        <v>44658.99165509259</v>
      </c>
      <c r="AK140" s="85" t="str">
        <f>HYPERLINK("https://yt3.ggpht.com/ytc/AKedOLTjt73V5qSUdinHk_k-TlUiyHUhBduPAEdaLEkKmVfz7Qbuen367RmaBNXodwWX=s88-c-k-c0x00ffffff-no-rj")</f>
        <v>https://yt3.ggpht.com/ytc/AKedOLTjt73V5qSUdinHk_k-TlUiyHUhBduPAEdaLEkKmVfz7Qbuen367RmaBNXodwWX=s88-c-k-c0x00ffffff-no-rj</v>
      </c>
      <c r="AL140" s="80">
        <v>0</v>
      </c>
      <c r="AM140" s="80">
        <v>0</v>
      </c>
      <c r="AN140" s="80">
        <v>0</v>
      </c>
      <c r="AO140" s="80" t="b">
        <v>0</v>
      </c>
      <c r="AP140" s="80">
        <v>0</v>
      </c>
      <c r="AQ140" s="80"/>
      <c r="AR140" s="80"/>
      <c r="AS140" s="80" t="s">
        <v>1376</v>
      </c>
      <c r="AT140" s="85" t="str">
        <f>HYPERLINK("https://www.youtube.com/channel/UCXFnJs6JEY91BWkgElUiIig")</f>
        <v>https://www.youtube.com/channel/UCXFnJs6JEY91BWkgElUiIig</v>
      </c>
      <c r="AU140" s="80" t="str">
        <f>REPLACE(INDEX(GroupVertices[Group],MATCH(Vertices[[#This Row],[Vertex]],GroupVertices[Vertex],0)),1,1,"")</f>
        <v>12</v>
      </c>
      <c r="AV140" s="49">
        <v>0</v>
      </c>
      <c r="AW140" s="50">
        <v>0</v>
      </c>
      <c r="AX140" s="49">
        <v>0</v>
      </c>
      <c r="AY140" s="50">
        <v>0</v>
      </c>
      <c r="AZ140" s="49">
        <v>0</v>
      </c>
      <c r="BA140" s="50">
        <v>0</v>
      </c>
      <c r="BB140" s="49">
        <v>7</v>
      </c>
      <c r="BC140" s="50">
        <v>100</v>
      </c>
      <c r="BD140" s="49">
        <v>7</v>
      </c>
      <c r="BE140" s="49"/>
      <c r="BF140" s="49"/>
      <c r="BG140" s="49"/>
      <c r="BH140" s="49"/>
      <c r="BI140" s="49"/>
      <c r="BJ140" s="49"/>
      <c r="BK140" s="111" t="s">
        <v>714</v>
      </c>
      <c r="BL140" s="111" t="s">
        <v>714</v>
      </c>
      <c r="BM140" s="111" t="s">
        <v>2652</v>
      </c>
      <c r="BN140" s="111" t="s">
        <v>2652</v>
      </c>
      <c r="BO140" s="2"/>
      <c r="BP140" s="3"/>
      <c r="BQ140" s="3"/>
      <c r="BR140" s="3"/>
      <c r="BS140" s="3"/>
    </row>
    <row r="141" spans="1:71" ht="15">
      <c r="A141" s="65" t="s">
        <v>458</v>
      </c>
      <c r="B141" s="66"/>
      <c r="C141" s="66"/>
      <c r="D141" s="67">
        <v>150</v>
      </c>
      <c r="E141" s="69"/>
      <c r="F141" s="103" t="str">
        <f>HYPERLINK("https://yt3.ggpht.com/ytc/AKedOLSdFs9QklBnuK7_TE445FVe2zA-kIATEdqTDQ=s88-c-k-c0x00ffffff-no-rj")</f>
        <v>https://yt3.ggpht.com/ytc/AKedOLSdFs9QklBnuK7_TE445FVe2zA-kIATEdqTDQ=s88-c-k-c0x00ffffff-no-rj</v>
      </c>
      <c r="G141" s="66"/>
      <c r="H141" s="70" t="s">
        <v>971</v>
      </c>
      <c r="I141" s="71"/>
      <c r="J141" s="71" t="s">
        <v>159</v>
      </c>
      <c r="K141" s="70" t="s">
        <v>971</v>
      </c>
      <c r="L141" s="74">
        <v>1</v>
      </c>
      <c r="M141" s="75">
        <v>1800.65185546875</v>
      </c>
      <c r="N141" s="75">
        <v>9420.904296875</v>
      </c>
      <c r="O141" s="76"/>
      <c r="P141" s="77"/>
      <c r="Q141" s="77"/>
      <c r="R141" s="89"/>
      <c r="S141" s="49">
        <v>2</v>
      </c>
      <c r="T141" s="49">
        <v>2</v>
      </c>
      <c r="U141" s="50">
        <v>0</v>
      </c>
      <c r="V141" s="50">
        <v>0.189881</v>
      </c>
      <c r="W141" s="50">
        <v>0.090956</v>
      </c>
      <c r="X141" s="50">
        <v>0.004188</v>
      </c>
      <c r="Y141" s="50">
        <v>0</v>
      </c>
      <c r="Z141" s="50">
        <v>1</v>
      </c>
      <c r="AA141" s="72">
        <v>141</v>
      </c>
      <c r="AB141" s="72"/>
      <c r="AC141" s="73"/>
      <c r="AD141" s="80" t="s">
        <v>971</v>
      </c>
      <c r="AE141" s="80"/>
      <c r="AF141" s="80"/>
      <c r="AG141" s="80"/>
      <c r="AH141" s="80"/>
      <c r="AI141" s="80"/>
      <c r="AJ141" s="87">
        <v>40805.03146990741</v>
      </c>
      <c r="AK141" s="85" t="str">
        <f>HYPERLINK("https://yt3.ggpht.com/ytc/AKedOLSdFs9QklBnuK7_TE445FVe2zA-kIATEdqTDQ=s88-c-k-c0x00ffffff-no-rj")</f>
        <v>https://yt3.ggpht.com/ytc/AKedOLSdFs9QklBnuK7_TE445FVe2zA-kIATEdqTDQ=s88-c-k-c0x00ffffff-no-rj</v>
      </c>
      <c r="AL141" s="80">
        <v>0</v>
      </c>
      <c r="AM141" s="80">
        <v>0</v>
      </c>
      <c r="AN141" s="80">
        <v>0</v>
      </c>
      <c r="AO141" s="80" t="b">
        <v>0</v>
      </c>
      <c r="AP141" s="80">
        <v>0</v>
      </c>
      <c r="AQ141" s="80"/>
      <c r="AR141" s="80"/>
      <c r="AS141" s="80" t="s">
        <v>1376</v>
      </c>
      <c r="AT141" s="85" t="str">
        <f>HYPERLINK("https://www.youtube.com/channel/UCx3Xvg2G9MUra2f7eWrweGg")</f>
        <v>https://www.youtube.com/channel/UCx3Xvg2G9MUra2f7eWrweGg</v>
      </c>
      <c r="AU141" s="80" t="str">
        <f>REPLACE(INDEX(GroupVertices[Group],MATCH(Vertices[[#This Row],[Vertex]],GroupVertices[Vertex],0)),1,1,"")</f>
        <v>1</v>
      </c>
      <c r="AV141" s="49">
        <v>9</v>
      </c>
      <c r="AW141" s="50">
        <v>5.056179775280899</v>
      </c>
      <c r="AX141" s="49">
        <v>0</v>
      </c>
      <c r="AY141" s="50">
        <v>0</v>
      </c>
      <c r="AZ141" s="49">
        <v>0</v>
      </c>
      <c r="BA141" s="50">
        <v>0</v>
      </c>
      <c r="BB141" s="49">
        <v>169</v>
      </c>
      <c r="BC141" s="50">
        <v>94.9438202247191</v>
      </c>
      <c r="BD141" s="49">
        <v>178</v>
      </c>
      <c r="BE141" s="49"/>
      <c r="BF141" s="49"/>
      <c r="BG141" s="49"/>
      <c r="BH141" s="49"/>
      <c r="BI141" s="49"/>
      <c r="BJ141" s="49"/>
      <c r="BK141" s="111" t="s">
        <v>2464</v>
      </c>
      <c r="BL141" s="111" t="s">
        <v>2533</v>
      </c>
      <c r="BM141" s="111" t="s">
        <v>2653</v>
      </c>
      <c r="BN141" s="111" t="s">
        <v>2653</v>
      </c>
      <c r="BO141" s="2"/>
      <c r="BP141" s="3"/>
      <c r="BQ141" s="3"/>
      <c r="BR141" s="3"/>
      <c r="BS141" s="3"/>
    </row>
    <row r="142" spans="1:71" ht="15">
      <c r="A142" s="65" t="s">
        <v>459</v>
      </c>
      <c r="B142" s="66"/>
      <c r="C142" s="66"/>
      <c r="D142" s="67">
        <v>150</v>
      </c>
      <c r="E142" s="69"/>
      <c r="F142" s="103" t="str">
        <f>HYPERLINK("https://yt3.ggpht.com/ytc/AKedOLSokUFaR2_sPOlKnnJQ_PPpC3XFheMXoOGICw=s88-c-k-c0x00ffffff-no-rj")</f>
        <v>https://yt3.ggpht.com/ytc/AKedOLSokUFaR2_sPOlKnnJQ_PPpC3XFheMXoOGICw=s88-c-k-c0x00ffffff-no-rj</v>
      </c>
      <c r="G142" s="66"/>
      <c r="H142" s="70" t="s">
        <v>972</v>
      </c>
      <c r="I142" s="71"/>
      <c r="J142" s="71" t="s">
        <v>159</v>
      </c>
      <c r="K142" s="70" t="s">
        <v>972</v>
      </c>
      <c r="L142" s="74">
        <v>1</v>
      </c>
      <c r="M142" s="75">
        <v>1239.2545166015625</v>
      </c>
      <c r="N142" s="75">
        <v>5100.056640625</v>
      </c>
      <c r="O142" s="76"/>
      <c r="P142" s="77"/>
      <c r="Q142" s="77"/>
      <c r="R142" s="89"/>
      <c r="S142" s="49">
        <v>0</v>
      </c>
      <c r="T142" s="49">
        <v>1</v>
      </c>
      <c r="U142" s="50">
        <v>0</v>
      </c>
      <c r="V142" s="50">
        <v>0.189881</v>
      </c>
      <c r="W142" s="50">
        <v>0.080745</v>
      </c>
      <c r="X142" s="50">
        <v>0.003874</v>
      </c>
      <c r="Y142" s="50">
        <v>0</v>
      </c>
      <c r="Z142" s="50">
        <v>0</v>
      </c>
      <c r="AA142" s="72">
        <v>142</v>
      </c>
      <c r="AB142" s="72"/>
      <c r="AC142" s="73"/>
      <c r="AD142" s="80" t="s">
        <v>972</v>
      </c>
      <c r="AE142" s="80"/>
      <c r="AF142" s="80"/>
      <c r="AG142" s="80"/>
      <c r="AH142" s="80"/>
      <c r="AI142" s="80"/>
      <c r="AJ142" s="87">
        <v>38929.18672453704</v>
      </c>
      <c r="AK142" s="85" t="str">
        <f>HYPERLINK("https://yt3.ggpht.com/ytc/AKedOLSokUFaR2_sPOlKnnJQ_PPpC3XFheMXoOGICw=s88-c-k-c0x00ffffff-no-rj")</f>
        <v>https://yt3.ggpht.com/ytc/AKedOLSokUFaR2_sPOlKnnJQ_PPpC3XFheMXoOGICw=s88-c-k-c0x00ffffff-no-rj</v>
      </c>
      <c r="AL142" s="80">
        <v>98557</v>
      </c>
      <c r="AM142" s="80">
        <v>0</v>
      </c>
      <c r="AN142" s="80">
        <v>152</v>
      </c>
      <c r="AO142" s="80" t="b">
        <v>0</v>
      </c>
      <c r="AP142" s="80">
        <v>12</v>
      </c>
      <c r="AQ142" s="80"/>
      <c r="AR142" s="80"/>
      <c r="AS142" s="80" t="s">
        <v>1376</v>
      </c>
      <c r="AT142" s="85" t="str">
        <f>HYPERLINK("https://www.youtube.com/channel/UClHeEpe_QWW1jxCMatKCkzQ")</f>
        <v>https://www.youtube.com/channel/UClHeEpe_QWW1jxCMatKCkzQ</v>
      </c>
      <c r="AU142" s="80" t="str">
        <f>REPLACE(INDEX(GroupVertices[Group],MATCH(Vertices[[#This Row],[Vertex]],GroupVertices[Vertex],0)),1,1,"")</f>
        <v>1</v>
      </c>
      <c r="AV142" s="49">
        <v>1</v>
      </c>
      <c r="AW142" s="50">
        <v>5.882352941176471</v>
      </c>
      <c r="AX142" s="49">
        <v>0</v>
      </c>
      <c r="AY142" s="50">
        <v>0</v>
      </c>
      <c r="AZ142" s="49">
        <v>0</v>
      </c>
      <c r="BA142" s="50">
        <v>0</v>
      </c>
      <c r="BB142" s="49">
        <v>16</v>
      </c>
      <c r="BC142" s="50">
        <v>94.11764705882354</v>
      </c>
      <c r="BD142" s="49">
        <v>17</v>
      </c>
      <c r="BE142" s="49"/>
      <c r="BF142" s="49"/>
      <c r="BG142" s="49"/>
      <c r="BH142" s="49"/>
      <c r="BI142" s="49"/>
      <c r="BJ142" s="49"/>
      <c r="BK142" s="111" t="s">
        <v>2465</v>
      </c>
      <c r="BL142" s="111" t="s">
        <v>2465</v>
      </c>
      <c r="BM142" s="111" t="s">
        <v>2654</v>
      </c>
      <c r="BN142" s="111" t="s">
        <v>2654</v>
      </c>
      <c r="BO142" s="2"/>
      <c r="BP142" s="3"/>
      <c r="BQ142" s="3"/>
      <c r="BR142" s="3"/>
      <c r="BS142" s="3"/>
    </row>
    <row r="143" spans="1:71" ht="15">
      <c r="A143" s="65" t="s">
        <v>460</v>
      </c>
      <c r="B143" s="66"/>
      <c r="C143" s="66"/>
      <c r="D143" s="67">
        <v>150</v>
      </c>
      <c r="E143" s="69"/>
      <c r="F143" s="103" t="str">
        <f>HYPERLINK("https://yt3.ggpht.com/ytc/AKedOLQzgfW1cQhJEt-OVUVJDB7G-c8u91aNPFh4eQ=s88-c-k-c0x00ffffff-no-rj")</f>
        <v>https://yt3.ggpht.com/ytc/AKedOLQzgfW1cQhJEt-OVUVJDB7G-c8u91aNPFh4eQ=s88-c-k-c0x00ffffff-no-rj</v>
      </c>
      <c r="G143" s="66"/>
      <c r="H143" s="70" t="s">
        <v>973</v>
      </c>
      <c r="I143" s="71"/>
      <c r="J143" s="71" t="s">
        <v>159</v>
      </c>
      <c r="K143" s="70" t="s">
        <v>973</v>
      </c>
      <c r="L143" s="74">
        <v>1</v>
      </c>
      <c r="M143" s="75">
        <v>1147.4105224609375</v>
      </c>
      <c r="N143" s="75">
        <v>7860.25830078125</v>
      </c>
      <c r="O143" s="76"/>
      <c r="P143" s="77"/>
      <c r="Q143" s="77"/>
      <c r="R143" s="89"/>
      <c r="S143" s="49">
        <v>2</v>
      </c>
      <c r="T143" s="49">
        <v>2</v>
      </c>
      <c r="U143" s="50">
        <v>0</v>
      </c>
      <c r="V143" s="50">
        <v>0.189881</v>
      </c>
      <c r="W143" s="50">
        <v>0.090956</v>
      </c>
      <c r="X143" s="50">
        <v>0.004188</v>
      </c>
      <c r="Y143" s="50">
        <v>0</v>
      </c>
      <c r="Z143" s="50">
        <v>1</v>
      </c>
      <c r="AA143" s="72">
        <v>143</v>
      </c>
      <c r="AB143" s="72"/>
      <c r="AC143" s="73"/>
      <c r="AD143" s="80" t="s">
        <v>973</v>
      </c>
      <c r="AE143" s="80"/>
      <c r="AF143" s="80"/>
      <c r="AG143" s="80"/>
      <c r="AH143" s="80"/>
      <c r="AI143" s="80"/>
      <c r="AJ143" s="87">
        <v>40381.793275462966</v>
      </c>
      <c r="AK143" s="85" t="str">
        <f>HYPERLINK("https://yt3.ggpht.com/ytc/AKedOLQzgfW1cQhJEt-OVUVJDB7G-c8u91aNPFh4eQ=s88-c-k-c0x00ffffff-no-rj")</f>
        <v>https://yt3.ggpht.com/ytc/AKedOLQzgfW1cQhJEt-OVUVJDB7G-c8u91aNPFh4eQ=s88-c-k-c0x00ffffff-no-rj</v>
      </c>
      <c r="AL143" s="80">
        <v>0</v>
      </c>
      <c r="AM143" s="80">
        <v>0</v>
      </c>
      <c r="AN143" s="80">
        <v>12</v>
      </c>
      <c r="AO143" s="80" t="b">
        <v>0</v>
      </c>
      <c r="AP143" s="80">
        <v>0</v>
      </c>
      <c r="AQ143" s="80"/>
      <c r="AR143" s="80"/>
      <c r="AS143" s="80" t="s">
        <v>1376</v>
      </c>
      <c r="AT143" s="85" t="str">
        <f>HYPERLINK("https://www.youtube.com/channel/UC6xUcpewcYKMIvXWC39bu9A")</f>
        <v>https://www.youtube.com/channel/UC6xUcpewcYKMIvXWC39bu9A</v>
      </c>
      <c r="AU143" s="80" t="str">
        <f>REPLACE(INDEX(GroupVertices[Group],MATCH(Vertices[[#This Row],[Vertex]],GroupVertices[Vertex],0)),1,1,"")</f>
        <v>1</v>
      </c>
      <c r="AV143" s="49">
        <v>14</v>
      </c>
      <c r="AW143" s="50">
        <v>6.306306306306307</v>
      </c>
      <c r="AX143" s="49">
        <v>4</v>
      </c>
      <c r="AY143" s="50">
        <v>1.8018018018018018</v>
      </c>
      <c r="AZ143" s="49">
        <v>0</v>
      </c>
      <c r="BA143" s="50">
        <v>0</v>
      </c>
      <c r="BB143" s="49">
        <v>204</v>
      </c>
      <c r="BC143" s="50">
        <v>91.89189189189189</v>
      </c>
      <c r="BD143" s="49">
        <v>222</v>
      </c>
      <c r="BE143" s="49"/>
      <c r="BF143" s="49"/>
      <c r="BG143" s="49"/>
      <c r="BH143" s="49"/>
      <c r="BI143" s="49"/>
      <c r="BJ143" s="49"/>
      <c r="BK143" s="111" t="s">
        <v>2466</v>
      </c>
      <c r="BL143" s="111" t="s">
        <v>2534</v>
      </c>
      <c r="BM143" s="111" t="s">
        <v>2655</v>
      </c>
      <c r="BN143" s="111" t="s">
        <v>2655</v>
      </c>
      <c r="BO143" s="2"/>
      <c r="BP143" s="3"/>
      <c r="BQ143" s="3"/>
      <c r="BR143" s="3"/>
      <c r="BS143" s="3"/>
    </row>
    <row r="144" spans="1:71" ht="15">
      <c r="A144" s="65" t="s">
        <v>461</v>
      </c>
      <c r="B144" s="66"/>
      <c r="C144" s="66"/>
      <c r="D144" s="67">
        <v>150</v>
      </c>
      <c r="E144" s="69"/>
      <c r="F144" s="103" t="str">
        <f>HYPERLINK("https://yt3.ggpht.com/ytc/AKedOLQoA5Vw9_XFxRfkMKuCEcHMLuwtwZbG9zFZ0lfC=s88-c-k-c0x00ffffff-no-rj")</f>
        <v>https://yt3.ggpht.com/ytc/AKedOLQoA5Vw9_XFxRfkMKuCEcHMLuwtwZbG9zFZ0lfC=s88-c-k-c0x00ffffff-no-rj</v>
      </c>
      <c r="G144" s="66"/>
      <c r="H144" s="70" t="s">
        <v>974</v>
      </c>
      <c r="I144" s="71"/>
      <c r="J144" s="71" t="s">
        <v>159</v>
      </c>
      <c r="K144" s="70" t="s">
        <v>974</v>
      </c>
      <c r="L144" s="74">
        <v>1</v>
      </c>
      <c r="M144" s="75">
        <v>2510.97314453125</v>
      </c>
      <c r="N144" s="75">
        <v>3368.39599609375</v>
      </c>
      <c r="O144" s="76"/>
      <c r="P144" s="77"/>
      <c r="Q144" s="77"/>
      <c r="R144" s="89"/>
      <c r="S144" s="49">
        <v>0</v>
      </c>
      <c r="T144" s="49">
        <v>1</v>
      </c>
      <c r="U144" s="50">
        <v>0</v>
      </c>
      <c r="V144" s="50">
        <v>0.189881</v>
      </c>
      <c r="W144" s="50">
        <v>0.080745</v>
      </c>
      <c r="X144" s="50">
        <v>0.003874</v>
      </c>
      <c r="Y144" s="50">
        <v>0</v>
      </c>
      <c r="Z144" s="50">
        <v>0</v>
      </c>
      <c r="AA144" s="72">
        <v>144</v>
      </c>
      <c r="AB144" s="72"/>
      <c r="AC144" s="73"/>
      <c r="AD144" s="80" t="s">
        <v>974</v>
      </c>
      <c r="AE144" s="80"/>
      <c r="AF144" s="80"/>
      <c r="AG144" s="80"/>
      <c r="AH144" s="80"/>
      <c r="AI144" s="80"/>
      <c r="AJ144" s="87">
        <v>40829.14252314815</v>
      </c>
      <c r="AK144" s="85" t="str">
        <f>HYPERLINK("https://yt3.ggpht.com/ytc/AKedOLQoA5Vw9_XFxRfkMKuCEcHMLuwtwZbG9zFZ0lfC=s88-c-k-c0x00ffffff-no-rj")</f>
        <v>https://yt3.ggpht.com/ytc/AKedOLQoA5Vw9_XFxRfkMKuCEcHMLuwtwZbG9zFZ0lfC=s88-c-k-c0x00ffffff-no-rj</v>
      </c>
      <c r="AL144" s="80">
        <v>0</v>
      </c>
      <c r="AM144" s="80">
        <v>0</v>
      </c>
      <c r="AN144" s="80">
        <v>0</v>
      </c>
      <c r="AO144" s="80" t="b">
        <v>0</v>
      </c>
      <c r="AP144" s="80">
        <v>0</v>
      </c>
      <c r="AQ144" s="80"/>
      <c r="AR144" s="80"/>
      <c r="AS144" s="80" t="s">
        <v>1376</v>
      </c>
      <c r="AT144" s="85" t="str">
        <f>HYPERLINK("https://www.youtube.com/channel/UC9jGt1X3J14c5GAeAO8EDvQ")</f>
        <v>https://www.youtube.com/channel/UC9jGt1X3J14c5GAeAO8EDvQ</v>
      </c>
      <c r="AU144" s="80" t="str">
        <f>REPLACE(INDEX(GroupVertices[Group],MATCH(Vertices[[#This Row],[Vertex]],GroupVertices[Vertex],0)),1,1,"")</f>
        <v>1</v>
      </c>
      <c r="AV144" s="49">
        <v>2</v>
      </c>
      <c r="AW144" s="50">
        <v>5.714285714285714</v>
      </c>
      <c r="AX144" s="49">
        <v>1</v>
      </c>
      <c r="AY144" s="50">
        <v>2.857142857142857</v>
      </c>
      <c r="AZ144" s="49">
        <v>0</v>
      </c>
      <c r="BA144" s="50">
        <v>0</v>
      </c>
      <c r="BB144" s="49">
        <v>32</v>
      </c>
      <c r="BC144" s="50">
        <v>91.42857142857143</v>
      </c>
      <c r="BD144" s="49">
        <v>35</v>
      </c>
      <c r="BE144" s="49"/>
      <c r="BF144" s="49"/>
      <c r="BG144" s="49"/>
      <c r="BH144" s="49"/>
      <c r="BI144" s="49"/>
      <c r="BJ144" s="49"/>
      <c r="BK144" s="111" t="s">
        <v>2467</v>
      </c>
      <c r="BL144" s="111" t="s">
        <v>2467</v>
      </c>
      <c r="BM144" s="111" t="s">
        <v>2656</v>
      </c>
      <c r="BN144" s="111" t="s">
        <v>2656</v>
      </c>
      <c r="BO144" s="2"/>
      <c r="BP144" s="3"/>
      <c r="BQ144" s="3"/>
      <c r="BR144" s="3"/>
      <c r="BS144" s="3"/>
    </row>
    <row r="145" spans="1:71" ht="15">
      <c r="A145" s="65" t="s">
        <v>462</v>
      </c>
      <c r="B145" s="66"/>
      <c r="C145" s="66"/>
      <c r="D145" s="67">
        <v>150</v>
      </c>
      <c r="E145" s="69"/>
      <c r="F145" s="103" t="str">
        <f>HYPERLINK("https://yt3.ggpht.com/ytc/AKedOLQlCIG7nnAujUaf05xYCfiRAo7ofgMBUmxlgmP5jQ=s88-c-k-c0x00ffffff-no-rj")</f>
        <v>https://yt3.ggpht.com/ytc/AKedOLQlCIG7nnAujUaf05xYCfiRAo7ofgMBUmxlgmP5jQ=s88-c-k-c0x00ffffff-no-rj</v>
      </c>
      <c r="G145" s="66"/>
      <c r="H145" s="70" t="s">
        <v>975</v>
      </c>
      <c r="I145" s="71"/>
      <c r="J145" s="71" t="s">
        <v>159</v>
      </c>
      <c r="K145" s="70" t="s">
        <v>975</v>
      </c>
      <c r="L145" s="74">
        <v>1</v>
      </c>
      <c r="M145" s="75">
        <v>778.03271484375</v>
      </c>
      <c r="N145" s="75">
        <v>4559.666015625</v>
      </c>
      <c r="O145" s="76"/>
      <c r="P145" s="77"/>
      <c r="Q145" s="77"/>
      <c r="R145" s="89"/>
      <c r="S145" s="49">
        <v>0</v>
      </c>
      <c r="T145" s="49">
        <v>1</v>
      </c>
      <c r="U145" s="50">
        <v>0</v>
      </c>
      <c r="V145" s="50">
        <v>0.189881</v>
      </c>
      <c r="W145" s="50">
        <v>0.080745</v>
      </c>
      <c r="X145" s="50">
        <v>0.003874</v>
      </c>
      <c r="Y145" s="50">
        <v>0</v>
      </c>
      <c r="Z145" s="50">
        <v>0</v>
      </c>
      <c r="AA145" s="72">
        <v>145</v>
      </c>
      <c r="AB145" s="72"/>
      <c r="AC145" s="73"/>
      <c r="AD145" s="80" t="s">
        <v>975</v>
      </c>
      <c r="AE145" s="80"/>
      <c r="AF145" s="80"/>
      <c r="AG145" s="80"/>
      <c r="AH145" s="80"/>
      <c r="AI145" s="80"/>
      <c r="AJ145" s="87">
        <v>40782.14302083333</v>
      </c>
      <c r="AK145" s="85" t="str">
        <f>HYPERLINK("https://yt3.ggpht.com/ytc/AKedOLQlCIG7nnAujUaf05xYCfiRAo7ofgMBUmxlgmP5jQ=s88-c-k-c0x00ffffff-no-rj")</f>
        <v>https://yt3.ggpht.com/ytc/AKedOLQlCIG7nnAujUaf05xYCfiRAo7ofgMBUmxlgmP5jQ=s88-c-k-c0x00ffffff-no-rj</v>
      </c>
      <c r="AL145" s="80">
        <v>23971</v>
      </c>
      <c r="AM145" s="80">
        <v>0</v>
      </c>
      <c r="AN145" s="80">
        <v>38</v>
      </c>
      <c r="AO145" s="80" t="b">
        <v>0</v>
      </c>
      <c r="AP145" s="80">
        <v>6</v>
      </c>
      <c r="AQ145" s="80"/>
      <c r="AR145" s="80"/>
      <c r="AS145" s="80" t="s">
        <v>1376</v>
      </c>
      <c r="AT145" s="85" t="str">
        <f>HYPERLINK("https://www.youtube.com/channel/UCA4upGBl9EGqYOrMkBRxIUg")</f>
        <v>https://www.youtube.com/channel/UCA4upGBl9EGqYOrMkBRxIUg</v>
      </c>
      <c r="AU145" s="80" t="str">
        <f>REPLACE(INDEX(GroupVertices[Group],MATCH(Vertices[[#This Row],[Vertex]],GroupVertices[Vertex],0)),1,1,"")</f>
        <v>1</v>
      </c>
      <c r="AV145" s="49">
        <v>2</v>
      </c>
      <c r="AW145" s="50">
        <v>7.142857142857143</v>
      </c>
      <c r="AX145" s="49">
        <v>0</v>
      </c>
      <c r="AY145" s="50">
        <v>0</v>
      </c>
      <c r="AZ145" s="49">
        <v>0</v>
      </c>
      <c r="BA145" s="50">
        <v>0</v>
      </c>
      <c r="BB145" s="49">
        <v>26</v>
      </c>
      <c r="BC145" s="50">
        <v>92.85714285714286</v>
      </c>
      <c r="BD145" s="49">
        <v>28</v>
      </c>
      <c r="BE145" s="49"/>
      <c r="BF145" s="49"/>
      <c r="BG145" s="49"/>
      <c r="BH145" s="49"/>
      <c r="BI145" s="49"/>
      <c r="BJ145" s="49"/>
      <c r="BK145" s="111" t="s">
        <v>2468</v>
      </c>
      <c r="BL145" s="111" t="s">
        <v>2468</v>
      </c>
      <c r="BM145" s="111" t="s">
        <v>2657</v>
      </c>
      <c r="BN145" s="111" t="s">
        <v>2657</v>
      </c>
      <c r="BO145" s="2"/>
      <c r="BP145" s="3"/>
      <c r="BQ145" s="3"/>
      <c r="BR145" s="3"/>
      <c r="BS145" s="3"/>
    </row>
    <row r="146" spans="1:71" ht="15">
      <c r="A146" s="65" t="s">
        <v>463</v>
      </c>
      <c r="B146" s="66"/>
      <c r="C146" s="66"/>
      <c r="D146" s="67">
        <v>150</v>
      </c>
      <c r="E146" s="69"/>
      <c r="F146" s="103" t="str">
        <f>HYPERLINK("https://yt3.ggpht.com/ytc/AKedOLRYQHS-hjWBfBOyT6lv6ufskpk25-7-p_JnMnUkpA=s88-c-k-c0x00ffffff-no-rj")</f>
        <v>https://yt3.ggpht.com/ytc/AKedOLRYQHS-hjWBfBOyT6lv6ufskpk25-7-p_JnMnUkpA=s88-c-k-c0x00ffffff-no-rj</v>
      </c>
      <c r="G146" s="66"/>
      <c r="H146" s="70" t="s">
        <v>976</v>
      </c>
      <c r="I146" s="71"/>
      <c r="J146" s="71" t="s">
        <v>159</v>
      </c>
      <c r="K146" s="70" t="s">
        <v>976</v>
      </c>
      <c r="L146" s="74">
        <v>1</v>
      </c>
      <c r="M146" s="75">
        <v>912.5030517578125</v>
      </c>
      <c r="N146" s="75">
        <v>3957.892578125</v>
      </c>
      <c r="O146" s="76"/>
      <c r="P146" s="77"/>
      <c r="Q146" s="77"/>
      <c r="R146" s="89"/>
      <c r="S146" s="49">
        <v>0</v>
      </c>
      <c r="T146" s="49">
        <v>1</v>
      </c>
      <c r="U146" s="50">
        <v>0</v>
      </c>
      <c r="V146" s="50">
        <v>0.189881</v>
      </c>
      <c r="W146" s="50">
        <v>0.080745</v>
      </c>
      <c r="X146" s="50">
        <v>0.003874</v>
      </c>
      <c r="Y146" s="50">
        <v>0</v>
      </c>
      <c r="Z146" s="50">
        <v>0</v>
      </c>
      <c r="AA146" s="72">
        <v>146</v>
      </c>
      <c r="AB146" s="72"/>
      <c r="AC146" s="73"/>
      <c r="AD146" s="80" t="s">
        <v>976</v>
      </c>
      <c r="AE146" s="80"/>
      <c r="AF146" s="80"/>
      <c r="AG146" s="80"/>
      <c r="AH146" s="80"/>
      <c r="AI146" s="80"/>
      <c r="AJ146" s="87">
        <v>41645.97607638889</v>
      </c>
      <c r="AK146" s="85" t="str">
        <f>HYPERLINK("https://yt3.ggpht.com/ytc/AKedOLRYQHS-hjWBfBOyT6lv6ufskpk25-7-p_JnMnUkpA=s88-c-k-c0x00ffffff-no-rj")</f>
        <v>https://yt3.ggpht.com/ytc/AKedOLRYQHS-hjWBfBOyT6lv6ufskpk25-7-p_JnMnUkpA=s88-c-k-c0x00ffffff-no-rj</v>
      </c>
      <c r="AL146" s="80">
        <v>0</v>
      </c>
      <c r="AM146" s="80">
        <v>0</v>
      </c>
      <c r="AN146" s="80">
        <v>0</v>
      </c>
      <c r="AO146" s="80" t="b">
        <v>0</v>
      </c>
      <c r="AP146" s="80">
        <v>0</v>
      </c>
      <c r="AQ146" s="80"/>
      <c r="AR146" s="80"/>
      <c r="AS146" s="80" t="s">
        <v>1376</v>
      </c>
      <c r="AT146" s="85" t="str">
        <f>HYPERLINK("https://www.youtube.com/channel/UCRaAPyppJGU5Yds5lDDlb1Q")</f>
        <v>https://www.youtube.com/channel/UCRaAPyppJGU5Yds5lDDlb1Q</v>
      </c>
      <c r="AU146" s="80" t="str">
        <f>REPLACE(INDEX(GroupVertices[Group],MATCH(Vertices[[#This Row],[Vertex]],GroupVertices[Vertex],0)),1,1,"")</f>
        <v>1</v>
      </c>
      <c r="AV146" s="49">
        <v>2</v>
      </c>
      <c r="AW146" s="50">
        <v>15.384615384615385</v>
      </c>
      <c r="AX146" s="49">
        <v>0</v>
      </c>
      <c r="AY146" s="50">
        <v>0</v>
      </c>
      <c r="AZ146" s="49">
        <v>0</v>
      </c>
      <c r="BA146" s="50">
        <v>0</v>
      </c>
      <c r="BB146" s="49">
        <v>11</v>
      </c>
      <c r="BC146" s="50">
        <v>84.61538461538461</v>
      </c>
      <c r="BD146" s="49">
        <v>13</v>
      </c>
      <c r="BE146" s="49"/>
      <c r="BF146" s="49"/>
      <c r="BG146" s="49"/>
      <c r="BH146" s="49"/>
      <c r="BI146" s="49"/>
      <c r="BJ146" s="49"/>
      <c r="BK146" s="111" t="s">
        <v>2469</v>
      </c>
      <c r="BL146" s="111" t="s">
        <v>2469</v>
      </c>
      <c r="BM146" s="111" t="s">
        <v>2658</v>
      </c>
      <c r="BN146" s="111" t="s">
        <v>2658</v>
      </c>
      <c r="BO146" s="2"/>
      <c r="BP146" s="3"/>
      <c r="BQ146" s="3"/>
      <c r="BR146" s="3"/>
      <c r="BS146" s="3"/>
    </row>
    <row r="147" spans="1:71" ht="15">
      <c r="A147" s="65" t="s">
        <v>464</v>
      </c>
      <c r="B147" s="66"/>
      <c r="C147" s="66"/>
      <c r="D147" s="67">
        <v>150</v>
      </c>
      <c r="E147" s="69"/>
      <c r="F147" s="103" t="str">
        <f>HYPERLINK("https://yt3.ggpht.com/bnhGqoK2pwikV7udLNWxVsJ97SFok_phTKDliGpX_q15T4c1QASWuIJ-xFde4rDZa6GG8doC_DA=s88-c-k-c0x00ffffff-no-rj")</f>
        <v>https://yt3.ggpht.com/bnhGqoK2pwikV7udLNWxVsJ97SFok_phTKDliGpX_q15T4c1QASWuIJ-xFde4rDZa6GG8doC_DA=s88-c-k-c0x00ffffff-no-rj</v>
      </c>
      <c r="G147" s="66"/>
      <c r="H147" s="70" t="s">
        <v>977</v>
      </c>
      <c r="I147" s="71"/>
      <c r="J147" s="71" t="s">
        <v>159</v>
      </c>
      <c r="K147" s="70" t="s">
        <v>977</v>
      </c>
      <c r="L147" s="74">
        <v>1</v>
      </c>
      <c r="M147" s="75">
        <v>692.5631713867188</v>
      </c>
      <c r="N147" s="75">
        <v>5308.22705078125</v>
      </c>
      <c r="O147" s="76"/>
      <c r="P147" s="77"/>
      <c r="Q147" s="77"/>
      <c r="R147" s="89"/>
      <c r="S147" s="49">
        <v>0</v>
      </c>
      <c r="T147" s="49">
        <v>1</v>
      </c>
      <c r="U147" s="50">
        <v>0</v>
      </c>
      <c r="V147" s="50">
        <v>0.189881</v>
      </c>
      <c r="W147" s="50">
        <v>0.080745</v>
      </c>
      <c r="X147" s="50">
        <v>0.003874</v>
      </c>
      <c r="Y147" s="50">
        <v>0</v>
      </c>
      <c r="Z147" s="50">
        <v>0</v>
      </c>
      <c r="AA147" s="72">
        <v>147</v>
      </c>
      <c r="AB147" s="72"/>
      <c r="AC147" s="73"/>
      <c r="AD147" s="80" t="s">
        <v>977</v>
      </c>
      <c r="AE147" s="80" t="s">
        <v>1319</v>
      </c>
      <c r="AF147" s="80"/>
      <c r="AG147" s="80"/>
      <c r="AH147" s="80"/>
      <c r="AI147" s="80"/>
      <c r="AJ147" s="87">
        <v>42588.878229166665</v>
      </c>
      <c r="AK147" s="85" t="str">
        <f>HYPERLINK("https://yt3.ggpht.com/bnhGqoK2pwikV7udLNWxVsJ97SFok_phTKDliGpX_q15T4c1QASWuIJ-xFde4rDZa6GG8doC_DA=s88-c-k-c0x00ffffff-no-rj")</f>
        <v>https://yt3.ggpht.com/bnhGqoK2pwikV7udLNWxVsJ97SFok_phTKDliGpX_q15T4c1QASWuIJ-xFde4rDZa6GG8doC_DA=s88-c-k-c0x00ffffff-no-rj</v>
      </c>
      <c r="AL147" s="80">
        <v>3541</v>
      </c>
      <c r="AM147" s="80">
        <v>0</v>
      </c>
      <c r="AN147" s="80">
        <v>16</v>
      </c>
      <c r="AO147" s="80" t="b">
        <v>0</v>
      </c>
      <c r="AP147" s="80">
        <v>26</v>
      </c>
      <c r="AQ147" s="80"/>
      <c r="AR147" s="80"/>
      <c r="AS147" s="80" t="s">
        <v>1376</v>
      </c>
      <c r="AT147" s="85" t="str">
        <f>HYPERLINK("https://www.youtube.com/channel/UCV6YNtkIq41tS1aUynMnoTw")</f>
        <v>https://www.youtube.com/channel/UCV6YNtkIq41tS1aUynMnoTw</v>
      </c>
      <c r="AU147" s="80" t="str">
        <f>REPLACE(INDEX(GroupVertices[Group],MATCH(Vertices[[#This Row],[Vertex]],GroupVertices[Vertex],0)),1,1,"")</f>
        <v>1</v>
      </c>
      <c r="AV147" s="49">
        <v>0</v>
      </c>
      <c r="AW147" s="50">
        <v>0</v>
      </c>
      <c r="AX147" s="49">
        <v>0</v>
      </c>
      <c r="AY147" s="50">
        <v>0</v>
      </c>
      <c r="AZ147" s="49">
        <v>0</v>
      </c>
      <c r="BA147" s="50">
        <v>0</v>
      </c>
      <c r="BB147" s="49">
        <v>3</v>
      </c>
      <c r="BC147" s="50">
        <v>100</v>
      </c>
      <c r="BD147" s="49">
        <v>3</v>
      </c>
      <c r="BE147" s="49"/>
      <c r="BF147" s="49"/>
      <c r="BG147" s="49"/>
      <c r="BH147" s="49"/>
      <c r="BI147" s="49"/>
      <c r="BJ147" s="49"/>
      <c r="BK147" s="111" t="s">
        <v>2470</v>
      </c>
      <c r="BL147" s="111" t="s">
        <v>2470</v>
      </c>
      <c r="BM147" s="111" t="s">
        <v>1239</v>
      </c>
      <c r="BN147" s="111" t="s">
        <v>1239</v>
      </c>
      <c r="BO147" s="2"/>
      <c r="BP147" s="3"/>
      <c r="BQ147" s="3"/>
      <c r="BR147" s="3"/>
      <c r="BS147" s="3"/>
    </row>
    <row r="148" spans="1:71" ht="15">
      <c r="A148" s="65" t="s">
        <v>465</v>
      </c>
      <c r="B148" s="66"/>
      <c r="C148" s="66"/>
      <c r="D148" s="67">
        <v>150</v>
      </c>
      <c r="E148" s="69"/>
      <c r="F148" s="103" t="str">
        <f>HYPERLINK("https://yt3.ggpht.com/ytc/AKedOLSJ8KU_a3u5OInJ8Zp7ne3-sd16hubdoGGqUw=s88-c-k-c0x00ffffff-no-rj")</f>
        <v>https://yt3.ggpht.com/ytc/AKedOLSJ8KU_a3u5OInJ8Zp7ne3-sd16hubdoGGqUw=s88-c-k-c0x00ffffff-no-rj</v>
      </c>
      <c r="G148" s="66"/>
      <c r="H148" s="70" t="s">
        <v>978</v>
      </c>
      <c r="I148" s="71"/>
      <c r="J148" s="71" t="s">
        <v>159</v>
      </c>
      <c r="K148" s="70" t="s">
        <v>978</v>
      </c>
      <c r="L148" s="74">
        <v>1</v>
      </c>
      <c r="M148" s="75">
        <v>2655.158447265625</v>
      </c>
      <c r="N148" s="75">
        <v>5180.42724609375</v>
      </c>
      <c r="O148" s="76"/>
      <c r="P148" s="77"/>
      <c r="Q148" s="77"/>
      <c r="R148" s="89"/>
      <c r="S148" s="49">
        <v>0</v>
      </c>
      <c r="T148" s="49">
        <v>1</v>
      </c>
      <c r="U148" s="50">
        <v>0</v>
      </c>
      <c r="V148" s="50">
        <v>0.189881</v>
      </c>
      <c r="W148" s="50">
        <v>0.080745</v>
      </c>
      <c r="X148" s="50">
        <v>0.003874</v>
      </c>
      <c r="Y148" s="50">
        <v>0</v>
      </c>
      <c r="Z148" s="50">
        <v>0</v>
      </c>
      <c r="AA148" s="72">
        <v>148</v>
      </c>
      <c r="AB148" s="72"/>
      <c r="AC148" s="73"/>
      <c r="AD148" s="80" t="s">
        <v>978</v>
      </c>
      <c r="AE148" s="80"/>
      <c r="AF148" s="80"/>
      <c r="AG148" s="80"/>
      <c r="AH148" s="80"/>
      <c r="AI148" s="80"/>
      <c r="AJ148" s="87">
        <v>41980.14880787037</v>
      </c>
      <c r="AK148" s="85" t="str">
        <f>HYPERLINK("https://yt3.ggpht.com/ytc/AKedOLSJ8KU_a3u5OInJ8Zp7ne3-sd16hubdoGGqUw=s88-c-k-c0x00ffffff-no-rj")</f>
        <v>https://yt3.ggpht.com/ytc/AKedOLSJ8KU_a3u5OInJ8Zp7ne3-sd16hubdoGGqUw=s88-c-k-c0x00ffffff-no-rj</v>
      </c>
      <c r="AL148" s="80">
        <v>0</v>
      </c>
      <c r="AM148" s="80">
        <v>0</v>
      </c>
      <c r="AN148" s="80">
        <v>1</v>
      </c>
      <c r="AO148" s="80" t="b">
        <v>0</v>
      </c>
      <c r="AP148" s="80">
        <v>0</v>
      </c>
      <c r="AQ148" s="80"/>
      <c r="AR148" s="80"/>
      <c r="AS148" s="80" t="s">
        <v>1376</v>
      </c>
      <c r="AT148" s="85" t="str">
        <f>HYPERLINK("https://www.youtube.com/channel/UCV5NmnIggBXfHNRqsqYBPHg")</f>
        <v>https://www.youtube.com/channel/UCV5NmnIggBXfHNRqsqYBPHg</v>
      </c>
      <c r="AU148" s="80" t="str">
        <f>REPLACE(INDEX(GroupVertices[Group],MATCH(Vertices[[#This Row],[Vertex]],GroupVertices[Vertex],0)),1,1,"")</f>
        <v>1</v>
      </c>
      <c r="AV148" s="49">
        <v>3</v>
      </c>
      <c r="AW148" s="50">
        <v>16.666666666666668</v>
      </c>
      <c r="AX148" s="49">
        <v>0</v>
      </c>
      <c r="AY148" s="50">
        <v>0</v>
      </c>
      <c r="AZ148" s="49">
        <v>0</v>
      </c>
      <c r="BA148" s="50">
        <v>0</v>
      </c>
      <c r="BB148" s="49">
        <v>15</v>
      </c>
      <c r="BC148" s="50">
        <v>83.33333333333333</v>
      </c>
      <c r="BD148" s="49">
        <v>18</v>
      </c>
      <c r="BE148" s="49"/>
      <c r="BF148" s="49"/>
      <c r="BG148" s="49"/>
      <c r="BH148" s="49"/>
      <c r="BI148" s="49"/>
      <c r="BJ148" s="49"/>
      <c r="BK148" s="111" t="s">
        <v>2471</v>
      </c>
      <c r="BL148" s="111" t="s">
        <v>2471</v>
      </c>
      <c r="BM148" s="111" t="s">
        <v>2659</v>
      </c>
      <c r="BN148" s="111" t="s">
        <v>2659</v>
      </c>
      <c r="BO148" s="2"/>
      <c r="BP148" s="3"/>
      <c r="BQ148" s="3"/>
      <c r="BR148" s="3"/>
      <c r="BS148" s="3"/>
    </row>
    <row r="149" spans="1:71" ht="15">
      <c r="A149" s="65" t="s">
        <v>466</v>
      </c>
      <c r="B149" s="66"/>
      <c r="C149" s="66"/>
      <c r="D149" s="67">
        <v>150</v>
      </c>
      <c r="E149" s="69"/>
      <c r="F149" s="103" t="str">
        <f>HYPERLINK("https://yt3.ggpht.com/ytc/AKedOLTo9FlDqgUYkUHMhZH9Up48AaM_uV-XdpC7-6wG=s88-c-k-c0x00ffffff-no-rj")</f>
        <v>https://yt3.ggpht.com/ytc/AKedOLTo9FlDqgUYkUHMhZH9Up48AaM_uV-XdpC7-6wG=s88-c-k-c0x00ffffff-no-rj</v>
      </c>
      <c r="G149" s="66"/>
      <c r="H149" s="70" t="s">
        <v>979</v>
      </c>
      <c r="I149" s="71"/>
      <c r="J149" s="71" t="s">
        <v>159</v>
      </c>
      <c r="K149" s="70" t="s">
        <v>979</v>
      </c>
      <c r="L149" s="74">
        <v>1</v>
      </c>
      <c r="M149" s="75">
        <v>5859.28662109375</v>
      </c>
      <c r="N149" s="75">
        <v>9592.3759765625</v>
      </c>
      <c r="O149" s="76"/>
      <c r="P149" s="77"/>
      <c r="Q149" s="77"/>
      <c r="R149" s="89"/>
      <c r="S149" s="49">
        <v>0</v>
      </c>
      <c r="T149" s="49">
        <v>1</v>
      </c>
      <c r="U149" s="50">
        <v>0</v>
      </c>
      <c r="V149" s="50">
        <v>0.088416</v>
      </c>
      <c r="W149" s="50">
        <v>1.7E-05</v>
      </c>
      <c r="X149" s="50">
        <v>0.004031</v>
      </c>
      <c r="Y149" s="50">
        <v>0</v>
      </c>
      <c r="Z149" s="50">
        <v>0</v>
      </c>
      <c r="AA149" s="72">
        <v>149</v>
      </c>
      <c r="AB149" s="72"/>
      <c r="AC149" s="73"/>
      <c r="AD149" s="80" t="s">
        <v>979</v>
      </c>
      <c r="AE149" s="80"/>
      <c r="AF149" s="80"/>
      <c r="AG149" s="80"/>
      <c r="AH149" s="80"/>
      <c r="AI149" s="80"/>
      <c r="AJ149" s="87">
        <v>40458.63049768518</v>
      </c>
      <c r="AK149" s="85" t="str">
        <f>HYPERLINK("https://yt3.ggpht.com/ytc/AKedOLTo9FlDqgUYkUHMhZH9Up48AaM_uV-XdpC7-6wG=s88-c-k-c0x00ffffff-no-rj")</f>
        <v>https://yt3.ggpht.com/ytc/AKedOLTo9FlDqgUYkUHMhZH9Up48AaM_uV-XdpC7-6wG=s88-c-k-c0x00ffffff-no-rj</v>
      </c>
      <c r="AL149" s="80">
        <v>0</v>
      </c>
      <c r="AM149" s="80">
        <v>0</v>
      </c>
      <c r="AN149" s="80">
        <v>29</v>
      </c>
      <c r="AO149" s="80" t="b">
        <v>0</v>
      </c>
      <c r="AP149" s="80">
        <v>0</v>
      </c>
      <c r="AQ149" s="80"/>
      <c r="AR149" s="80"/>
      <c r="AS149" s="80" t="s">
        <v>1376</v>
      </c>
      <c r="AT149" s="85" t="str">
        <f>HYPERLINK("https://www.youtube.com/channel/UChkL5Lh3Dn5xtgmO7QrjuDw")</f>
        <v>https://www.youtube.com/channel/UChkL5Lh3Dn5xtgmO7QrjuDw</v>
      </c>
      <c r="AU149" s="80" t="str">
        <f>REPLACE(INDEX(GroupVertices[Group],MATCH(Vertices[[#This Row],[Vertex]],GroupVertices[Vertex],0)),1,1,"")</f>
        <v>4</v>
      </c>
      <c r="AV149" s="49">
        <v>4</v>
      </c>
      <c r="AW149" s="50">
        <v>8.695652173913043</v>
      </c>
      <c r="AX149" s="49">
        <v>0</v>
      </c>
      <c r="AY149" s="50">
        <v>0</v>
      </c>
      <c r="AZ149" s="49">
        <v>0</v>
      </c>
      <c r="BA149" s="50">
        <v>0</v>
      </c>
      <c r="BB149" s="49">
        <v>42</v>
      </c>
      <c r="BC149" s="50">
        <v>91.30434782608695</v>
      </c>
      <c r="BD149" s="49">
        <v>46</v>
      </c>
      <c r="BE149" s="49"/>
      <c r="BF149" s="49"/>
      <c r="BG149" s="49"/>
      <c r="BH149" s="49"/>
      <c r="BI149" s="49"/>
      <c r="BJ149" s="49"/>
      <c r="BK149" s="111" t="s">
        <v>2472</v>
      </c>
      <c r="BL149" s="111" t="s">
        <v>2472</v>
      </c>
      <c r="BM149" s="111" t="s">
        <v>2660</v>
      </c>
      <c r="BN149" s="111" t="s">
        <v>2660</v>
      </c>
      <c r="BO149" s="2"/>
      <c r="BP149" s="3"/>
      <c r="BQ149" s="3"/>
      <c r="BR149" s="3"/>
      <c r="BS149" s="3"/>
    </row>
    <row r="150" spans="1:71" ht="15">
      <c r="A150" s="65" t="s">
        <v>467</v>
      </c>
      <c r="B150" s="66"/>
      <c r="C150" s="66"/>
      <c r="D150" s="67">
        <v>364.9425287356322</v>
      </c>
      <c r="E150" s="69"/>
      <c r="F150" s="103" t="str">
        <f>HYPERLINK("https://yt3.ggpht.com/ytc/AKedOLQgGWcSQYefRORbxYLXdN7sjSqx9fb-splxGDgBMlGrBljPhczOm4DNaA5ade2k=s88-c-k-c0x00ffffff-no-rj")</f>
        <v>https://yt3.ggpht.com/ytc/AKedOLQgGWcSQYefRORbxYLXdN7sjSqx9fb-splxGDgBMlGrBljPhczOm4DNaA5ade2k=s88-c-k-c0x00ffffff-no-rj</v>
      </c>
      <c r="G150" s="66"/>
      <c r="H150" s="70" t="s">
        <v>980</v>
      </c>
      <c r="I150" s="71"/>
      <c r="J150" s="71" t="s">
        <v>75</v>
      </c>
      <c r="K150" s="70" t="s">
        <v>980</v>
      </c>
      <c r="L150" s="74">
        <v>191.38086192966568</v>
      </c>
      <c r="M150" s="75">
        <v>5445.1689453125</v>
      </c>
      <c r="N150" s="75">
        <v>9104.671875</v>
      </c>
      <c r="O150" s="76"/>
      <c r="P150" s="77"/>
      <c r="Q150" s="77"/>
      <c r="R150" s="89"/>
      <c r="S150" s="49">
        <v>3</v>
      </c>
      <c r="T150" s="49">
        <v>2</v>
      </c>
      <c r="U150" s="50">
        <v>264</v>
      </c>
      <c r="V150" s="50">
        <v>0.104223</v>
      </c>
      <c r="W150" s="50">
        <v>0.000156</v>
      </c>
      <c r="X150" s="50">
        <v>0.004737</v>
      </c>
      <c r="Y150" s="50">
        <v>0</v>
      </c>
      <c r="Z150" s="50">
        <v>0.6666666666666666</v>
      </c>
      <c r="AA150" s="72">
        <v>150</v>
      </c>
      <c r="AB150" s="72"/>
      <c r="AC150" s="73"/>
      <c r="AD150" s="80" t="s">
        <v>980</v>
      </c>
      <c r="AE150" s="80"/>
      <c r="AF150" s="80"/>
      <c r="AG150" s="80"/>
      <c r="AH150" s="80"/>
      <c r="AI150" s="80"/>
      <c r="AJ150" s="87">
        <v>44399.28818287037</v>
      </c>
      <c r="AK150" s="85" t="str">
        <f>HYPERLINK("https://yt3.ggpht.com/ytc/AKedOLQgGWcSQYefRORbxYLXdN7sjSqx9fb-splxGDgBMlGrBljPhczOm4DNaA5ade2k=s88-c-k-c0x00ffffff-no-rj")</f>
        <v>https://yt3.ggpht.com/ytc/AKedOLQgGWcSQYefRORbxYLXdN7sjSqx9fb-splxGDgBMlGrBljPhczOm4DNaA5ade2k=s88-c-k-c0x00ffffff-no-rj</v>
      </c>
      <c r="AL150" s="80">
        <v>0</v>
      </c>
      <c r="AM150" s="80">
        <v>0</v>
      </c>
      <c r="AN150" s="80">
        <v>0</v>
      </c>
      <c r="AO150" s="80" t="b">
        <v>0</v>
      </c>
      <c r="AP150" s="80">
        <v>0</v>
      </c>
      <c r="AQ150" s="80"/>
      <c r="AR150" s="80"/>
      <c r="AS150" s="80" t="s">
        <v>1376</v>
      </c>
      <c r="AT150" s="85" t="str">
        <f>HYPERLINK("https://www.youtube.com/channel/UCuTRD7EkeDxVFdkdziqGAWA")</f>
        <v>https://www.youtube.com/channel/UCuTRD7EkeDxVFdkdziqGAWA</v>
      </c>
      <c r="AU150" s="80" t="str">
        <f>REPLACE(INDEX(GroupVertices[Group],MATCH(Vertices[[#This Row],[Vertex]],GroupVertices[Vertex],0)),1,1,"")</f>
        <v>4</v>
      </c>
      <c r="AV150" s="49">
        <v>0</v>
      </c>
      <c r="AW150" s="50">
        <v>0</v>
      </c>
      <c r="AX150" s="49">
        <v>0</v>
      </c>
      <c r="AY150" s="50">
        <v>0</v>
      </c>
      <c r="AZ150" s="49">
        <v>0</v>
      </c>
      <c r="BA150" s="50">
        <v>0</v>
      </c>
      <c r="BB150" s="49">
        <v>37</v>
      </c>
      <c r="BC150" s="50">
        <v>100</v>
      </c>
      <c r="BD150" s="49">
        <v>37</v>
      </c>
      <c r="BE150" s="49"/>
      <c r="BF150" s="49"/>
      <c r="BG150" s="49"/>
      <c r="BH150" s="49"/>
      <c r="BI150" s="49"/>
      <c r="BJ150" s="49"/>
      <c r="BK150" s="111" t="s">
        <v>2473</v>
      </c>
      <c r="BL150" s="111" t="s">
        <v>2535</v>
      </c>
      <c r="BM150" s="111" t="s">
        <v>2661</v>
      </c>
      <c r="BN150" s="111" t="s">
        <v>2661</v>
      </c>
      <c r="BO150" s="2"/>
      <c r="BP150" s="3"/>
      <c r="BQ150" s="3"/>
      <c r="BR150" s="3"/>
      <c r="BS150" s="3"/>
    </row>
    <row r="151" spans="1:71" ht="15">
      <c r="A151" s="65" t="s">
        <v>468</v>
      </c>
      <c r="B151" s="66"/>
      <c r="C151" s="66"/>
      <c r="D151" s="67">
        <v>969.0613026819923</v>
      </c>
      <c r="E151" s="69"/>
      <c r="F151" s="103" t="str">
        <f>HYPERLINK("https://yt3.ggpht.com/ytc/AKedOLQl6_5lTtqyNwjekeYAG5QQN9vNhbsCTCqZ63qhIbM=s88-c-k-c0x00ffffff-no-rj")</f>
        <v>https://yt3.ggpht.com/ytc/AKedOLQl6_5lTtqyNwjekeYAG5QQN9vNhbsCTCqZ63qhIbM=s88-c-k-c0x00ffffff-no-rj</v>
      </c>
      <c r="G151" s="66"/>
      <c r="H151" s="70" t="s">
        <v>981</v>
      </c>
      <c r="I151" s="71"/>
      <c r="J151" s="71" t="s">
        <v>75</v>
      </c>
      <c r="K151" s="70" t="s">
        <v>981</v>
      </c>
      <c r="L151" s="74">
        <v>726.4664662925896</v>
      </c>
      <c r="M151" s="75">
        <v>4898.75830078125</v>
      </c>
      <c r="N151" s="75">
        <v>9032.044921875</v>
      </c>
      <c r="O151" s="76"/>
      <c r="P151" s="77"/>
      <c r="Q151" s="77"/>
      <c r="R151" s="89"/>
      <c r="S151" s="49">
        <v>6</v>
      </c>
      <c r="T151" s="49">
        <v>2</v>
      </c>
      <c r="U151" s="50">
        <v>1006</v>
      </c>
      <c r="V151" s="50">
        <v>0.125628</v>
      </c>
      <c r="W151" s="50">
        <v>0.000694</v>
      </c>
      <c r="X151" s="50">
        <v>0.006083</v>
      </c>
      <c r="Y151" s="50">
        <v>0</v>
      </c>
      <c r="Z151" s="50">
        <v>0.2</v>
      </c>
      <c r="AA151" s="72">
        <v>151</v>
      </c>
      <c r="AB151" s="72"/>
      <c r="AC151" s="73"/>
      <c r="AD151" s="80" t="s">
        <v>981</v>
      </c>
      <c r="AE151" s="80" t="s">
        <v>1320</v>
      </c>
      <c r="AF151" s="80"/>
      <c r="AG151" s="80"/>
      <c r="AH151" s="80"/>
      <c r="AI151" s="80"/>
      <c r="AJ151" s="87">
        <v>42211.661770833336</v>
      </c>
      <c r="AK151" s="85" t="str">
        <f>HYPERLINK("https://yt3.ggpht.com/ytc/AKedOLQl6_5lTtqyNwjekeYAG5QQN9vNhbsCTCqZ63qhIbM=s88-c-k-c0x00ffffff-no-rj")</f>
        <v>https://yt3.ggpht.com/ytc/AKedOLQl6_5lTtqyNwjekeYAG5QQN9vNhbsCTCqZ63qhIbM=s88-c-k-c0x00ffffff-no-rj</v>
      </c>
      <c r="AL151" s="80">
        <v>164762</v>
      </c>
      <c r="AM151" s="80">
        <v>0</v>
      </c>
      <c r="AN151" s="80">
        <v>573</v>
      </c>
      <c r="AO151" s="80" t="b">
        <v>0</v>
      </c>
      <c r="AP151" s="80">
        <v>104</v>
      </c>
      <c r="AQ151" s="80"/>
      <c r="AR151" s="80"/>
      <c r="AS151" s="80" t="s">
        <v>1376</v>
      </c>
      <c r="AT151" s="85" t="str">
        <f>HYPERLINK("https://www.youtube.com/channel/UCuyDUN7SDHJd3-UQhX69A9w")</f>
        <v>https://www.youtube.com/channel/UCuyDUN7SDHJd3-UQhX69A9w</v>
      </c>
      <c r="AU151" s="80" t="str">
        <f>REPLACE(INDEX(GroupVertices[Group],MATCH(Vertices[[#This Row],[Vertex]],GroupVertices[Vertex],0)),1,1,"")</f>
        <v>4</v>
      </c>
      <c r="AV151" s="49">
        <v>3</v>
      </c>
      <c r="AW151" s="50">
        <v>4.615384615384615</v>
      </c>
      <c r="AX151" s="49">
        <v>0</v>
      </c>
      <c r="AY151" s="50">
        <v>0</v>
      </c>
      <c r="AZ151" s="49">
        <v>0</v>
      </c>
      <c r="BA151" s="50">
        <v>0</v>
      </c>
      <c r="BB151" s="49">
        <v>62</v>
      </c>
      <c r="BC151" s="50">
        <v>95.38461538461539</v>
      </c>
      <c r="BD151" s="49">
        <v>65</v>
      </c>
      <c r="BE151" s="49" t="s">
        <v>2122</v>
      </c>
      <c r="BF151" s="49" t="s">
        <v>2122</v>
      </c>
      <c r="BG151" s="49" t="s">
        <v>2173</v>
      </c>
      <c r="BH151" s="49" t="s">
        <v>2173</v>
      </c>
      <c r="BI151" s="49"/>
      <c r="BJ151" s="49"/>
      <c r="BK151" s="111" t="s">
        <v>2474</v>
      </c>
      <c r="BL151" s="111" t="s">
        <v>2474</v>
      </c>
      <c r="BM151" s="111" t="s">
        <v>2662</v>
      </c>
      <c r="BN151" s="111" t="s">
        <v>2662</v>
      </c>
      <c r="BO151" s="2"/>
      <c r="BP151" s="3"/>
      <c r="BQ151" s="3"/>
      <c r="BR151" s="3"/>
      <c r="BS151" s="3"/>
    </row>
    <row r="152" spans="1:71" ht="15">
      <c r="A152" s="65" t="s">
        <v>469</v>
      </c>
      <c r="B152" s="66"/>
      <c r="C152" s="66"/>
      <c r="D152" s="67">
        <v>150</v>
      </c>
      <c r="E152" s="69"/>
      <c r="F152" s="103" t="str">
        <f>HYPERLINK("https://yt3.ggpht.com/ytc/AKedOLRMPPbVJSr6IfoFGx6aYjgNrVC67YbB2HsSwrARLQ=s88-c-k-c0x00ffffff-no-rj")</f>
        <v>https://yt3.ggpht.com/ytc/AKedOLRMPPbVJSr6IfoFGx6aYjgNrVC67YbB2HsSwrARLQ=s88-c-k-c0x00ffffff-no-rj</v>
      </c>
      <c r="G152" s="66"/>
      <c r="H152" s="70" t="s">
        <v>982</v>
      </c>
      <c r="I152" s="71"/>
      <c r="J152" s="71" t="s">
        <v>159</v>
      </c>
      <c r="K152" s="70" t="s">
        <v>982</v>
      </c>
      <c r="L152" s="74">
        <v>1</v>
      </c>
      <c r="M152" s="75">
        <v>4760.4951171875</v>
      </c>
      <c r="N152" s="75">
        <v>9822.326171875</v>
      </c>
      <c r="O152" s="76"/>
      <c r="P152" s="77"/>
      <c r="Q152" s="77"/>
      <c r="R152" s="89"/>
      <c r="S152" s="49">
        <v>0</v>
      </c>
      <c r="T152" s="49">
        <v>1</v>
      </c>
      <c r="U152" s="50">
        <v>0</v>
      </c>
      <c r="V152" s="50">
        <v>0.103356</v>
      </c>
      <c r="W152" s="50">
        <v>7.8E-05</v>
      </c>
      <c r="X152" s="50">
        <v>0.003947</v>
      </c>
      <c r="Y152" s="50">
        <v>0</v>
      </c>
      <c r="Z152" s="50">
        <v>0</v>
      </c>
      <c r="AA152" s="72">
        <v>152</v>
      </c>
      <c r="AB152" s="72"/>
      <c r="AC152" s="73"/>
      <c r="AD152" s="80" t="s">
        <v>982</v>
      </c>
      <c r="AE152" s="80"/>
      <c r="AF152" s="80"/>
      <c r="AG152" s="80"/>
      <c r="AH152" s="80"/>
      <c r="AI152" s="80"/>
      <c r="AJ152" s="87">
        <v>41459.42570601852</v>
      </c>
      <c r="AK152" s="85" t="str">
        <f>HYPERLINK("https://yt3.ggpht.com/ytc/AKedOLRMPPbVJSr6IfoFGx6aYjgNrVC67YbB2HsSwrARLQ=s88-c-k-c0x00ffffff-no-rj")</f>
        <v>https://yt3.ggpht.com/ytc/AKedOLRMPPbVJSr6IfoFGx6aYjgNrVC67YbB2HsSwrARLQ=s88-c-k-c0x00ffffff-no-rj</v>
      </c>
      <c r="AL152" s="80">
        <v>4174</v>
      </c>
      <c r="AM152" s="80">
        <v>0</v>
      </c>
      <c r="AN152" s="80">
        <v>14</v>
      </c>
      <c r="AO152" s="80" t="b">
        <v>0</v>
      </c>
      <c r="AP152" s="80">
        <v>8</v>
      </c>
      <c r="AQ152" s="80"/>
      <c r="AR152" s="80"/>
      <c r="AS152" s="80" t="s">
        <v>1376</v>
      </c>
      <c r="AT152" s="85" t="str">
        <f>HYPERLINK("https://www.youtube.com/channel/UCJ7JJfGzhW5TZX5Pbsp6XyQ")</f>
        <v>https://www.youtube.com/channel/UCJ7JJfGzhW5TZX5Pbsp6XyQ</v>
      </c>
      <c r="AU152" s="80" t="str">
        <f>REPLACE(INDEX(GroupVertices[Group],MATCH(Vertices[[#This Row],[Vertex]],GroupVertices[Vertex],0)),1,1,"")</f>
        <v>4</v>
      </c>
      <c r="AV152" s="49">
        <v>3</v>
      </c>
      <c r="AW152" s="50">
        <v>18.75</v>
      </c>
      <c r="AX152" s="49">
        <v>0</v>
      </c>
      <c r="AY152" s="50">
        <v>0</v>
      </c>
      <c r="AZ152" s="49">
        <v>0</v>
      </c>
      <c r="BA152" s="50">
        <v>0</v>
      </c>
      <c r="BB152" s="49">
        <v>13</v>
      </c>
      <c r="BC152" s="50">
        <v>81.25</v>
      </c>
      <c r="BD152" s="49">
        <v>16</v>
      </c>
      <c r="BE152" s="49"/>
      <c r="BF152" s="49"/>
      <c r="BG152" s="49"/>
      <c r="BH152" s="49"/>
      <c r="BI152" s="49"/>
      <c r="BJ152" s="49"/>
      <c r="BK152" s="111" t="s">
        <v>2475</v>
      </c>
      <c r="BL152" s="111" t="s">
        <v>2475</v>
      </c>
      <c r="BM152" s="111" t="s">
        <v>2663</v>
      </c>
      <c r="BN152" s="111" t="s">
        <v>2663</v>
      </c>
      <c r="BO152" s="2"/>
      <c r="BP152" s="3"/>
      <c r="BQ152" s="3"/>
      <c r="BR152" s="3"/>
      <c r="BS152" s="3"/>
    </row>
    <row r="153" spans="1:71" ht="15">
      <c r="A153" s="65" t="s">
        <v>470</v>
      </c>
      <c r="B153" s="66"/>
      <c r="C153" s="66"/>
      <c r="D153" s="67">
        <v>150</v>
      </c>
      <c r="E153" s="69"/>
      <c r="F153" s="103" t="str">
        <f>HYPERLINK("https://yt3.ggpht.com/ytc/AKedOLQmmDzoaRA-6TsnIpr5WdhsoRxrcy0c_JYyDBu5GSs=s88-c-k-c0x00ffffff-no-rj")</f>
        <v>https://yt3.ggpht.com/ytc/AKedOLQmmDzoaRA-6TsnIpr5WdhsoRxrcy0c_JYyDBu5GSs=s88-c-k-c0x00ffffff-no-rj</v>
      </c>
      <c r="G153" s="66"/>
      <c r="H153" s="70" t="s">
        <v>983</v>
      </c>
      <c r="I153" s="71"/>
      <c r="J153" s="71" t="s">
        <v>159</v>
      </c>
      <c r="K153" s="70" t="s">
        <v>983</v>
      </c>
      <c r="L153" s="74">
        <v>1</v>
      </c>
      <c r="M153" s="75">
        <v>4499.36572265625</v>
      </c>
      <c r="N153" s="75">
        <v>9612.1201171875</v>
      </c>
      <c r="O153" s="76"/>
      <c r="P153" s="77"/>
      <c r="Q153" s="77"/>
      <c r="R153" s="89"/>
      <c r="S153" s="49">
        <v>0</v>
      </c>
      <c r="T153" s="49">
        <v>1</v>
      </c>
      <c r="U153" s="50">
        <v>0</v>
      </c>
      <c r="V153" s="50">
        <v>0.103356</v>
      </c>
      <c r="W153" s="50">
        <v>7.8E-05</v>
      </c>
      <c r="X153" s="50">
        <v>0.003947</v>
      </c>
      <c r="Y153" s="50">
        <v>0</v>
      </c>
      <c r="Z153" s="50">
        <v>0</v>
      </c>
      <c r="AA153" s="72">
        <v>153</v>
      </c>
      <c r="AB153" s="72"/>
      <c r="AC153" s="73"/>
      <c r="AD153" s="80" t="s">
        <v>983</v>
      </c>
      <c r="AE153" s="80"/>
      <c r="AF153" s="80"/>
      <c r="AG153" s="80"/>
      <c r="AH153" s="80"/>
      <c r="AI153" s="80"/>
      <c r="AJ153" s="87">
        <v>42270.52148148148</v>
      </c>
      <c r="AK153" s="85" t="str">
        <f>HYPERLINK("https://yt3.ggpht.com/ytc/AKedOLQmmDzoaRA-6TsnIpr5WdhsoRxrcy0c_JYyDBu5GSs=s88-c-k-c0x00ffffff-no-rj")</f>
        <v>https://yt3.ggpht.com/ytc/AKedOLQmmDzoaRA-6TsnIpr5WdhsoRxrcy0c_JYyDBu5GSs=s88-c-k-c0x00ffffff-no-rj</v>
      </c>
      <c r="AL153" s="80">
        <v>0</v>
      </c>
      <c r="AM153" s="80">
        <v>0</v>
      </c>
      <c r="AN153" s="80">
        <v>1</v>
      </c>
      <c r="AO153" s="80" t="b">
        <v>0</v>
      </c>
      <c r="AP153" s="80">
        <v>0</v>
      </c>
      <c r="AQ153" s="80"/>
      <c r="AR153" s="80"/>
      <c r="AS153" s="80" t="s">
        <v>1376</v>
      </c>
      <c r="AT153" s="85" t="str">
        <f>HYPERLINK("https://www.youtube.com/channel/UCBG9ELVWsYR8H8WS_KGQufQ")</f>
        <v>https://www.youtube.com/channel/UCBG9ELVWsYR8H8WS_KGQufQ</v>
      </c>
      <c r="AU153" s="80" t="str">
        <f>REPLACE(INDEX(GroupVertices[Group],MATCH(Vertices[[#This Row],[Vertex]],GroupVertices[Vertex],0)),1,1,"")</f>
        <v>4</v>
      </c>
      <c r="AV153" s="49">
        <v>3</v>
      </c>
      <c r="AW153" s="50">
        <v>42.857142857142854</v>
      </c>
      <c r="AX153" s="49">
        <v>0</v>
      </c>
      <c r="AY153" s="50">
        <v>0</v>
      </c>
      <c r="AZ153" s="49">
        <v>0</v>
      </c>
      <c r="BA153" s="50">
        <v>0</v>
      </c>
      <c r="BB153" s="49">
        <v>4</v>
      </c>
      <c r="BC153" s="50">
        <v>57.142857142857146</v>
      </c>
      <c r="BD153" s="49">
        <v>7</v>
      </c>
      <c r="BE153" s="49"/>
      <c r="BF153" s="49"/>
      <c r="BG153" s="49"/>
      <c r="BH153" s="49"/>
      <c r="BI153" s="49"/>
      <c r="BJ153" s="49"/>
      <c r="BK153" s="111" t="s">
        <v>2476</v>
      </c>
      <c r="BL153" s="111" t="s">
        <v>2476</v>
      </c>
      <c r="BM153" s="111" t="s">
        <v>2664</v>
      </c>
      <c r="BN153" s="111" t="s">
        <v>2664</v>
      </c>
      <c r="BO153" s="2"/>
      <c r="BP153" s="3"/>
      <c r="BQ153" s="3"/>
      <c r="BR153" s="3"/>
      <c r="BS153" s="3"/>
    </row>
    <row r="154" spans="1:71" ht="15">
      <c r="A154" s="65" t="s">
        <v>471</v>
      </c>
      <c r="B154" s="66"/>
      <c r="C154" s="66"/>
      <c r="D154" s="67">
        <v>150</v>
      </c>
      <c r="E154" s="69"/>
      <c r="F154" s="103" t="str">
        <f>HYPERLINK("https://yt3.ggpht.com/ytc/AKedOLTn6wAFiWwlxLFK0Cj3SbXkE2j1rltC9anuJ_ELuZidiMAkwTR9kuDI1CL5UxR-=s88-c-k-c0x00ffffff-no-rj")</f>
        <v>https://yt3.ggpht.com/ytc/AKedOLTn6wAFiWwlxLFK0Cj3SbXkE2j1rltC9anuJ_ELuZidiMAkwTR9kuDI1CL5UxR-=s88-c-k-c0x00ffffff-no-rj</v>
      </c>
      <c r="G154" s="66"/>
      <c r="H154" s="70" t="s">
        <v>984</v>
      </c>
      <c r="I154" s="71"/>
      <c r="J154" s="71" t="s">
        <v>159</v>
      </c>
      <c r="K154" s="70" t="s">
        <v>984</v>
      </c>
      <c r="L154" s="74">
        <v>1</v>
      </c>
      <c r="M154" s="75">
        <v>5075.21240234375</v>
      </c>
      <c r="N154" s="75">
        <v>9773.4814453125</v>
      </c>
      <c r="O154" s="76"/>
      <c r="P154" s="77"/>
      <c r="Q154" s="77"/>
      <c r="R154" s="89"/>
      <c r="S154" s="49">
        <v>0</v>
      </c>
      <c r="T154" s="49">
        <v>1</v>
      </c>
      <c r="U154" s="50">
        <v>0</v>
      </c>
      <c r="V154" s="50">
        <v>0.103356</v>
      </c>
      <c r="W154" s="50">
        <v>7.8E-05</v>
      </c>
      <c r="X154" s="50">
        <v>0.003947</v>
      </c>
      <c r="Y154" s="50">
        <v>0</v>
      </c>
      <c r="Z154" s="50">
        <v>0</v>
      </c>
      <c r="AA154" s="72">
        <v>154</v>
      </c>
      <c r="AB154" s="72"/>
      <c r="AC154" s="73"/>
      <c r="AD154" s="80" t="s">
        <v>984</v>
      </c>
      <c r="AE154" s="80"/>
      <c r="AF154" s="80"/>
      <c r="AG154" s="80"/>
      <c r="AH154" s="80"/>
      <c r="AI154" s="80"/>
      <c r="AJ154" s="87">
        <v>44586.763333333336</v>
      </c>
      <c r="AK154" s="85" t="str">
        <f>HYPERLINK("https://yt3.ggpht.com/ytc/AKedOLTn6wAFiWwlxLFK0Cj3SbXkE2j1rltC9anuJ_ELuZidiMAkwTR9kuDI1CL5UxR-=s88-c-k-c0x00ffffff-no-rj")</f>
        <v>https://yt3.ggpht.com/ytc/AKedOLTn6wAFiWwlxLFK0Cj3SbXkE2j1rltC9anuJ_ELuZidiMAkwTR9kuDI1CL5UxR-=s88-c-k-c0x00ffffff-no-rj</v>
      </c>
      <c r="AL154" s="80">
        <v>0</v>
      </c>
      <c r="AM154" s="80">
        <v>0</v>
      </c>
      <c r="AN154" s="80">
        <v>0</v>
      </c>
      <c r="AO154" s="80" t="b">
        <v>0</v>
      </c>
      <c r="AP154" s="80">
        <v>0</v>
      </c>
      <c r="AQ154" s="80"/>
      <c r="AR154" s="80"/>
      <c r="AS154" s="80" t="s">
        <v>1376</v>
      </c>
      <c r="AT154" s="85" t="str">
        <f>HYPERLINK("https://www.youtube.com/channel/UCEPBRv8fyf8zIR1gzyGn8qg")</f>
        <v>https://www.youtube.com/channel/UCEPBRv8fyf8zIR1gzyGn8qg</v>
      </c>
      <c r="AU154" s="80" t="str">
        <f>REPLACE(INDEX(GroupVertices[Group],MATCH(Vertices[[#This Row],[Vertex]],GroupVertices[Vertex],0)),1,1,"")</f>
        <v>4</v>
      </c>
      <c r="AV154" s="49">
        <v>2</v>
      </c>
      <c r="AW154" s="50">
        <v>16.666666666666668</v>
      </c>
      <c r="AX154" s="49">
        <v>0</v>
      </c>
      <c r="AY154" s="50">
        <v>0</v>
      </c>
      <c r="AZ154" s="49">
        <v>0</v>
      </c>
      <c r="BA154" s="50">
        <v>0</v>
      </c>
      <c r="BB154" s="49">
        <v>10</v>
      </c>
      <c r="BC154" s="50">
        <v>83.33333333333333</v>
      </c>
      <c r="BD154" s="49">
        <v>12</v>
      </c>
      <c r="BE154" s="49"/>
      <c r="BF154" s="49"/>
      <c r="BG154" s="49"/>
      <c r="BH154" s="49"/>
      <c r="BI154" s="49"/>
      <c r="BJ154" s="49"/>
      <c r="BK154" s="111" t="s">
        <v>2477</v>
      </c>
      <c r="BL154" s="111" t="s">
        <v>2477</v>
      </c>
      <c r="BM154" s="111" t="s">
        <v>2665</v>
      </c>
      <c r="BN154" s="111" t="s">
        <v>2665</v>
      </c>
      <c r="BO154" s="2"/>
      <c r="BP154" s="3"/>
      <c r="BQ154" s="3"/>
      <c r="BR154" s="3"/>
      <c r="BS154" s="3"/>
    </row>
    <row r="155" spans="1:71" ht="15">
      <c r="A155" s="65" t="s">
        <v>472</v>
      </c>
      <c r="B155" s="66"/>
      <c r="C155" s="66"/>
      <c r="D155" s="67">
        <v>150</v>
      </c>
      <c r="E155" s="69"/>
      <c r="F155" s="103" t="str">
        <f>HYPERLINK("https://yt3.ggpht.com/ytc/AKedOLRK5WToHaZYdm-n3-nAP1GPZu7QjVqAKVNPOKG1zA=s88-c-k-c0x00ffffff-no-rj")</f>
        <v>https://yt3.ggpht.com/ytc/AKedOLRK5WToHaZYdm-n3-nAP1GPZu7QjVqAKVNPOKG1zA=s88-c-k-c0x00ffffff-no-rj</v>
      </c>
      <c r="G155" s="66"/>
      <c r="H155" s="70" t="s">
        <v>985</v>
      </c>
      <c r="I155" s="71"/>
      <c r="J155" s="71" t="s">
        <v>159</v>
      </c>
      <c r="K155" s="70" t="s">
        <v>985</v>
      </c>
      <c r="L155" s="74">
        <v>1</v>
      </c>
      <c r="M155" s="75">
        <v>2953.439697265625</v>
      </c>
      <c r="N155" s="75">
        <v>7272.8271484375</v>
      </c>
      <c r="O155" s="76"/>
      <c r="P155" s="77"/>
      <c r="Q155" s="77"/>
      <c r="R155" s="89"/>
      <c r="S155" s="49">
        <v>0</v>
      </c>
      <c r="T155" s="49">
        <v>1</v>
      </c>
      <c r="U155" s="50">
        <v>0</v>
      </c>
      <c r="V155" s="50">
        <v>0.189881</v>
      </c>
      <c r="W155" s="50">
        <v>0.080745</v>
      </c>
      <c r="X155" s="50">
        <v>0.003874</v>
      </c>
      <c r="Y155" s="50">
        <v>0</v>
      </c>
      <c r="Z155" s="50">
        <v>0</v>
      </c>
      <c r="AA155" s="72">
        <v>155</v>
      </c>
      <c r="AB155" s="72"/>
      <c r="AC155" s="73"/>
      <c r="AD155" s="80" t="s">
        <v>985</v>
      </c>
      <c r="AE155" s="80"/>
      <c r="AF155" s="80"/>
      <c r="AG155" s="80"/>
      <c r="AH155" s="80"/>
      <c r="AI155" s="80"/>
      <c r="AJ155" s="87">
        <v>41453.10909722222</v>
      </c>
      <c r="AK155" s="85" t="str">
        <f>HYPERLINK("https://yt3.ggpht.com/ytc/AKedOLRK5WToHaZYdm-n3-nAP1GPZu7QjVqAKVNPOKG1zA=s88-c-k-c0x00ffffff-no-rj")</f>
        <v>https://yt3.ggpht.com/ytc/AKedOLRK5WToHaZYdm-n3-nAP1GPZu7QjVqAKVNPOKG1zA=s88-c-k-c0x00ffffff-no-rj</v>
      </c>
      <c r="AL155" s="80">
        <v>0</v>
      </c>
      <c r="AM155" s="80">
        <v>0</v>
      </c>
      <c r="AN155" s="80">
        <v>0</v>
      </c>
      <c r="AO155" s="80" t="b">
        <v>0</v>
      </c>
      <c r="AP155" s="80">
        <v>0</v>
      </c>
      <c r="AQ155" s="80"/>
      <c r="AR155" s="80"/>
      <c r="AS155" s="80" t="s">
        <v>1376</v>
      </c>
      <c r="AT155" s="85" t="str">
        <f>HYPERLINK("https://www.youtube.com/channel/UC4rU9PYja99OHl9qHrP0llQ")</f>
        <v>https://www.youtube.com/channel/UC4rU9PYja99OHl9qHrP0llQ</v>
      </c>
      <c r="AU155" s="80" t="str">
        <f>REPLACE(INDEX(GroupVertices[Group],MATCH(Vertices[[#This Row],[Vertex]],GroupVertices[Vertex],0)),1,1,"")</f>
        <v>1</v>
      </c>
      <c r="AV155" s="49">
        <v>1</v>
      </c>
      <c r="AW155" s="50">
        <v>16.666666666666668</v>
      </c>
      <c r="AX155" s="49">
        <v>0</v>
      </c>
      <c r="AY155" s="50">
        <v>0</v>
      </c>
      <c r="AZ155" s="49">
        <v>0</v>
      </c>
      <c r="BA155" s="50">
        <v>0</v>
      </c>
      <c r="BB155" s="49">
        <v>5</v>
      </c>
      <c r="BC155" s="50">
        <v>83.33333333333333</v>
      </c>
      <c r="BD155" s="49">
        <v>6</v>
      </c>
      <c r="BE155" s="49"/>
      <c r="BF155" s="49"/>
      <c r="BG155" s="49"/>
      <c r="BH155" s="49"/>
      <c r="BI155" s="49"/>
      <c r="BJ155" s="49"/>
      <c r="BK155" s="111" t="s">
        <v>1465</v>
      </c>
      <c r="BL155" s="111" t="s">
        <v>1465</v>
      </c>
      <c r="BM155" s="111" t="s">
        <v>1239</v>
      </c>
      <c r="BN155" s="111" t="s">
        <v>1239</v>
      </c>
      <c r="BO155" s="2"/>
      <c r="BP155" s="3"/>
      <c r="BQ155" s="3"/>
      <c r="BR155" s="3"/>
      <c r="BS155" s="3"/>
    </row>
    <row r="156" spans="1:71" ht="15">
      <c r="A156" s="65" t="s">
        <v>473</v>
      </c>
      <c r="B156" s="66"/>
      <c r="C156" s="66"/>
      <c r="D156" s="67">
        <v>150</v>
      </c>
      <c r="E156" s="69"/>
      <c r="F156" s="103" t="str">
        <f>HYPERLINK("https://yt3.ggpht.com/ytc/AKedOLSeYb7I-tHvgwieddIx0O0eAzLcojPklYgm5HTgcA=s88-c-k-c0x00ffffff-no-rj")</f>
        <v>https://yt3.ggpht.com/ytc/AKedOLSeYb7I-tHvgwieddIx0O0eAzLcojPklYgm5HTgcA=s88-c-k-c0x00ffffff-no-rj</v>
      </c>
      <c r="G156" s="66"/>
      <c r="H156" s="70" t="s">
        <v>986</v>
      </c>
      <c r="I156" s="71"/>
      <c r="J156" s="71" t="s">
        <v>159</v>
      </c>
      <c r="K156" s="70" t="s">
        <v>986</v>
      </c>
      <c r="L156" s="74">
        <v>1</v>
      </c>
      <c r="M156" s="75">
        <v>2390.30517578125</v>
      </c>
      <c r="N156" s="75">
        <v>9134.087890625</v>
      </c>
      <c r="O156" s="76"/>
      <c r="P156" s="77"/>
      <c r="Q156" s="77"/>
      <c r="R156" s="89"/>
      <c r="S156" s="49">
        <v>0</v>
      </c>
      <c r="T156" s="49">
        <v>1</v>
      </c>
      <c r="U156" s="50">
        <v>0</v>
      </c>
      <c r="V156" s="50">
        <v>0.189881</v>
      </c>
      <c r="W156" s="50">
        <v>0.080745</v>
      </c>
      <c r="X156" s="50">
        <v>0.003874</v>
      </c>
      <c r="Y156" s="50">
        <v>0</v>
      </c>
      <c r="Z156" s="50">
        <v>0</v>
      </c>
      <c r="AA156" s="72">
        <v>156</v>
      </c>
      <c r="AB156" s="72"/>
      <c r="AC156" s="73"/>
      <c r="AD156" s="80" t="s">
        <v>986</v>
      </c>
      <c r="AE156" s="80"/>
      <c r="AF156" s="80"/>
      <c r="AG156" s="80"/>
      <c r="AH156" s="80"/>
      <c r="AI156" s="80"/>
      <c r="AJ156" s="87">
        <v>41326.60821759259</v>
      </c>
      <c r="AK156" s="85" t="str">
        <f>HYPERLINK("https://yt3.ggpht.com/ytc/AKedOLSeYb7I-tHvgwieddIx0O0eAzLcojPklYgm5HTgcA=s88-c-k-c0x00ffffff-no-rj")</f>
        <v>https://yt3.ggpht.com/ytc/AKedOLSeYb7I-tHvgwieddIx0O0eAzLcojPklYgm5HTgcA=s88-c-k-c0x00ffffff-no-rj</v>
      </c>
      <c r="AL156" s="80">
        <v>2809</v>
      </c>
      <c r="AM156" s="80">
        <v>0</v>
      </c>
      <c r="AN156" s="80">
        <v>6</v>
      </c>
      <c r="AO156" s="80" t="b">
        <v>0</v>
      </c>
      <c r="AP156" s="80">
        <v>1</v>
      </c>
      <c r="AQ156" s="80"/>
      <c r="AR156" s="80"/>
      <c r="AS156" s="80" t="s">
        <v>1376</v>
      </c>
      <c r="AT156" s="85" t="str">
        <f>HYPERLINK("https://www.youtube.com/channel/UCybalFNVaTrZPHp-_cPGb8Q")</f>
        <v>https://www.youtube.com/channel/UCybalFNVaTrZPHp-_cPGb8Q</v>
      </c>
      <c r="AU156" s="80" t="str">
        <f>REPLACE(INDEX(GroupVertices[Group],MATCH(Vertices[[#This Row],[Vertex]],GroupVertices[Vertex],0)),1,1,"")</f>
        <v>1</v>
      </c>
      <c r="AV156" s="49">
        <v>1</v>
      </c>
      <c r="AW156" s="50">
        <v>10</v>
      </c>
      <c r="AX156" s="49">
        <v>0</v>
      </c>
      <c r="AY156" s="50">
        <v>0</v>
      </c>
      <c r="AZ156" s="49">
        <v>0</v>
      </c>
      <c r="BA156" s="50">
        <v>0</v>
      </c>
      <c r="BB156" s="49">
        <v>9</v>
      </c>
      <c r="BC156" s="50">
        <v>90</v>
      </c>
      <c r="BD156" s="49">
        <v>10</v>
      </c>
      <c r="BE156" s="49"/>
      <c r="BF156" s="49"/>
      <c r="BG156" s="49"/>
      <c r="BH156" s="49"/>
      <c r="BI156" s="49"/>
      <c r="BJ156" s="49"/>
      <c r="BK156" s="111" t="s">
        <v>2440</v>
      </c>
      <c r="BL156" s="111" t="s">
        <v>2440</v>
      </c>
      <c r="BM156" s="111" t="s">
        <v>2630</v>
      </c>
      <c r="BN156" s="111" t="s">
        <v>2630</v>
      </c>
      <c r="BO156" s="2"/>
      <c r="BP156" s="3"/>
      <c r="BQ156" s="3"/>
      <c r="BR156" s="3"/>
      <c r="BS156" s="3"/>
    </row>
    <row r="157" spans="1:71" ht="15">
      <c r="A157" s="65" t="s">
        <v>474</v>
      </c>
      <c r="B157" s="66"/>
      <c r="C157" s="66"/>
      <c r="D157" s="67">
        <v>150</v>
      </c>
      <c r="E157" s="69"/>
      <c r="F157" s="103" t="str">
        <f>HYPERLINK("https://yt3.ggpht.com/ytc/AKedOLRJhrtbj43tXgvz5e5sE66L45_cxW9ocSLR_MJyUQ=s88-c-k-c0x00ffffff-no-rj")</f>
        <v>https://yt3.ggpht.com/ytc/AKedOLRJhrtbj43tXgvz5e5sE66L45_cxW9ocSLR_MJyUQ=s88-c-k-c0x00ffffff-no-rj</v>
      </c>
      <c r="G157" s="66"/>
      <c r="H157" s="70" t="s">
        <v>987</v>
      </c>
      <c r="I157" s="71"/>
      <c r="J157" s="71" t="s">
        <v>159</v>
      </c>
      <c r="K157" s="70" t="s">
        <v>987</v>
      </c>
      <c r="L157" s="74">
        <v>1</v>
      </c>
      <c r="M157" s="75">
        <v>3715.12744140625</v>
      </c>
      <c r="N157" s="75">
        <v>2870.33984375</v>
      </c>
      <c r="O157" s="76"/>
      <c r="P157" s="77"/>
      <c r="Q157" s="77"/>
      <c r="R157" s="89"/>
      <c r="S157" s="49">
        <v>0</v>
      </c>
      <c r="T157" s="49">
        <v>1</v>
      </c>
      <c r="U157" s="50">
        <v>0</v>
      </c>
      <c r="V157" s="50">
        <v>0.143783</v>
      </c>
      <c r="W157" s="50">
        <v>0.00918</v>
      </c>
      <c r="X157" s="50">
        <v>0.004132</v>
      </c>
      <c r="Y157" s="50">
        <v>0</v>
      </c>
      <c r="Z157" s="50">
        <v>0</v>
      </c>
      <c r="AA157" s="72">
        <v>157</v>
      </c>
      <c r="AB157" s="72"/>
      <c r="AC157" s="73"/>
      <c r="AD157" s="80" t="s">
        <v>987</v>
      </c>
      <c r="AE157" s="80" t="s">
        <v>1321</v>
      </c>
      <c r="AF157" s="80"/>
      <c r="AG157" s="80"/>
      <c r="AH157" s="80"/>
      <c r="AI157" s="80"/>
      <c r="AJ157" s="87">
        <v>41815.67710648148</v>
      </c>
      <c r="AK157" s="85" t="str">
        <f>HYPERLINK("https://yt3.ggpht.com/ytc/AKedOLRJhrtbj43tXgvz5e5sE66L45_cxW9ocSLR_MJyUQ=s88-c-k-c0x00ffffff-no-rj")</f>
        <v>https://yt3.ggpht.com/ytc/AKedOLRJhrtbj43tXgvz5e5sE66L45_cxW9ocSLR_MJyUQ=s88-c-k-c0x00ffffff-no-rj</v>
      </c>
      <c r="AL157" s="80">
        <v>0</v>
      </c>
      <c r="AM157" s="80">
        <v>0</v>
      </c>
      <c r="AN157" s="80">
        <v>5</v>
      </c>
      <c r="AO157" s="80" t="b">
        <v>0</v>
      </c>
      <c r="AP157" s="80">
        <v>0</v>
      </c>
      <c r="AQ157" s="80"/>
      <c r="AR157" s="80"/>
      <c r="AS157" s="80" t="s">
        <v>1376</v>
      </c>
      <c r="AT157" s="85" t="str">
        <f>HYPERLINK("https://www.youtube.com/channel/UC_8SF2yDQfYFS_B66zwsdDw")</f>
        <v>https://www.youtube.com/channel/UC_8SF2yDQfYFS_B66zwsdDw</v>
      </c>
      <c r="AU157" s="80" t="str">
        <f>REPLACE(INDEX(GroupVertices[Group],MATCH(Vertices[[#This Row],[Vertex]],GroupVertices[Vertex],0)),1,1,"")</f>
        <v>1</v>
      </c>
      <c r="AV157" s="49">
        <v>0</v>
      </c>
      <c r="AW157" s="50">
        <v>0</v>
      </c>
      <c r="AX157" s="49">
        <v>0</v>
      </c>
      <c r="AY157" s="50">
        <v>0</v>
      </c>
      <c r="AZ157" s="49">
        <v>0</v>
      </c>
      <c r="BA157" s="50">
        <v>0</v>
      </c>
      <c r="BB157" s="49">
        <v>27</v>
      </c>
      <c r="BC157" s="50">
        <v>100</v>
      </c>
      <c r="BD157" s="49">
        <v>27</v>
      </c>
      <c r="BE157" s="49"/>
      <c r="BF157" s="49"/>
      <c r="BG157" s="49"/>
      <c r="BH157" s="49"/>
      <c r="BI157" s="49"/>
      <c r="BJ157" s="49"/>
      <c r="BK157" s="111" t="s">
        <v>2478</v>
      </c>
      <c r="BL157" s="111" t="s">
        <v>2478</v>
      </c>
      <c r="BM157" s="111" t="s">
        <v>2666</v>
      </c>
      <c r="BN157" s="111" t="s">
        <v>2666</v>
      </c>
      <c r="BO157" s="2"/>
      <c r="BP157" s="3"/>
      <c r="BQ157" s="3"/>
      <c r="BR157" s="3"/>
      <c r="BS157" s="3"/>
    </row>
    <row r="158" spans="1:71" ht="15">
      <c r="A158" s="65" t="s">
        <v>475</v>
      </c>
      <c r="B158" s="66"/>
      <c r="C158" s="66"/>
      <c r="D158" s="67">
        <v>358.42911877394636</v>
      </c>
      <c r="E158" s="69"/>
      <c r="F158" s="103" t="str">
        <f>HYPERLINK("https://yt3.ggpht.com/ytc/AKedOLQj35x6rs4qhWG-TUtPCXp206-CmSQFnCcsr106zg=s88-c-k-c0x00ffffff-no-rj")</f>
        <v>https://yt3.ggpht.com/ytc/AKedOLQj35x6rs4qhWG-TUtPCXp206-CmSQFnCcsr106zg=s88-c-k-c0x00ffffff-no-rj</v>
      </c>
      <c r="G158" s="66"/>
      <c r="H158" s="70" t="s">
        <v>988</v>
      </c>
      <c r="I158" s="71"/>
      <c r="J158" s="71" t="s">
        <v>75</v>
      </c>
      <c r="K158" s="70" t="s">
        <v>988</v>
      </c>
      <c r="L158" s="74">
        <v>185.61174490149398</v>
      </c>
      <c r="M158" s="75">
        <v>2887.089599609375</v>
      </c>
      <c r="N158" s="75">
        <v>4311.16748046875</v>
      </c>
      <c r="O158" s="76"/>
      <c r="P158" s="77"/>
      <c r="Q158" s="77"/>
      <c r="R158" s="89"/>
      <c r="S158" s="49">
        <v>2</v>
      </c>
      <c r="T158" s="49">
        <v>1</v>
      </c>
      <c r="U158" s="50">
        <v>256</v>
      </c>
      <c r="V158" s="50">
        <v>0.190852</v>
      </c>
      <c r="W158" s="50">
        <v>0.081776</v>
      </c>
      <c r="X158" s="50">
        <v>0.004494</v>
      </c>
      <c r="Y158" s="50">
        <v>0</v>
      </c>
      <c r="Z158" s="50">
        <v>0.5</v>
      </c>
      <c r="AA158" s="72">
        <v>158</v>
      </c>
      <c r="AB158" s="72"/>
      <c r="AC158" s="73"/>
      <c r="AD158" s="80" t="s">
        <v>988</v>
      </c>
      <c r="AE158" s="80"/>
      <c r="AF158" s="80"/>
      <c r="AG158" s="80"/>
      <c r="AH158" s="80"/>
      <c r="AI158" s="80"/>
      <c r="AJ158" s="87">
        <v>40858.608819444446</v>
      </c>
      <c r="AK158" s="85" t="str">
        <f>HYPERLINK("https://yt3.ggpht.com/ytc/AKedOLQj35x6rs4qhWG-TUtPCXp206-CmSQFnCcsr106zg=s88-c-k-c0x00ffffff-no-rj")</f>
        <v>https://yt3.ggpht.com/ytc/AKedOLQj35x6rs4qhWG-TUtPCXp206-CmSQFnCcsr106zg=s88-c-k-c0x00ffffff-no-rj</v>
      </c>
      <c r="AL158" s="80">
        <v>5</v>
      </c>
      <c r="AM158" s="80">
        <v>0</v>
      </c>
      <c r="AN158" s="80">
        <v>0</v>
      </c>
      <c r="AO158" s="80" t="b">
        <v>0</v>
      </c>
      <c r="AP158" s="80">
        <v>1</v>
      </c>
      <c r="AQ158" s="80"/>
      <c r="AR158" s="80"/>
      <c r="AS158" s="80" t="s">
        <v>1376</v>
      </c>
      <c r="AT158" s="85" t="str">
        <f>HYPERLINK("https://www.youtube.com/channel/UCVTt3IPhlNu2cae9QyIFZHg")</f>
        <v>https://www.youtube.com/channel/UCVTt3IPhlNu2cae9QyIFZHg</v>
      </c>
      <c r="AU158" s="80" t="str">
        <f>REPLACE(INDEX(GroupVertices[Group],MATCH(Vertices[[#This Row],[Vertex]],GroupVertices[Vertex],0)),1,1,"")</f>
        <v>1</v>
      </c>
      <c r="AV158" s="49">
        <v>1</v>
      </c>
      <c r="AW158" s="50">
        <v>7.6923076923076925</v>
      </c>
      <c r="AX158" s="49">
        <v>0</v>
      </c>
      <c r="AY158" s="50">
        <v>0</v>
      </c>
      <c r="AZ158" s="49">
        <v>0</v>
      </c>
      <c r="BA158" s="50">
        <v>0</v>
      </c>
      <c r="BB158" s="49">
        <v>12</v>
      </c>
      <c r="BC158" s="50">
        <v>92.3076923076923</v>
      </c>
      <c r="BD158" s="49">
        <v>13</v>
      </c>
      <c r="BE158" s="49"/>
      <c r="BF158" s="49"/>
      <c r="BG158" s="49"/>
      <c r="BH158" s="49"/>
      <c r="BI158" s="49"/>
      <c r="BJ158" s="49"/>
      <c r="BK158" s="111" t="s">
        <v>2479</v>
      </c>
      <c r="BL158" s="111" t="s">
        <v>2479</v>
      </c>
      <c r="BM158" s="111" t="s">
        <v>2667</v>
      </c>
      <c r="BN158" s="111" t="s">
        <v>2667</v>
      </c>
      <c r="BO158" s="2"/>
      <c r="BP158" s="3"/>
      <c r="BQ158" s="3"/>
      <c r="BR158" s="3"/>
      <c r="BS158" s="3"/>
    </row>
    <row r="159" spans="1:71" ht="15">
      <c r="A159" s="65" t="s">
        <v>476</v>
      </c>
      <c r="B159" s="66"/>
      <c r="C159" s="66"/>
      <c r="D159" s="67">
        <v>150</v>
      </c>
      <c r="E159" s="69"/>
      <c r="F159" s="103" t="str">
        <f>HYPERLINK("https://yt3.ggpht.com/ytc/AKedOLQoDVKoubhYcK8cPQhW3X420h40UOTHa7cAZw=s88-c-k-c0x00ffffff-no-rj")</f>
        <v>https://yt3.ggpht.com/ytc/AKedOLQoDVKoubhYcK8cPQhW3X420h40UOTHa7cAZw=s88-c-k-c0x00ffffff-no-rj</v>
      </c>
      <c r="G159" s="66"/>
      <c r="H159" s="70" t="s">
        <v>989</v>
      </c>
      <c r="I159" s="71"/>
      <c r="J159" s="71" t="s">
        <v>159</v>
      </c>
      <c r="K159" s="70" t="s">
        <v>989</v>
      </c>
      <c r="L159" s="74">
        <v>1</v>
      </c>
      <c r="M159" s="75">
        <v>1312.9356689453125</v>
      </c>
      <c r="N159" s="75">
        <v>3509.46240234375</v>
      </c>
      <c r="O159" s="76"/>
      <c r="P159" s="77"/>
      <c r="Q159" s="77"/>
      <c r="R159" s="89"/>
      <c r="S159" s="49">
        <v>0</v>
      </c>
      <c r="T159" s="49">
        <v>1</v>
      </c>
      <c r="U159" s="50">
        <v>0</v>
      </c>
      <c r="V159" s="50">
        <v>0.189881</v>
      </c>
      <c r="W159" s="50">
        <v>0.080745</v>
      </c>
      <c r="X159" s="50">
        <v>0.003874</v>
      </c>
      <c r="Y159" s="50">
        <v>0</v>
      </c>
      <c r="Z159" s="50">
        <v>0</v>
      </c>
      <c r="AA159" s="72">
        <v>159</v>
      </c>
      <c r="AB159" s="72"/>
      <c r="AC159" s="73"/>
      <c r="AD159" s="80" t="s">
        <v>989</v>
      </c>
      <c r="AE159" s="80"/>
      <c r="AF159" s="80"/>
      <c r="AG159" s="80"/>
      <c r="AH159" s="80"/>
      <c r="AI159" s="80"/>
      <c r="AJ159" s="87">
        <v>42396.51677083333</v>
      </c>
      <c r="AK159" s="85" t="str">
        <f>HYPERLINK("https://yt3.ggpht.com/ytc/AKedOLQoDVKoubhYcK8cPQhW3X420h40UOTHa7cAZw=s88-c-k-c0x00ffffff-no-rj")</f>
        <v>https://yt3.ggpht.com/ytc/AKedOLQoDVKoubhYcK8cPQhW3X420h40UOTHa7cAZw=s88-c-k-c0x00ffffff-no-rj</v>
      </c>
      <c r="AL159" s="80">
        <v>0</v>
      </c>
      <c r="AM159" s="80">
        <v>0</v>
      </c>
      <c r="AN159" s="80">
        <v>0</v>
      </c>
      <c r="AO159" s="80" t="b">
        <v>0</v>
      </c>
      <c r="AP159" s="80">
        <v>0</v>
      </c>
      <c r="AQ159" s="80"/>
      <c r="AR159" s="80"/>
      <c r="AS159" s="80" t="s">
        <v>1376</v>
      </c>
      <c r="AT159" s="85" t="str">
        <f>HYPERLINK("https://www.youtube.com/channel/UC5atOZ2cXiS_TcTq8DV2gzQ")</f>
        <v>https://www.youtube.com/channel/UC5atOZ2cXiS_TcTq8DV2gzQ</v>
      </c>
      <c r="AU159" s="80" t="str">
        <f>REPLACE(INDEX(GroupVertices[Group],MATCH(Vertices[[#This Row],[Vertex]],GroupVertices[Vertex],0)),1,1,"")</f>
        <v>1</v>
      </c>
      <c r="AV159" s="49">
        <v>2</v>
      </c>
      <c r="AW159" s="50">
        <v>6.896551724137931</v>
      </c>
      <c r="AX159" s="49">
        <v>0</v>
      </c>
      <c r="AY159" s="50">
        <v>0</v>
      </c>
      <c r="AZ159" s="49">
        <v>0</v>
      </c>
      <c r="BA159" s="50">
        <v>0</v>
      </c>
      <c r="BB159" s="49">
        <v>27</v>
      </c>
      <c r="BC159" s="50">
        <v>93.10344827586206</v>
      </c>
      <c r="BD159" s="49">
        <v>29</v>
      </c>
      <c r="BE159" s="49"/>
      <c r="BF159" s="49"/>
      <c r="BG159" s="49"/>
      <c r="BH159" s="49"/>
      <c r="BI159" s="49"/>
      <c r="BJ159" s="49"/>
      <c r="BK159" s="111" t="s">
        <v>2480</v>
      </c>
      <c r="BL159" s="111" t="s">
        <v>2480</v>
      </c>
      <c r="BM159" s="111" t="s">
        <v>2668</v>
      </c>
      <c r="BN159" s="111" t="s">
        <v>2668</v>
      </c>
      <c r="BO159" s="2"/>
      <c r="BP159" s="3"/>
      <c r="BQ159" s="3"/>
      <c r="BR159" s="3"/>
      <c r="BS159" s="3"/>
    </row>
    <row r="160" spans="1:71" ht="15">
      <c r="A160" s="65" t="s">
        <v>477</v>
      </c>
      <c r="B160" s="66"/>
      <c r="C160" s="66"/>
      <c r="D160" s="67">
        <v>150</v>
      </c>
      <c r="E160" s="69"/>
      <c r="F160" s="103" t="str">
        <f>HYPERLINK("https://yt3.ggpht.com/D9nTltBX7sDHcxHjvNlmX_euZzLU4q6KzCLogfEFAYRwEkTSvxAaL-mT3lbENRlC1TwCcOwm1Q=s88-c-k-c0x00ffffff-no-rj")</f>
        <v>https://yt3.ggpht.com/D9nTltBX7sDHcxHjvNlmX_euZzLU4q6KzCLogfEFAYRwEkTSvxAaL-mT3lbENRlC1TwCcOwm1Q=s88-c-k-c0x00ffffff-no-rj</v>
      </c>
      <c r="G160" s="66"/>
      <c r="H160" s="70" t="s">
        <v>990</v>
      </c>
      <c r="I160" s="71"/>
      <c r="J160" s="71" t="s">
        <v>159</v>
      </c>
      <c r="K160" s="70" t="s">
        <v>990</v>
      </c>
      <c r="L160" s="74">
        <v>1</v>
      </c>
      <c r="M160" s="75">
        <v>2493.719482421875</v>
      </c>
      <c r="N160" s="75">
        <v>4505.1298828125</v>
      </c>
      <c r="O160" s="76"/>
      <c r="P160" s="77"/>
      <c r="Q160" s="77"/>
      <c r="R160" s="89"/>
      <c r="S160" s="49">
        <v>2</v>
      </c>
      <c r="T160" s="49">
        <v>2</v>
      </c>
      <c r="U160" s="50">
        <v>0</v>
      </c>
      <c r="V160" s="50">
        <v>0.189881</v>
      </c>
      <c r="W160" s="50">
        <v>0.090956</v>
      </c>
      <c r="X160" s="50">
        <v>0.004188</v>
      </c>
      <c r="Y160" s="50">
        <v>0</v>
      </c>
      <c r="Z160" s="50">
        <v>1</v>
      </c>
      <c r="AA160" s="72">
        <v>160</v>
      </c>
      <c r="AB160" s="72"/>
      <c r="AC160" s="73"/>
      <c r="AD160" s="80" t="s">
        <v>990</v>
      </c>
      <c r="AE160" s="80"/>
      <c r="AF160" s="80"/>
      <c r="AG160" s="80"/>
      <c r="AH160" s="80"/>
      <c r="AI160" s="80"/>
      <c r="AJ160" s="87">
        <v>40644.36802083333</v>
      </c>
      <c r="AK160" s="85" t="str">
        <f>HYPERLINK("https://yt3.ggpht.com/D9nTltBX7sDHcxHjvNlmX_euZzLU4q6KzCLogfEFAYRwEkTSvxAaL-mT3lbENRlC1TwCcOwm1Q=s88-c-k-c0x00ffffff-no-rj")</f>
        <v>https://yt3.ggpht.com/D9nTltBX7sDHcxHjvNlmX_euZzLU4q6KzCLogfEFAYRwEkTSvxAaL-mT3lbENRlC1TwCcOwm1Q=s88-c-k-c0x00ffffff-no-rj</v>
      </c>
      <c r="AL160" s="80">
        <v>0</v>
      </c>
      <c r="AM160" s="80">
        <v>0</v>
      </c>
      <c r="AN160" s="80">
        <v>0</v>
      </c>
      <c r="AO160" s="80" t="b">
        <v>1</v>
      </c>
      <c r="AP160" s="80">
        <v>0</v>
      </c>
      <c r="AQ160" s="80"/>
      <c r="AR160" s="80"/>
      <c r="AS160" s="80" t="s">
        <v>1376</v>
      </c>
      <c r="AT160" s="85" t="str">
        <f>HYPERLINK("https://www.youtube.com/channel/UCVi7No8pCGF2Ojhz1c_aUZQ")</f>
        <v>https://www.youtube.com/channel/UCVi7No8pCGF2Ojhz1c_aUZQ</v>
      </c>
      <c r="AU160" s="80" t="str">
        <f>REPLACE(INDEX(GroupVertices[Group],MATCH(Vertices[[#This Row],[Vertex]],GroupVertices[Vertex],0)),1,1,"")</f>
        <v>1</v>
      </c>
      <c r="AV160" s="49">
        <v>10</v>
      </c>
      <c r="AW160" s="50">
        <v>6.756756756756757</v>
      </c>
      <c r="AX160" s="49">
        <v>0</v>
      </c>
      <c r="AY160" s="50">
        <v>0</v>
      </c>
      <c r="AZ160" s="49">
        <v>0</v>
      </c>
      <c r="BA160" s="50">
        <v>0</v>
      </c>
      <c r="BB160" s="49">
        <v>138</v>
      </c>
      <c r="BC160" s="50">
        <v>93.24324324324324</v>
      </c>
      <c r="BD160" s="49">
        <v>148</v>
      </c>
      <c r="BE160" s="49"/>
      <c r="BF160" s="49"/>
      <c r="BG160" s="49"/>
      <c r="BH160" s="49"/>
      <c r="BI160" s="49"/>
      <c r="BJ160" s="49"/>
      <c r="BK160" s="111" t="s">
        <v>2481</v>
      </c>
      <c r="BL160" s="111" t="s">
        <v>2536</v>
      </c>
      <c r="BM160" s="111" t="s">
        <v>2669</v>
      </c>
      <c r="BN160" s="111" t="s">
        <v>2669</v>
      </c>
      <c r="BO160" s="2"/>
      <c r="BP160" s="3"/>
      <c r="BQ160" s="3"/>
      <c r="BR160" s="3"/>
      <c r="BS160" s="3"/>
    </row>
    <row r="161" spans="1:71" ht="15">
      <c r="A161" s="65" t="s">
        <v>478</v>
      </c>
      <c r="B161" s="66"/>
      <c r="C161" s="66"/>
      <c r="D161" s="67">
        <v>150</v>
      </c>
      <c r="E161" s="69"/>
      <c r="F161" s="103" t="str">
        <f>HYPERLINK("https://yt3.ggpht.com/ytc/AKedOLRRrY-zyb4hKcMKhrX-BjSJzXmIf6PYsTOM7OJ3=s88-c-k-c0x00ffffff-no-rj")</f>
        <v>https://yt3.ggpht.com/ytc/AKedOLRRrY-zyb4hKcMKhrX-BjSJzXmIf6PYsTOM7OJ3=s88-c-k-c0x00ffffff-no-rj</v>
      </c>
      <c r="G161" s="66"/>
      <c r="H161" s="70" t="s">
        <v>991</v>
      </c>
      <c r="I161" s="71"/>
      <c r="J161" s="71" t="s">
        <v>159</v>
      </c>
      <c r="K161" s="70" t="s">
        <v>991</v>
      </c>
      <c r="L161" s="74">
        <v>1</v>
      </c>
      <c r="M161" s="75">
        <v>3006.900634765625</v>
      </c>
      <c r="N161" s="75">
        <v>5724.373046875</v>
      </c>
      <c r="O161" s="76"/>
      <c r="P161" s="77"/>
      <c r="Q161" s="77"/>
      <c r="R161" s="89"/>
      <c r="S161" s="49">
        <v>0</v>
      </c>
      <c r="T161" s="49">
        <v>1</v>
      </c>
      <c r="U161" s="50">
        <v>0</v>
      </c>
      <c r="V161" s="50">
        <v>0.189881</v>
      </c>
      <c r="W161" s="50">
        <v>0.080745</v>
      </c>
      <c r="X161" s="50">
        <v>0.003874</v>
      </c>
      <c r="Y161" s="50">
        <v>0</v>
      </c>
      <c r="Z161" s="50">
        <v>0</v>
      </c>
      <c r="AA161" s="72">
        <v>161</v>
      </c>
      <c r="AB161" s="72"/>
      <c r="AC161" s="73"/>
      <c r="AD161" s="80" t="s">
        <v>991</v>
      </c>
      <c r="AE161" s="80"/>
      <c r="AF161" s="80"/>
      <c r="AG161" s="80"/>
      <c r="AH161" s="80"/>
      <c r="AI161" s="80"/>
      <c r="AJ161" s="87">
        <v>42705.261828703704</v>
      </c>
      <c r="AK161" s="85" t="str">
        <f>HYPERLINK("https://yt3.ggpht.com/ytc/AKedOLRRrY-zyb4hKcMKhrX-BjSJzXmIf6PYsTOM7OJ3=s88-c-k-c0x00ffffff-no-rj")</f>
        <v>https://yt3.ggpht.com/ytc/AKedOLRRrY-zyb4hKcMKhrX-BjSJzXmIf6PYsTOM7OJ3=s88-c-k-c0x00ffffff-no-rj</v>
      </c>
      <c r="AL161" s="80">
        <v>193</v>
      </c>
      <c r="AM161" s="80">
        <v>0</v>
      </c>
      <c r="AN161" s="80">
        <v>6</v>
      </c>
      <c r="AO161" s="80" t="b">
        <v>0</v>
      </c>
      <c r="AP161" s="80">
        <v>15</v>
      </c>
      <c r="AQ161" s="80"/>
      <c r="AR161" s="80"/>
      <c r="AS161" s="80" t="s">
        <v>1376</v>
      </c>
      <c r="AT161" s="85" t="str">
        <f>HYPERLINK("https://www.youtube.com/channel/UCOXSSL56qhApdeIzp6y6b2A")</f>
        <v>https://www.youtube.com/channel/UCOXSSL56qhApdeIzp6y6b2A</v>
      </c>
      <c r="AU161" s="80" t="str">
        <f>REPLACE(INDEX(GroupVertices[Group],MATCH(Vertices[[#This Row],[Vertex]],GroupVertices[Vertex],0)),1,1,"")</f>
        <v>1</v>
      </c>
      <c r="AV161" s="49">
        <v>1</v>
      </c>
      <c r="AW161" s="50">
        <v>100</v>
      </c>
      <c r="AX161" s="49">
        <v>0</v>
      </c>
      <c r="AY161" s="50">
        <v>0</v>
      </c>
      <c r="AZ161" s="49">
        <v>0</v>
      </c>
      <c r="BA161" s="50">
        <v>0</v>
      </c>
      <c r="BB161" s="49">
        <v>0</v>
      </c>
      <c r="BC161" s="50">
        <v>0</v>
      </c>
      <c r="BD161" s="49">
        <v>1</v>
      </c>
      <c r="BE161" s="49"/>
      <c r="BF161" s="49"/>
      <c r="BG161" s="49"/>
      <c r="BH161" s="49"/>
      <c r="BI161" s="49"/>
      <c r="BJ161" s="49"/>
      <c r="BK161" s="111" t="s">
        <v>1883</v>
      </c>
      <c r="BL161" s="111" t="s">
        <v>1883</v>
      </c>
      <c r="BM161" s="111" t="s">
        <v>1239</v>
      </c>
      <c r="BN161" s="111" t="s">
        <v>1239</v>
      </c>
      <c r="BO161" s="2"/>
      <c r="BP161" s="3"/>
      <c r="BQ161" s="3"/>
      <c r="BR161" s="3"/>
      <c r="BS161" s="3"/>
    </row>
    <row r="162" spans="1:71" ht="15">
      <c r="A162" s="65" t="s">
        <v>479</v>
      </c>
      <c r="B162" s="66"/>
      <c r="C162" s="66"/>
      <c r="D162" s="67">
        <v>150</v>
      </c>
      <c r="E162" s="69"/>
      <c r="F162" s="103" t="str">
        <f>HYPERLINK("https://yt3.ggpht.com/ytc/AKedOLR9q3Zk2Kcb_p7MsJ0HqMW0DMjWQDV1LWJjaK2D=s88-c-k-c0x00ffffff-no-rj")</f>
        <v>https://yt3.ggpht.com/ytc/AKedOLR9q3Zk2Kcb_p7MsJ0HqMW0DMjWQDV1LWJjaK2D=s88-c-k-c0x00ffffff-no-rj</v>
      </c>
      <c r="G162" s="66"/>
      <c r="H162" s="70" t="s">
        <v>992</v>
      </c>
      <c r="I162" s="71"/>
      <c r="J162" s="71" t="s">
        <v>159</v>
      </c>
      <c r="K162" s="70" t="s">
        <v>992</v>
      </c>
      <c r="L162" s="74">
        <v>1</v>
      </c>
      <c r="M162" s="75">
        <v>989.7056884765625</v>
      </c>
      <c r="N162" s="75">
        <v>7206.01123046875</v>
      </c>
      <c r="O162" s="76"/>
      <c r="P162" s="77"/>
      <c r="Q162" s="77"/>
      <c r="R162" s="89"/>
      <c r="S162" s="49">
        <v>1</v>
      </c>
      <c r="T162" s="49">
        <v>1</v>
      </c>
      <c r="U162" s="50">
        <v>0</v>
      </c>
      <c r="V162" s="50">
        <v>0.189881</v>
      </c>
      <c r="W162" s="50">
        <v>0.080745</v>
      </c>
      <c r="X162" s="50">
        <v>0.003874</v>
      </c>
      <c r="Y162" s="50">
        <v>0</v>
      </c>
      <c r="Z162" s="50">
        <v>1</v>
      </c>
      <c r="AA162" s="72">
        <v>162</v>
      </c>
      <c r="AB162" s="72"/>
      <c r="AC162" s="73"/>
      <c r="AD162" s="80" t="s">
        <v>992</v>
      </c>
      <c r="AE162" s="80"/>
      <c r="AF162" s="80"/>
      <c r="AG162" s="80"/>
      <c r="AH162" s="80"/>
      <c r="AI162" s="80"/>
      <c r="AJ162" s="87">
        <v>42782.91491898148</v>
      </c>
      <c r="AK162" s="85" t="str">
        <f>HYPERLINK("https://yt3.ggpht.com/ytc/AKedOLR9q3Zk2Kcb_p7MsJ0HqMW0DMjWQDV1LWJjaK2D=s88-c-k-c0x00ffffff-no-rj")</f>
        <v>https://yt3.ggpht.com/ytc/AKedOLR9q3Zk2Kcb_p7MsJ0HqMW0DMjWQDV1LWJjaK2D=s88-c-k-c0x00ffffff-no-rj</v>
      </c>
      <c r="AL162" s="80">
        <v>0</v>
      </c>
      <c r="AM162" s="80">
        <v>0</v>
      </c>
      <c r="AN162" s="80">
        <v>1</v>
      </c>
      <c r="AO162" s="80" t="b">
        <v>0</v>
      </c>
      <c r="AP162" s="80">
        <v>0</v>
      </c>
      <c r="AQ162" s="80"/>
      <c r="AR162" s="80"/>
      <c r="AS162" s="80" t="s">
        <v>1376</v>
      </c>
      <c r="AT162" s="85" t="str">
        <f>HYPERLINK("https://www.youtube.com/channel/UCylMH4anH1qZ3BI7zKmRE7Q")</f>
        <v>https://www.youtube.com/channel/UCylMH4anH1qZ3BI7zKmRE7Q</v>
      </c>
      <c r="AU162" s="80" t="str">
        <f>REPLACE(INDEX(GroupVertices[Group],MATCH(Vertices[[#This Row],[Vertex]],GroupVertices[Vertex],0)),1,1,"")</f>
        <v>1</v>
      </c>
      <c r="AV162" s="49">
        <v>2</v>
      </c>
      <c r="AW162" s="50">
        <v>10.526315789473685</v>
      </c>
      <c r="AX162" s="49">
        <v>0</v>
      </c>
      <c r="AY162" s="50">
        <v>0</v>
      </c>
      <c r="AZ162" s="49">
        <v>0</v>
      </c>
      <c r="BA162" s="50">
        <v>0</v>
      </c>
      <c r="BB162" s="49">
        <v>17</v>
      </c>
      <c r="BC162" s="50">
        <v>89.47368421052632</v>
      </c>
      <c r="BD162" s="49">
        <v>19</v>
      </c>
      <c r="BE162" s="49"/>
      <c r="BF162" s="49"/>
      <c r="BG162" s="49"/>
      <c r="BH162" s="49"/>
      <c r="BI162" s="49"/>
      <c r="BJ162" s="49"/>
      <c r="BK162" s="111" t="s">
        <v>2482</v>
      </c>
      <c r="BL162" s="111" t="s">
        <v>2482</v>
      </c>
      <c r="BM162" s="111" t="s">
        <v>2670</v>
      </c>
      <c r="BN162" s="111" t="s">
        <v>2670</v>
      </c>
      <c r="BO162" s="2"/>
      <c r="BP162" s="3"/>
      <c r="BQ162" s="3"/>
      <c r="BR162" s="3"/>
      <c r="BS162" s="3"/>
    </row>
    <row r="163" spans="1:71" ht="15">
      <c r="A163" s="65" t="s">
        <v>480</v>
      </c>
      <c r="B163" s="66"/>
      <c r="C163" s="66"/>
      <c r="D163" s="67">
        <v>150</v>
      </c>
      <c r="E163" s="69"/>
      <c r="F163" s="103" t="str">
        <f>HYPERLINK("https://yt3.ggpht.com/ytc/AKedOLS5TSkIOi_zouGvKJ9ku_qyEQ5DVvIItGCk1SUIVPU=s88-c-k-c0x00ffffff-no-rj")</f>
        <v>https://yt3.ggpht.com/ytc/AKedOLS5TSkIOi_zouGvKJ9ku_qyEQ5DVvIItGCk1SUIVPU=s88-c-k-c0x00ffffff-no-rj</v>
      </c>
      <c r="G163" s="66"/>
      <c r="H163" s="70" t="s">
        <v>993</v>
      </c>
      <c r="I163" s="71"/>
      <c r="J163" s="71" t="s">
        <v>159</v>
      </c>
      <c r="K163" s="70" t="s">
        <v>993</v>
      </c>
      <c r="L163" s="74">
        <v>1</v>
      </c>
      <c r="M163" s="75">
        <v>2903.533447265625</v>
      </c>
      <c r="N163" s="75">
        <v>5105.01708984375</v>
      </c>
      <c r="O163" s="76"/>
      <c r="P163" s="77"/>
      <c r="Q163" s="77"/>
      <c r="R163" s="89"/>
      <c r="S163" s="49">
        <v>0</v>
      </c>
      <c r="T163" s="49">
        <v>1</v>
      </c>
      <c r="U163" s="50">
        <v>0</v>
      </c>
      <c r="V163" s="50">
        <v>0.189881</v>
      </c>
      <c r="W163" s="50">
        <v>0.080745</v>
      </c>
      <c r="X163" s="50">
        <v>0.003874</v>
      </c>
      <c r="Y163" s="50">
        <v>0</v>
      </c>
      <c r="Z163" s="50">
        <v>0</v>
      </c>
      <c r="AA163" s="72">
        <v>163</v>
      </c>
      <c r="AB163" s="72"/>
      <c r="AC163" s="73"/>
      <c r="AD163" s="80" t="s">
        <v>993</v>
      </c>
      <c r="AE163" s="80" t="s">
        <v>1322</v>
      </c>
      <c r="AF163" s="80"/>
      <c r="AG163" s="80"/>
      <c r="AH163" s="80"/>
      <c r="AI163" s="80" t="s">
        <v>1360</v>
      </c>
      <c r="AJ163" s="87">
        <v>41304.04542824074</v>
      </c>
      <c r="AK163" s="85" t="str">
        <f>HYPERLINK("https://yt3.ggpht.com/ytc/AKedOLS5TSkIOi_zouGvKJ9ku_qyEQ5DVvIItGCk1SUIVPU=s88-c-k-c0x00ffffff-no-rj")</f>
        <v>https://yt3.ggpht.com/ytc/AKedOLS5TSkIOi_zouGvKJ9ku_qyEQ5DVvIItGCk1SUIVPU=s88-c-k-c0x00ffffff-no-rj</v>
      </c>
      <c r="AL163" s="80">
        <v>148183</v>
      </c>
      <c r="AM163" s="80">
        <v>0</v>
      </c>
      <c r="AN163" s="80">
        <v>590</v>
      </c>
      <c r="AO163" s="80" t="b">
        <v>0</v>
      </c>
      <c r="AP163" s="80">
        <v>79</v>
      </c>
      <c r="AQ163" s="80"/>
      <c r="AR163" s="80"/>
      <c r="AS163" s="80" t="s">
        <v>1376</v>
      </c>
      <c r="AT163" s="85" t="str">
        <f>HYPERLINK("https://www.youtube.com/channel/UCngfwdBt4V8gv-d14tu20HQ")</f>
        <v>https://www.youtube.com/channel/UCngfwdBt4V8gv-d14tu20HQ</v>
      </c>
      <c r="AU163" s="80" t="str">
        <f>REPLACE(INDEX(GroupVertices[Group],MATCH(Vertices[[#This Row],[Vertex]],GroupVertices[Vertex],0)),1,1,"")</f>
        <v>1</v>
      </c>
      <c r="AV163" s="49">
        <v>1</v>
      </c>
      <c r="AW163" s="50">
        <v>33.333333333333336</v>
      </c>
      <c r="AX163" s="49">
        <v>0</v>
      </c>
      <c r="AY163" s="50">
        <v>0</v>
      </c>
      <c r="AZ163" s="49">
        <v>0</v>
      </c>
      <c r="BA163" s="50">
        <v>0</v>
      </c>
      <c r="BB163" s="49">
        <v>2</v>
      </c>
      <c r="BC163" s="50">
        <v>66.66666666666667</v>
      </c>
      <c r="BD163" s="49">
        <v>3</v>
      </c>
      <c r="BE163" s="49"/>
      <c r="BF163" s="49"/>
      <c r="BG163" s="49"/>
      <c r="BH163" s="49"/>
      <c r="BI163" s="49"/>
      <c r="BJ163" s="49"/>
      <c r="BK163" s="111" t="s">
        <v>1676</v>
      </c>
      <c r="BL163" s="111" t="s">
        <v>1676</v>
      </c>
      <c r="BM163" s="111" t="s">
        <v>1239</v>
      </c>
      <c r="BN163" s="111" t="s">
        <v>1239</v>
      </c>
      <c r="BO163" s="2"/>
      <c r="BP163" s="3"/>
      <c r="BQ163" s="3"/>
      <c r="BR163" s="3"/>
      <c r="BS163" s="3"/>
    </row>
    <row r="164" spans="1:71" ht="15">
      <c r="A164" s="65" t="s">
        <v>481</v>
      </c>
      <c r="B164" s="66"/>
      <c r="C164" s="66"/>
      <c r="D164" s="67">
        <v>150</v>
      </c>
      <c r="E164" s="69"/>
      <c r="F164" s="103" t="str">
        <f>HYPERLINK("https://yt3.ggpht.com/ZMBgQF8yzydCrOR4QjRJ5zaCZWFKmNkTDH0jkRdIyOHshOXJyKvic2_WzMxcVbmttX8b3nlS=s88-c-k-c0x00ffffff-no-rj")</f>
        <v>https://yt3.ggpht.com/ZMBgQF8yzydCrOR4QjRJ5zaCZWFKmNkTDH0jkRdIyOHshOXJyKvic2_WzMxcVbmttX8b3nlS=s88-c-k-c0x00ffffff-no-rj</v>
      </c>
      <c r="G164" s="66"/>
      <c r="H164" s="70" t="s">
        <v>994</v>
      </c>
      <c r="I164" s="71"/>
      <c r="J164" s="71" t="s">
        <v>159</v>
      </c>
      <c r="K164" s="70" t="s">
        <v>994</v>
      </c>
      <c r="L164" s="74">
        <v>1</v>
      </c>
      <c r="M164" s="75">
        <v>1467.081787109375</v>
      </c>
      <c r="N164" s="75">
        <v>5746.53173828125</v>
      </c>
      <c r="O164" s="76"/>
      <c r="P164" s="77"/>
      <c r="Q164" s="77"/>
      <c r="R164" s="89"/>
      <c r="S164" s="49">
        <v>0</v>
      </c>
      <c r="T164" s="49">
        <v>1</v>
      </c>
      <c r="U164" s="50">
        <v>0</v>
      </c>
      <c r="V164" s="50">
        <v>0.189881</v>
      </c>
      <c r="W164" s="50">
        <v>0.080745</v>
      </c>
      <c r="X164" s="50">
        <v>0.003874</v>
      </c>
      <c r="Y164" s="50">
        <v>0</v>
      </c>
      <c r="Z164" s="50">
        <v>0</v>
      </c>
      <c r="AA164" s="72">
        <v>164</v>
      </c>
      <c r="AB164" s="72"/>
      <c r="AC164" s="73"/>
      <c r="AD164" s="80" t="s">
        <v>994</v>
      </c>
      <c r="AE164" s="80"/>
      <c r="AF164" s="80"/>
      <c r="AG164" s="80"/>
      <c r="AH164" s="80"/>
      <c r="AI164" s="80"/>
      <c r="AJ164" s="87">
        <v>44700.50103009259</v>
      </c>
      <c r="AK164" s="85" t="str">
        <f>HYPERLINK("https://yt3.ggpht.com/ZMBgQF8yzydCrOR4QjRJ5zaCZWFKmNkTDH0jkRdIyOHshOXJyKvic2_WzMxcVbmttX8b3nlS=s88-c-k-c0x00ffffff-no-rj")</f>
        <v>https://yt3.ggpht.com/ZMBgQF8yzydCrOR4QjRJ5zaCZWFKmNkTDH0jkRdIyOHshOXJyKvic2_WzMxcVbmttX8b3nlS=s88-c-k-c0x00ffffff-no-rj</v>
      </c>
      <c r="AL164" s="80">
        <v>0</v>
      </c>
      <c r="AM164" s="80">
        <v>0</v>
      </c>
      <c r="AN164" s="80">
        <v>0</v>
      </c>
      <c r="AO164" s="80" t="b">
        <v>0</v>
      </c>
      <c r="AP164" s="80">
        <v>0</v>
      </c>
      <c r="AQ164" s="80"/>
      <c r="AR164" s="80"/>
      <c r="AS164" s="80" t="s">
        <v>1376</v>
      </c>
      <c r="AT164" s="85" t="str">
        <f>HYPERLINK("https://www.youtube.com/channel/UCCwa-poBFGXBJL1OhOSf1wQ")</f>
        <v>https://www.youtube.com/channel/UCCwa-poBFGXBJL1OhOSf1wQ</v>
      </c>
      <c r="AU164" s="80" t="str">
        <f>REPLACE(INDEX(GroupVertices[Group],MATCH(Vertices[[#This Row],[Vertex]],GroupVertices[Vertex],0)),1,1,"")</f>
        <v>1</v>
      </c>
      <c r="AV164" s="49">
        <v>0</v>
      </c>
      <c r="AW164" s="50">
        <v>0</v>
      </c>
      <c r="AX164" s="49">
        <v>0</v>
      </c>
      <c r="AY164" s="50">
        <v>0</v>
      </c>
      <c r="AZ164" s="49">
        <v>0</v>
      </c>
      <c r="BA164" s="50">
        <v>0</v>
      </c>
      <c r="BB164" s="49">
        <v>10</v>
      </c>
      <c r="BC164" s="50">
        <v>100</v>
      </c>
      <c r="BD164" s="49">
        <v>10</v>
      </c>
      <c r="BE164" s="49"/>
      <c r="BF164" s="49"/>
      <c r="BG164" s="49"/>
      <c r="BH164" s="49"/>
      <c r="BI164" s="49"/>
      <c r="BJ164" s="49"/>
      <c r="BK164" s="111" t="s">
        <v>2483</v>
      </c>
      <c r="BL164" s="111" t="s">
        <v>2483</v>
      </c>
      <c r="BM164" s="111" t="s">
        <v>2671</v>
      </c>
      <c r="BN164" s="111" t="s">
        <v>2671</v>
      </c>
      <c r="BO164" s="2"/>
      <c r="BP164" s="3"/>
      <c r="BQ164" s="3"/>
      <c r="BR164" s="3"/>
      <c r="BS164" s="3"/>
    </row>
    <row r="165" spans="1:71" ht="15">
      <c r="A165" s="65" t="s">
        <v>482</v>
      </c>
      <c r="B165" s="66"/>
      <c r="C165" s="66"/>
      <c r="D165" s="67">
        <v>150</v>
      </c>
      <c r="E165" s="69"/>
      <c r="F165" s="103" t="str">
        <f>HYPERLINK("https://yt3.ggpht.com/ytc/AKedOLT1475nz9d53gROyuALqz5jQvfWCLF6d-G_L02zuQ=s88-c-k-c0x00ffffff-no-rj")</f>
        <v>https://yt3.ggpht.com/ytc/AKedOLT1475nz9d53gROyuALqz5jQvfWCLF6d-G_L02zuQ=s88-c-k-c0x00ffffff-no-rj</v>
      </c>
      <c r="G165" s="66"/>
      <c r="H165" s="70" t="s">
        <v>995</v>
      </c>
      <c r="I165" s="71"/>
      <c r="J165" s="71" t="s">
        <v>159</v>
      </c>
      <c r="K165" s="70" t="s">
        <v>995</v>
      </c>
      <c r="L165" s="74">
        <v>1</v>
      </c>
      <c r="M165" s="75">
        <v>1566.1748046875</v>
      </c>
      <c r="N165" s="75">
        <v>6956.4140625</v>
      </c>
      <c r="O165" s="76"/>
      <c r="P165" s="77"/>
      <c r="Q165" s="77"/>
      <c r="R165" s="89"/>
      <c r="S165" s="49">
        <v>0</v>
      </c>
      <c r="T165" s="49">
        <v>1</v>
      </c>
      <c r="U165" s="50">
        <v>0</v>
      </c>
      <c r="V165" s="50">
        <v>0.189881</v>
      </c>
      <c r="W165" s="50">
        <v>0.080745</v>
      </c>
      <c r="X165" s="50">
        <v>0.003874</v>
      </c>
      <c r="Y165" s="50">
        <v>0</v>
      </c>
      <c r="Z165" s="50">
        <v>0</v>
      </c>
      <c r="AA165" s="72">
        <v>165</v>
      </c>
      <c r="AB165" s="72"/>
      <c r="AC165" s="73"/>
      <c r="AD165" s="80" t="s">
        <v>995</v>
      </c>
      <c r="AE165" s="80"/>
      <c r="AF165" s="80"/>
      <c r="AG165" s="80"/>
      <c r="AH165" s="80"/>
      <c r="AI165" s="80"/>
      <c r="AJ165" s="87">
        <v>40793.831342592595</v>
      </c>
      <c r="AK165" s="85" t="str">
        <f>HYPERLINK("https://yt3.ggpht.com/ytc/AKedOLT1475nz9d53gROyuALqz5jQvfWCLF6d-G_L02zuQ=s88-c-k-c0x00ffffff-no-rj")</f>
        <v>https://yt3.ggpht.com/ytc/AKedOLT1475nz9d53gROyuALqz5jQvfWCLF6d-G_L02zuQ=s88-c-k-c0x00ffffff-no-rj</v>
      </c>
      <c r="AL165" s="80">
        <v>0</v>
      </c>
      <c r="AM165" s="80">
        <v>0</v>
      </c>
      <c r="AN165" s="80">
        <v>0</v>
      </c>
      <c r="AO165" s="80" t="b">
        <v>0</v>
      </c>
      <c r="AP165" s="80">
        <v>0</v>
      </c>
      <c r="AQ165" s="80"/>
      <c r="AR165" s="80"/>
      <c r="AS165" s="80" t="s">
        <v>1376</v>
      </c>
      <c r="AT165" s="85" t="str">
        <f>HYPERLINK("https://www.youtube.com/channel/UClPlgNc4dpa-ymND_dWE-9w")</f>
        <v>https://www.youtube.com/channel/UClPlgNc4dpa-ymND_dWE-9w</v>
      </c>
      <c r="AU165" s="80" t="str">
        <f>REPLACE(INDEX(GroupVertices[Group],MATCH(Vertices[[#This Row],[Vertex]],GroupVertices[Vertex],0)),1,1,"")</f>
        <v>1</v>
      </c>
      <c r="AV165" s="49">
        <v>6</v>
      </c>
      <c r="AW165" s="50">
        <v>7.792207792207792</v>
      </c>
      <c r="AX165" s="49">
        <v>0</v>
      </c>
      <c r="AY165" s="50">
        <v>0</v>
      </c>
      <c r="AZ165" s="49">
        <v>0</v>
      </c>
      <c r="BA165" s="50">
        <v>0</v>
      </c>
      <c r="BB165" s="49">
        <v>71</v>
      </c>
      <c r="BC165" s="50">
        <v>92.20779220779221</v>
      </c>
      <c r="BD165" s="49">
        <v>77</v>
      </c>
      <c r="BE165" s="49"/>
      <c r="BF165" s="49"/>
      <c r="BG165" s="49"/>
      <c r="BH165" s="49"/>
      <c r="BI165" s="49"/>
      <c r="BJ165" s="49"/>
      <c r="BK165" s="111" t="s">
        <v>2484</v>
      </c>
      <c r="BL165" s="111" t="s">
        <v>2484</v>
      </c>
      <c r="BM165" s="111" t="s">
        <v>2672</v>
      </c>
      <c r="BN165" s="111" t="s">
        <v>2672</v>
      </c>
      <c r="BO165" s="2"/>
      <c r="BP165" s="3"/>
      <c r="BQ165" s="3"/>
      <c r="BR165" s="3"/>
      <c r="BS165" s="3"/>
    </row>
    <row r="166" spans="1:71" ht="15">
      <c r="A166" s="65" t="s">
        <v>483</v>
      </c>
      <c r="B166" s="66"/>
      <c r="C166" s="66"/>
      <c r="D166" s="67">
        <v>228.4323113505747</v>
      </c>
      <c r="E166" s="69"/>
      <c r="F166" s="103" t="str">
        <f>HYPERLINK("https://yt3.ggpht.com/ytc/AKedOLSwERRejGrixEqdrWi8ugfTUGh_MJ-4YQXpUw=s88-c-k-c0x00ffffff-no-rj")</f>
        <v>https://yt3.ggpht.com/ytc/AKedOLSwERRejGrixEqdrWi8ugfTUGh_MJ-4YQXpUw=s88-c-k-c0x00ffffff-no-rj</v>
      </c>
      <c r="G166" s="66"/>
      <c r="H166" s="70" t="s">
        <v>996</v>
      </c>
      <c r="I166" s="71"/>
      <c r="J166" s="71" t="s">
        <v>75</v>
      </c>
      <c r="K166" s="70" t="s">
        <v>996</v>
      </c>
      <c r="L166" s="74">
        <v>70.46978397385418</v>
      </c>
      <c r="M166" s="75">
        <v>5965.43310546875</v>
      </c>
      <c r="N166" s="75">
        <v>9798.65234375</v>
      </c>
      <c r="O166" s="76"/>
      <c r="P166" s="77"/>
      <c r="Q166" s="77"/>
      <c r="R166" s="89"/>
      <c r="S166" s="49">
        <v>1</v>
      </c>
      <c r="T166" s="49">
        <v>2</v>
      </c>
      <c r="U166" s="50">
        <v>96.333333</v>
      </c>
      <c r="V166" s="50">
        <v>0.190852</v>
      </c>
      <c r="W166" s="50">
        <v>0.083174</v>
      </c>
      <c r="X166" s="50">
        <v>0.004101</v>
      </c>
      <c r="Y166" s="50">
        <v>0</v>
      </c>
      <c r="Z166" s="50">
        <v>0.5</v>
      </c>
      <c r="AA166" s="72">
        <v>166</v>
      </c>
      <c r="AB166" s="72"/>
      <c r="AC166" s="73"/>
      <c r="AD166" s="80" t="s">
        <v>996</v>
      </c>
      <c r="AE166" s="80"/>
      <c r="AF166" s="80"/>
      <c r="AG166" s="80"/>
      <c r="AH166" s="80"/>
      <c r="AI166" s="80"/>
      <c r="AJ166" s="87">
        <v>41727.635150462964</v>
      </c>
      <c r="AK166" s="85" t="str">
        <f>HYPERLINK("https://yt3.ggpht.com/ytc/AKedOLSwERRejGrixEqdrWi8ugfTUGh_MJ-4YQXpUw=s88-c-k-c0x00ffffff-no-rj")</f>
        <v>https://yt3.ggpht.com/ytc/AKedOLSwERRejGrixEqdrWi8ugfTUGh_MJ-4YQXpUw=s88-c-k-c0x00ffffff-no-rj</v>
      </c>
      <c r="AL166" s="80">
        <v>0</v>
      </c>
      <c r="AM166" s="80">
        <v>0</v>
      </c>
      <c r="AN166" s="80">
        <v>0</v>
      </c>
      <c r="AO166" s="80" t="b">
        <v>0</v>
      </c>
      <c r="AP166" s="80">
        <v>0</v>
      </c>
      <c r="AQ166" s="80"/>
      <c r="AR166" s="80"/>
      <c r="AS166" s="80" t="s">
        <v>1376</v>
      </c>
      <c r="AT166" s="85" t="str">
        <f>HYPERLINK("https://www.youtube.com/channel/UC7V-eKD4-9qacoIOSfjCkvQ")</f>
        <v>https://www.youtube.com/channel/UC7V-eKD4-9qacoIOSfjCkvQ</v>
      </c>
      <c r="AU166" s="80" t="str">
        <f>REPLACE(INDEX(GroupVertices[Group],MATCH(Vertices[[#This Row],[Vertex]],GroupVertices[Vertex],0)),1,1,"")</f>
        <v>3</v>
      </c>
      <c r="AV166" s="49">
        <v>5</v>
      </c>
      <c r="AW166" s="50">
        <v>1.8315018315018314</v>
      </c>
      <c r="AX166" s="49">
        <v>3</v>
      </c>
      <c r="AY166" s="50">
        <v>1.098901098901099</v>
      </c>
      <c r="AZ166" s="49">
        <v>0</v>
      </c>
      <c r="BA166" s="50">
        <v>0</v>
      </c>
      <c r="BB166" s="49">
        <v>265</v>
      </c>
      <c r="BC166" s="50">
        <v>97.06959706959707</v>
      </c>
      <c r="BD166" s="49">
        <v>273</v>
      </c>
      <c r="BE166" s="49" t="s">
        <v>2338</v>
      </c>
      <c r="BF166" s="49" t="s">
        <v>2343</v>
      </c>
      <c r="BG166" s="49" t="s">
        <v>1221</v>
      </c>
      <c r="BH166" s="49" t="s">
        <v>1221</v>
      </c>
      <c r="BI166" s="49"/>
      <c r="BJ166" s="49"/>
      <c r="BK166" s="111" t="s">
        <v>2485</v>
      </c>
      <c r="BL166" s="111" t="s">
        <v>2537</v>
      </c>
      <c r="BM166" s="111" t="s">
        <v>2673</v>
      </c>
      <c r="BN166" s="111" t="s">
        <v>2716</v>
      </c>
      <c r="BO166" s="2"/>
      <c r="BP166" s="3"/>
      <c r="BQ166" s="3"/>
      <c r="BR166" s="3"/>
      <c r="BS166" s="3"/>
    </row>
    <row r="167" spans="1:71" ht="15">
      <c r="A167" s="65" t="s">
        <v>553</v>
      </c>
      <c r="B167" s="66"/>
      <c r="C167" s="66"/>
      <c r="D167" s="67">
        <v>162.6197318007663</v>
      </c>
      <c r="E167" s="69"/>
      <c r="F167" s="103" t="str">
        <f>HYPERLINK("https://yt3.ggpht.com/O0yqWZ2YBR9Lp8DLmppD2kMSCp3n37p6NbTK0nOAKBFyNXJ_rjj7PuWuj8ntJ9vnoNM_bye7=s88-c-k-c0x00ffffff-no-rj")</f>
        <v>https://yt3.ggpht.com/O0yqWZ2YBR9Lp8DLmppD2kMSCp3n37p6NbTK0nOAKBFyNXJ_rjj7PuWuj8ntJ9vnoNM_bye7=s88-c-k-c0x00ffffff-no-rj</v>
      </c>
      <c r="G167" s="66"/>
      <c r="H167" s="70" t="s">
        <v>1270</v>
      </c>
      <c r="I167" s="71"/>
      <c r="J167" s="71" t="s">
        <v>75</v>
      </c>
      <c r="K167" s="70" t="s">
        <v>1270</v>
      </c>
      <c r="L167" s="74">
        <v>12.177664242082644</v>
      </c>
      <c r="M167" s="75">
        <v>6391.47509765625</v>
      </c>
      <c r="N167" s="75">
        <v>9353.8935546875</v>
      </c>
      <c r="O167" s="76"/>
      <c r="P167" s="77"/>
      <c r="Q167" s="77"/>
      <c r="R167" s="89"/>
      <c r="S167" s="49">
        <v>3</v>
      </c>
      <c r="T167" s="49">
        <v>1</v>
      </c>
      <c r="U167" s="50">
        <v>15.5</v>
      </c>
      <c r="V167" s="50">
        <v>0.162933</v>
      </c>
      <c r="W167" s="50">
        <v>0.021632</v>
      </c>
      <c r="X167" s="50">
        <v>0.004539</v>
      </c>
      <c r="Y167" s="50">
        <v>0</v>
      </c>
      <c r="Z167" s="50">
        <v>0</v>
      </c>
      <c r="AA167" s="72">
        <v>167</v>
      </c>
      <c r="AB167" s="72"/>
      <c r="AC167" s="73"/>
      <c r="AD167" s="80" t="s">
        <v>1270</v>
      </c>
      <c r="AE167" s="80" t="s">
        <v>1323</v>
      </c>
      <c r="AF167" s="80"/>
      <c r="AG167" s="80"/>
      <c r="AH167" s="80"/>
      <c r="AI167" s="80" t="s">
        <v>1361</v>
      </c>
      <c r="AJ167" s="87">
        <v>40875.27376157408</v>
      </c>
      <c r="AK167" s="85" t="str">
        <f>HYPERLINK("https://yt3.ggpht.com/O0yqWZ2YBR9Lp8DLmppD2kMSCp3n37p6NbTK0nOAKBFyNXJ_rjj7PuWuj8ntJ9vnoNM_bye7=s88-c-k-c0x00ffffff-no-rj")</f>
        <v>https://yt3.ggpht.com/O0yqWZ2YBR9Lp8DLmppD2kMSCp3n37p6NbTK0nOAKBFyNXJ_rjj7PuWuj8ntJ9vnoNM_bye7=s88-c-k-c0x00ffffff-no-rj</v>
      </c>
      <c r="AL167" s="80">
        <v>285664</v>
      </c>
      <c r="AM167" s="80">
        <v>0</v>
      </c>
      <c r="AN167" s="80">
        <v>1100</v>
      </c>
      <c r="AO167" s="80" t="b">
        <v>0</v>
      </c>
      <c r="AP167" s="80">
        <v>78</v>
      </c>
      <c r="AQ167" s="80"/>
      <c r="AR167" s="80"/>
      <c r="AS167" s="80" t="s">
        <v>1376</v>
      </c>
      <c r="AT167" s="85" t="str">
        <f>HYPERLINK("https://www.youtube.com/channel/UCewxu9BEC64CfQVzR6vd3cA")</f>
        <v>https://www.youtube.com/channel/UCewxu9BEC64CfQVzR6vd3cA</v>
      </c>
      <c r="AU167" s="80" t="str">
        <f>REPLACE(INDEX(GroupVertices[Group],MATCH(Vertices[[#This Row],[Vertex]],GroupVertices[Vertex],0)),1,1,"")</f>
        <v>3</v>
      </c>
      <c r="AV167" s="49"/>
      <c r="AW167" s="50"/>
      <c r="AX167" s="49"/>
      <c r="AY167" s="50"/>
      <c r="AZ167" s="49"/>
      <c r="BA167" s="50"/>
      <c r="BB167" s="49"/>
      <c r="BC167" s="50"/>
      <c r="BD167" s="49"/>
      <c r="BE167" s="49"/>
      <c r="BF167" s="49"/>
      <c r="BG167" s="49"/>
      <c r="BH167" s="49"/>
      <c r="BI167" s="49"/>
      <c r="BJ167" s="49"/>
      <c r="BK167" s="111" t="s">
        <v>1239</v>
      </c>
      <c r="BL167" s="111" t="s">
        <v>1239</v>
      </c>
      <c r="BM167" s="111" t="s">
        <v>1239</v>
      </c>
      <c r="BN167" s="111" t="s">
        <v>1239</v>
      </c>
      <c r="BO167" s="2"/>
      <c r="BP167" s="3"/>
      <c r="BQ167" s="3"/>
      <c r="BR167" s="3"/>
      <c r="BS167" s="3"/>
    </row>
    <row r="168" spans="1:71" ht="15">
      <c r="A168" s="65" t="s">
        <v>484</v>
      </c>
      <c r="B168" s="66"/>
      <c r="C168" s="66"/>
      <c r="D168" s="67">
        <v>150</v>
      </c>
      <c r="E168" s="69"/>
      <c r="F168" s="103" t="str">
        <f>HYPERLINK("https://yt3.ggpht.com/ytc/AKedOLRjlmPjRJ6I0Xp9tYv7zbH05DwwKp9nc4oMsvkrrA=s88-c-k-c0x00ffffff-no-rj")</f>
        <v>https://yt3.ggpht.com/ytc/AKedOLRjlmPjRJ6I0Xp9tYv7zbH05DwwKp9nc4oMsvkrrA=s88-c-k-c0x00ffffff-no-rj</v>
      </c>
      <c r="G168" s="66"/>
      <c r="H168" s="70" t="s">
        <v>997</v>
      </c>
      <c r="I168" s="71"/>
      <c r="J168" s="71" t="s">
        <v>159</v>
      </c>
      <c r="K168" s="70" t="s">
        <v>997</v>
      </c>
      <c r="L168" s="74">
        <v>1</v>
      </c>
      <c r="M168" s="75">
        <v>1588.732177734375</v>
      </c>
      <c r="N168" s="75">
        <v>8688.15234375</v>
      </c>
      <c r="O168" s="76"/>
      <c r="P168" s="77"/>
      <c r="Q168" s="77"/>
      <c r="R168" s="89"/>
      <c r="S168" s="49">
        <v>1</v>
      </c>
      <c r="T168" s="49">
        <v>1</v>
      </c>
      <c r="U168" s="50">
        <v>0</v>
      </c>
      <c r="V168" s="50">
        <v>0.189881</v>
      </c>
      <c r="W168" s="50">
        <v>0.080745</v>
      </c>
      <c r="X168" s="50">
        <v>0.003874</v>
      </c>
      <c r="Y168" s="50">
        <v>0</v>
      </c>
      <c r="Z168" s="50">
        <v>1</v>
      </c>
      <c r="AA168" s="72">
        <v>168</v>
      </c>
      <c r="AB168" s="72"/>
      <c r="AC168" s="73"/>
      <c r="AD168" s="80" t="s">
        <v>997</v>
      </c>
      <c r="AE168" s="80"/>
      <c r="AF168" s="80"/>
      <c r="AG168" s="80"/>
      <c r="AH168" s="80"/>
      <c r="AI168" s="80"/>
      <c r="AJ168" s="87">
        <v>40666.82482638889</v>
      </c>
      <c r="AK168" s="85" t="str">
        <f>HYPERLINK("https://yt3.ggpht.com/ytc/AKedOLRjlmPjRJ6I0Xp9tYv7zbH05DwwKp9nc4oMsvkrrA=s88-c-k-c0x00ffffff-no-rj")</f>
        <v>https://yt3.ggpht.com/ytc/AKedOLRjlmPjRJ6I0Xp9tYv7zbH05DwwKp9nc4oMsvkrrA=s88-c-k-c0x00ffffff-no-rj</v>
      </c>
      <c r="AL168" s="80">
        <v>1015</v>
      </c>
      <c r="AM168" s="80">
        <v>0</v>
      </c>
      <c r="AN168" s="80">
        <v>2</v>
      </c>
      <c r="AO168" s="80" t="b">
        <v>0</v>
      </c>
      <c r="AP168" s="80">
        <v>6</v>
      </c>
      <c r="AQ168" s="80"/>
      <c r="AR168" s="80"/>
      <c r="AS168" s="80" t="s">
        <v>1376</v>
      </c>
      <c r="AT168" s="85" t="str">
        <f>HYPERLINK("https://www.youtube.com/channel/UCl_-t3QxGQvNu9-Wp1iGLdQ")</f>
        <v>https://www.youtube.com/channel/UCl_-t3QxGQvNu9-Wp1iGLdQ</v>
      </c>
      <c r="AU168" s="80" t="str">
        <f>REPLACE(INDEX(GroupVertices[Group],MATCH(Vertices[[#This Row],[Vertex]],GroupVertices[Vertex],0)),1,1,"")</f>
        <v>1</v>
      </c>
      <c r="AV168" s="49">
        <v>1</v>
      </c>
      <c r="AW168" s="50">
        <v>2.6315789473684212</v>
      </c>
      <c r="AX168" s="49">
        <v>0</v>
      </c>
      <c r="AY168" s="50">
        <v>0</v>
      </c>
      <c r="AZ168" s="49">
        <v>0</v>
      </c>
      <c r="BA168" s="50">
        <v>0</v>
      </c>
      <c r="BB168" s="49">
        <v>37</v>
      </c>
      <c r="BC168" s="50">
        <v>97.36842105263158</v>
      </c>
      <c r="BD168" s="49">
        <v>38</v>
      </c>
      <c r="BE168" s="49"/>
      <c r="BF168" s="49"/>
      <c r="BG168" s="49"/>
      <c r="BH168" s="49"/>
      <c r="BI168" s="49"/>
      <c r="BJ168" s="49"/>
      <c r="BK168" s="111" t="s">
        <v>2486</v>
      </c>
      <c r="BL168" s="111" t="s">
        <v>2486</v>
      </c>
      <c r="BM168" s="111" t="s">
        <v>2674</v>
      </c>
      <c r="BN168" s="111" t="s">
        <v>2674</v>
      </c>
      <c r="BO168" s="2"/>
      <c r="BP168" s="3"/>
      <c r="BQ168" s="3"/>
      <c r="BR168" s="3"/>
      <c r="BS168" s="3"/>
    </row>
    <row r="169" spans="1:71" ht="15">
      <c r="A169" s="65" t="s">
        <v>485</v>
      </c>
      <c r="B169" s="66"/>
      <c r="C169" s="66"/>
      <c r="D169" s="67">
        <v>150</v>
      </c>
      <c r="E169" s="69"/>
      <c r="F169" s="103" t="str">
        <f>HYPERLINK("https://yt3.ggpht.com/ytc/AKedOLTsRkTCMP-4w5CPBy8JdRud7Vcdixe90QULTw=s88-c-k-c0x00ffffff-no-rj")</f>
        <v>https://yt3.ggpht.com/ytc/AKedOLTsRkTCMP-4w5CPBy8JdRud7Vcdixe90QULTw=s88-c-k-c0x00ffffff-no-rj</v>
      </c>
      <c r="G169" s="66"/>
      <c r="H169" s="70" t="s">
        <v>998</v>
      </c>
      <c r="I169" s="71"/>
      <c r="J169" s="71" t="s">
        <v>159</v>
      </c>
      <c r="K169" s="70" t="s">
        <v>998</v>
      </c>
      <c r="L169" s="74">
        <v>1</v>
      </c>
      <c r="M169" s="75">
        <v>2018.7030029296875</v>
      </c>
      <c r="N169" s="75">
        <v>2865.920166015625</v>
      </c>
      <c r="O169" s="76"/>
      <c r="P169" s="77"/>
      <c r="Q169" s="77"/>
      <c r="R169" s="89"/>
      <c r="S169" s="49">
        <v>0</v>
      </c>
      <c r="T169" s="49">
        <v>1</v>
      </c>
      <c r="U169" s="50">
        <v>0</v>
      </c>
      <c r="V169" s="50">
        <v>0.189881</v>
      </c>
      <c r="W169" s="50">
        <v>0.080745</v>
      </c>
      <c r="X169" s="50">
        <v>0.003874</v>
      </c>
      <c r="Y169" s="50">
        <v>0</v>
      </c>
      <c r="Z169" s="50">
        <v>0</v>
      </c>
      <c r="AA169" s="72">
        <v>169</v>
      </c>
      <c r="AB169" s="72"/>
      <c r="AC169" s="73"/>
      <c r="AD169" s="80" t="s">
        <v>998</v>
      </c>
      <c r="AE169" s="80"/>
      <c r="AF169" s="80"/>
      <c r="AG169" s="80"/>
      <c r="AH169" s="80"/>
      <c r="AI169" s="80"/>
      <c r="AJ169" s="87">
        <v>41549.69011574074</v>
      </c>
      <c r="AK169" s="85" t="str">
        <f>HYPERLINK("https://yt3.ggpht.com/ytc/AKedOLTsRkTCMP-4w5CPBy8JdRud7Vcdixe90QULTw=s88-c-k-c0x00ffffff-no-rj")</f>
        <v>https://yt3.ggpht.com/ytc/AKedOLTsRkTCMP-4w5CPBy8JdRud7Vcdixe90QULTw=s88-c-k-c0x00ffffff-no-rj</v>
      </c>
      <c r="AL169" s="80">
        <v>0</v>
      </c>
      <c r="AM169" s="80">
        <v>0</v>
      </c>
      <c r="AN169" s="80">
        <v>0</v>
      </c>
      <c r="AO169" s="80" t="b">
        <v>0</v>
      </c>
      <c r="AP169" s="80">
        <v>0</v>
      </c>
      <c r="AQ169" s="80"/>
      <c r="AR169" s="80"/>
      <c r="AS169" s="80" t="s">
        <v>1376</v>
      </c>
      <c r="AT169" s="85" t="str">
        <f>HYPERLINK("https://www.youtube.com/channel/UC72mAuOZR5GBLYq7vDITHuw")</f>
        <v>https://www.youtube.com/channel/UC72mAuOZR5GBLYq7vDITHuw</v>
      </c>
      <c r="AU169" s="80" t="str">
        <f>REPLACE(INDEX(GroupVertices[Group],MATCH(Vertices[[#This Row],[Vertex]],GroupVertices[Vertex],0)),1,1,"")</f>
        <v>1</v>
      </c>
      <c r="AV169" s="49">
        <v>4</v>
      </c>
      <c r="AW169" s="50">
        <v>8.16326530612245</v>
      </c>
      <c r="AX169" s="49">
        <v>0</v>
      </c>
      <c r="AY169" s="50">
        <v>0</v>
      </c>
      <c r="AZ169" s="49">
        <v>0</v>
      </c>
      <c r="BA169" s="50">
        <v>0</v>
      </c>
      <c r="BB169" s="49">
        <v>45</v>
      </c>
      <c r="BC169" s="50">
        <v>91.83673469387755</v>
      </c>
      <c r="BD169" s="49">
        <v>49</v>
      </c>
      <c r="BE169" s="49"/>
      <c r="BF169" s="49"/>
      <c r="BG169" s="49"/>
      <c r="BH169" s="49"/>
      <c r="BI169" s="49"/>
      <c r="BJ169" s="49"/>
      <c r="BK169" s="111" t="s">
        <v>2487</v>
      </c>
      <c r="BL169" s="111" t="s">
        <v>2487</v>
      </c>
      <c r="BM169" s="111" t="s">
        <v>2675</v>
      </c>
      <c r="BN169" s="111" t="s">
        <v>2675</v>
      </c>
      <c r="BO169" s="2"/>
      <c r="BP169" s="3"/>
      <c r="BQ169" s="3"/>
      <c r="BR169" s="3"/>
      <c r="BS169" s="3"/>
    </row>
    <row r="170" spans="1:71" ht="15">
      <c r="A170" s="65" t="s">
        <v>486</v>
      </c>
      <c r="B170" s="66"/>
      <c r="C170" s="66"/>
      <c r="D170" s="67">
        <v>150</v>
      </c>
      <c r="E170" s="69"/>
      <c r="F170" s="103" t="str">
        <f>HYPERLINK("https://yt3.ggpht.com/ytc/AKedOLRnAKijs3862W4IFx7aRrxFiyMP3082-WfEHCeHuSU=s88-c-k-c0x00ffffff-no-rj")</f>
        <v>https://yt3.ggpht.com/ytc/AKedOLRnAKijs3862W4IFx7aRrxFiyMP3082-WfEHCeHuSU=s88-c-k-c0x00ffffff-no-rj</v>
      </c>
      <c r="G170" s="66"/>
      <c r="H170" s="70" t="s">
        <v>999</v>
      </c>
      <c r="I170" s="71"/>
      <c r="J170" s="71" t="s">
        <v>159</v>
      </c>
      <c r="K170" s="70" t="s">
        <v>999</v>
      </c>
      <c r="L170" s="74">
        <v>1</v>
      </c>
      <c r="M170" s="75">
        <v>1903.8638916015625</v>
      </c>
      <c r="N170" s="75">
        <v>8696.53125</v>
      </c>
      <c r="O170" s="76"/>
      <c r="P170" s="77"/>
      <c r="Q170" s="77"/>
      <c r="R170" s="89"/>
      <c r="S170" s="49">
        <v>0</v>
      </c>
      <c r="T170" s="49">
        <v>1</v>
      </c>
      <c r="U170" s="50">
        <v>0</v>
      </c>
      <c r="V170" s="50">
        <v>0.189881</v>
      </c>
      <c r="W170" s="50">
        <v>0.080745</v>
      </c>
      <c r="X170" s="50">
        <v>0.003874</v>
      </c>
      <c r="Y170" s="50">
        <v>0</v>
      </c>
      <c r="Z170" s="50">
        <v>0</v>
      </c>
      <c r="AA170" s="72">
        <v>170</v>
      </c>
      <c r="AB170" s="72"/>
      <c r="AC170" s="73"/>
      <c r="AD170" s="80" t="s">
        <v>999</v>
      </c>
      <c r="AE170" s="80"/>
      <c r="AF170" s="80"/>
      <c r="AG170" s="80"/>
      <c r="AH170" s="80"/>
      <c r="AI170" s="80"/>
      <c r="AJ170" s="87">
        <v>41219.77712962963</v>
      </c>
      <c r="AK170" s="85" t="str">
        <f>HYPERLINK("https://yt3.ggpht.com/ytc/AKedOLRnAKijs3862W4IFx7aRrxFiyMP3082-WfEHCeHuSU=s88-c-k-c0x00ffffff-no-rj")</f>
        <v>https://yt3.ggpht.com/ytc/AKedOLRnAKijs3862W4IFx7aRrxFiyMP3082-WfEHCeHuSU=s88-c-k-c0x00ffffff-no-rj</v>
      </c>
      <c r="AL170" s="80">
        <v>0</v>
      </c>
      <c r="AM170" s="80">
        <v>0</v>
      </c>
      <c r="AN170" s="80">
        <v>0</v>
      </c>
      <c r="AO170" s="80" t="b">
        <v>0</v>
      </c>
      <c r="AP170" s="80">
        <v>0</v>
      </c>
      <c r="AQ170" s="80"/>
      <c r="AR170" s="80"/>
      <c r="AS170" s="80" t="s">
        <v>1376</v>
      </c>
      <c r="AT170" s="85" t="str">
        <f>HYPERLINK("https://www.youtube.com/channel/UCe9SZXN8hQOR5jjWTKgMNiA")</f>
        <v>https://www.youtube.com/channel/UCe9SZXN8hQOR5jjWTKgMNiA</v>
      </c>
      <c r="AU170" s="80" t="str">
        <f>REPLACE(INDEX(GroupVertices[Group],MATCH(Vertices[[#This Row],[Vertex]],GroupVertices[Vertex],0)),1,1,"")</f>
        <v>1</v>
      </c>
      <c r="AV170" s="49">
        <v>2</v>
      </c>
      <c r="AW170" s="50">
        <v>20</v>
      </c>
      <c r="AX170" s="49">
        <v>0</v>
      </c>
      <c r="AY170" s="50">
        <v>0</v>
      </c>
      <c r="AZ170" s="49">
        <v>0</v>
      </c>
      <c r="BA170" s="50">
        <v>0</v>
      </c>
      <c r="BB170" s="49">
        <v>8</v>
      </c>
      <c r="BC170" s="50">
        <v>80</v>
      </c>
      <c r="BD170" s="49">
        <v>10</v>
      </c>
      <c r="BE170" s="49"/>
      <c r="BF170" s="49"/>
      <c r="BG170" s="49"/>
      <c r="BH170" s="49"/>
      <c r="BI170" s="49"/>
      <c r="BJ170" s="49"/>
      <c r="BK170" s="111" t="s">
        <v>2488</v>
      </c>
      <c r="BL170" s="111" t="s">
        <v>2488</v>
      </c>
      <c r="BM170" s="111" t="s">
        <v>2676</v>
      </c>
      <c r="BN170" s="111" t="s">
        <v>2676</v>
      </c>
      <c r="BO170" s="2"/>
      <c r="BP170" s="3"/>
      <c r="BQ170" s="3"/>
      <c r="BR170" s="3"/>
      <c r="BS170" s="3"/>
    </row>
    <row r="171" spans="1:71" ht="15">
      <c r="A171" s="65" t="s">
        <v>487</v>
      </c>
      <c r="B171" s="66"/>
      <c r="C171" s="66"/>
      <c r="D171" s="67">
        <v>150</v>
      </c>
      <c r="E171" s="69"/>
      <c r="F171" s="103" t="str">
        <f>HYPERLINK("https://yt3.ggpht.com/ytc/AKedOLSvvPBs_9_kc0WHBIODwc3g3Jgee6aIIlJ1uERCng=s88-c-k-c0x00ffffff-no-rj")</f>
        <v>https://yt3.ggpht.com/ytc/AKedOLSvvPBs_9_kc0WHBIODwc3g3Jgee6aIIlJ1uERCng=s88-c-k-c0x00ffffff-no-rj</v>
      </c>
      <c r="G171" s="66"/>
      <c r="H171" s="70" t="s">
        <v>1000</v>
      </c>
      <c r="I171" s="71"/>
      <c r="J171" s="71" t="s">
        <v>159</v>
      </c>
      <c r="K171" s="70" t="s">
        <v>1000</v>
      </c>
      <c r="L171" s="74">
        <v>1</v>
      </c>
      <c r="M171" s="75">
        <v>3006.505859375</v>
      </c>
      <c r="N171" s="75">
        <v>6603.16552734375</v>
      </c>
      <c r="O171" s="76"/>
      <c r="P171" s="77"/>
      <c r="Q171" s="77"/>
      <c r="R171" s="89"/>
      <c r="S171" s="49">
        <v>0</v>
      </c>
      <c r="T171" s="49">
        <v>1</v>
      </c>
      <c r="U171" s="50">
        <v>0</v>
      </c>
      <c r="V171" s="50">
        <v>0.189881</v>
      </c>
      <c r="W171" s="50">
        <v>0.080745</v>
      </c>
      <c r="X171" s="50">
        <v>0.003874</v>
      </c>
      <c r="Y171" s="50">
        <v>0</v>
      </c>
      <c r="Z171" s="50">
        <v>0</v>
      </c>
      <c r="AA171" s="72">
        <v>171</v>
      </c>
      <c r="AB171" s="72"/>
      <c r="AC171" s="73"/>
      <c r="AD171" s="80" t="s">
        <v>1000</v>
      </c>
      <c r="AE171" s="80"/>
      <c r="AF171" s="80"/>
      <c r="AG171" s="80"/>
      <c r="AH171" s="80"/>
      <c r="AI171" s="80" t="s">
        <v>1362</v>
      </c>
      <c r="AJ171" s="87">
        <v>40827.60628472222</v>
      </c>
      <c r="AK171" s="85" t="str">
        <f>HYPERLINK("https://yt3.ggpht.com/ytc/AKedOLSvvPBs_9_kc0WHBIODwc3g3Jgee6aIIlJ1uERCng=s88-c-k-c0x00ffffff-no-rj")</f>
        <v>https://yt3.ggpht.com/ytc/AKedOLSvvPBs_9_kc0WHBIODwc3g3Jgee6aIIlJ1uERCng=s88-c-k-c0x00ffffff-no-rj</v>
      </c>
      <c r="AL171" s="80">
        <v>1121</v>
      </c>
      <c r="AM171" s="80">
        <v>0</v>
      </c>
      <c r="AN171" s="80">
        <v>1</v>
      </c>
      <c r="AO171" s="80" t="b">
        <v>0</v>
      </c>
      <c r="AP171" s="80">
        <v>6</v>
      </c>
      <c r="AQ171" s="80"/>
      <c r="AR171" s="80"/>
      <c r="AS171" s="80" t="s">
        <v>1376</v>
      </c>
      <c r="AT171" s="85" t="str">
        <f>HYPERLINK("https://www.youtube.com/channel/UCZ8nrFIJyJwN6R0ZOALXetQ")</f>
        <v>https://www.youtube.com/channel/UCZ8nrFIJyJwN6R0ZOALXetQ</v>
      </c>
      <c r="AU171" s="80" t="str">
        <f>REPLACE(INDEX(GroupVertices[Group],MATCH(Vertices[[#This Row],[Vertex]],GroupVertices[Vertex],0)),1,1,"")</f>
        <v>1</v>
      </c>
      <c r="AV171" s="49">
        <v>1</v>
      </c>
      <c r="AW171" s="50">
        <v>12.5</v>
      </c>
      <c r="AX171" s="49">
        <v>0</v>
      </c>
      <c r="AY171" s="50">
        <v>0</v>
      </c>
      <c r="AZ171" s="49">
        <v>0</v>
      </c>
      <c r="BA171" s="50">
        <v>0</v>
      </c>
      <c r="BB171" s="49">
        <v>7</v>
      </c>
      <c r="BC171" s="50">
        <v>87.5</v>
      </c>
      <c r="BD171" s="49">
        <v>8</v>
      </c>
      <c r="BE171" s="49"/>
      <c r="BF171" s="49"/>
      <c r="BG171" s="49"/>
      <c r="BH171" s="49"/>
      <c r="BI171" s="49"/>
      <c r="BJ171" s="49"/>
      <c r="BK171" s="111" t="s">
        <v>2489</v>
      </c>
      <c r="BL171" s="111" t="s">
        <v>2489</v>
      </c>
      <c r="BM171" s="111" t="s">
        <v>2677</v>
      </c>
      <c r="BN171" s="111" t="s">
        <v>2677</v>
      </c>
      <c r="BO171" s="2"/>
      <c r="BP171" s="3"/>
      <c r="BQ171" s="3"/>
      <c r="BR171" s="3"/>
      <c r="BS171" s="3"/>
    </row>
    <row r="172" spans="1:71" ht="15">
      <c r="A172" s="65" t="s">
        <v>488</v>
      </c>
      <c r="B172" s="66"/>
      <c r="C172" s="66"/>
      <c r="D172" s="67">
        <v>150</v>
      </c>
      <c r="E172" s="69"/>
      <c r="F172" s="103" t="str">
        <f>HYPERLINK("https://yt3.ggpht.com/ytc/AKedOLQJnadhf-itjGismfiiWb2f-lj1bOjumZdowwOiqw=s88-c-k-c0x00ffffff-no-rj")</f>
        <v>https://yt3.ggpht.com/ytc/AKedOLQJnadhf-itjGismfiiWb2f-lj1bOjumZdowwOiqw=s88-c-k-c0x00ffffff-no-rj</v>
      </c>
      <c r="G172" s="66"/>
      <c r="H172" s="70" t="s">
        <v>1001</v>
      </c>
      <c r="I172" s="71"/>
      <c r="J172" s="71" t="s">
        <v>159</v>
      </c>
      <c r="K172" s="70" t="s">
        <v>1001</v>
      </c>
      <c r="L172" s="74">
        <v>1</v>
      </c>
      <c r="M172" s="75">
        <v>127.53502655029297</v>
      </c>
      <c r="N172" s="75">
        <v>9822.326171875</v>
      </c>
      <c r="O172" s="76"/>
      <c r="P172" s="77"/>
      <c r="Q172" s="77"/>
      <c r="R172" s="89"/>
      <c r="S172" s="49">
        <v>0</v>
      </c>
      <c r="T172" s="49">
        <v>1</v>
      </c>
      <c r="U172" s="50">
        <v>0</v>
      </c>
      <c r="V172" s="50">
        <v>0.143783</v>
      </c>
      <c r="W172" s="50">
        <v>0.010358</v>
      </c>
      <c r="X172" s="50">
        <v>0.00403</v>
      </c>
      <c r="Y172" s="50">
        <v>0</v>
      </c>
      <c r="Z172" s="50">
        <v>0</v>
      </c>
      <c r="AA172" s="72">
        <v>172</v>
      </c>
      <c r="AB172" s="72"/>
      <c r="AC172" s="73"/>
      <c r="AD172" s="80" t="s">
        <v>1001</v>
      </c>
      <c r="AE172" s="80"/>
      <c r="AF172" s="80"/>
      <c r="AG172" s="80"/>
      <c r="AH172" s="80"/>
      <c r="AI172" s="80"/>
      <c r="AJ172" s="87">
        <v>41081.335914351854</v>
      </c>
      <c r="AK172" s="85" t="str">
        <f>HYPERLINK("https://yt3.ggpht.com/ytc/AKedOLQJnadhf-itjGismfiiWb2f-lj1bOjumZdowwOiqw=s88-c-k-c0x00ffffff-no-rj")</f>
        <v>https://yt3.ggpht.com/ytc/AKedOLQJnadhf-itjGismfiiWb2f-lj1bOjumZdowwOiqw=s88-c-k-c0x00ffffff-no-rj</v>
      </c>
      <c r="AL172" s="80">
        <v>20</v>
      </c>
      <c r="AM172" s="80">
        <v>0</v>
      </c>
      <c r="AN172" s="80">
        <v>0</v>
      </c>
      <c r="AO172" s="80" t="b">
        <v>0</v>
      </c>
      <c r="AP172" s="80">
        <v>1</v>
      </c>
      <c r="AQ172" s="80"/>
      <c r="AR172" s="80"/>
      <c r="AS172" s="80" t="s">
        <v>1376</v>
      </c>
      <c r="AT172" s="85" t="str">
        <f>HYPERLINK("https://www.youtube.com/channel/UCc_IrnsTVtcDBTMBJ6prkag")</f>
        <v>https://www.youtube.com/channel/UCc_IrnsTVtcDBTMBJ6prkag</v>
      </c>
      <c r="AU172" s="80" t="str">
        <f>REPLACE(INDEX(GroupVertices[Group],MATCH(Vertices[[#This Row],[Vertex]],GroupVertices[Vertex],0)),1,1,"")</f>
        <v>1</v>
      </c>
      <c r="AV172" s="49">
        <v>0</v>
      </c>
      <c r="AW172" s="50">
        <v>0</v>
      </c>
      <c r="AX172" s="49">
        <v>0</v>
      </c>
      <c r="AY172" s="50">
        <v>0</v>
      </c>
      <c r="AZ172" s="49">
        <v>0</v>
      </c>
      <c r="BA172" s="50">
        <v>0</v>
      </c>
      <c r="BB172" s="49">
        <v>13</v>
      </c>
      <c r="BC172" s="50">
        <v>100</v>
      </c>
      <c r="BD172" s="49">
        <v>13</v>
      </c>
      <c r="BE172" s="49"/>
      <c r="BF172" s="49"/>
      <c r="BG172" s="49"/>
      <c r="BH172" s="49"/>
      <c r="BI172" s="49"/>
      <c r="BJ172" s="49"/>
      <c r="BK172" s="111" t="s">
        <v>2490</v>
      </c>
      <c r="BL172" s="111" t="s">
        <v>2490</v>
      </c>
      <c r="BM172" s="111" t="s">
        <v>2678</v>
      </c>
      <c r="BN172" s="111" t="s">
        <v>2678</v>
      </c>
      <c r="BO172" s="2"/>
      <c r="BP172" s="3"/>
      <c r="BQ172" s="3"/>
      <c r="BR172" s="3"/>
      <c r="BS172" s="3"/>
    </row>
    <row r="173" spans="1:71" ht="15">
      <c r="A173" s="65" t="s">
        <v>489</v>
      </c>
      <c r="B173" s="66"/>
      <c r="C173" s="66"/>
      <c r="D173" s="67">
        <v>358.42911877394636</v>
      </c>
      <c r="E173" s="69"/>
      <c r="F173" s="103" t="str">
        <f>HYPERLINK("https://yt3.ggpht.com/ytc/AKedOLQNlbrmQJDUA__26goD0SPKPugzm6-_iFaYiQ=s88-c-k-c0x00ffffff-no-rj")</f>
        <v>https://yt3.ggpht.com/ytc/AKedOLQNlbrmQJDUA__26goD0SPKPugzm6-_iFaYiQ=s88-c-k-c0x00ffffff-no-rj</v>
      </c>
      <c r="G173" s="66"/>
      <c r="H173" s="70" t="s">
        <v>1002</v>
      </c>
      <c r="I173" s="71"/>
      <c r="J173" s="71" t="s">
        <v>75</v>
      </c>
      <c r="K173" s="70" t="s">
        <v>1002</v>
      </c>
      <c r="L173" s="74">
        <v>185.61174490149398</v>
      </c>
      <c r="M173" s="75">
        <v>883.7609252929688</v>
      </c>
      <c r="N173" s="75">
        <v>8205.005859375</v>
      </c>
      <c r="O173" s="76"/>
      <c r="P173" s="77"/>
      <c r="Q173" s="77"/>
      <c r="R173" s="89"/>
      <c r="S173" s="49">
        <v>3</v>
      </c>
      <c r="T173" s="49">
        <v>2</v>
      </c>
      <c r="U173" s="50">
        <v>256</v>
      </c>
      <c r="V173" s="50">
        <v>0.190852</v>
      </c>
      <c r="W173" s="50">
        <v>0.092266</v>
      </c>
      <c r="X173" s="50">
        <v>0.004714</v>
      </c>
      <c r="Y173" s="50">
        <v>0</v>
      </c>
      <c r="Z173" s="50">
        <v>0.5</v>
      </c>
      <c r="AA173" s="72">
        <v>173</v>
      </c>
      <c r="AB173" s="72"/>
      <c r="AC173" s="73"/>
      <c r="AD173" s="80" t="s">
        <v>1002</v>
      </c>
      <c r="AE173" s="80"/>
      <c r="AF173" s="80"/>
      <c r="AG173" s="80"/>
      <c r="AH173" s="80"/>
      <c r="AI173" s="80"/>
      <c r="AJ173" s="87">
        <v>39711.30605324074</v>
      </c>
      <c r="AK173" s="85" t="str">
        <f>HYPERLINK("https://yt3.ggpht.com/ytc/AKedOLQNlbrmQJDUA__26goD0SPKPugzm6-_iFaYiQ=s88-c-k-c0x00ffffff-no-rj")</f>
        <v>https://yt3.ggpht.com/ytc/AKedOLQNlbrmQJDUA__26goD0SPKPugzm6-_iFaYiQ=s88-c-k-c0x00ffffff-no-rj</v>
      </c>
      <c r="AL173" s="80">
        <v>0</v>
      </c>
      <c r="AM173" s="80">
        <v>0</v>
      </c>
      <c r="AN173" s="80">
        <v>0</v>
      </c>
      <c r="AO173" s="80" t="b">
        <v>0</v>
      </c>
      <c r="AP173" s="80">
        <v>0</v>
      </c>
      <c r="AQ173" s="80"/>
      <c r="AR173" s="80"/>
      <c r="AS173" s="80" t="s">
        <v>1376</v>
      </c>
      <c r="AT173" s="85" t="str">
        <f>HYPERLINK("https://www.youtube.com/channel/UCd0sHnrF1NVw90DF39XEKDQ")</f>
        <v>https://www.youtube.com/channel/UCd0sHnrF1NVw90DF39XEKDQ</v>
      </c>
      <c r="AU173" s="80" t="str">
        <f>REPLACE(INDEX(GroupVertices[Group],MATCH(Vertices[[#This Row],[Vertex]],GroupVertices[Vertex],0)),1,1,"")</f>
        <v>1</v>
      </c>
      <c r="AV173" s="49">
        <v>6</v>
      </c>
      <c r="AW173" s="50">
        <v>1.5037593984962405</v>
      </c>
      <c r="AX173" s="49">
        <v>0</v>
      </c>
      <c r="AY173" s="50">
        <v>0</v>
      </c>
      <c r="AZ173" s="49">
        <v>0</v>
      </c>
      <c r="BA173" s="50">
        <v>0</v>
      </c>
      <c r="BB173" s="49">
        <v>393</v>
      </c>
      <c r="BC173" s="50">
        <v>98.49624060150376</v>
      </c>
      <c r="BD173" s="49">
        <v>399</v>
      </c>
      <c r="BE173" s="49" t="s">
        <v>2339</v>
      </c>
      <c r="BF173" s="49" t="s">
        <v>2339</v>
      </c>
      <c r="BG173" s="49" t="s">
        <v>1221</v>
      </c>
      <c r="BH173" s="49" t="s">
        <v>1221</v>
      </c>
      <c r="BI173" s="49"/>
      <c r="BJ173" s="49"/>
      <c r="BK173" s="111" t="s">
        <v>2491</v>
      </c>
      <c r="BL173" s="111" t="s">
        <v>2538</v>
      </c>
      <c r="BM173" s="111" t="s">
        <v>2679</v>
      </c>
      <c r="BN173" s="111" t="s">
        <v>2717</v>
      </c>
      <c r="BO173" s="2"/>
      <c r="BP173" s="3"/>
      <c r="BQ173" s="3"/>
      <c r="BR173" s="3"/>
      <c r="BS173" s="3"/>
    </row>
    <row r="174" spans="1:71" ht="15">
      <c r="A174" s="65" t="s">
        <v>490</v>
      </c>
      <c r="B174" s="66"/>
      <c r="C174" s="66"/>
      <c r="D174" s="67">
        <v>150</v>
      </c>
      <c r="E174" s="69"/>
      <c r="F174" s="103" t="str">
        <f>HYPERLINK("https://yt3.ggpht.com/ytc/AKedOLRn6Bb5mXiX-T9j25sPyCyPAJu9AlKoyJmPUA=s88-c-k-c0x00ffffff-no-rj")</f>
        <v>https://yt3.ggpht.com/ytc/AKedOLRn6Bb5mXiX-T9j25sPyCyPAJu9AlKoyJmPUA=s88-c-k-c0x00ffffff-no-rj</v>
      </c>
      <c r="G174" s="66"/>
      <c r="H174" s="70" t="s">
        <v>1003</v>
      </c>
      <c r="I174" s="71"/>
      <c r="J174" s="71" t="s">
        <v>159</v>
      </c>
      <c r="K174" s="70" t="s">
        <v>1003</v>
      </c>
      <c r="L174" s="74">
        <v>1</v>
      </c>
      <c r="M174" s="75">
        <v>781.325927734375</v>
      </c>
      <c r="N174" s="75">
        <v>7327.5361328125</v>
      </c>
      <c r="O174" s="76"/>
      <c r="P174" s="77"/>
      <c r="Q174" s="77"/>
      <c r="R174" s="89"/>
      <c r="S174" s="49">
        <v>2</v>
      </c>
      <c r="T174" s="49">
        <v>2</v>
      </c>
      <c r="U174" s="50">
        <v>0</v>
      </c>
      <c r="V174" s="50">
        <v>0.189881</v>
      </c>
      <c r="W174" s="50">
        <v>0.090956</v>
      </c>
      <c r="X174" s="50">
        <v>0.004188</v>
      </c>
      <c r="Y174" s="50">
        <v>0</v>
      </c>
      <c r="Z174" s="50">
        <v>1</v>
      </c>
      <c r="AA174" s="72">
        <v>174</v>
      </c>
      <c r="AB174" s="72"/>
      <c r="AC174" s="73"/>
      <c r="AD174" s="80" t="s">
        <v>1003</v>
      </c>
      <c r="AE174" s="80"/>
      <c r="AF174" s="80"/>
      <c r="AG174" s="80"/>
      <c r="AH174" s="80"/>
      <c r="AI174" s="80"/>
      <c r="AJ174" s="87">
        <v>41318.91515046296</v>
      </c>
      <c r="AK174" s="85" t="str">
        <f>HYPERLINK("https://yt3.ggpht.com/ytc/AKedOLRn6Bb5mXiX-T9j25sPyCyPAJu9AlKoyJmPUA=s88-c-k-c0x00ffffff-no-rj")</f>
        <v>https://yt3.ggpht.com/ytc/AKedOLRn6Bb5mXiX-T9j25sPyCyPAJu9AlKoyJmPUA=s88-c-k-c0x00ffffff-no-rj</v>
      </c>
      <c r="AL174" s="80">
        <v>0</v>
      </c>
      <c r="AM174" s="80">
        <v>0</v>
      </c>
      <c r="AN174" s="80">
        <v>3</v>
      </c>
      <c r="AO174" s="80" t="b">
        <v>0</v>
      </c>
      <c r="AP174" s="80">
        <v>0</v>
      </c>
      <c r="AQ174" s="80"/>
      <c r="AR174" s="80"/>
      <c r="AS174" s="80" t="s">
        <v>1376</v>
      </c>
      <c r="AT174" s="85" t="str">
        <f>HYPERLINK("https://www.youtube.com/channel/UC9AMcBHhYQKbFy83LwC70Fg")</f>
        <v>https://www.youtube.com/channel/UC9AMcBHhYQKbFy83LwC70Fg</v>
      </c>
      <c r="AU174" s="80" t="str">
        <f>REPLACE(INDEX(GroupVertices[Group],MATCH(Vertices[[#This Row],[Vertex]],GroupVertices[Vertex],0)),1,1,"")</f>
        <v>1</v>
      </c>
      <c r="AV174" s="49">
        <v>2</v>
      </c>
      <c r="AW174" s="50">
        <v>1.6</v>
      </c>
      <c r="AX174" s="49">
        <v>4</v>
      </c>
      <c r="AY174" s="50">
        <v>3.2</v>
      </c>
      <c r="AZ174" s="49">
        <v>0</v>
      </c>
      <c r="BA174" s="50">
        <v>0</v>
      </c>
      <c r="BB174" s="49">
        <v>119</v>
      </c>
      <c r="BC174" s="50">
        <v>95.2</v>
      </c>
      <c r="BD174" s="49">
        <v>125</v>
      </c>
      <c r="BE174" s="49"/>
      <c r="BF174" s="49"/>
      <c r="BG174" s="49"/>
      <c r="BH174" s="49"/>
      <c r="BI174" s="49"/>
      <c r="BJ174" s="49"/>
      <c r="BK174" s="111" t="s">
        <v>2492</v>
      </c>
      <c r="BL174" s="111" t="s">
        <v>2492</v>
      </c>
      <c r="BM174" s="111" t="s">
        <v>2680</v>
      </c>
      <c r="BN174" s="111" t="s">
        <v>2680</v>
      </c>
      <c r="BO174" s="2"/>
      <c r="BP174" s="3"/>
      <c r="BQ174" s="3"/>
      <c r="BR174" s="3"/>
      <c r="BS174" s="3"/>
    </row>
    <row r="175" spans="1:71" ht="15">
      <c r="A175" s="65" t="s">
        <v>491</v>
      </c>
      <c r="B175" s="66"/>
      <c r="C175" s="66"/>
      <c r="D175" s="67">
        <v>150</v>
      </c>
      <c r="E175" s="69"/>
      <c r="F175" s="103" t="str">
        <f>HYPERLINK("https://yt3.ggpht.com/ytc/AKedOLRi1iB_WjdZrX46GWfa6XsamZoW5RzJJlmDifWf=s88-c-k-c0x00ffffff-no-rj")</f>
        <v>https://yt3.ggpht.com/ytc/AKedOLRi1iB_WjdZrX46GWfa6XsamZoW5RzJJlmDifWf=s88-c-k-c0x00ffffff-no-rj</v>
      </c>
      <c r="G175" s="66"/>
      <c r="H175" s="70" t="s">
        <v>1004</v>
      </c>
      <c r="I175" s="71"/>
      <c r="J175" s="71" t="s">
        <v>159</v>
      </c>
      <c r="K175" s="70" t="s">
        <v>1004</v>
      </c>
      <c r="L175" s="74">
        <v>1</v>
      </c>
      <c r="M175" s="75">
        <v>2838.542236328125</v>
      </c>
      <c r="N175" s="75">
        <v>6127.19873046875</v>
      </c>
      <c r="O175" s="76"/>
      <c r="P175" s="77"/>
      <c r="Q175" s="77"/>
      <c r="R175" s="89"/>
      <c r="S175" s="49">
        <v>2</v>
      </c>
      <c r="T175" s="49">
        <v>2</v>
      </c>
      <c r="U175" s="50">
        <v>0</v>
      </c>
      <c r="V175" s="50">
        <v>0.189881</v>
      </c>
      <c r="W175" s="50">
        <v>0.090956</v>
      </c>
      <c r="X175" s="50">
        <v>0.004188</v>
      </c>
      <c r="Y175" s="50">
        <v>0</v>
      </c>
      <c r="Z175" s="50">
        <v>1</v>
      </c>
      <c r="AA175" s="72">
        <v>175</v>
      </c>
      <c r="AB175" s="72"/>
      <c r="AC175" s="73"/>
      <c r="AD175" s="80" t="s">
        <v>1004</v>
      </c>
      <c r="AE175" s="80"/>
      <c r="AF175" s="80"/>
      <c r="AG175" s="80"/>
      <c r="AH175" s="80"/>
      <c r="AI175" s="80"/>
      <c r="AJ175" s="87">
        <v>40506.80913194444</v>
      </c>
      <c r="AK175" s="85" t="str">
        <f>HYPERLINK("https://yt3.ggpht.com/ytc/AKedOLRi1iB_WjdZrX46GWfa6XsamZoW5RzJJlmDifWf=s88-c-k-c0x00ffffff-no-rj")</f>
        <v>https://yt3.ggpht.com/ytc/AKedOLRi1iB_WjdZrX46GWfa6XsamZoW5RzJJlmDifWf=s88-c-k-c0x00ffffff-no-rj</v>
      </c>
      <c r="AL175" s="80">
        <v>0</v>
      </c>
      <c r="AM175" s="80">
        <v>0</v>
      </c>
      <c r="AN175" s="80">
        <v>0</v>
      </c>
      <c r="AO175" s="80" t="b">
        <v>0</v>
      </c>
      <c r="AP175" s="80">
        <v>0</v>
      </c>
      <c r="AQ175" s="80"/>
      <c r="AR175" s="80"/>
      <c r="AS175" s="80" t="s">
        <v>1376</v>
      </c>
      <c r="AT175" s="85" t="str">
        <f>HYPERLINK("https://www.youtube.com/channel/UCQm-eZonEALK3soY6l1QuCA")</f>
        <v>https://www.youtube.com/channel/UCQm-eZonEALK3soY6l1QuCA</v>
      </c>
      <c r="AU175" s="80" t="str">
        <f>REPLACE(INDEX(GroupVertices[Group],MATCH(Vertices[[#This Row],[Vertex]],GroupVertices[Vertex],0)),1,1,"")</f>
        <v>1</v>
      </c>
      <c r="AV175" s="49">
        <v>5</v>
      </c>
      <c r="AW175" s="50">
        <v>3.787878787878788</v>
      </c>
      <c r="AX175" s="49">
        <v>2</v>
      </c>
      <c r="AY175" s="50">
        <v>1.5151515151515151</v>
      </c>
      <c r="AZ175" s="49">
        <v>0</v>
      </c>
      <c r="BA175" s="50">
        <v>0</v>
      </c>
      <c r="BB175" s="49">
        <v>125</v>
      </c>
      <c r="BC175" s="50">
        <v>94.6969696969697</v>
      </c>
      <c r="BD175" s="49">
        <v>132</v>
      </c>
      <c r="BE175" s="49"/>
      <c r="BF175" s="49"/>
      <c r="BG175" s="49"/>
      <c r="BH175" s="49"/>
      <c r="BI175" s="49"/>
      <c r="BJ175" s="49"/>
      <c r="BK175" s="111" t="s">
        <v>2493</v>
      </c>
      <c r="BL175" s="111" t="s">
        <v>2539</v>
      </c>
      <c r="BM175" s="111" t="s">
        <v>2681</v>
      </c>
      <c r="BN175" s="111" t="s">
        <v>2681</v>
      </c>
      <c r="BO175" s="2"/>
      <c r="BP175" s="3"/>
      <c r="BQ175" s="3"/>
      <c r="BR175" s="3"/>
      <c r="BS175" s="3"/>
    </row>
    <row r="176" spans="1:71" ht="15">
      <c r="A176" s="65" t="s">
        <v>492</v>
      </c>
      <c r="B176" s="66"/>
      <c r="C176" s="66"/>
      <c r="D176" s="67">
        <v>150</v>
      </c>
      <c r="E176" s="69"/>
      <c r="F176" s="103" t="str">
        <f>HYPERLINK("https://yt3.ggpht.com/ytc/AKedOLTCNDi39_v_IwPuSaI7q6_soTKJc45xcUAIFAPbTQ=s88-c-k-c0x00ffffff-no-rj")</f>
        <v>https://yt3.ggpht.com/ytc/AKedOLTCNDi39_v_IwPuSaI7q6_soTKJc45xcUAIFAPbTQ=s88-c-k-c0x00ffffff-no-rj</v>
      </c>
      <c r="G176" s="66"/>
      <c r="H176" s="70" t="s">
        <v>1005</v>
      </c>
      <c r="I176" s="71"/>
      <c r="J176" s="71" t="s">
        <v>159</v>
      </c>
      <c r="K176" s="70" t="s">
        <v>1005</v>
      </c>
      <c r="L176" s="74">
        <v>1</v>
      </c>
      <c r="M176" s="75">
        <v>2006.43896484375</v>
      </c>
      <c r="N176" s="75">
        <v>5069.60498046875</v>
      </c>
      <c r="O176" s="76"/>
      <c r="P176" s="77"/>
      <c r="Q176" s="77"/>
      <c r="R176" s="89"/>
      <c r="S176" s="49">
        <v>0</v>
      </c>
      <c r="T176" s="49">
        <v>2</v>
      </c>
      <c r="U176" s="50">
        <v>0</v>
      </c>
      <c r="V176" s="50">
        <v>0.190366</v>
      </c>
      <c r="W176" s="50">
        <v>0.090956</v>
      </c>
      <c r="X176" s="50">
        <v>0.004188</v>
      </c>
      <c r="Y176" s="50">
        <v>0.5</v>
      </c>
      <c r="Z176" s="50">
        <v>0</v>
      </c>
      <c r="AA176" s="72">
        <v>176</v>
      </c>
      <c r="AB176" s="72"/>
      <c r="AC176" s="73"/>
      <c r="AD176" s="80" t="s">
        <v>1005</v>
      </c>
      <c r="AE176" s="80"/>
      <c r="AF176" s="80"/>
      <c r="AG176" s="80"/>
      <c r="AH176" s="80"/>
      <c r="AI176" s="80"/>
      <c r="AJ176" s="87">
        <v>41000.775972222225</v>
      </c>
      <c r="AK176" s="85" t="str">
        <f>HYPERLINK("https://yt3.ggpht.com/ytc/AKedOLTCNDi39_v_IwPuSaI7q6_soTKJc45xcUAIFAPbTQ=s88-c-k-c0x00ffffff-no-rj")</f>
        <v>https://yt3.ggpht.com/ytc/AKedOLTCNDi39_v_IwPuSaI7q6_soTKJc45xcUAIFAPbTQ=s88-c-k-c0x00ffffff-no-rj</v>
      </c>
      <c r="AL176" s="80">
        <v>0</v>
      </c>
      <c r="AM176" s="80">
        <v>0</v>
      </c>
      <c r="AN176" s="80">
        <v>0</v>
      </c>
      <c r="AO176" s="80" t="b">
        <v>0</v>
      </c>
      <c r="AP176" s="80">
        <v>0</v>
      </c>
      <c r="AQ176" s="80"/>
      <c r="AR176" s="80"/>
      <c r="AS176" s="80" t="s">
        <v>1376</v>
      </c>
      <c r="AT176" s="85" t="str">
        <f>HYPERLINK("https://www.youtube.com/channel/UCgeaB9V_kFKh-hU_yGjNvjw")</f>
        <v>https://www.youtube.com/channel/UCgeaB9V_kFKh-hU_yGjNvjw</v>
      </c>
      <c r="AU176" s="80" t="str">
        <f>REPLACE(INDEX(GroupVertices[Group],MATCH(Vertices[[#This Row],[Vertex]],GroupVertices[Vertex],0)),1,1,"")</f>
        <v>1</v>
      </c>
      <c r="AV176" s="49">
        <v>6</v>
      </c>
      <c r="AW176" s="50">
        <v>5.217391304347826</v>
      </c>
      <c r="AX176" s="49">
        <v>0</v>
      </c>
      <c r="AY176" s="50">
        <v>0</v>
      </c>
      <c r="AZ176" s="49">
        <v>0</v>
      </c>
      <c r="BA176" s="50">
        <v>0</v>
      </c>
      <c r="BB176" s="49">
        <v>109</v>
      </c>
      <c r="BC176" s="50">
        <v>94.78260869565217</v>
      </c>
      <c r="BD176" s="49">
        <v>115</v>
      </c>
      <c r="BE176" s="49"/>
      <c r="BF176" s="49"/>
      <c r="BG176" s="49"/>
      <c r="BH176" s="49"/>
      <c r="BI176" s="49"/>
      <c r="BJ176" s="49"/>
      <c r="BK176" s="111" t="s">
        <v>2494</v>
      </c>
      <c r="BL176" s="111" t="s">
        <v>2540</v>
      </c>
      <c r="BM176" s="111" t="s">
        <v>2682</v>
      </c>
      <c r="BN176" s="111" t="s">
        <v>2718</v>
      </c>
      <c r="BO176" s="2"/>
      <c r="BP176" s="3"/>
      <c r="BQ176" s="3"/>
      <c r="BR176" s="3"/>
      <c r="BS176" s="3"/>
    </row>
    <row r="177" spans="1:71" ht="15">
      <c r="A177" s="65" t="s">
        <v>493</v>
      </c>
      <c r="B177" s="66"/>
      <c r="C177" s="66"/>
      <c r="D177" s="67">
        <v>150</v>
      </c>
      <c r="E177" s="69"/>
      <c r="F177" s="103" t="str">
        <f>HYPERLINK("https://yt3.ggpht.com/ytc/AKedOLQmtxN6kxlh6ZSxfwH_QByE-BxAe1yclwv2X7ZcBw=s88-c-k-c0x00ffffff-no-rj")</f>
        <v>https://yt3.ggpht.com/ytc/AKedOLQmtxN6kxlh6ZSxfwH_QByE-BxAe1yclwv2X7ZcBw=s88-c-k-c0x00ffffff-no-rj</v>
      </c>
      <c r="G177" s="66"/>
      <c r="H177" s="70" t="s">
        <v>1006</v>
      </c>
      <c r="I177" s="71"/>
      <c r="J177" s="71" t="s">
        <v>159</v>
      </c>
      <c r="K177" s="70" t="s">
        <v>1006</v>
      </c>
      <c r="L177" s="74">
        <v>1</v>
      </c>
      <c r="M177" s="75">
        <v>1723.7197265625</v>
      </c>
      <c r="N177" s="75">
        <v>4820.8662109375</v>
      </c>
      <c r="O177" s="76"/>
      <c r="P177" s="77"/>
      <c r="Q177" s="77"/>
      <c r="R177" s="89"/>
      <c r="S177" s="49">
        <v>1</v>
      </c>
      <c r="T177" s="49">
        <v>1</v>
      </c>
      <c r="U177" s="50">
        <v>0</v>
      </c>
      <c r="V177" s="50">
        <v>0.190366</v>
      </c>
      <c r="W177" s="50">
        <v>0.090956</v>
      </c>
      <c r="X177" s="50">
        <v>0.004188</v>
      </c>
      <c r="Y177" s="50">
        <v>0.5</v>
      </c>
      <c r="Z177" s="50">
        <v>0</v>
      </c>
      <c r="AA177" s="72">
        <v>177</v>
      </c>
      <c r="AB177" s="72"/>
      <c r="AC177" s="73"/>
      <c r="AD177" s="80" t="s">
        <v>1006</v>
      </c>
      <c r="AE177" s="80"/>
      <c r="AF177" s="80"/>
      <c r="AG177" s="80"/>
      <c r="AH177" s="80"/>
      <c r="AI177" s="80" t="s">
        <v>1363</v>
      </c>
      <c r="AJ177" s="87">
        <v>40931.77402777778</v>
      </c>
      <c r="AK177" s="85" t="str">
        <f>HYPERLINK("https://yt3.ggpht.com/ytc/AKedOLQmtxN6kxlh6ZSxfwH_QByE-BxAe1yclwv2X7ZcBw=s88-c-k-c0x00ffffff-no-rj")</f>
        <v>https://yt3.ggpht.com/ytc/AKedOLQmtxN6kxlh6ZSxfwH_QByE-BxAe1yclwv2X7ZcBw=s88-c-k-c0x00ffffff-no-rj</v>
      </c>
      <c r="AL177" s="80">
        <v>125</v>
      </c>
      <c r="AM177" s="80">
        <v>0</v>
      </c>
      <c r="AN177" s="80">
        <v>0</v>
      </c>
      <c r="AO177" s="80" t="b">
        <v>0</v>
      </c>
      <c r="AP177" s="80">
        <v>5</v>
      </c>
      <c r="AQ177" s="80"/>
      <c r="AR177" s="80"/>
      <c r="AS177" s="80" t="s">
        <v>1376</v>
      </c>
      <c r="AT177" s="85" t="str">
        <f>HYPERLINK("https://www.youtube.com/channel/UCPvkSOa9uU8mqNMYuGeYq1w")</f>
        <v>https://www.youtube.com/channel/UCPvkSOa9uU8mqNMYuGeYq1w</v>
      </c>
      <c r="AU177" s="80" t="str">
        <f>REPLACE(INDEX(GroupVertices[Group],MATCH(Vertices[[#This Row],[Vertex]],GroupVertices[Vertex],0)),1,1,"")</f>
        <v>1</v>
      </c>
      <c r="AV177" s="49">
        <v>1</v>
      </c>
      <c r="AW177" s="50">
        <v>7.142857142857143</v>
      </c>
      <c r="AX177" s="49">
        <v>0</v>
      </c>
      <c r="AY177" s="50">
        <v>0</v>
      </c>
      <c r="AZ177" s="49">
        <v>0</v>
      </c>
      <c r="BA177" s="50">
        <v>0</v>
      </c>
      <c r="BB177" s="49">
        <v>13</v>
      </c>
      <c r="BC177" s="50">
        <v>92.85714285714286</v>
      </c>
      <c r="BD177" s="49">
        <v>14</v>
      </c>
      <c r="BE177" s="49"/>
      <c r="BF177" s="49"/>
      <c r="BG177" s="49"/>
      <c r="BH177" s="49"/>
      <c r="BI177" s="49"/>
      <c r="BJ177" s="49"/>
      <c r="BK177" s="111" t="s">
        <v>2495</v>
      </c>
      <c r="BL177" s="111" t="s">
        <v>2495</v>
      </c>
      <c r="BM177" s="111" t="s">
        <v>2683</v>
      </c>
      <c r="BN177" s="111" t="s">
        <v>2683</v>
      </c>
      <c r="BO177" s="2"/>
      <c r="BP177" s="3"/>
      <c r="BQ177" s="3"/>
      <c r="BR177" s="3"/>
      <c r="BS177" s="3"/>
    </row>
    <row r="178" spans="1:71" ht="15">
      <c r="A178" s="65" t="s">
        <v>494</v>
      </c>
      <c r="B178" s="66"/>
      <c r="C178" s="66"/>
      <c r="D178" s="67">
        <v>150</v>
      </c>
      <c r="E178" s="69"/>
      <c r="F178" s="103" t="str">
        <f>HYPERLINK("https://yt3.ggpht.com/ytc/AKedOLT_QtvCcgw_SLwlFUQ3gCXYVDuZ6wTmPCPG-tIAbA=s88-c-k-c0x00ffffff-no-rj")</f>
        <v>https://yt3.ggpht.com/ytc/AKedOLT_QtvCcgw_SLwlFUQ3gCXYVDuZ6wTmPCPG-tIAbA=s88-c-k-c0x00ffffff-no-rj</v>
      </c>
      <c r="G178" s="66"/>
      <c r="H178" s="70" t="s">
        <v>1007</v>
      </c>
      <c r="I178" s="71"/>
      <c r="J178" s="71" t="s">
        <v>159</v>
      </c>
      <c r="K178" s="70" t="s">
        <v>1007</v>
      </c>
      <c r="L178" s="74">
        <v>1</v>
      </c>
      <c r="M178" s="75">
        <v>710.7156372070312</v>
      </c>
      <c r="N178" s="75">
        <v>6645.19873046875</v>
      </c>
      <c r="O178" s="76"/>
      <c r="P178" s="77"/>
      <c r="Q178" s="77"/>
      <c r="R178" s="89"/>
      <c r="S178" s="49">
        <v>2</v>
      </c>
      <c r="T178" s="49">
        <v>2</v>
      </c>
      <c r="U178" s="50">
        <v>0</v>
      </c>
      <c r="V178" s="50">
        <v>0.189881</v>
      </c>
      <c r="W178" s="50">
        <v>0.090956</v>
      </c>
      <c r="X178" s="50">
        <v>0.004188</v>
      </c>
      <c r="Y178" s="50">
        <v>0</v>
      </c>
      <c r="Z178" s="50">
        <v>1</v>
      </c>
      <c r="AA178" s="72">
        <v>178</v>
      </c>
      <c r="AB178" s="72"/>
      <c r="AC178" s="73"/>
      <c r="AD178" s="80" t="s">
        <v>1007</v>
      </c>
      <c r="AE178" s="80" t="s">
        <v>1324</v>
      </c>
      <c r="AF178" s="80"/>
      <c r="AG178" s="80"/>
      <c r="AH178" s="80"/>
      <c r="AI178" s="80"/>
      <c r="AJ178" s="87">
        <v>40804.54577546296</v>
      </c>
      <c r="AK178" s="85" t="str">
        <f>HYPERLINK("https://yt3.ggpht.com/ytc/AKedOLT_QtvCcgw_SLwlFUQ3gCXYVDuZ6wTmPCPG-tIAbA=s88-c-k-c0x00ffffff-no-rj")</f>
        <v>https://yt3.ggpht.com/ytc/AKedOLT_QtvCcgw_SLwlFUQ3gCXYVDuZ6wTmPCPG-tIAbA=s88-c-k-c0x00ffffff-no-rj</v>
      </c>
      <c r="AL178" s="80">
        <v>101</v>
      </c>
      <c r="AM178" s="80">
        <v>0</v>
      </c>
      <c r="AN178" s="80">
        <v>6</v>
      </c>
      <c r="AO178" s="80" t="b">
        <v>0</v>
      </c>
      <c r="AP178" s="80">
        <v>1</v>
      </c>
      <c r="AQ178" s="80"/>
      <c r="AR178" s="80"/>
      <c r="AS178" s="80" t="s">
        <v>1376</v>
      </c>
      <c r="AT178" s="85" t="str">
        <f>HYPERLINK("https://www.youtube.com/channel/UCnUI6Ssl3FclHjuE2tEYN8w")</f>
        <v>https://www.youtube.com/channel/UCnUI6Ssl3FclHjuE2tEYN8w</v>
      </c>
      <c r="AU178" s="80" t="str">
        <f>REPLACE(INDEX(GroupVertices[Group],MATCH(Vertices[[#This Row],[Vertex]],GroupVertices[Vertex],0)),1,1,"")</f>
        <v>1</v>
      </c>
      <c r="AV178" s="49">
        <v>6</v>
      </c>
      <c r="AW178" s="50">
        <v>4.8</v>
      </c>
      <c r="AX178" s="49">
        <v>2</v>
      </c>
      <c r="AY178" s="50">
        <v>1.6</v>
      </c>
      <c r="AZ178" s="49">
        <v>0</v>
      </c>
      <c r="BA178" s="50">
        <v>0</v>
      </c>
      <c r="BB178" s="49">
        <v>117</v>
      </c>
      <c r="BC178" s="50">
        <v>93.6</v>
      </c>
      <c r="BD178" s="49">
        <v>125</v>
      </c>
      <c r="BE178" s="49"/>
      <c r="BF178" s="49"/>
      <c r="BG178" s="49"/>
      <c r="BH178" s="49"/>
      <c r="BI178" s="49"/>
      <c r="BJ178" s="49"/>
      <c r="BK178" s="111" t="s">
        <v>2496</v>
      </c>
      <c r="BL178" s="111" t="s">
        <v>2541</v>
      </c>
      <c r="BM178" s="111" t="s">
        <v>2684</v>
      </c>
      <c r="BN178" s="111" t="s">
        <v>2684</v>
      </c>
      <c r="BO178" s="2"/>
      <c r="BP178" s="3"/>
      <c r="BQ178" s="3"/>
      <c r="BR178" s="3"/>
      <c r="BS178" s="3"/>
    </row>
    <row r="179" spans="1:71" ht="15">
      <c r="A179" s="65" t="s">
        <v>495</v>
      </c>
      <c r="B179" s="66"/>
      <c r="C179" s="66"/>
      <c r="D179" s="67">
        <v>150</v>
      </c>
      <c r="E179" s="69"/>
      <c r="F179" s="103" t="str">
        <f>HYPERLINK("https://yt3.ggpht.com/ytc/AKedOLSRHCIEzdyLJTbw5avZ-9n_yOb9Oc9PK0-2GfViKkM=s88-c-k-c0x00ffffff-no-rj")</f>
        <v>https://yt3.ggpht.com/ytc/AKedOLSRHCIEzdyLJTbw5avZ-9n_yOb9Oc9PK0-2GfViKkM=s88-c-k-c0x00ffffff-no-rj</v>
      </c>
      <c r="G179" s="66"/>
      <c r="H179" s="70" t="s">
        <v>1008</v>
      </c>
      <c r="I179" s="71"/>
      <c r="J179" s="71" t="s">
        <v>159</v>
      </c>
      <c r="K179" s="70" t="s">
        <v>1008</v>
      </c>
      <c r="L179" s="74">
        <v>1</v>
      </c>
      <c r="M179" s="75">
        <v>1539.58740234375</v>
      </c>
      <c r="N179" s="75">
        <v>4022.76611328125</v>
      </c>
      <c r="O179" s="76"/>
      <c r="P179" s="77"/>
      <c r="Q179" s="77"/>
      <c r="R179" s="89"/>
      <c r="S179" s="49">
        <v>2</v>
      </c>
      <c r="T179" s="49">
        <v>2</v>
      </c>
      <c r="U179" s="50">
        <v>0</v>
      </c>
      <c r="V179" s="50">
        <v>0.189881</v>
      </c>
      <c r="W179" s="50">
        <v>0.090956</v>
      </c>
      <c r="X179" s="50">
        <v>0.004188</v>
      </c>
      <c r="Y179" s="50">
        <v>0</v>
      </c>
      <c r="Z179" s="50">
        <v>1</v>
      </c>
      <c r="AA179" s="72">
        <v>179</v>
      </c>
      <c r="AB179" s="72"/>
      <c r="AC179" s="73"/>
      <c r="AD179" s="80" t="s">
        <v>1008</v>
      </c>
      <c r="AE179" s="80"/>
      <c r="AF179" s="80"/>
      <c r="AG179" s="80"/>
      <c r="AH179" s="80"/>
      <c r="AI179" s="80"/>
      <c r="AJ179" s="87">
        <v>41410.134988425925</v>
      </c>
      <c r="AK179" s="85" t="str">
        <f>HYPERLINK("https://yt3.ggpht.com/ytc/AKedOLSRHCIEzdyLJTbw5avZ-9n_yOb9Oc9PK0-2GfViKkM=s88-c-k-c0x00ffffff-no-rj")</f>
        <v>https://yt3.ggpht.com/ytc/AKedOLSRHCIEzdyLJTbw5avZ-9n_yOb9Oc9PK0-2GfViKkM=s88-c-k-c0x00ffffff-no-rj</v>
      </c>
      <c r="AL179" s="80">
        <v>69</v>
      </c>
      <c r="AM179" s="80">
        <v>0</v>
      </c>
      <c r="AN179" s="80">
        <v>1</v>
      </c>
      <c r="AO179" s="80" t="b">
        <v>0</v>
      </c>
      <c r="AP179" s="80">
        <v>3</v>
      </c>
      <c r="AQ179" s="80"/>
      <c r="AR179" s="80"/>
      <c r="AS179" s="80" t="s">
        <v>1376</v>
      </c>
      <c r="AT179" s="85" t="str">
        <f>HYPERLINK("https://www.youtube.com/channel/UC85OOjTRUfgLKNWTMIvPp-Q")</f>
        <v>https://www.youtube.com/channel/UC85OOjTRUfgLKNWTMIvPp-Q</v>
      </c>
      <c r="AU179" s="80" t="str">
        <f>REPLACE(INDEX(GroupVertices[Group],MATCH(Vertices[[#This Row],[Vertex]],GroupVertices[Vertex],0)),1,1,"")</f>
        <v>1</v>
      </c>
      <c r="AV179" s="49">
        <v>1</v>
      </c>
      <c r="AW179" s="50">
        <v>4.3478260869565215</v>
      </c>
      <c r="AX179" s="49">
        <v>1</v>
      </c>
      <c r="AY179" s="50">
        <v>4.3478260869565215</v>
      </c>
      <c r="AZ179" s="49">
        <v>0</v>
      </c>
      <c r="BA179" s="50">
        <v>0</v>
      </c>
      <c r="BB179" s="49">
        <v>21</v>
      </c>
      <c r="BC179" s="50">
        <v>91.30434782608695</v>
      </c>
      <c r="BD179" s="49">
        <v>23</v>
      </c>
      <c r="BE179" s="49"/>
      <c r="BF179" s="49"/>
      <c r="BG179" s="49"/>
      <c r="BH179" s="49"/>
      <c r="BI179" s="49"/>
      <c r="BJ179" s="49"/>
      <c r="BK179" s="111" t="s">
        <v>2497</v>
      </c>
      <c r="BL179" s="111" t="s">
        <v>2497</v>
      </c>
      <c r="BM179" s="111" t="s">
        <v>2685</v>
      </c>
      <c r="BN179" s="111" t="s">
        <v>2685</v>
      </c>
      <c r="BO179" s="2"/>
      <c r="BP179" s="3"/>
      <c r="BQ179" s="3"/>
      <c r="BR179" s="3"/>
      <c r="BS179" s="3"/>
    </row>
    <row r="180" spans="1:71" ht="15">
      <c r="A180" s="65" t="s">
        <v>496</v>
      </c>
      <c r="B180" s="66"/>
      <c r="C180" s="66"/>
      <c r="D180" s="67">
        <v>150</v>
      </c>
      <c r="E180" s="69"/>
      <c r="F180" s="103" t="str">
        <f>HYPERLINK("https://yt3.ggpht.com/ytc/AKedOLTr1qrAxfOYuje5HBk1IIrcG1q79eyo6vHg8g=s88-c-k-c0x00ffffff-no-rj")</f>
        <v>https://yt3.ggpht.com/ytc/AKedOLTr1qrAxfOYuje5HBk1IIrcG1q79eyo6vHg8g=s88-c-k-c0x00ffffff-no-rj</v>
      </c>
      <c r="G180" s="66"/>
      <c r="H180" s="70" t="s">
        <v>1009</v>
      </c>
      <c r="I180" s="71"/>
      <c r="J180" s="71" t="s">
        <v>159</v>
      </c>
      <c r="K180" s="70" t="s">
        <v>1009</v>
      </c>
      <c r="L180" s="74">
        <v>1</v>
      </c>
      <c r="M180" s="75">
        <v>1459.9580078125</v>
      </c>
      <c r="N180" s="75">
        <v>7914.2255859375</v>
      </c>
      <c r="O180" s="76"/>
      <c r="P180" s="77"/>
      <c r="Q180" s="77"/>
      <c r="R180" s="89"/>
      <c r="S180" s="49">
        <v>0</v>
      </c>
      <c r="T180" s="49">
        <v>1</v>
      </c>
      <c r="U180" s="50">
        <v>0</v>
      </c>
      <c r="V180" s="50">
        <v>0.189881</v>
      </c>
      <c r="W180" s="50">
        <v>0.080745</v>
      </c>
      <c r="X180" s="50">
        <v>0.003874</v>
      </c>
      <c r="Y180" s="50">
        <v>0</v>
      </c>
      <c r="Z180" s="50">
        <v>0</v>
      </c>
      <c r="AA180" s="72">
        <v>180</v>
      </c>
      <c r="AB180" s="72"/>
      <c r="AC180" s="73"/>
      <c r="AD180" s="80" t="s">
        <v>1009</v>
      </c>
      <c r="AE180" s="80"/>
      <c r="AF180" s="80"/>
      <c r="AG180" s="80"/>
      <c r="AH180" s="80"/>
      <c r="AI180" s="80"/>
      <c r="AJ180" s="87">
        <v>40816.670798611114</v>
      </c>
      <c r="AK180" s="85" t="str">
        <f>HYPERLINK("https://yt3.ggpht.com/ytc/AKedOLTr1qrAxfOYuje5HBk1IIrcG1q79eyo6vHg8g=s88-c-k-c0x00ffffff-no-rj")</f>
        <v>https://yt3.ggpht.com/ytc/AKedOLTr1qrAxfOYuje5HBk1IIrcG1q79eyo6vHg8g=s88-c-k-c0x00ffffff-no-rj</v>
      </c>
      <c r="AL180" s="80">
        <v>0</v>
      </c>
      <c r="AM180" s="80">
        <v>0</v>
      </c>
      <c r="AN180" s="80">
        <v>0</v>
      </c>
      <c r="AO180" s="80" t="b">
        <v>0</v>
      </c>
      <c r="AP180" s="80">
        <v>0</v>
      </c>
      <c r="AQ180" s="80"/>
      <c r="AR180" s="80"/>
      <c r="AS180" s="80" t="s">
        <v>1376</v>
      </c>
      <c r="AT180" s="85" t="str">
        <f>HYPERLINK("https://www.youtube.com/channel/UC4JxISL4zq6bR8fkL0zzxrA")</f>
        <v>https://www.youtube.com/channel/UC4JxISL4zq6bR8fkL0zzxrA</v>
      </c>
      <c r="AU180" s="80" t="str">
        <f>REPLACE(INDEX(GroupVertices[Group],MATCH(Vertices[[#This Row],[Vertex]],GroupVertices[Vertex],0)),1,1,"")</f>
        <v>1</v>
      </c>
      <c r="AV180" s="49">
        <v>1</v>
      </c>
      <c r="AW180" s="50">
        <v>2.9411764705882355</v>
      </c>
      <c r="AX180" s="49">
        <v>0</v>
      </c>
      <c r="AY180" s="50">
        <v>0</v>
      </c>
      <c r="AZ180" s="49">
        <v>0</v>
      </c>
      <c r="BA180" s="50">
        <v>0</v>
      </c>
      <c r="BB180" s="49">
        <v>33</v>
      </c>
      <c r="BC180" s="50">
        <v>97.05882352941177</v>
      </c>
      <c r="BD180" s="49">
        <v>34</v>
      </c>
      <c r="BE180" s="49"/>
      <c r="BF180" s="49"/>
      <c r="BG180" s="49"/>
      <c r="BH180" s="49"/>
      <c r="BI180" s="49"/>
      <c r="BJ180" s="49"/>
      <c r="BK180" s="111" t="s">
        <v>2498</v>
      </c>
      <c r="BL180" s="111" t="s">
        <v>2498</v>
      </c>
      <c r="BM180" s="111" t="s">
        <v>2686</v>
      </c>
      <c r="BN180" s="111" t="s">
        <v>2686</v>
      </c>
      <c r="BO180" s="2"/>
      <c r="BP180" s="3"/>
      <c r="BQ180" s="3"/>
      <c r="BR180" s="3"/>
      <c r="BS180" s="3"/>
    </row>
    <row r="181" spans="1:71" ht="15">
      <c r="A181" s="65" t="s">
        <v>497</v>
      </c>
      <c r="B181" s="66"/>
      <c r="C181" s="66"/>
      <c r="D181" s="67">
        <v>1000</v>
      </c>
      <c r="E181" s="69"/>
      <c r="F181" s="103" t="str">
        <f>HYPERLINK("https://yt3.ggpht.com/ytc/AKedOLSmhdAgIOO2wXhS6_2K7gU-32kl-PbQNfrIlDYXxQ=s88-c-k-c0x00ffffff-no-rj")</f>
        <v>https://yt3.ggpht.com/ytc/AKedOLSmhdAgIOO2wXhS6_2K7gU-32kl-PbQNfrIlDYXxQ=s88-c-k-c0x00ffffff-no-rj</v>
      </c>
      <c r="G181" s="66"/>
      <c r="H181" s="70" t="s">
        <v>1010</v>
      </c>
      <c r="I181" s="71"/>
      <c r="J181" s="71" t="s">
        <v>75</v>
      </c>
      <c r="K181" s="70" t="s">
        <v>1010</v>
      </c>
      <c r="L181" s="74">
        <v>1558.6615976063556</v>
      </c>
      <c r="M181" s="75">
        <v>5859.28662109375</v>
      </c>
      <c r="N181" s="75">
        <v>5325.7001953125</v>
      </c>
      <c r="O181" s="76"/>
      <c r="P181" s="77"/>
      <c r="Q181" s="77"/>
      <c r="R181" s="89"/>
      <c r="S181" s="49">
        <v>0</v>
      </c>
      <c r="T181" s="49">
        <v>2</v>
      </c>
      <c r="U181" s="50">
        <v>2160</v>
      </c>
      <c r="V181" s="50">
        <v>0.198996</v>
      </c>
      <c r="W181" s="50">
        <v>0.082039</v>
      </c>
      <c r="X181" s="50">
        <v>0.004009</v>
      </c>
      <c r="Y181" s="50">
        <v>0</v>
      </c>
      <c r="Z181" s="50">
        <v>0</v>
      </c>
      <c r="AA181" s="72">
        <v>181</v>
      </c>
      <c r="AB181" s="72"/>
      <c r="AC181" s="73"/>
      <c r="AD181" s="80" t="s">
        <v>1010</v>
      </c>
      <c r="AE181" s="80"/>
      <c r="AF181" s="80"/>
      <c r="AG181" s="80"/>
      <c r="AH181" s="80"/>
      <c r="AI181" s="80"/>
      <c r="AJ181" s="87">
        <v>40840.78670138889</v>
      </c>
      <c r="AK181" s="85" t="str">
        <f>HYPERLINK("https://yt3.ggpht.com/ytc/AKedOLSmhdAgIOO2wXhS6_2K7gU-32kl-PbQNfrIlDYXxQ=s88-c-k-c0x00ffffff-no-rj")</f>
        <v>https://yt3.ggpht.com/ytc/AKedOLSmhdAgIOO2wXhS6_2K7gU-32kl-PbQNfrIlDYXxQ=s88-c-k-c0x00ffffff-no-rj</v>
      </c>
      <c r="AL181" s="80">
        <v>0</v>
      </c>
      <c r="AM181" s="80">
        <v>0</v>
      </c>
      <c r="AN181" s="80">
        <v>0</v>
      </c>
      <c r="AO181" s="80" t="b">
        <v>0</v>
      </c>
      <c r="AP181" s="80">
        <v>0</v>
      </c>
      <c r="AQ181" s="80"/>
      <c r="AR181" s="80"/>
      <c r="AS181" s="80" t="s">
        <v>1376</v>
      </c>
      <c r="AT181" s="85" t="str">
        <f>HYPERLINK("https://www.youtube.com/channel/UCuQ_8nkWLkfwU7LROEKCzfg")</f>
        <v>https://www.youtube.com/channel/UCuQ_8nkWLkfwU7LROEKCzfg</v>
      </c>
      <c r="AU181" s="80" t="str">
        <f>REPLACE(INDEX(GroupVertices[Group],MATCH(Vertices[[#This Row],[Vertex]],GroupVertices[Vertex],0)),1,1,"")</f>
        <v>7</v>
      </c>
      <c r="AV181" s="49">
        <v>14</v>
      </c>
      <c r="AW181" s="50">
        <v>3.835616438356164</v>
      </c>
      <c r="AX181" s="49">
        <v>6</v>
      </c>
      <c r="AY181" s="50">
        <v>1.643835616438356</v>
      </c>
      <c r="AZ181" s="49">
        <v>0</v>
      </c>
      <c r="BA181" s="50">
        <v>0</v>
      </c>
      <c r="BB181" s="49">
        <v>345</v>
      </c>
      <c r="BC181" s="50">
        <v>94.52054794520548</v>
      </c>
      <c r="BD181" s="49">
        <v>365</v>
      </c>
      <c r="BE181" s="49"/>
      <c r="BF181" s="49"/>
      <c r="BG181" s="49"/>
      <c r="BH181" s="49"/>
      <c r="BI181" s="49"/>
      <c r="BJ181" s="49"/>
      <c r="BK181" s="111" t="s">
        <v>2499</v>
      </c>
      <c r="BL181" s="111" t="s">
        <v>2542</v>
      </c>
      <c r="BM181" s="111" t="s">
        <v>2687</v>
      </c>
      <c r="BN181" s="111" t="s">
        <v>2719</v>
      </c>
      <c r="BO181" s="2"/>
      <c r="BP181" s="3"/>
      <c r="BQ181" s="3"/>
      <c r="BR181" s="3"/>
      <c r="BS181" s="3"/>
    </row>
    <row r="182" spans="1:71" ht="15">
      <c r="A182" s="65" t="s">
        <v>498</v>
      </c>
      <c r="B182" s="66"/>
      <c r="C182" s="66"/>
      <c r="D182" s="67">
        <v>150</v>
      </c>
      <c r="E182" s="69"/>
      <c r="F182" s="103" t="str">
        <f>HYPERLINK("https://yt3.ggpht.com/ytc/AKedOLR0aZSNMH6Mi2tutVKcGe6pk2WM9EcgwNbC09aMAw=s88-c-k-c0x00ffffff-no-rj")</f>
        <v>https://yt3.ggpht.com/ytc/AKedOLR0aZSNMH6Mi2tutVKcGe6pk2WM9EcgwNbC09aMAw=s88-c-k-c0x00ffffff-no-rj</v>
      </c>
      <c r="G182" s="66"/>
      <c r="H182" s="70" t="s">
        <v>1011</v>
      </c>
      <c r="I182" s="71"/>
      <c r="J182" s="71" t="s">
        <v>159</v>
      </c>
      <c r="K182" s="70" t="s">
        <v>1011</v>
      </c>
      <c r="L182" s="74">
        <v>1</v>
      </c>
      <c r="M182" s="75">
        <v>2695.277099609375</v>
      </c>
      <c r="N182" s="75">
        <v>8358.888671875</v>
      </c>
      <c r="O182" s="76"/>
      <c r="P182" s="77"/>
      <c r="Q182" s="77"/>
      <c r="R182" s="89"/>
      <c r="S182" s="49">
        <v>0</v>
      </c>
      <c r="T182" s="49">
        <v>1</v>
      </c>
      <c r="U182" s="50">
        <v>0</v>
      </c>
      <c r="V182" s="50">
        <v>0.189881</v>
      </c>
      <c r="W182" s="50">
        <v>0.080745</v>
      </c>
      <c r="X182" s="50">
        <v>0.003874</v>
      </c>
      <c r="Y182" s="50">
        <v>0</v>
      </c>
      <c r="Z182" s="50">
        <v>0</v>
      </c>
      <c r="AA182" s="72">
        <v>182</v>
      </c>
      <c r="AB182" s="72"/>
      <c r="AC182" s="73"/>
      <c r="AD182" s="80" t="s">
        <v>1011</v>
      </c>
      <c r="AE182" s="80"/>
      <c r="AF182" s="80"/>
      <c r="AG182" s="80"/>
      <c r="AH182" s="80"/>
      <c r="AI182" s="80"/>
      <c r="AJ182" s="87">
        <v>40835.25512731481</v>
      </c>
      <c r="AK182" s="85" t="str">
        <f>HYPERLINK("https://yt3.ggpht.com/ytc/AKedOLR0aZSNMH6Mi2tutVKcGe6pk2WM9EcgwNbC09aMAw=s88-c-k-c0x00ffffff-no-rj")</f>
        <v>https://yt3.ggpht.com/ytc/AKedOLR0aZSNMH6Mi2tutVKcGe6pk2WM9EcgwNbC09aMAw=s88-c-k-c0x00ffffff-no-rj</v>
      </c>
      <c r="AL182" s="80">
        <v>0</v>
      </c>
      <c r="AM182" s="80">
        <v>0</v>
      </c>
      <c r="AN182" s="80">
        <v>1</v>
      </c>
      <c r="AO182" s="80" t="b">
        <v>0</v>
      </c>
      <c r="AP182" s="80">
        <v>0</v>
      </c>
      <c r="AQ182" s="80"/>
      <c r="AR182" s="80"/>
      <c r="AS182" s="80" t="s">
        <v>1376</v>
      </c>
      <c r="AT182" s="85" t="str">
        <f>HYPERLINK("https://www.youtube.com/channel/UCxeLD_unYqcF-hMFfpwP8bA")</f>
        <v>https://www.youtube.com/channel/UCxeLD_unYqcF-hMFfpwP8bA</v>
      </c>
      <c r="AU182" s="80" t="str">
        <f>REPLACE(INDEX(GroupVertices[Group],MATCH(Vertices[[#This Row],[Vertex]],GroupVertices[Vertex],0)),1,1,"")</f>
        <v>1</v>
      </c>
      <c r="AV182" s="49">
        <v>4</v>
      </c>
      <c r="AW182" s="50">
        <v>4.395604395604396</v>
      </c>
      <c r="AX182" s="49">
        <v>0</v>
      </c>
      <c r="AY182" s="50">
        <v>0</v>
      </c>
      <c r="AZ182" s="49">
        <v>0</v>
      </c>
      <c r="BA182" s="50">
        <v>0</v>
      </c>
      <c r="BB182" s="49">
        <v>87</v>
      </c>
      <c r="BC182" s="50">
        <v>95.6043956043956</v>
      </c>
      <c r="BD182" s="49">
        <v>91</v>
      </c>
      <c r="BE182" s="49"/>
      <c r="BF182" s="49"/>
      <c r="BG182" s="49"/>
      <c r="BH182" s="49"/>
      <c r="BI182" s="49"/>
      <c r="BJ182" s="49"/>
      <c r="BK182" s="111" t="s">
        <v>2500</v>
      </c>
      <c r="BL182" s="111" t="s">
        <v>2500</v>
      </c>
      <c r="BM182" s="111" t="s">
        <v>2688</v>
      </c>
      <c r="BN182" s="111" t="s">
        <v>2688</v>
      </c>
      <c r="BO182" s="2"/>
      <c r="BP182" s="3"/>
      <c r="BQ182" s="3"/>
      <c r="BR182" s="3"/>
      <c r="BS182" s="3"/>
    </row>
    <row r="183" spans="1:71" ht="15">
      <c r="A183" s="65" t="s">
        <v>499</v>
      </c>
      <c r="B183" s="66"/>
      <c r="C183" s="66"/>
      <c r="D183" s="67">
        <v>150</v>
      </c>
      <c r="E183" s="69"/>
      <c r="F183" s="103" t="str">
        <f>HYPERLINK("https://yt3.ggpht.com/ytc/AKedOLQ2FrfDMpR6knAduIAba_CBElKs-PUvl0taw6XNJ4M=s88-c-k-c0x00ffffff-no-rj")</f>
        <v>https://yt3.ggpht.com/ytc/AKedOLQ2FrfDMpR6knAduIAba_CBElKs-PUvl0taw6XNJ4M=s88-c-k-c0x00ffffff-no-rj</v>
      </c>
      <c r="G183" s="66"/>
      <c r="H183" s="70" t="s">
        <v>1012</v>
      </c>
      <c r="I183" s="71"/>
      <c r="J183" s="71" t="s">
        <v>159</v>
      </c>
      <c r="K183" s="70" t="s">
        <v>1012</v>
      </c>
      <c r="L183" s="74">
        <v>1</v>
      </c>
      <c r="M183" s="75">
        <v>1148.3870849609375</v>
      </c>
      <c r="N183" s="75">
        <v>8588.8134765625</v>
      </c>
      <c r="O183" s="76"/>
      <c r="P183" s="77"/>
      <c r="Q183" s="77"/>
      <c r="R183" s="89"/>
      <c r="S183" s="49">
        <v>0</v>
      </c>
      <c r="T183" s="49">
        <v>1</v>
      </c>
      <c r="U183" s="50">
        <v>0</v>
      </c>
      <c r="V183" s="50">
        <v>0.189881</v>
      </c>
      <c r="W183" s="50">
        <v>0.080745</v>
      </c>
      <c r="X183" s="50">
        <v>0.003874</v>
      </c>
      <c r="Y183" s="50">
        <v>0</v>
      </c>
      <c r="Z183" s="50">
        <v>0</v>
      </c>
      <c r="AA183" s="72">
        <v>183</v>
      </c>
      <c r="AB183" s="72"/>
      <c r="AC183" s="73"/>
      <c r="AD183" s="80" t="s">
        <v>1012</v>
      </c>
      <c r="AE183" s="80"/>
      <c r="AF183" s="80"/>
      <c r="AG183" s="80"/>
      <c r="AH183" s="80"/>
      <c r="AI183" s="80"/>
      <c r="AJ183" s="87">
        <v>40705.442557870374</v>
      </c>
      <c r="AK183" s="85" t="str">
        <f>HYPERLINK("https://yt3.ggpht.com/ytc/AKedOLQ2FrfDMpR6knAduIAba_CBElKs-PUvl0taw6XNJ4M=s88-c-k-c0x00ffffff-no-rj")</f>
        <v>https://yt3.ggpht.com/ytc/AKedOLQ2FrfDMpR6knAduIAba_CBElKs-PUvl0taw6XNJ4M=s88-c-k-c0x00ffffff-no-rj</v>
      </c>
      <c r="AL183" s="80">
        <v>11002</v>
      </c>
      <c r="AM183" s="80">
        <v>0</v>
      </c>
      <c r="AN183" s="80">
        <v>31</v>
      </c>
      <c r="AO183" s="80" t="b">
        <v>0</v>
      </c>
      <c r="AP183" s="80">
        <v>3</v>
      </c>
      <c r="AQ183" s="80"/>
      <c r="AR183" s="80"/>
      <c r="AS183" s="80" t="s">
        <v>1376</v>
      </c>
      <c r="AT183" s="85" t="str">
        <f>HYPERLINK("https://www.youtube.com/channel/UC0-d0qMhGZQ1ZpuIZvQGPzA")</f>
        <v>https://www.youtube.com/channel/UC0-d0qMhGZQ1ZpuIZvQGPzA</v>
      </c>
      <c r="AU183" s="80" t="str">
        <f>REPLACE(INDEX(GroupVertices[Group],MATCH(Vertices[[#This Row],[Vertex]],GroupVertices[Vertex],0)),1,1,"")</f>
        <v>1</v>
      </c>
      <c r="AV183" s="49">
        <v>1</v>
      </c>
      <c r="AW183" s="50">
        <v>5</v>
      </c>
      <c r="AX183" s="49">
        <v>0</v>
      </c>
      <c r="AY183" s="50">
        <v>0</v>
      </c>
      <c r="AZ183" s="49">
        <v>0</v>
      </c>
      <c r="BA183" s="50">
        <v>0</v>
      </c>
      <c r="BB183" s="49">
        <v>19</v>
      </c>
      <c r="BC183" s="50">
        <v>95</v>
      </c>
      <c r="BD183" s="49">
        <v>20</v>
      </c>
      <c r="BE183" s="49" t="s">
        <v>2340</v>
      </c>
      <c r="BF183" s="49" t="s">
        <v>2340</v>
      </c>
      <c r="BG183" s="49" t="s">
        <v>1221</v>
      </c>
      <c r="BH183" s="49" t="s">
        <v>1221</v>
      </c>
      <c r="BI183" s="49"/>
      <c r="BJ183" s="49"/>
      <c r="BK183" s="111" t="s">
        <v>2501</v>
      </c>
      <c r="BL183" s="111" t="s">
        <v>2501</v>
      </c>
      <c r="BM183" s="111" t="s">
        <v>2689</v>
      </c>
      <c r="BN183" s="111" t="s">
        <v>2689</v>
      </c>
      <c r="BO183" s="2"/>
      <c r="BP183" s="3"/>
      <c r="BQ183" s="3"/>
      <c r="BR183" s="3"/>
      <c r="BS183" s="3"/>
    </row>
    <row r="184" spans="1:71" ht="15">
      <c r="A184" s="65" t="s">
        <v>500</v>
      </c>
      <c r="B184" s="66"/>
      <c r="C184" s="66"/>
      <c r="D184" s="67">
        <v>150</v>
      </c>
      <c r="E184" s="69"/>
      <c r="F184" s="103" t="str">
        <f>HYPERLINK("https://yt3.ggpht.com/ytc/AKedOLTctU43mTorZLbzz8UQ4VKH0ZkFzSeFk5XtPQ3APq0=s88-c-k-c0x00ffffff-no-rj")</f>
        <v>https://yt3.ggpht.com/ytc/AKedOLTctU43mTorZLbzz8UQ4VKH0ZkFzSeFk5XtPQ3APq0=s88-c-k-c0x00ffffff-no-rj</v>
      </c>
      <c r="G184" s="66"/>
      <c r="H184" s="70" t="s">
        <v>1013</v>
      </c>
      <c r="I184" s="71"/>
      <c r="J184" s="71" t="s">
        <v>159</v>
      </c>
      <c r="K184" s="70" t="s">
        <v>1013</v>
      </c>
      <c r="L184" s="74">
        <v>1</v>
      </c>
      <c r="M184" s="75">
        <v>1094.2821044921875</v>
      </c>
      <c r="N184" s="75">
        <v>3402.94482421875</v>
      </c>
      <c r="O184" s="76"/>
      <c r="P184" s="77"/>
      <c r="Q184" s="77"/>
      <c r="R184" s="89"/>
      <c r="S184" s="49">
        <v>0</v>
      </c>
      <c r="T184" s="49">
        <v>1</v>
      </c>
      <c r="U184" s="50">
        <v>0</v>
      </c>
      <c r="V184" s="50">
        <v>0.189881</v>
      </c>
      <c r="W184" s="50">
        <v>0.080745</v>
      </c>
      <c r="X184" s="50">
        <v>0.003874</v>
      </c>
      <c r="Y184" s="50">
        <v>0</v>
      </c>
      <c r="Z184" s="50">
        <v>0</v>
      </c>
      <c r="AA184" s="72">
        <v>184</v>
      </c>
      <c r="AB184" s="72"/>
      <c r="AC184" s="73"/>
      <c r="AD184" s="80" t="s">
        <v>1013</v>
      </c>
      <c r="AE184" s="80"/>
      <c r="AF184" s="80"/>
      <c r="AG184" s="80"/>
      <c r="AH184" s="80"/>
      <c r="AI184" s="80" t="s">
        <v>1364</v>
      </c>
      <c r="AJ184" s="87">
        <v>39222.33168981481</v>
      </c>
      <c r="AK184" s="85" t="str">
        <f>HYPERLINK("https://yt3.ggpht.com/ytc/AKedOLTctU43mTorZLbzz8UQ4VKH0ZkFzSeFk5XtPQ3APq0=s88-c-k-c0x00ffffff-no-rj")</f>
        <v>https://yt3.ggpht.com/ytc/AKedOLTctU43mTorZLbzz8UQ4VKH0ZkFzSeFk5XtPQ3APq0=s88-c-k-c0x00ffffff-no-rj</v>
      </c>
      <c r="AL184" s="80">
        <v>1923</v>
      </c>
      <c r="AM184" s="80">
        <v>0</v>
      </c>
      <c r="AN184" s="80">
        <v>39</v>
      </c>
      <c r="AO184" s="80" t="b">
        <v>0</v>
      </c>
      <c r="AP184" s="80">
        <v>30</v>
      </c>
      <c r="AQ184" s="80"/>
      <c r="AR184" s="80"/>
      <c r="AS184" s="80" t="s">
        <v>1376</v>
      </c>
      <c r="AT184" s="85" t="str">
        <f>HYPERLINK("https://www.youtube.com/channel/UCQhhxor95wtiDxuQdQrljCA")</f>
        <v>https://www.youtube.com/channel/UCQhhxor95wtiDxuQdQrljCA</v>
      </c>
      <c r="AU184" s="80" t="str">
        <f>REPLACE(INDEX(GroupVertices[Group],MATCH(Vertices[[#This Row],[Vertex]],GroupVertices[Vertex],0)),1,1,"")</f>
        <v>1</v>
      </c>
      <c r="AV184" s="49">
        <v>2</v>
      </c>
      <c r="AW184" s="50">
        <v>33.333333333333336</v>
      </c>
      <c r="AX184" s="49">
        <v>0</v>
      </c>
      <c r="AY184" s="50">
        <v>0</v>
      </c>
      <c r="AZ184" s="49">
        <v>0</v>
      </c>
      <c r="BA184" s="50">
        <v>0</v>
      </c>
      <c r="BB184" s="49">
        <v>4</v>
      </c>
      <c r="BC184" s="50">
        <v>66.66666666666667</v>
      </c>
      <c r="BD184" s="49">
        <v>6</v>
      </c>
      <c r="BE184" s="49"/>
      <c r="BF184" s="49"/>
      <c r="BG184" s="49"/>
      <c r="BH184" s="49"/>
      <c r="BI184" s="49"/>
      <c r="BJ184" s="49"/>
      <c r="BK184" s="111" t="s">
        <v>1454</v>
      </c>
      <c r="BL184" s="111" t="s">
        <v>1454</v>
      </c>
      <c r="BM184" s="111" t="s">
        <v>1239</v>
      </c>
      <c r="BN184" s="111" t="s">
        <v>1239</v>
      </c>
      <c r="BO184" s="2"/>
      <c r="BP184" s="3"/>
      <c r="BQ184" s="3"/>
      <c r="BR184" s="3"/>
      <c r="BS184" s="3"/>
    </row>
    <row r="185" spans="1:71" ht="15">
      <c r="A185" s="65" t="s">
        <v>501</v>
      </c>
      <c r="B185" s="66"/>
      <c r="C185" s="66"/>
      <c r="D185" s="67">
        <v>150</v>
      </c>
      <c r="E185" s="69"/>
      <c r="F185" s="103" t="str">
        <f>HYPERLINK("https://yt3.ggpht.com/ytc/AKedOLQm7PAg_jfn3LmmhF7cVPCQd74v4JlczAujnpBoVw=s88-c-k-c0x00ffffff-no-rj")</f>
        <v>https://yt3.ggpht.com/ytc/AKedOLQm7PAg_jfn3LmmhF7cVPCQd74v4JlczAujnpBoVw=s88-c-k-c0x00ffffff-no-rj</v>
      </c>
      <c r="G185" s="66"/>
      <c r="H185" s="70" t="s">
        <v>1014</v>
      </c>
      <c r="I185" s="71"/>
      <c r="J185" s="71" t="s">
        <v>159</v>
      </c>
      <c r="K185" s="70" t="s">
        <v>1014</v>
      </c>
      <c r="L185" s="74">
        <v>1</v>
      </c>
      <c r="M185" s="75">
        <v>2233.540771484375</v>
      </c>
      <c r="N185" s="75">
        <v>2924.188720703125</v>
      </c>
      <c r="O185" s="76"/>
      <c r="P185" s="77"/>
      <c r="Q185" s="77"/>
      <c r="R185" s="89"/>
      <c r="S185" s="49">
        <v>0</v>
      </c>
      <c r="T185" s="49">
        <v>1</v>
      </c>
      <c r="U185" s="50">
        <v>0</v>
      </c>
      <c r="V185" s="50">
        <v>0.189881</v>
      </c>
      <c r="W185" s="50">
        <v>0.080745</v>
      </c>
      <c r="X185" s="50">
        <v>0.003874</v>
      </c>
      <c r="Y185" s="50">
        <v>0</v>
      </c>
      <c r="Z185" s="50">
        <v>0</v>
      </c>
      <c r="AA185" s="72">
        <v>185</v>
      </c>
      <c r="AB185" s="72"/>
      <c r="AC185" s="73"/>
      <c r="AD185" s="80" t="s">
        <v>1014</v>
      </c>
      <c r="AE185" s="80"/>
      <c r="AF185" s="80"/>
      <c r="AG185" s="80"/>
      <c r="AH185" s="80"/>
      <c r="AI185" s="80"/>
      <c r="AJ185" s="87">
        <v>41290.19295138889</v>
      </c>
      <c r="AK185" s="85" t="str">
        <f>HYPERLINK("https://yt3.ggpht.com/ytc/AKedOLQm7PAg_jfn3LmmhF7cVPCQd74v4JlczAujnpBoVw=s88-c-k-c0x00ffffff-no-rj")</f>
        <v>https://yt3.ggpht.com/ytc/AKedOLQm7PAg_jfn3LmmhF7cVPCQd74v4JlczAujnpBoVw=s88-c-k-c0x00ffffff-no-rj</v>
      </c>
      <c r="AL185" s="80">
        <v>23</v>
      </c>
      <c r="AM185" s="80">
        <v>0</v>
      </c>
      <c r="AN185" s="80">
        <v>5</v>
      </c>
      <c r="AO185" s="80" t="b">
        <v>0</v>
      </c>
      <c r="AP185" s="80">
        <v>1</v>
      </c>
      <c r="AQ185" s="80"/>
      <c r="AR185" s="80"/>
      <c r="AS185" s="80" t="s">
        <v>1376</v>
      </c>
      <c r="AT185" s="85" t="str">
        <f>HYPERLINK("https://www.youtube.com/channel/UCP6YGSaCdnBaF7dShuCR0aA")</f>
        <v>https://www.youtube.com/channel/UCP6YGSaCdnBaF7dShuCR0aA</v>
      </c>
      <c r="AU185" s="80" t="str">
        <f>REPLACE(INDEX(GroupVertices[Group],MATCH(Vertices[[#This Row],[Vertex]],GroupVertices[Vertex],0)),1,1,"")</f>
        <v>1</v>
      </c>
      <c r="AV185" s="49">
        <v>0</v>
      </c>
      <c r="AW185" s="50">
        <v>0</v>
      </c>
      <c r="AX185" s="49">
        <v>0</v>
      </c>
      <c r="AY185" s="50">
        <v>0</v>
      </c>
      <c r="AZ185" s="49">
        <v>0</v>
      </c>
      <c r="BA185" s="50">
        <v>0</v>
      </c>
      <c r="BB185" s="49">
        <v>6</v>
      </c>
      <c r="BC185" s="50">
        <v>100</v>
      </c>
      <c r="BD185" s="49">
        <v>6</v>
      </c>
      <c r="BE185" s="49"/>
      <c r="BF185" s="49"/>
      <c r="BG185" s="49"/>
      <c r="BH185" s="49"/>
      <c r="BI185" s="49"/>
      <c r="BJ185" s="49"/>
      <c r="BK185" s="111" t="s">
        <v>2502</v>
      </c>
      <c r="BL185" s="111" t="s">
        <v>2502</v>
      </c>
      <c r="BM185" s="111" t="s">
        <v>2690</v>
      </c>
      <c r="BN185" s="111" t="s">
        <v>2690</v>
      </c>
      <c r="BO185" s="2"/>
      <c r="BP185" s="3"/>
      <c r="BQ185" s="3"/>
      <c r="BR185" s="3"/>
      <c r="BS185" s="3"/>
    </row>
    <row r="186" spans="1:71" ht="15">
      <c r="A186" s="65" t="s">
        <v>502</v>
      </c>
      <c r="B186" s="66"/>
      <c r="C186" s="66"/>
      <c r="D186" s="67">
        <v>150</v>
      </c>
      <c r="E186" s="69"/>
      <c r="F186" s="103" t="str">
        <f>HYPERLINK("https://yt3.ggpht.com/ytc/AKedOLTRkcOo_5_UievxXFFcqkF50r_rxv-PR2Ji356rEg=s88-c-k-c0x00ffffff-no-rj")</f>
        <v>https://yt3.ggpht.com/ytc/AKedOLTRkcOo_5_UievxXFFcqkF50r_rxv-PR2Ji356rEg=s88-c-k-c0x00ffffff-no-rj</v>
      </c>
      <c r="G186" s="66"/>
      <c r="H186" s="70" t="s">
        <v>1015</v>
      </c>
      <c r="I186" s="71"/>
      <c r="J186" s="71" t="s">
        <v>159</v>
      </c>
      <c r="K186" s="70" t="s">
        <v>1015</v>
      </c>
      <c r="L186" s="74">
        <v>1</v>
      </c>
      <c r="M186" s="75">
        <v>926.4900512695312</v>
      </c>
      <c r="N186" s="75">
        <v>5110.96337890625</v>
      </c>
      <c r="O186" s="76"/>
      <c r="P186" s="77"/>
      <c r="Q186" s="77"/>
      <c r="R186" s="89"/>
      <c r="S186" s="49">
        <v>0</v>
      </c>
      <c r="T186" s="49">
        <v>1</v>
      </c>
      <c r="U186" s="50">
        <v>0</v>
      </c>
      <c r="V186" s="50">
        <v>0.189881</v>
      </c>
      <c r="W186" s="50">
        <v>0.080745</v>
      </c>
      <c r="X186" s="50">
        <v>0.003874</v>
      </c>
      <c r="Y186" s="50">
        <v>0</v>
      </c>
      <c r="Z186" s="50">
        <v>0</v>
      </c>
      <c r="AA186" s="72">
        <v>186</v>
      </c>
      <c r="AB186" s="72"/>
      <c r="AC186" s="73"/>
      <c r="AD186" s="80" t="s">
        <v>1015</v>
      </c>
      <c r="AE186" s="80"/>
      <c r="AF186" s="80"/>
      <c r="AG186" s="80"/>
      <c r="AH186" s="80"/>
      <c r="AI186" s="80"/>
      <c r="AJ186" s="87">
        <v>41283.41527777778</v>
      </c>
      <c r="AK186" s="85" t="str">
        <f>HYPERLINK("https://yt3.ggpht.com/ytc/AKedOLTRkcOo_5_UievxXFFcqkF50r_rxv-PR2Ji356rEg=s88-c-k-c0x00ffffff-no-rj")</f>
        <v>https://yt3.ggpht.com/ytc/AKedOLTRkcOo_5_UievxXFFcqkF50r_rxv-PR2Ji356rEg=s88-c-k-c0x00ffffff-no-rj</v>
      </c>
      <c r="AL186" s="80">
        <v>1725</v>
      </c>
      <c r="AM186" s="80">
        <v>0</v>
      </c>
      <c r="AN186" s="80">
        <v>9</v>
      </c>
      <c r="AO186" s="80" t="b">
        <v>0</v>
      </c>
      <c r="AP186" s="80">
        <v>1</v>
      </c>
      <c r="AQ186" s="80"/>
      <c r="AR186" s="80"/>
      <c r="AS186" s="80" t="s">
        <v>1376</v>
      </c>
      <c r="AT186" s="85" t="str">
        <f>HYPERLINK("https://www.youtube.com/channel/UCTESLPLt2_wAX3ltGs3w09w")</f>
        <v>https://www.youtube.com/channel/UCTESLPLt2_wAX3ltGs3w09w</v>
      </c>
      <c r="AU186" s="80" t="str">
        <f>REPLACE(INDEX(GroupVertices[Group],MATCH(Vertices[[#This Row],[Vertex]],GroupVertices[Vertex],0)),1,1,"")</f>
        <v>1</v>
      </c>
      <c r="AV186" s="49">
        <v>1</v>
      </c>
      <c r="AW186" s="50">
        <v>20</v>
      </c>
      <c r="AX186" s="49">
        <v>0</v>
      </c>
      <c r="AY186" s="50">
        <v>0</v>
      </c>
      <c r="AZ186" s="49">
        <v>0</v>
      </c>
      <c r="BA186" s="50">
        <v>0</v>
      </c>
      <c r="BB186" s="49">
        <v>4</v>
      </c>
      <c r="BC186" s="50">
        <v>80</v>
      </c>
      <c r="BD186" s="49">
        <v>5</v>
      </c>
      <c r="BE186" s="49"/>
      <c r="BF186" s="49"/>
      <c r="BG186" s="49"/>
      <c r="BH186" s="49"/>
      <c r="BI186" s="49"/>
      <c r="BJ186" s="49"/>
      <c r="BK186" s="111" t="s">
        <v>2503</v>
      </c>
      <c r="BL186" s="111" t="s">
        <v>2503</v>
      </c>
      <c r="BM186" s="111" t="s">
        <v>2691</v>
      </c>
      <c r="BN186" s="111" t="s">
        <v>2691</v>
      </c>
      <c r="BO186" s="2"/>
      <c r="BP186" s="3"/>
      <c r="BQ186" s="3"/>
      <c r="BR186" s="3"/>
      <c r="BS186" s="3"/>
    </row>
    <row r="187" spans="1:71" ht="15">
      <c r="A187" s="65" t="s">
        <v>503</v>
      </c>
      <c r="B187" s="66"/>
      <c r="C187" s="66"/>
      <c r="D187" s="67">
        <v>150</v>
      </c>
      <c r="E187" s="69"/>
      <c r="F187" s="103" t="str">
        <f>HYPERLINK("https://yt3.ggpht.com/ytc/AKedOLTZJkjxGRSh9x1BeSx9QcfIuJde4s1gIzeVyV3biA=s88-c-k-c0x00ffffff-no-rj")</f>
        <v>https://yt3.ggpht.com/ytc/AKedOLTZJkjxGRSh9x1BeSx9QcfIuJde4s1gIzeVyV3biA=s88-c-k-c0x00ffffff-no-rj</v>
      </c>
      <c r="G187" s="66"/>
      <c r="H187" s="70" t="s">
        <v>1016</v>
      </c>
      <c r="I187" s="71"/>
      <c r="J187" s="71" t="s">
        <v>159</v>
      </c>
      <c r="K187" s="70" t="s">
        <v>1016</v>
      </c>
      <c r="L187" s="74">
        <v>1</v>
      </c>
      <c r="M187" s="75">
        <v>2309.686767578125</v>
      </c>
      <c r="N187" s="75">
        <v>5655.9697265625</v>
      </c>
      <c r="O187" s="76"/>
      <c r="P187" s="77"/>
      <c r="Q187" s="77"/>
      <c r="R187" s="89"/>
      <c r="S187" s="49">
        <v>2</v>
      </c>
      <c r="T187" s="49">
        <v>2</v>
      </c>
      <c r="U187" s="50">
        <v>0</v>
      </c>
      <c r="V187" s="50">
        <v>0.189881</v>
      </c>
      <c r="W187" s="50">
        <v>0.090956</v>
      </c>
      <c r="X187" s="50">
        <v>0.004188</v>
      </c>
      <c r="Y187" s="50">
        <v>0</v>
      </c>
      <c r="Z187" s="50">
        <v>1</v>
      </c>
      <c r="AA187" s="72">
        <v>187</v>
      </c>
      <c r="AB187" s="72"/>
      <c r="AC187" s="73"/>
      <c r="AD187" s="80" t="s">
        <v>1016</v>
      </c>
      <c r="AE187" s="80"/>
      <c r="AF187" s="80"/>
      <c r="AG187" s="80"/>
      <c r="AH187" s="80"/>
      <c r="AI187" s="80"/>
      <c r="AJ187" s="87">
        <v>40852.08201388889</v>
      </c>
      <c r="AK187" s="85" t="str">
        <f>HYPERLINK("https://yt3.ggpht.com/ytc/AKedOLTZJkjxGRSh9x1BeSx9QcfIuJde4s1gIzeVyV3biA=s88-c-k-c0x00ffffff-no-rj")</f>
        <v>https://yt3.ggpht.com/ytc/AKedOLTZJkjxGRSh9x1BeSx9QcfIuJde4s1gIzeVyV3biA=s88-c-k-c0x00ffffff-no-rj</v>
      </c>
      <c r="AL187" s="80">
        <v>200</v>
      </c>
      <c r="AM187" s="80">
        <v>0</v>
      </c>
      <c r="AN187" s="80">
        <v>14</v>
      </c>
      <c r="AO187" s="80" t="b">
        <v>0</v>
      </c>
      <c r="AP187" s="80">
        <v>2</v>
      </c>
      <c r="AQ187" s="80"/>
      <c r="AR187" s="80"/>
      <c r="AS187" s="80" t="s">
        <v>1376</v>
      </c>
      <c r="AT187" s="85" t="str">
        <f>HYPERLINK("https://www.youtube.com/channel/UCshNH5WXvJ70zeeJkMv6jbQ")</f>
        <v>https://www.youtube.com/channel/UCshNH5WXvJ70zeeJkMv6jbQ</v>
      </c>
      <c r="AU187" s="80" t="str">
        <f>REPLACE(INDEX(GroupVertices[Group],MATCH(Vertices[[#This Row],[Vertex]],GroupVertices[Vertex],0)),1,1,"")</f>
        <v>1</v>
      </c>
      <c r="AV187" s="49">
        <v>2</v>
      </c>
      <c r="AW187" s="50">
        <v>3.9215686274509802</v>
      </c>
      <c r="AX187" s="49">
        <v>0</v>
      </c>
      <c r="AY187" s="50">
        <v>0</v>
      </c>
      <c r="AZ187" s="49">
        <v>0</v>
      </c>
      <c r="BA187" s="50">
        <v>0</v>
      </c>
      <c r="BB187" s="49">
        <v>49</v>
      </c>
      <c r="BC187" s="50">
        <v>96.07843137254902</v>
      </c>
      <c r="BD187" s="49">
        <v>51</v>
      </c>
      <c r="BE187" s="49"/>
      <c r="BF187" s="49"/>
      <c r="BG187" s="49"/>
      <c r="BH187" s="49"/>
      <c r="BI187" s="49"/>
      <c r="BJ187" s="49"/>
      <c r="BK187" s="111" t="s">
        <v>2504</v>
      </c>
      <c r="BL187" s="111" t="s">
        <v>2504</v>
      </c>
      <c r="BM187" s="111" t="s">
        <v>2692</v>
      </c>
      <c r="BN187" s="111" t="s">
        <v>2692</v>
      </c>
      <c r="BO187" s="2"/>
      <c r="BP187" s="3"/>
      <c r="BQ187" s="3"/>
      <c r="BR187" s="3"/>
      <c r="BS187" s="3"/>
    </row>
    <row r="188" spans="1:71" ht="15">
      <c r="A188" s="65" t="s">
        <v>504</v>
      </c>
      <c r="B188" s="66"/>
      <c r="C188" s="66"/>
      <c r="D188" s="67">
        <v>150</v>
      </c>
      <c r="E188" s="69"/>
      <c r="F188" s="103" t="str">
        <f>HYPERLINK("https://yt3.ggpht.com/ytc/AKedOLQ3yM6a6pGC_iJtv3sroA0g2K7O_nGQCV9PSQ=s88-c-k-c0x00ffffff-no-rj")</f>
        <v>https://yt3.ggpht.com/ytc/AKedOLQ3yM6a6pGC_iJtv3sroA0g2K7O_nGQCV9PSQ=s88-c-k-c0x00ffffff-no-rj</v>
      </c>
      <c r="G188" s="66"/>
      <c r="H188" s="70" t="s">
        <v>1017</v>
      </c>
      <c r="I188" s="71"/>
      <c r="J188" s="71" t="s">
        <v>159</v>
      </c>
      <c r="K188" s="70" t="s">
        <v>1017</v>
      </c>
      <c r="L188" s="74">
        <v>1</v>
      </c>
      <c r="M188" s="75">
        <v>2657.33349609375</v>
      </c>
      <c r="N188" s="75">
        <v>3924.899169921875</v>
      </c>
      <c r="O188" s="76"/>
      <c r="P188" s="77"/>
      <c r="Q188" s="77"/>
      <c r="R188" s="89"/>
      <c r="S188" s="49">
        <v>0</v>
      </c>
      <c r="T188" s="49">
        <v>1</v>
      </c>
      <c r="U188" s="50">
        <v>0</v>
      </c>
      <c r="V188" s="50">
        <v>0.189881</v>
      </c>
      <c r="W188" s="50">
        <v>0.080745</v>
      </c>
      <c r="X188" s="50">
        <v>0.003874</v>
      </c>
      <c r="Y188" s="50">
        <v>0</v>
      </c>
      <c r="Z188" s="50">
        <v>0</v>
      </c>
      <c r="AA188" s="72">
        <v>188</v>
      </c>
      <c r="AB188" s="72"/>
      <c r="AC188" s="73"/>
      <c r="AD188" s="80" t="s">
        <v>1017</v>
      </c>
      <c r="AE188" s="80"/>
      <c r="AF188" s="80"/>
      <c r="AG188" s="80"/>
      <c r="AH188" s="80"/>
      <c r="AI188" s="80"/>
      <c r="AJ188" s="87">
        <v>43963.67798611111</v>
      </c>
      <c r="AK188" s="85" t="str">
        <f>HYPERLINK("https://yt3.ggpht.com/ytc/AKedOLQ3yM6a6pGC_iJtv3sroA0g2K7O_nGQCV9PSQ=s88-c-k-c0x00ffffff-no-rj")</f>
        <v>https://yt3.ggpht.com/ytc/AKedOLQ3yM6a6pGC_iJtv3sroA0g2K7O_nGQCV9PSQ=s88-c-k-c0x00ffffff-no-rj</v>
      </c>
      <c r="AL188" s="80">
        <v>117</v>
      </c>
      <c r="AM188" s="80">
        <v>0</v>
      </c>
      <c r="AN188" s="80">
        <v>3</v>
      </c>
      <c r="AO188" s="80" t="b">
        <v>0</v>
      </c>
      <c r="AP188" s="80">
        <v>5</v>
      </c>
      <c r="AQ188" s="80"/>
      <c r="AR188" s="80"/>
      <c r="AS188" s="80" t="s">
        <v>1376</v>
      </c>
      <c r="AT188" s="85" t="str">
        <f>HYPERLINK("https://www.youtube.com/channel/UCeVaJ_1m9gMXcDFX9d1YtXQ")</f>
        <v>https://www.youtube.com/channel/UCeVaJ_1m9gMXcDFX9d1YtXQ</v>
      </c>
      <c r="AU188" s="80" t="str">
        <f>REPLACE(INDEX(GroupVertices[Group],MATCH(Vertices[[#This Row],[Vertex]],GroupVertices[Vertex],0)),1,1,"")</f>
        <v>1</v>
      </c>
      <c r="AV188" s="49">
        <v>0</v>
      </c>
      <c r="AW188" s="50">
        <v>0</v>
      </c>
      <c r="AX188" s="49">
        <v>0</v>
      </c>
      <c r="AY188" s="50">
        <v>0</v>
      </c>
      <c r="AZ188" s="49">
        <v>0</v>
      </c>
      <c r="BA188" s="50">
        <v>0</v>
      </c>
      <c r="BB188" s="49">
        <v>12</v>
      </c>
      <c r="BC188" s="50">
        <v>100</v>
      </c>
      <c r="BD188" s="49">
        <v>12</v>
      </c>
      <c r="BE188" s="49"/>
      <c r="BF188" s="49"/>
      <c r="BG188" s="49"/>
      <c r="BH188" s="49"/>
      <c r="BI188" s="49"/>
      <c r="BJ188" s="49"/>
      <c r="BK188" s="111" t="s">
        <v>2505</v>
      </c>
      <c r="BL188" s="111" t="s">
        <v>2505</v>
      </c>
      <c r="BM188" s="111" t="s">
        <v>2693</v>
      </c>
      <c r="BN188" s="111" t="s">
        <v>2693</v>
      </c>
      <c r="BO188" s="2"/>
      <c r="BP188" s="3"/>
      <c r="BQ188" s="3"/>
      <c r="BR188" s="3"/>
      <c r="BS188" s="3"/>
    </row>
    <row r="189" spans="1:71" ht="15">
      <c r="A189" s="65" t="s">
        <v>505</v>
      </c>
      <c r="B189" s="66"/>
      <c r="C189" s="66"/>
      <c r="D189" s="67">
        <v>150</v>
      </c>
      <c r="E189" s="69"/>
      <c r="F189" s="103" t="str">
        <f>HYPERLINK("https://yt3.ggpht.com/ytc/AKedOLT2m5wVKjLlQccukqi2pnFDLrV-sgsId8YqeA=s88-c-k-c0x00ffffff-no-rj")</f>
        <v>https://yt3.ggpht.com/ytc/AKedOLT2m5wVKjLlQccukqi2pnFDLrV-sgsId8YqeA=s88-c-k-c0x00ffffff-no-rj</v>
      </c>
      <c r="G189" s="66"/>
      <c r="H189" s="70" t="s">
        <v>1018</v>
      </c>
      <c r="I189" s="71"/>
      <c r="J189" s="71" t="s">
        <v>159</v>
      </c>
      <c r="K189" s="70" t="s">
        <v>1018</v>
      </c>
      <c r="L189" s="74">
        <v>1</v>
      </c>
      <c r="M189" s="75">
        <v>1862.6480712890625</v>
      </c>
      <c r="N189" s="75">
        <v>7655.908203125</v>
      </c>
      <c r="O189" s="76"/>
      <c r="P189" s="77"/>
      <c r="Q189" s="77"/>
      <c r="R189" s="89"/>
      <c r="S189" s="49">
        <v>1</v>
      </c>
      <c r="T189" s="49">
        <v>1</v>
      </c>
      <c r="U189" s="50">
        <v>0</v>
      </c>
      <c r="V189" s="50">
        <v>0.189881</v>
      </c>
      <c r="W189" s="50">
        <v>0.080745</v>
      </c>
      <c r="X189" s="50">
        <v>0.003874</v>
      </c>
      <c r="Y189" s="50">
        <v>0</v>
      </c>
      <c r="Z189" s="50">
        <v>1</v>
      </c>
      <c r="AA189" s="72">
        <v>189</v>
      </c>
      <c r="AB189" s="72"/>
      <c r="AC189" s="73"/>
      <c r="AD189" s="80" t="s">
        <v>1018</v>
      </c>
      <c r="AE189" s="80"/>
      <c r="AF189" s="80"/>
      <c r="AG189" s="80"/>
      <c r="AH189" s="80"/>
      <c r="AI189" s="80"/>
      <c r="AJ189" s="87">
        <v>44234.85293981482</v>
      </c>
      <c r="AK189" s="85" t="str">
        <f>HYPERLINK("https://yt3.ggpht.com/ytc/AKedOLT2m5wVKjLlQccukqi2pnFDLrV-sgsId8YqeA=s88-c-k-c0x00ffffff-no-rj")</f>
        <v>https://yt3.ggpht.com/ytc/AKedOLT2m5wVKjLlQccukqi2pnFDLrV-sgsId8YqeA=s88-c-k-c0x00ffffff-no-rj</v>
      </c>
      <c r="AL189" s="80">
        <v>0</v>
      </c>
      <c r="AM189" s="80">
        <v>0</v>
      </c>
      <c r="AN189" s="80">
        <v>0</v>
      </c>
      <c r="AO189" s="80" t="b">
        <v>0</v>
      </c>
      <c r="AP189" s="80">
        <v>0</v>
      </c>
      <c r="AQ189" s="80"/>
      <c r="AR189" s="80"/>
      <c r="AS189" s="80" t="s">
        <v>1376</v>
      </c>
      <c r="AT189" s="85" t="str">
        <f>HYPERLINK("https://www.youtube.com/channel/UChq3AzwSatOknzk3fglc94w")</f>
        <v>https://www.youtube.com/channel/UChq3AzwSatOknzk3fglc94w</v>
      </c>
      <c r="AU189" s="80" t="str">
        <f>REPLACE(INDEX(GroupVertices[Group],MATCH(Vertices[[#This Row],[Vertex]],GroupVertices[Vertex],0)),1,1,"")</f>
        <v>1</v>
      </c>
      <c r="AV189" s="49">
        <v>0</v>
      </c>
      <c r="AW189" s="50">
        <v>0</v>
      </c>
      <c r="AX189" s="49">
        <v>1</v>
      </c>
      <c r="AY189" s="50">
        <v>2.5641025641025643</v>
      </c>
      <c r="AZ189" s="49">
        <v>0</v>
      </c>
      <c r="BA189" s="50">
        <v>0</v>
      </c>
      <c r="BB189" s="49">
        <v>38</v>
      </c>
      <c r="BC189" s="50">
        <v>97.43589743589743</v>
      </c>
      <c r="BD189" s="49">
        <v>39</v>
      </c>
      <c r="BE189" s="49"/>
      <c r="BF189" s="49"/>
      <c r="BG189" s="49"/>
      <c r="BH189" s="49"/>
      <c r="BI189" s="49"/>
      <c r="BJ189" s="49"/>
      <c r="BK189" s="111" t="s">
        <v>2506</v>
      </c>
      <c r="BL189" s="111" t="s">
        <v>2506</v>
      </c>
      <c r="BM189" s="111" t="s">
        <v>2694</v>
      </c>
      <c r="BN189" s="111" t="s">
        <v>2694</v>
      </c>
      <c r="BO189" s="2"/>
      <c r="BP189" s="3"/>
      <c r="BQ189" s="3"/>
      <c r="BR189" s="3"/>
      <c r="BS189" s="3"/>
    </row>
    <row r="190" spans="1:71" ht="15">
      <c r="A190" s="65" t="s">
        <v>506</v>
      </c>
      <c r="B190" s="66"/>
      <c r="C190" s="66"/>
      <c r="D190" s="67">
        <v>150</v>
      </c>
      <c r="E190" s="69"/>
      <c r="F190" s="103" t="str">
        <f>HYPERLINK("https://yt3.ggpht.com/ytc/AKedOLRLCDLlOhbGZItJ17WH5bZdE1j2YNTQYORkWzRPlQ=s88-c-k-c0x00ffffff-no-rj")</f>
        <v>https://yt3.ggpht.com/ytc/AKedOLRLCDLlOhbGZItJ17WH5bZdE1j2YNTQYORkWzRPlQ=s88-c-k-c0x00ffffff-no-rj</v>
      </c>
      <c r="G190" s="66"/>
      <c r="H190" s="70" t="s">
        <v>1019</v>
      </c>
      <c r="I190" s="71"/>
      <c r="J190" s="71" t="s">
        <v>159</v>
      </c>
      <c r="K190" s="70" t="s">
        <v>1019</v>
      </c>
      <c r="L190" s="74">
        <v>1</v>
      </c>
      <c r="M190" s="75">
        <v>2218.845947265625</v>
      </c>
      <c r="N190" s="75">
        <v>8023.76416015625</v>
      </c>
      <c r="O190" s="76"/>
      <c r="P190" s="77"/>
      <c r="Q190" s="77"/>
      <c r="R190" s="89"/>
      <c r="S190" s="49">
        <v>0</v>
      </c>
      <c r="T190" s="49">
        <v>1</v>
      </c>
      <c r="U190" s="50">
        <v>0</v>
      </c>
      <c r="V190" s="50">
        <v>0.189881</v>
      </c>
      <c r="W190" s="50">
        <v>0.080745</v>
      </c>
      <c r="X190" s="50">
        <v>0.003874</v>
      </c>
      <c r="Y190" s="50">
        <v>0</v>
      </c>
      <c r="Z190" s="50">
        <v>0</v>
      </c>
      <c r="AA190" s="72">
        <v>190</v>
      </c>
      <c r="AB190" s="72"/>
      <c r="AC190" s="73"/>
      <c r="AD190" s="80" t="s">
        <v>1019</v>
      </c>
      <c r="AE190" s="80"/>
      <c r="AF190" s="80"/>
      <c r="AG190" s="80"/>
      <c r="AH190" s="80"/>
      <c r="AI190" s="80"/>
      <c r="AJ190" s="87">
        <v>42409.66270833334</v>
      </c>
      <c r="AK190" s="85" t="str">
        <f>HYPERLINK("https://yt3.ggpht.com/ytc/AKedOLRLCDLlOhbGZItJ17WH5bZdE1j2YNTQYORkWzRPlQ=s88-c-k-c0x00ffffff-no-rj")</f>
        <v>https://yt3.ggpht.com/ytc/AKedOLRLCDLlOhbGZItJ17WH5bZdE1j2YNTQYORkWzRPlQ=s88-c-k-c0x00ffffff-no-rj</v>
      </c>
      <c r="AL190" s="80">
        <v>965</v>
      </c>
      <c r="AM190" s="80">
        <v>0</v>
      </c>
      <c r="AN190" s="80">
        <v>0</v>
      </c>
      <c r="AO190" s="80" t="b">
        <v>0</v>
      </c>
      <c r="AP190" s="80">
        <v>3</v>
      </c>
      <c r="AQ190" s="80"/>
      <c r="AR190" s="80"/>
      <c r="AS190" s="80" t="s">
        <v>1376</v>
      </c>
      <c r="AT190" s="85" t="str">
        <f>HYPERLINK("https://www.youtube.com/channel/UCr0Eclqtwor1N3uAYG0Z3rw")</f>
        <v>https://www.youtube.com/channel/UCr0Eclqtwor1N3uAYG0Z3rw</v>
      </c>
      <c r="AU190" s="80" t="str">
        <f>REPLACE(INDEX(GroupVertices[Group],MATCH(Vertices[[#This Row],[Vertex]],GroupVertices[Vertex],0)),1,1,"")</f>
        <v>1</v>
      </c>
      <c r="AV190" s="49">
        <v>2</v>
      </c>
      <c r="AW190" s="50">
        <v>18.181818181818183</v>
      </c>
      <c r="AX190" s="49">
        <v>0</v>
      </c>
      <c r="AY190" s="50">
        <v>0</v>
      </c>
      <c r="AZ190" s="49">
        <v>0</v>
      </c>
      <c r="BA190" s="50">
        <v>0</v>
      </c>
      <c r="BB190" s="49">
        <v>9</v>
      </c>
      <c r="BC190" s="50">
        <v>81.81818181818181</v>
      </c>
      <c r="BD190" s="49">
        <v>11</v>
      </c>
      <c r="BE190" s="49"/>
      <c r="BF190" s="49"/>
      <c r="BG190" s="49"/>
      <c r="BH190" s="49"/>
      <c r="BI190" s="49"/>
      <c r="BJ190" s="49"/>
      <c r="BK190" s="111" t="s">
        <v>1785</v>
      </c>
      <c r="BL190" s="111" t="s">
        <v>1785</v>
      </c>
      <c r="BM190" s="111" t="s">
        <v>1239</v>
      </c>
      <c r="BN190" s="111" t="s">
        <v>1239</v>
      </c>
      <c r="BO190" s="2"/>
      <c r="BP190" s="3"/>
      <c r="BQ190" s="3"/>
      <c r="BR190" s="3"/>
      <c r="BS190" s="3"/>
    </row>
    <row r="191" spans="1:71" ht="15">
      <c r="A191" s="65" t="s">
        <v>507</v>
      </c>
      <c r="B191" s="66"/>
      <c r="C191" s="66"/>
      <c r="D191" s="67">
        <v>150</v>
      </c>
      <c r="E191" s="69"/>
      <c r="F191" s="103" t="str">
        <f>HYPERLINK("https://yt3.ggpht.com/ytc/AKedOLQPpdOaGxjg7yZcwL75PIlMOJFJx_aHgCutciIPzg=s88-c-k-c0x00ffffff-no-rj")</f>
        <v>https://yt3.ggpht.com/ytc/AKedOLQPpdOaGxjg7yZcwL75PIlMOJFJx_aHgCutciIPzg=s88-c-k-c0x00ffffff-no-rj</v>
      </c>
      <c r="G191" s="66"/>
      <c r="H191" s="70" t="s">
        <v>1020</v>
      </c>
      <c r="I191" s="71"/>
      <c r="J191" s="71" t="s">
        <v>159</v>
      </c>
      <c r="K191" s="70" t="s">
        <v>1020</v>
      </c>
      <c r="L191" s="74">
        <v>1</v>
      </c>
      <c r="M191" s="75">
        <v>2528.083251953125</v>
      </c>
      <c r="N191" s="75">
        <v>6325.595703125</v>
      </c>
      <c r="O191" s="76"/>
      <c r="P191" s="77"/>
      <c r="Q191" s="77"/>
      <c r="R191" s="89"/>
      <c r="S191" s="49">
        <v>0</v>
      </c>
      <c r="T191" s="49">
        <v>1</v>
      </c>
      <c r="U191" s="50">
        <v>0</v>
      </c>
      <c r="V191" s="50">
        <v>0.189881</v>
      </c>
      <c r="W191" s="50">
        <v>0.080745</v>
      </c>
      <c r="X191" s="50">
        <v>0.003874</v>
      </c>
      <c r="Y191" s="50">
        <v>0</v>
      </c>
      <c r="Z191" s="50">
        <v>0</v>
      </c>
      <c r="AA191" s="72">
        <v>191</v>
      </c>
      <c r="AB191" s="72"/>
      <c r="AC191" s="73"/>
      <c r="AD191" s="80" t="s">
        <v>1020</v>
      </c>
      <c r="AE191" s="80"/>
      <c r="AF191" s="80"/>
      <c r="AG191" s="80"/>
      <c r="AH191" s="80"/>
      <c r="AI191" s="80"/>
      <c r="AJ191" s="87">
        <v>41081.360289351855</v>
      </c>
      <c r="AK191" s="85" t="str">
        <f>HYPERLINK("https://yt3.ggpht.com/ytc/AKedOLQPpdOaGxjg7yZcwL75PIlMOJFJx_aHgCutciIPzg=s88-c-k-c0x00ffffff-no-rj")</f>
        <v>https://yt3.ggpht.com/ytc/AKedOLQPpdOaGxjg7yZcwL75PIlMOJFJx_aHgCutciIPzg=s88-c-k-c0x00ffffff-no-rj</v>
      </c>
      <c r="AL191" s="80">
        <v>12</v>
      </c>
      <c r="AM191" s="80">
        <v>0</v>
      </c>
      <c r="AN191" s="80">
        <v>0</v>
      </c>
      <c r="AO191" s="80" t="b">
        <v>0</v>
      </c>
      <c r="AP191" s="80">
        <v>1</v>
      </c>
      <c r="AQ191" s="80"/>
      <c r="AR191" s="80"/>
      <c r="AS191" s="80" t="s">
        <v>1376</v>
      </c>
      <c r="AT191" s="85" t="str">
        <f>HYPERLINK("https://www.youtube.com/channel/UC2uIoW3cCj7GB3UTuEDLV1w")</f>
        <v>https://www.youtube.com/channel/UC2uIoW3cCj7GB3UTuEDLV1w</v>
      </c>
      <c r="AU191" s="80" t="str">
        <f>REPLACE(INDEX(GroupVertices[Group],MATCH(Vertices[[#This Row],[Vertex]],GroupVertices[Vertex],0)),1,1,"")</f>
        <v>1</v>
      </c>
      <c r="AV191" s="49">
        <v>2</v>
      </c>
      <c r="AW191" s="50">
        <v>11.764705882352942</v>
      </c>
      <c r="AX191" s="49">
        <v>0</v>
      </c>
      <c r="AY191" s="50">
        <v>0</v>
      </c>
      <c r="AZ191" s="49">
        <v>0</v>
      </c>
      <c r="BA191" s="50">
        <v>0</v>
      </c>
      <c r="BB191" s="49">
        <v>15</v>
      </c>
      <c r="BC191" s="50">
        <v>88.23529411764706</v>
      </c>
      <c r="BD191" s="49">
        <v>17</v>
      </c>
      <c r="BE191" s="49"/>
      <c r="BF191" s="49"/>
      <c r="BG191" s="49"/>
      <c r="BH191" s="49"/>
      <c r="BI191" s="49"/>
      <c r="BJ191" s="49"/>
      <c r="BK191" s="111" t="s">
        <v>2507</v>
      </c>
      <c r="BL191" s="111" t="s">
        <v>2507</v>
      </c>
      <c r="BM191" s="111" t="s">
        <v>2695</v>
      </c>
      <c r="BN191" s="111" t="s">
        <v>2695</v>
      </c>
      <c r="BO191" s="2"/>
      <c r="BP191" s="3"/>
      <c r="BQ191" s="3"/>
      <c r="BR191" s="3"/>
      <c r="BS191" s="3"/>
    </row>
    <row r="192" spans="1:71" ht="15">
      <c r="A192" s="65" t="s">
        <v>508</v>
      </c>
      <c r="B192" s="66"/>
      <c r="C192" s="66"/>
      <c r="D192" s="67">
        <v>150</v>
      </c>
      <c r="E192" s="69"/>
      <c r="F192" s="103" t="str">
        <f>HYPERLINK("https://yt3.ggpht.com/ytc/AKedOLQ36uYxlMDr77PcZYlbR2Vm0T0h6e4OH3u0LA=s88-c-k-c0x00ffffff-no-rj")</f>
        <v>https://yt3.ggpht.com/ytc/AKedOLQ36uYxlMDr77PcZYlbR2Vm0T0h6e4OH3u0LA=s88-c-k-c0x00ffffff-no-rj</v>
      </c>
      <c r="G192" s="66"/>
      <c r="H192" s="70" t="s">
        <v>1021</v>
      </c>
      <c r="I192" s="71"/>
      <c r="J192" s="71" t="s">
        <v>159</v>
      </c>
      <c r="K192" s="70" t="s">
        <v>1021</v>
      </c>
      <c r="L192" s="74">
        <v>1</v>
      </c>
      <c r="M192" s="75">
        <v>7071.07373046875</v>
      </c>
      <c r="N192" s="75">
        <v>6820.541015625</v>
      </c>
      <c r="O192" s="76"/>
      <c r="P192" s="77"/>
      <c r="Q192" s="77"/>
      <c r="R192" s="89"/>
      <c r="S192" s="49">
        <v>0</v>
      </c>
      <c r="T192" s="49">
        <v>1</v>
      </c>
      <c r="U192" s="50">
        <v>0</v>
      </c>
      <c r="V192" s="50">
        <v>0.146896</v>
      </c>
      <c r="W192" s="50">
        <v>0.004722</v>
      </c>
      <c r="X192" s="50">
        <v>0.003897</v>
      </c>
      <c r="Y192" s="50">
        <v>0</v>
      </c>
      <c r="Z192" s="50">
        <v>0</v>
      </c>
      <c r="AA192" s="72">
        <v>192</v>
      </c>
      <c r="AB192" s="72"/>
      <c r="AC192" s="73"/>
      <c r="AD192" s="80" t="s">
        <v>1021</v>
      </c>
      <c r="AE192" s="80"/>
      <c r="AF192" s="80"/>
      <c r="AG192" s="80"/>
      <c r="AH192" s="80"/>
      <c r="AI192" s="80"/>
      <c r="AJ192" s="87">
        <v>40828.94097222222</v>
      </c>
      <c r="AK192" s="85" t="str">
        <f>HYPERLINK("https://yt3.ggpht.com/ytc/AKedOLQ36uYxlMDr77PcZYlbR2Vm0T0h6e4OH3u0LA=s88-c-k-c0x00ffffff-no-rj")</f>
        <v>https://yt3.ggpht.com/ytc/AKedOLQ36uYxlMDr77PcZYlbR2Vm0T0h6e4OH3u0LA=s88-c-k-c0x00ffffff-no-rj</v>
      </c>
      <c r="AL192" s="80">
        <v>0</v>
      </c>
      <c r="AM192" s="80">
        <v>0</v>
      </c>
      <c r="AN192" s="80">
        <v>0</v>
      </c>
      <c r="AO192" s="80" t="b">
        <v>0</v>
      </c>
      <c r="AP192" s="80">
        <v>0</v>
      </c>
      <c r="AQ192" s="80"/>
      <c r="AR192" s="80"/>
      <c r="AS192" s="80" t="s">
        <v>1376</v>
      </c>
      <c r="AT192" s="85" t="str">
        <f>HYPERLINK("https://www.youtube.com/channel/UCsq8SXE8cep1LI_Y8XfL4jg")</f>
        <v>https://www.youtube.com/channel/UCsq8SXE8cep1LI_Y8XfL4jg</v>
      </c>
      <c r="AU192" s="80" t="str">
        <f>REPLACE(INDEX(GroupVertices[Group],MATCH(Vertices[[#This Row],[Vertex]],GroupVertices[Vertex],0)),1,1,"")</f>
        <v>3</v>
      </c>
      <c r="AV192" s="49">
        <v>1</v>
      </c>
      <c r="AW192" s="50">
        <v>7.142857142857143</v>
      </c>
      <c r="AX192" s="49">
        <v>0</v>
      </c>
      <c r="AY192" s="50">
        <v>0</v>
      </c>
      <c r="AZ192" s="49">
        <v>0</v>
      </c>
      <c r="BA192" s="50">
        <v>0</v>
      </c>
      <c r="BB192" s="49">
        <v>13</v>
      </c>
      <c r="BC192" s="50">
        <v>92.85714285714286</v>
      </c>
      <c r="BD192" s="49">
        <v>14</v>
      </c>
      <c r="BE192" s="49"/>
      <c r="BF192" s="49"/>
      <c r="BG192" s="49"/>
      <c r="BH192" s="49"/>
      <c r="BI192" s="49"/>
      <c r="BJ192" s="49"/>
      <c r="BK192" s="111" t="s">
        <v>2508</v>
      </c>
      <c r="BL192" s="111" t="s">
        <v>2508</v>
      </c>
      <c r="BM192" s="111" t="s">
        <v>2696</v>
      </c>
      <c r="BN192" s="111" t="s">
        <v>2696</v>
      </c>
      <c r="BO192" s="2"/>
      <c r="BP192" s="3"/>
      <c r="BQ192" s="3"/>
      <c r="BR192" s="3"/>
      <c r="BS192" s="3"/>
    </row>
    <row r="193" spans="1:71" ht="15">
      <c r="A193" s="65" t="s">
        <v>509</v>
      </c>
      <c r="B193" s="66"/>
      <c r="C193" s="66"/>
      <c r="D193" s="67">
        <v>1000</v>
      </c>
      <c r="E193" s="69"/>
      <c r="F193" s="103" t="str">
        <f>HYPERLINK("https://yt3.ggpht.com/ytc/AKedOLRsnt0nulkltonocxwRK6moPpnHCbODlcYZog=s88-c-k-c0x00ffffff-no-rj")</f>
        <v>https://yt3.ggpht.com/ytc/AKedOLRsnt0nulkltonocxwRK6moPpnHCbODlcYZog=s88-c-k-c0x00ffffff-no-rj</v>
      </c>
      <c r="G193" s="66"/>
      <c r="H193" s="70" t="s">
        <v>1022</v>
      </c>
      <c r="I193" s="71"/>
      <c r="J193" s="71" t="s">
        <v>75</v>
      </c>
      <c r="K193" s="70" t="s">
        <v>1022</v>
      </c>
      <c r="L193" s="74">
        <v>753.8697721764051</v>
      </c>
      <c r="M193" s="75">
        <v>4813.18701171875</v>
      </c>
      <c r="N193" s="75">
        <v>2132.1396484375</v>
      </c>
      <c r="O193" s="76"/>
      <c r="P193" s="77"/>
      <c r="Q193" s="77"/>
      <c r="R193" s="89"/>
      <c r="S193" s="49">
        <v>0</v>
      </c>
      <c r="T193" s="49">
        <v>2</v>
      </c>
      <c r="U193" s="50">
        <v>1044</v>
      </c>
      <c r="V193" s="50">
        <v>0.189399</v>
      </c>
      <c r="W193" s="50">
        <v>0.016773</v>
      </c>
      <c r="X193" s="50">
        <v>0.004006</v>
      </c>
      <c r="Y193" s="50">
        <v>0</v>
      </c>
      <c r="Z193" s="50">
        <v>0</v>
      </c>
      <c r="AA193" s="72">
        <v>193</v>
      </c>
      <c r="AB193" s="72"/>
      <c r="AC193" s="73"/>
      <c r="AD193" s="80" t="s">
        <v>1022</v>
      </c>
      <c r="AE193" s="80"/>
      <c r="AF193" s="80"/>
      <c r="AG193" s="80"/>
      <c r="AH193" s="80"/>
      <c r="AI193" s="80"/>
      <c r="AJ193" s="87">
        <v>39826.871469907404</v>
      </c>
      <c r="AK193" s="85" t="str">
        <f>HYPERLINK("https://yt3.ggpht.com/ytc/AKedOLRsnt0nulkltonocxwRK6moPpnHCbODlcYZog=s88-c-k-c0x00ffffff-no-rj")</f>
        <v>https://yt3.ggpht.com/ytc/AKedOLRsnt0nulkltonocxwRK6moPpnHCbODlcYZog=s88-c-k-c0x00ffffff-no-rj</v>
      </c>
      <c r="AL193" s="80">
        <v>0</v>
      </c>
      <c r="AM193" s="80">
        <v>0</v>
      </c>
      <c r="AN193" s="80">
        <v>0</v>
      </c>
      <c r="AO193" s="80" t="b">
        <v>0</v>
      </c>
      <c r="AP193" s="80">
        <v>0</v>
      </c>
      <c r="AQ193" s="80"/>
      <c r="AR193" s="80"/>
      <c r="AS193" s="80" t="s">
        <v>1376</v>
      </c>
      <c r="AT193" s="85" t="str">
        <f>HYPERLINK("https://www.youtube.com/channel/UC6JkDblmdOQF2NFTBJ5_4Ng")</f>
        <v>https://www.youtube.com/channel/UC6JkDblmdOQF2NFTBJ5_4Ng</v>
      </c>
      <c r="AU193" s="80" t="str">
        <f>REPLACE(INDEX(GroupVertices[Group],MATCH(Vertices[[#This Row],[Vertex]],GroupVertices[Vertex],0)),1,1,"")</f>
        <v>6</v>
      </c>
      <c r="AV193" s="49">
        <v>3</v>
      </c>
      <c r="AW193" s="50">
        <v>30</v>
      </c>
      <c r="AX193" s="49">
        <v>0</v>
      </c>
      <c r="AY193" s="50">
        <v>0</v>
      </c>
      <c r="AZ193" s="49">
        <v>0</v>
      </c>
      <c r="BA193" s="50">
        <v>0</v>
      </c>
      <c r="BB193" s="49">
        <v>7</v>
      </c>
      <c r="BC193" s="50">
        <v>70</v>
      </c>
      <c r="BD193" s="49">
        <v>10</v>
      </c>
      <c r="BE193" s="49"/>
      <c r="BF193" s="49"/>
      <c r="BG193" s="49"/>
      <c r="BH193" s="49"/>
      <c r="BI193" s="49"/>
      <c r="BJ193" s="49"/>
      <c r="BK193" s="111" t="s">
        <v>2509</v>
      </c>
      <c r="BL193" s="111" t="s">
        <v>2509</v>
      </c>
      <c r="BM193" s="111" t="s">
        <v>2697</v>
      </c>
      <c r="BN193" s="111" t="s">
        <v>2697</v>
      </c>
      <c r="BO193" s="2"/>
      <c r="BP193" s="3"/>
      <c r="BQ193" s="3"/>
      <c r="BR193" s="3"/>
      <c r="BS193" s="3"/>
    </row>
    <row r="194" spans="1:71" ht="15">
      <c r="A194" s="65" t="s">
        <v>510</v>
      </c>
      <c r="B194" s="66"/>
      <c r="C194" s="66"/>
      <c r="D194" s="67">
        <v>150</v>
      </c>
      <c r="E194" s="69"/>
      <c r="F194" s="103" t="str">
        <f>HYPERLINK("https://yt3.ggpht.com/ytc/AKedOLQ0Bfu9WBiR37-pYLIwQVA6uPAIUHbW6DR4fvQp=s88-c-k-c0x00ffffff-no-rj")</f>
        <v>https://yt3.ggpht.com/ytc/AKedOLQ0Bfu9WBiR37-pYLIwQVA6uPAIUHbW6DR4fvQp=s88-c-k-c0x00ffffff-no-rj</v>
      </c>
      <c r="G194" s="66"/>
      <c r="H194" s="70" t="s">
        <v>1023</v>
      </c>
      <c r="I194" s="71"/>
      <c r="J194" s="71" t="s">
        <v>159</v>
      </c>
      <c r="K194" s="70" t="s">
        <v>1023</v>
      </c>
      <c r="L194" s="74">
        <v>1</v>
      </c>
      <c r="M194" s="75">
        <v>7356.68408203125</v>
      </c>
      <c r="N194" s="75">
        <v>9544.572265625</v>
      </c>
      <c r="O194" s="76"/>
      <c r="P194" s="77"/>
      <c r="Q194" s="77"/>
      <c r="R194" s="89"/>
      <c r="S194" s="49">
        <v>0</v>
      </c>
      <c r="T194" s="49">
        <v>1</v>
      </c>
      <c r="U194" s="50">
        <v>0</v>
      </c>
      <c r="V194" s="50">
        <v>0.146896</v>
      </c>
      <c r="W194" s="50">
        <v>0.004722</v>
      </c>
      <c r="X194" s="50">
        <v>0.003897</v>
      </c>
      <c r="Y194" s="50">
        <v>0</v>
      </c>
      <c r="Z194" s="50">
        <v>0</v>
      </c>
      <c r="AA194" s="72">
        <v>194</v>
      </c>
      <c r="AB194" s="72"/>
      <c r="AC194" s="73"/>
      <c r="AD194" s="80" t="s">
        <v>1023</v>
      </c>
      <c r="AE194" s="80" t="s">
        <v>1325</v>
      </c>
      <c r="AF194" s="80"/>
      <c r="AG194" s="80"/>
      <c r="AH194" s="80"/>
      <c r="AI194" s="80" t="s">
        <v>1365</v>
      </c>
      <c r="AJ194" s="87">
        <v>39711.523564814815</v>
      </c>
      <c r="AK194" s="85" t="str">
        <f>HYPERLINK("https://yt3.ggpht.com/ytc/AKedOLQ0Bfu9WBiR37-pYLIwQVA6uPAIUHbW6DR4fvQp=s88-c-k-c0x00ffffff-no-rj")</f>
        <v>https://yt3.ggpht.com/ytc/AKedOLQ0Bfu9WBiR37-pYLIwQVA6uPAIUHbW6DR4fvQp=s88-c-k-c0x00ffffff-no-rj</v>
      </c>
      <c r="AL194" s="80">
        <v>80481</v>
      </c>
      <c r="AM194" s="80">
        <v>0</v>
      </c>
      <c r="AN194" s="80">
        <v>365</v>
      </c>
      <c r="AO194" s="80" t="b">
        <v>0</v>
      </c>
      <c r="AP194" s="80">
        <v>235</v>
      </c>
      <c r="AQ194" s="80"/>
      <c r="AR194" s="80"/>
      <c r="AS194" s="80" t="s">
        <v>1376</v>
      </c>
      <c r="AT194" s="85" t="str">
        <f>HYPERLINK("https://www.youtube.com/channel/UC3M0dy_bsmIy5gLcvLHwahg")</f>
        <v>https://www.youtube.com/channel/UC3M0dy_bsmIy5gLcvLHwahg</v>
      </c>
      <c r="AU194" s="80" t="str">
        <f>REPLACE(INDEX(GroupVertices[Group],MATCH(Vertices[[#This Row],[Vertex]],GroupVertices[Vertex],0)),1,1,"")</f>
        <v>3</v>
      </c>
      <c r="AV194" s="49">
        <v>0</v>
      </c>
      <c r="AW194" s="50">
        <v>0</v>
      </c>
      <c r="AX194" s="49">
        <v>0</v>
      </c>
      <c r="AY194" s="50">
        <v>0</v>
      </c>
      <c r="AZ194" s="49">
        <v>0</v>
      </c>
      <c r="BA194" s="50">
        <v>0</v>
      </c>
      <c r="BB194" s="49">
        <v>9</v>
      </c>
      <c r="BC194" s="50">
        <v>100</v>
      </c>
      <c r="BD194" s="49">
        <v>9</v>
      </c>
      <c r="BE194" s="49"/>
      <c r="BF194" s="49"/>
      <c r="BG194" s="49"/>
      <c r="BH194" s="49"/>
      <c r="BI194" s="49"/>
      <c r="BJ194" s="49"/>
      <c r="BK194" s="111" t="s">
        <v>2510</v>
      </c>
      <c r="BL194" s="111" t="s">
        <v>2510</v>
      </c>
      <c r="BM194" s="111" t="s">
        <v>2698</v>
      </c>
      <c r="BN194" s="111" t="s">
        <v>2698</v>
      </c>
      <c r="BO194" s="2"/>
      <c r="BP194" s="3"/>
      <c r="BQ194" s="3"/>
      <c r="BR194" s="3"/>
      <c r="BS194" s="3"/>
    </row>
    <row r="195" spans="1:71" ht="15">
      <c r="A195" s="65" t="s">
        <v>511</v>
      </c>
      <c r="B195" s="66"/>
      <c r="C195" s="66"/>
      <c r="D195" s="67">
        <v>150</v>
      </c>
      <c r="E195" s="69"/>
      <c r="F195" s="103" t="str">
        <f>HYPERLINK("https://yt3.ggpht.com/ytc/AKedOLTjZRQl6_rMfBG-oc7H5Q4K464foEUhAtvrE9XQ=s88-c-k-c0x00ffffff-no-rj")</f>
        <v>https://yt3.ggpht.com/ytc/AKedOLTjZRQl6_rMfBG-oc7H5Q4K464foEUhAtvrE9XQ=s88-c-k-c0x00ffffff-no-rj</v>
      </c>
      <c r="G195" s="66"/>
      <c r="H195" s="70" t="s">
        <v>1024</v>
      </c>
      <c r="I195" s="71"/>
      <c r="J195" s="71" t="s">
        <v>159</v>
      </c>
      <c r="K195" s="70" t="s">
        <v>1024</v>
      </c>
      <c r="L195" s="74">
        <v>1</v>
      </c>
      <c r="M195" s="75">
        <v>7688.40576171875</v>
      </c>
      <c r="N195" s="75">
        <v>6721.4365234375</v>
      </c>
      <c r="O195" s="76"/>
      <c r="P195" s="77"/>
      <c r="Q195" s="77"/>
      <c r="R195" s="89"/>
      <c r="S195" s="49">
        <v>0</v>
      </c>
      <c r="T195" s="49">
        <v>1</v>
      </c>
      <c r="U195" s="50">
        <v>0</v>
      </c>
      <c r="V195" s="50">
        <v>0.146896</v>
      </c>
      <c r="W195" s="50">
        <v>0.004722</v>
      </c>
      <c r="X195" s="50">
        <v>0.003897</v>
      </c>
      <c r="Y195" s="50">
        <v>0</v>
      </c>
      <c r="Z195" s="50">
        <v>0</v>
      </c>
      <c r="AA195" s="72">
        <v>195</v>
      </c>
      <c r="AB195" s="72"/>
      <c r="AC195" s="73"/>
      <c r="AD195" s="80" t="s">
        <v>1024</v>
      </c>
      <c r="AE195" s="80" t="s">
        <v>1326</v>
      </c>
      <c r="AF195" s="80"/>
      <c r="AG195" s="80"/>
      <c r="AH195" s="80"/>
      <c r="AI195" s="80" t="s">
        <v>1366</v>
      </c>
      <c r="AJ195" s="87">
        <v>40628.492731481485</v>
      </c>
      <c r="AK195" s="85" t="str">
        <f>HYPERLINK("https://yt3.ggpht.com/ytc/AKedOLTjZRQl6_rMfBG-oc7H5Q4K464foEUhAtvrE9XQ=s88-c-k-c0x00ffffff-no-rj")</f>
        <v>https://yt3.ggpht.com/ytc/AKedOLTjZRQl6_rMfBG-oc7H5Q4K464foEUhAtvrE9XQ=s88-c-k-c0x00ffffff-no-rj</v>
      </c>
      <c r="AL195" s="80">
        <v>79494</v>
      </c>
      <c r="AM195" s="80">
        <v>0</v>
      </c>
      <c r="AN195" s="80">
        <v>217</v>
      </c>
      <c r="AO195" s="80" t="b">
        <v>0</v>
      </c>
      <c r="AP195" s="80">
        <v>57</v>
      </c>
      <c r="AQ195" s="80"/>
      <c r="AR195" s="80"/>
      <c r="AS195" s="80" t="s">
        <v>1376</v>
      </c>
      <c r="AT195" s="85" t="str">
        <f>HYPERLINK("https://www.youtube.com/channel/UC7zED_KFa6-AaMwyUpeSAAQ")</f>
        <v>https://www.youtube.com/channel/UC7zED_KFa6-AaMwyUpeSAAQ</v>
      </c>
      <c r="AU195" s="80" t="str">
        <f>REPLACE(INDEX(GroupVertices[Group],MATCH(Vertices[[#This Row],[Vertex]],GroupVertices[Vertex],0)),1,1,"")</f>
        <v>3</v>
      </c>
      <c r="AV195" s="49">
        <v>1</v>
      </c>
      <c r="AW195" s="50">
        <v>16.666666666666668</v>
      </c>
      <c r="AX195" s="49">
        <v>0</v>
      </c>
      <c r="AY195" s="50">
        <v>0</v>
      </c>
      <c r="AZ195" s="49">
        <v>0</v>
      </c>
      <c r="BA195" s="50">
        <v>0</v>
      </c>
      <c r="BB195" s="49">
        <v>5</v>
      </c>
      <c r="BC195" s="50">
        <v>83.33333333333333</v>
      </c>
      <c r="BD195" s="49">
        <v>6</v>
      </c>
      <c r="BE195" s="49"/>
      <c r="BF195" s="49"/>
      <c r="BG195" s="49"/>
      <c r="BH195" s="49"/>
      <c r="BI195" s="49"/>
      <c r="BJ195" s="49"/>
      <c r="BK195" s="111" t="s">
        <v>2511</v>
      </c>
      <c r="BL195" s="111" t="s">
        <v>2511</v>
      </c>
      <c r="BM195" s="111" t="s">
        <v>2699</v>
      </c>
      <c r="BN195" s="111" t="s">
        <v>2699</v>
      </c>
      <c r="BO195" s="2"/>
      <c r="BP195" s="3"/>
      <c r="BQ195" s="3"/>
      <c r="BR195" s="3"/>
      <c r="BS195" s="3"/>
    </row>
    <row r="196" spans="1:71" ht="15">
      <c r="A196" s="65" t="s">
        <v>512</v>
      </c>
      <c r="B196" s="66"/>
      <c r="C196" s="66"/>
      <c r="D196" s="67">
        <v>1000</v>
      </c>
      <c r="E196" s="69"/>
      <c r="F196" s="103" t="str">
        <f>HYPERLINK("https://yt3.ggpht.com/ytc/AKedOLSUEsY05qV_3EjUgtP7y9p_0VACdOc0_JR1VQoo=s88-c-k-c0x00ffffff-no-rj")</f>
        <v>https://yt3.ggpht.com/ytc/AKedOLSUEsY05qV_3EjUgtP7y9p_0VACdOc0_JR1VQoo=s88-c-k-c0x00ffffff-no-rj</v>
      </c>
      <c r="G196" s="66"/>
      <c r="H196" s="70" t="s">
        <v>1025</v>
      </c>
      <c r="I196" s="71"/>
      <c r="J196" s="71" t="s">
        <v>75</v>
      </c>
      <c r="K196" s="70" t="s">
        <v>1025</v>
      </c>
      <c r="L196" s="74">
        <v>1209.149257409241</v>
      </c>
      <c r="M196" s="75">
        <v>6843.2890625</v>
      </c>
      <c r="N196" s="75">
        <v>8785.4296875</v>
      </c>
      <c r="O196" s="76"/>
      <c r="P196" s="77"/>
      <c r="Q196" s="77"/>
      <c r="R196" s="89"/>
      <c r="S196" s="49">
        <v>0</v>
      </c>
      <c r="T196" s="49">
        <v>3</v>
      </c>
      <c r="U196" s="50">
        <v>1675.333333</v>
      </c>
      <c r="V196" s="50">
        <v>0.224769</v>
      </c>
      <c r="W196" s="50">
        <v>0.087896</v>
      </c>
      <c r="X196" s="50">
        <v>0.004203</v>
      </c>
      <c r="Y196" s="50">
        <v>0</v>
      </c>
      <c r="Z196" s="50">
        <v>0</v>
      </c>
      <c r="AA196" s="72">
        <v>196</v>
      </c>
      <c r="AB196" s="72"/>
      <c r="AC196" s="73"/>
      <c r="AD196" s="80" t="s">
        <v>1025</v>
      </c>
      <c r="AE196" s="80" t="s">
        <v>1327</v>
      </c>
      <c r="AF196" s="80"/>
      <c r="AG196" s="80"/>
      <c r="AH196" s="80"/>
      <c r="AI196" s="80"/>
      <c r="AJ196" s="87">
        <v>42765.708506944444</v>
      </c>
      <c r="AK196" s="85" t="str">
        <f>HYPERLINK("https://yt3.ggpht.com/ytc/AKedOLSUEsY05qV_3EjUgtP7y9p_0VACdOc0_JR1VQoo=s88-c-k-c0x00ffffff-no-rj")</f>
        <v>https://yt3.ggpht.com/ytc/AKedOLSUEsY05qV_3EjUgtP7y9p_0VACdOc0_JR1VQoo=s88-c-k-c0x00ffffff-no-rj</v>
      </c>
      <c r="AL196" s="80">
        <v>0</v>
      </c>
      <c r="AM196" s="80">
        <v>0</v>
      </c>
      <c r="AN196" s="80">
        <v>0</v>
      </c>
      <c r="AO196" s="80" t="b">
        <v>0</v>
      </c>
      <c r="AP196" s="80">
        <v>0</v>
      </c>
      <c r="AQ196" s="80"/>
      <c r="AR196" s="80"/>
      <c r="AS196" s="80" t="s">
        <v>1376</v>
      </c>
      <c r="AT196" s="85" t="str">
        <f>HYPERLINK("https://www.youtube.com/channel/UCf8SkhKscLmAF_zofz-5VXQ")</f>
        <v>https://www.youtube.com/channel/UCf8SkhKscLmAF_zofz-5VXQ</v>
      </c>
      <c r="AU196" s="80" t="str">
        <f>REPLACE(INDEX(GroupVertices[Group],MATCH(Vertices[[#This Row],[Vertex]],GroupVertices[Vertex],0)),1,1,"")</f>
        <v>3</v>
      </c>
      <c r="AV196" s="49">
        <v>1</v>
      </c>
      <c r="AW196" s="50">
        <v>0.8403361344537815</v>
      </c>
      <c r="AX196" s="49">
        <v>0</v>
      </c>
      <c r="AY196" s="50">
        <v>0</v>
      </c>
      <c r="AZ196" s="49">
        <v>0</v>
      </c>
      <c r="BA196" s="50">
        <v>0</v>
      </c>
      <c r="BB196" s="49">
        <v>118</v>
      </c>
      <c r="BC196" s="50">
        <v>99.15966386554622</v>
      </c>
      <c r="BD196" s="49">
        <v>119</v>
      </c>
      <c r="BE196" s="49" t="s">
        <v>2115</v>
      </c>
      <c r="BF196" s="49" t="s">
        <v>2115</v>
      </c>
      <c r="BG196" s="49" t="s">
        <v>1221</v>
      </c>
      <c r="BH196" s="49" t="s">
        <v>1221</v>
      </c>
      <c r="BI196" s="49"/>
      <c r="BJ196" s="49"/>
      <c r="BK196" s="111" t="s">
        <v>2512</v>
      </c>
      <c r="BL196" s="111" t="s">
        <v>2543</v>
      </c>
      <c r="BM196" s="111" t="s">
        <v>2700</v>
      </c>
      <c r="BN196" s="111" t="s">
        <v>2720</v>
      </c>
      <c r="BO196" s="2"/>
      <c r="BP196" s="3"/>
      <c r="BQ196" s="3"/>
      <c r="BR196" s="3"/>
      <c r="BS196" s="3"/>
    </row>
    <row r="197" spans="1:71" ht="15">
      <c r="A197" s="65" t="s">
        <v>513</v>
      </c>
      <c r="B197" s="66"/>
      <c r="C197" s="66"/>
      <c r="D197" s="67">
        <v>150</v>
      </c>
      <c r="E197" s="69"/>
      <c r="F197" s="103" t="str">
        <f>HYPERLINK("https://yt3.ggpht.com/ytc/AKedOLSTe2D6WchxPric4pLDsBRINd6mwbFS1QoCDA=s88-c-k-c0x00ffffff-no-rj")</f>
        <v>https://yt3.ggpht.com/ytc/AKedOLSTe2D6WchxPric4pLDsBRINd6mwbFS1QoCDA=s88-c-k-c0x00ffffff-no-rj</v>
      </c>
      <c r="G197" s="66"/>
      <c r="H197" s="70" t="s">
        <v>1026</v>
      </c>
      <c r="I197" s="71"/>
      <c r="J197" s="71" t="s">
        <v>159</v>
      </c>
      <c r="K197" s="70" t="s">
        <v>1026</v>
      </c>
      <c r="L197" s="74">
        <v>1</v>
      </c>
      <c r="M197" s="75">
        <v>7487.751953125</v>
      </c>
      <c r="N197" s="75">
        <v>7254.57958984375</v>
      </c>
      <c r="O197" s="76"/>
      <c r="P197" s="77"/>
      <c r="Q197" s="77"/>
      <c r="R197" s="89"/>
      <c r="S197" s="49">
        <v>0</v>
      </c>
      <c r="T197" s="49">
        <v>1</v>
      </c>
      <c r="U197" s="50">
        <v>0</v>
      </c>
      <c r="V197" s="50">
        <v>0.146896</v>
      </c>
      <c r="W197" s="50">
        <v>0.004722</v>
      </c>
      <c r="X197" s="50">
        <v>0.003897</v>
      </c>
      <c r="Y197" s="50">
        <v>0</v>
      </c>
      <c r="Z197" s="50">
        <v>0</v>
      </c>
      <c r="AA197" s="72">
        <v>197</v>
      </c>
      <c r="AB197" s="72"/>
      <c r="AC197" s="73"/>
      <c r="AD197" s="80" t="s">
        <v>1026</v>
      </c>
      <c r="AE197" s="80"/>
      <c r="AF197" s="80"/>
      <c r="AG197" s="80"/>
      <c r="AH197" s="80"/>
      <c r="AI197" s="80"/>
      <c r="AJ197" s="87">
        <v>42757.14318287037</v>
      </c>
      <c r="AK197" s="85" t="str">
        <f>HYPERLINK("https://yt3.ggpht.com/ytc/AKedOLSTe2D6WchxPric4pLDsBRINd6mwbFS1QoCDA=s88-c-k-c0x00ffffff-no-rj")</f>
        <v>https://yt3.ggpht.com/ytc/AKedOLSTe2D6WchxPric4pLDsBRINd6mwbFS1QoCDA=s88-c-k-c0x00ffffff-no-rj</v>
      </c>
      <c r="AL197" s="80">
        <v>0</v>
      </c>
      <c r="AM197" s="80">
        <v>0</v>
      </c>
      <c r="AN197" s="80">
        <v>0</v>
      </c>
      <c r="AO197" s="80" t="b">
        <v>0</v>
      </c>
      <c r="AP197" s="80">
        <v>0</v>
      </c>
      <c r="AQ197" s="80"/>
      <c r="AR197" s="80"/>
      <c r="AS197" s="80" t="s">
        <v>1376</v>
      </c>
      <c r="AT197" s="85" t="str">
        <f>HYPERLINK("https://www.youtube.com/channel/UCk1PoOyEAavdmyr0VdVN1Zg")</f>
        <v>https://www.youtube.com/channel/UCk1PoOyEAavdmyr0VdVN1Zg</v>
      </c>
      <c r="AU197" s="80" t="str">
        <f>REPLACE(INDEX(GroupVertices[Group],MATCH(Vertices[[#This Row],[Vertex]],GroupVertices[Vertex],0)),1,1,"")</f>
        <v>3</v>
      </c>
      <c r="AV197" s="49">
        <v>2</v>
      </c>
      <c r="AW197" s="50">
        <v>3.1746031746031744</v>
      </c>
      <c r="AX197" s="49">
        <v>3</v>
      </c>
      <c r="AY197" s="50">
        <v>4.761904761904762</v>
      </c>
      <c r="AZ197" s="49">
        <v>0</v>
      </c>
      <c r="BA197" s="50">
        <v>0</v>
      </c>
      <c r="BB197" s="49">
        <v>58</v>
      </c>
      <c r="BC197" s="50">
        <v>92.06349206349206</v>
      </c>
      <c r="BD197" s="49">
        <v>63</v>
      </c>
      <c r="BE197" s="49"/>
      <c r="BF197" s="49"/>
      <c r="BG197" s="49"/>
      <c r="BH197" s="49"/>
      <c r="BI197" s="49"/>
      <c r="BJ197" s="49"/>
      <c r="BK197" s="111" t="s">
        <v>2513</v>
      </c>
      <c r="BL197" s="111" t="s">
        <v>2513</v>
      </c>
      <c r="BM197" s="111" t="s">
        <v>2701</v>
      </c>
      <c r="BN197" s="111" t="s">
        <v>2701</v>
      </c>
      <c r="BO197" s="2"/>
      <c r="BP197" s="3"/>
      <c r="BQ197" s="3"/>
      <c r="BR197" s="3"/>
      <c r="BS197" s="3"/>
    </row>
    <row r="198" spans="1:71" ht="15">
      <c r="A198" s="65" t="s">
        <v>514</v>
      </c>
      <c r="B198" s="66"/>
      <c r="C198" s="66"/>
      <c r="D198" s="67">
        <v>150</v>
      </c>
      <c r="E198" s="69"/>
      <c r="F198" s="103" t="str">
        <f>HYPERLINK("https://yt3.ggpht.com/ytc/AKedOLSUFBHcVU8V3rTHHMvwCEGJO1hl7agECZRGLNk-yok=s88-c-k-c0x00ffffff-no-rj")</f>
        <v>https://yt3.ggpht.com/ytc/AKedOLSUFBHcVU8V3rTHHMvwCEGJO1hl7agECZRGLNk-yok=s88-c-k-c0x00ffffff-no-rj</v>
      </c>
      <c r="G198" s="66"/>
      <c r="H198" s="70" t="s">
        <v>1027</v>
      </c>
      <c r="I198" s="71"/>
      <c r="J198" s="71" t="s">
        <v>159</v>
      </c>
      <c r="K198" s="70" t="s">
        <v>1027</v>
      </c>
      <c r="L198" s="74">
        <v>1</v>
      </c>
      <c r="M198" s="75">
        <v>6882.00146484375</v>
      </c>
      <c r="N198" s="75">
        <v>7329.40087890625</v>
      </c>
      <c r="O198" s="76"/>
      <c r="P198" s="77"/>
      <c r="Q198" s="77"/>
      <c r="R198" s="89"/>
      <c r="S198" s="49">
        <v>0</v>
      </c>
      <c r="T198" s="49">
        <v>1</v>
      </c>
      <c r="U198" s="50">
        <v>0</v>
      </c>
      <c r="V198" s="50">
        <v>0.146896</v>
      </c>
      <c r="W198" s="50">
        <v>0.004722</v>
      </c>
      <c r="X198" s="50">
        <v>0.003897</v>
      </c>
      <c r="Y198" s="50">
        <v>0</v>
      </c>
      <c r="Z198" s="50">
        <v>0</v>
      </c>
      <c r="AA198" s="72">
        <v>198</v>
      </c>
      <c r="AB198" s="72"/>
      <c r="AC198" s="73"/>
      <c r="AD198" s="80" t="s">
        <v>1027</v>
      </c>
      <c r="AE198" s="80"/>
      <c r="AF198" s="80"/>
      <c r="AG198" s="80"/>
      <c r="AH198" s="80"/>
      <c r="AI198" s="80" t="s">
        <v>1367</v>
      </c>
      <c r="AJ198" s="87">
        <v>39723.74915509259</v>
      </c>
      <c r="AK198" s="85" t="str">
        <f>HYPERLINK("https://yt3.ggpht.com/ytc/AKedOLSUFBHcVU8V3rTHHMvwCEGJO1hl7agECZRGLNk-yok=s88-c-k-c0x00ffffff-no-rj")</f>
        <v>https://yt3.ggpht.com/ytc/AKedOLSUFBHcVU8V3rTHHMvwCEGJO1hl7agECZRGLNk-yok=s88-c-k-c0x00ffffff-no-rj</v>
      </c>
      <c r="AL198" s="80">
        <v>5968</v>
      </c>
      <c r="AM198" s="80">
        <v>0</v>
      </c>
      <c r="AN198" s="80">
        <v>19</v>
      </c>
      <c r="AO198" s="80" t="b">
        <v>0</v>
      </c>
      <c r="AP198" s="80">
        <v>38</v>
      </c>
      <c r="AQ198" s="80"/>
      <c r="AR198" s="80"/>
      <c r="AS198" s="80" t="s">
        <v>1376</v>
      </c>
      <c r="AT198" s="85" t="str">
        <f>HYPERLINK("https://www.youtube.com/channel/UCxH7QekYGX6Zj7xDozlqXbg")</f>
        <v>https://www.youtube.com/channel/UCxH7QekYGX6Zj7xDozlqXbg</v>
      </c>
      <c r="AU198" s="80" t="str">
        <f>REPLACE(INDEX(GroupVertices[Group],MATCH(Vertices[[#This Row],[Vertex]],GroupVertices[Vertex],0)),1,1,"")</f>
        <v>3</v>
      </c>
      <c r="AV198" s="49">
        <v>0</v>
      </c>
      <c r="AW198" s="50">
        <v>0</v>
      </c>
      <c r="AX198" s="49">
        <v>1</v>
      </c>
      <c r="AY198" s="50">
        <v>33.333333333333336</v>
      </c>
      <c r="AZ198" s="49">
        <v>0</v>
      </c>
      <c r="BA198" s="50">
        <v>0</v>
      </c>
      <c r="BB198" s="49">
        <v>2</v>
      </c>
      <c r="BC198" s="50">
        <v>66.66666666666667</v>
      </c>
      <c r="BD198" s="49">
        <v>3</v>
      </c>
      <c r="BE198" s="49"/>
      <c r="BF198" s="49"/>
      <c r="BG198" s="49"/>
      <c r="BH198" s="49"/>
      <c r="BI198" s="49"/>
      <c r="BJ198" s="49"/>
      <c r="BK198" s="111" t="s">
        <v>2514</v>
      </c>
      <c r="BL198" s="111" t="s">
        <v>2514</v>
      </c>
      <c r="BM198" s="111" t="s">
        <v>2702</v>
      </c>
      <c r="BN198" s="111" t="s">
        <v>2702</v>
      </c>
      <c r="BO198" s="2"/>
      <c r="BP198" s="3"/>
      <c r="BQ198" s="3"/>
      <c r="BR198" s="3"/>
      <c r="BS198" s="3"/>
    </row>
    <row r="199" spans="1:71" ht="15">
      <c r="A199" s="65" t="s">
        <v>515</v>
      </c>
      <c r="B199" s="66"/>
      <c r="C199" s="66"/>
      <c r="D199" s="67">
        <v>1000</v>
      </c>
      <c r="E199" s="69"/>
      <c r="F199" s="103" t="str">
        <f>HYPERLINK("https://yt3.ggpht.com/ytc/AKedOLQoKfm3ZWhVdecZhO_UMvMAvPPob6V32fz6-Q=s88-c-k-c0x00ffffff-no-rj")</f>
        <v>https://yt3.ggpht.com/ytc/AKedOLQoKfm3ZWhVdecZhO_UMvMAvPPob6V32fz6-Q=s88-c-k-c0x00ffffff-no-rj</v>
      </c>
      <c r="G199" s="66"/>
      <c r="H199" s="70" t="s">
        <v>1028</v>
      </c>
      <c r="I199" s="71"/>
      <c r="J199" s="71" t="s">
        <v>75</v>
      </c>
      <c r="K199" s="70" t="s">
        <v>1028</v>
      </c>
      <c r="L199" s="74">
        <v>1084.9930518462224</v>
      </c>
      <c r="M199" s="75">
        <v>7741.4814453125</v>
      </c>
      <c r="N199" s="75">
        <v>8412.2412109375</v>
      </c>
      <c r="O199" s="76"/>
      <c r="P199" s="77"/>
      <c r="Q199" s="77"/>
      <c r="R199" s="89"/>
      <c r="S199" s="49">
        <v>1</v>
      </c>
      <c r="T199" s="49">
        <v>2</v>
      </c>
      <c r="U199" s="50">
        <v>1503.166667</v>
      </c>
      <c r="V199" s="50">
        <v>0.223423</v>
      </c>
      <c r="W199" s="50">
        <v>0.085467</v>
      </c>
      <c r="X199" s="50">
        <v>0.003976</v>
      </c>
      <c r="Y199" s="50">
        <v>0</v>
      </c>
      <c r="Z199" s="50">
        <v>0.5</v>
      </c>
      <c r="AA199" s="72">
        <v>199</v>
      </c>
      <c r="AB199" s="72"/>
      <c r="AC199" s="73"/>
      <c r="AD199" s="80" t="s">
        <v>1028</v>
      </c>
      <c r="AE199" s="80"/>
      <c r="AF199" s="80"/>
      <c r="AG199" s="80"/>
      <c r="AH199" s="80"/>
      <c r="AI199" s="80"/>
      <c r="AJ199" s="87">
        <v>42037.64949074074</v>
      </c>
      <c r="AK199" s="85" t="str">
        <f>HYPERLINK("https://yt3.ggpht.com/ytc/AKedOLQoKfm3ZWhVdecZhO_UMvMAvPPob6V32fz6-Q=s88-c-k-c0x00ffffff-no-rj")</f>
        <v>https://yt3.ggpht.com/ytc/AKedOLQoKfm3ZWhVdecZhO_UMvMAvPPob6V32fz6-Q=s88-c-k-c0x00ffffff-no-rj</v>
      </c>
      <c r="AL199" s="80">
        <v>0</v>
      </c>
      <c r="AM199" s="80">
        <v>0</v>
      </c>
      <c r="AN199" s="80">
        <v>4</v>
      </c>
      <c r="AO199" s="80" t="b">
        <v>0</v>
      </c>
      <c r="AP199" s="80">
        <v>0</v>
      </c>
      <c r="AQ199" s="80"/>
      <c r="AR199" s="80"/>
      <c r="AS199" s="80" t="s">
        <v>1376</v>
      </c>
      <c r="AT199" s="85" t="str">
        <f>HYPERLINK("https://www.youtube.com/channel/UCKrUAYzPSyq1cBlKN08M6qw")</f>
        <v>https://www.youtube.com/channel/UCKrUAYzPSyq1cBlKN08M6qw</v>
      </c>
      <c r="AU199" s="80" t="str">
        <f>REPLACE(INDEX(GroupVertices[Group],MATCH(Vertices[[#This Row],[Vertex]],GroupVertices[Vertex],0)),1,1,"")</f>
        <v>3</v>
      </c>
      <c r="AV199" s="49">
        <v>2</v>
      </c>
      <c r="AW199" s="50">
        <v>2.816901408450704</v>
      </c>
      <c r="AX199" s="49">
        <v>0</v>
      </c>
      <c r="AY199" s="50">
        <v>0</v>
      </c>
      <c r="AZ199" s="49">
        <v>0</v>
      </c>
      <c r="BA199" s="50">
        <v>0</v>
      </c>
      <c r="BB199" s="49">
        <v>69</v>
      </c>
      <c r="BC199" s="50">
        <v>97.1830985915493</v>
      </c>
      <c r="BD199" s="49">
        <v>71</v>
      </c>
      <c r="BE199" s="49"/>
      <c r="BF199" s="49"/>
      <c r="BG199" s="49"/>
      <c r="BH199" s="49"/>
      <c r="BI199" s="49"/>
      <c r="BJ199" s="49"/>
      <c r="BK199" s="111" t="s">
        <v>2515</v>
      </c>
      <c r="BL199" s="111" t="s">
        <v>2544</v>
      </c>
      <c r="BM199" s="111" t="s">
        <v>2703</v>
      </c>
      <c r="BN199" s="111" t="s">
        <v>2703</v>
      </c>
      <c r="BO199" s="2"/>
      <c r="BP199" s="3"/>
      <c r="BQ199" s="3"/>
      <c r="BR199" s="3"/>
      <c r="BS199" s="3"/>
    </row>
    <row r="200" spans="1:71" ht="15">
      <c r="A200" s="65" t="s">
        <v>516</v>
      </c>
      <c r="B200" s="66"/>
      <c r="C200" s="66"/>
      <c r="D200" s="67">
        <v>1000</v>
      </c>
      <c r="E200" s="69"/>
      <c r="F200" s="103" t="str">
        <f>HYPERLINK("https://yt3.ggpht.com/ytc/AKedOLT54Mf70vDEi1bkh7PE6VZ8iOiHsKiGFVkaoiasHQ=s88-c-k-c0x00ffffff-no-rj")</f>
        <v>https://yt3.ggpht.com/ytc/AKedOLT54Mf70vDEi1bkh7PE6VZ8iOiHsKiGFVkaoiasHQ=s88-c-k-c0x00ffffff-no-rj</v>
      </c>
      <c r="G200" s="66"/>
      <c r="H200" s="70" t="s">
        <v>1029</v>
      </c>
      <c r="I200" s="71"/>
      <c r="J200" s="71" t="s">
        <v>75</v>
      </c>
      <c r="K200" s="70" t="s">
        <v>1029</v>
      </c>
      <c r="L200" s="74">
        <v>1084.9930518462224</v>
      </c>
      <c r="M200" s="75">
        <v>8003.44580078125</v>
      </c>
      <c r="N200" s="75">
        <v>8051.38037109375</v>
      </c>
      <c r="O200" s="76"/>
      <c r="P200" s="77"/>
      <c r="Q200" s="77"/>
      <c r="R200" s="89"/>
      <c r="S200" s="49">
        <v>1</v>
      </c>
      <c r="T200" s="49">
        <v>2</v>
      </c>
      <c r="U200" s="50">
        <v>1503.166667</v>
      </c>
      <c r="V200" s="50">
        <v>0.223423</v>
      </c>
      <c r="W200" s="50">
        <v>0.085467</v>
      </c>
      <c r="X200" s="50">
        <v>0.003976</v>
      </c>
      <c r="Y200" s="50">
        <v>0</v>
      </c>
      <c r="Z200" s="50">
        <v>0.5</v>
      </c>
      <c r="AA200" s="72">
        <v>200</v>
      </c>
      <c r="AB200" s="72"/>
      <c r="AC200" s="73"/>
      <c r="AD200" s="80" t="s">
        <v>1029</v>
      </c>
      <c r="AE200" s="80"/>
      <c r="AF200" s="80"/>
      <c r="AG200" s="80"/>
      <c r="AH200" s="80"/>
      <c r="AI200" s="80"/>
      <c r="AJ200" s="87">
        <v>41735.16736111111</v>
      </c>
      <c r="AK200" s="85" t="str">
        <f>HYPERLINK("https://yt3.ggpht.com/ytc/AKedOLT54Mf70vDEi1bkh7PE6VZ8iOiHsKiGFVkaoiasHQ=s88-c-k-c0x00ffffff-no-rj")</f>
        <v>https://yt3.ggpht.com/ytc/AKedOLT54Mf70vDEi1bkh7PE6VZ8iOiHsKiGFVkaoiasHQ=s88-c-k-c0x00ffffff-no-rj</v>
      </c>
      <c r="AL200" s="80">
        <v>0</v>
      </c>
      <c r="AM200" s="80">
        <v>0</v>
      </c>
      <c r="AN200" s="80">
        <v>2</v>
      </c>
      <c r="AO200" s="80" t="b">
        <v>0</v>
      </c>
      <c r="AP200" s="80">
        <v>0</v>
      </c>
      <c r="AQ200" s="80"/>
      <c r="AR200" s="80"/>
      <c r="AS200" s="80" t="s">
        <v>1376</v>
      </c>
      <c r="AT200" s="85" t="str">
        <f>HYPERLINK("https://www.youtube.com/channel/UCkLPx3Y2qhbDjUwEQRqLv0A")</f>
        <v>https://www.youtube.com/channel/UCkLPx3Y2qhbDjUwEQRqLv0A</v>
      </c>
      <c r="AU200" s="80" t="str">
        <f>REPLACE(INDEX(GroupVertices[Group],MATCH(Vertices[[#This Row],[Vertex]],GroupVertices[Vertex],0)),1,1,"")</f>
        <v>3</v>
      </c>
      <c r="AV200" s="49">
        <v>2</v>
      </c>
      <c r="AW200" s="50">
        <v>9.523809523809524</v>
      </c>
      <c r="AX200" s="49">
        <v>0</v>
      </c>
      <c r="AY200" s="50">
        <v>0</v>
      </c>
      <c r="AZ200" s="49">
        <v>0</v>
      </c>
      <c r="BA200" s="50">
        <v>0</v>
      </c>
      <c r="BB200" s="49">
        <v>19</v>
      </c>
      <c r="BC200" s="50">
        <v>90.47619047619048</v>
      </c>
      <c r="BD200" s="49">
        <v>21</v>
      </c>
      <c r="BE200" s="49"/>
      <c r="BF200" s="49"/>
      <c r="BG200" s="49"/>
      <c r="BH200" s="49"/>
      <c r="BI200" s="49"/>
      <c r="BJ200" s="49"/>
      <c r="BK200" s="111" t="s">
        <v>2516</v>
      </c>
      <c r="BL200" s="111" t="s">
        <v>2545</v>
      </c>
      <c r="BM200" s="111" t="s">
        <v>2704</v>
      </c>
      <c r="BN200" s="111" t="s">
        <v>2721</v>
      </c>
      <c r="BO200" s="2"/>
      <c r="BP200" s="3"/>
      <c r="BQ200" s="3"/>
      <c r="BR200" s="3"/>
      <c r="BS200" s="3"/>
    </row>
    <row r="201" spans="1:71" ht="15">
      <c r="A201" s="65" t="s">
        <v>517</v>
      </c>
      <c r="B201" s="66"/>
      <c r="C201" s="66"/>
      <c r="D201" s="67">
        <v>1000</v>
      </c>
      <c r="E201" s="69"/>
      <c r="F201" s="103" t="str">
        <f>HYPERLINK("https://yt3.ggpht.com/ytc/AKedOLQpKdHUsPkjvG9F376a4Iz4GxX5KHxAC4aFKw=s88-c-k-c0x00ffffff-no-rj")</f>
        <v>https://yt3.ggpht.com/ytc/AKedOLQpKdHUsPkjvG9F376a4Iz4GxX5KHxAC4aFKw=s88-c-k-c0x00ffffff-no-rj</v>
      </c>
      <c r="G201" s="66"/>
      <c r="H201" s="70" t="s">
        <v>1030</v>
      </c>
      <c r="I201" s="71"/>
      <c r="J201" s="71" t="s">
        <v>75</v>
      </c>
      <c r="K201" s="70" t="s">
        <v>1030</v>
      </c>
      <c r="L201" s="74">
        <v>2731.234633582251</v>
      </c>
      <c r="M201" s="75">
        <v>4819.3037109375</v>
      </c>
      <c r="N201" s="75">
        <v>8179.71337890625</v>
      </c>
      <c r="O201" s="76"/>
      <c r="P201" s="77"/>
      <c r="Q201" s="77"/>
      <c r="R201" s="89"/>
      <c r="S201" s="49">
        <v>1</v>
      </c>
      <c r="T201" s="49">
        <v>6</v>
      </c>
      <c r="U201" s="50">
        <v>3786</v>
      </c>
      <c r="V201" s="50">
        <v>0.156772</v>
      </c>
      <c r="W201" s="50">
        <v>0.005098</v>
      </c>
      <c r="X201" s="50">
        <v>0.004951</v>
      </c>
      <c r="Y201" s="50">
        <v>0</v>
      </c>
      <c r="Z201" s="50">
        <v>0.16666666666666666</v>
      </c>
      <c r="AA201" s="72">
        <v>201</v>
      </c>
      <c r="AB201" s="72"/>
      <c r="AC201" s="73"/>
      <c r="AD201" s="80" t="s">
        <v>1030</v>
      </c>
      <c r="AE201" s="80"/>
      <c r="AF201" s="80"/>
      <c r="AG201" s="80"/>
      <c r="AH201" s="80"/>
      <c r="AI201" s="80"/>
      <c r="AJ201" s="87">
        <v>41589.497199074074</v>
      </c>
      <c r="AK201" s="85" t="str">
        <f>HYPERLINK("https://yt3.ggpht.com/ytc/AKedOLQpKdHUsPkjvG9F376a4Iz4GxX5KHxAC4aFKw=s88-c-k-c0x00ffffff-no-rj")</f>
        <v>https://yt3.ggpht.com/ytc/AKedOLQpKdHUsPkjvG9F376a4Iz4GxX5KHxAC4aFKw=s88-c-k-c0x00ffffff-no-rj</v>
      </c>
      <c r="AL201" s="80">
        <v>0</v>
      </c>
      <c r="AM201" s="80">
        <v>0</v>
      </c>
      <c r="AN201" s="80">
        <v>5</v>
      </c>
      <c r="AO201" s="80" t="b">
        <v>0</v>
      </c>
      <c r="AP201" s="80">
        <v>0</v>
      </c>
      <c r="AQ201" s="80"/>
      <c r="AR201" s="80"/>
      <c r="AS201" s="80" t="s">
        <v>1376</v>
      </c>
      <c r="AT201" s="85" t="str">
        <f>HYPERLINK("https://www.youtube.com/channel/UCj-YNRE6g8gXzAaXu-kQ7Og")</f>
        <v>https://www.youtube.com/channel/UCj-YNRE6g8gXzAaXu-kQ7Og</v>
      </c>
      <c r="AU201" s="80" t="str">
        <f>REPLACE(INDEX(GroupVertices[Group],MATCH(Vertices[[#This Row],[Vertex]],GroupVertices[Vertex],0)),1,1,"")</f>
        <v>4</v>
      </c>
      <c r="AV201" s="49">
        <v>31</v>
      </c>
      <c r="AW201" s="50">
        <v>12.109375</v>
      </c>
      <c r="AX201" s="49">
        <v>6</v>
      </c>
      <c r="AY201" s="50">
        <v>2.34375</v>
      </c>
      <c r="AZ201" s="49">
        <v>0</v>
      </c>
      <c r="BA201" s="50">
        <v>0</v>
      </c>
      <c r="BB201" s="49">
        <v>219</v>
      </c>
      <c r="BC201" s="50">
        <v>85.546875</v>
      </c>
      <c r="BD201" s="49">
        <v>256</v>
      </c>
      <c r="BE201" s="49"/>
      <c r="BF201" s="49"/>
      <c r="BG201" s="49"/>
      <c r="BH201" s="49"/>
      <c r="BI201" s="49"/>
      <c r="BJ201" s="49"/>
      <c r="BK201" s="111" t="s">
        <v>2517</v>
      </c>
      <c r="BL201" s="111" t="s">
        <v>2546</v>
      </c>
      <c r="BM201" s="111" t="s">
        <v>2321</v>
      </c>
      <c r="BN201" s="111" t="s">
        <v>2722</v>
      </c>
      <c r="BO201" s="2"/>
      <c r="BP201" s="3"/>
      <c r="BQ201" s="3"/>
      <c r="BR201" s="3"/>
      <c r="BS201" s="3"/>
    </row>
    <row r="202" spans="1:71" ht="15">
      <c r="A202" s="65" t="s">
        <v>558</v>
      </c>
      <c r="B202" s="66"/>
      <c r="C202" s="66"/>
      <c r="D202" s="67">
        <v>150</v>
      </c>
      <c r="E202" s="69"/>
      <c r="F202" s="103" t="str">
        <f>HYPERLINK("https://yt3.ggpht.com/jn-PhmHy4BD4lBwlUFfYhbemX9lWuL812d3TUSP8pFDGRX-5ADt-5I6mbIZiSeT1yPj63c63fi8=s88-c-k-c0x00ffffff-no-rj")</f>
        <v>https://yt3.ggpht.com/jn-PhmHy4BD4lBwlUFfYhbemX9lWuL812d3TUSP8pFDGRX-5ADt-5I6mbIZiSeT1yPj63c63fi8=s88-c-k-c0x00ffffff-no-rj</v>
      </c>
      <c r="G202" s="66"/>
      <c r="H202" s="70" t="s">
        <v>1271</v>
      </c>
      <c r="I202" s="71"/>
      <c r="J202" s="71" t="s">
        <v>159</v>
      </c>
      <c r="K202" s="70" t="s">
        <v>1271</v>
      </c>
      <c r="L202" s="74">
        <v>1</v>
      </c>
      <c r="M202" s="75">
        <v>4879.0966796875</v>
      </c>
      <c r="N202" s="75">
        <v>7701.697265625</v>
      </c>
      <c r="O202" s="76"/>
      <c r="P202" s="77"/>
      <c r="Q202" s="77"/>
      <c r="R202" s="89"/>
      <c r="S202" s="49">
        <v>2</v>
      </c>
      <c r="T202" s="49">
        <v>1</v>
      </c>
      <c r="U202" s="50">
        <v>0</v>
      </c>
      <c r="V202" s="50">
        <v>0.123549</v>
      </c>
      <c r="W202" s="50">
        <v>0.000645</v>
      </c>
      <c r="X202" s="50">
        <v>0.004236</v>
      </c>
      <c r="Y202" s="50">
        <v>0</v>
      </c>
      <c r="Z202" s="50">
        <v>0</v>
      </c>
      <c r="AA202" s="72">
        <v>202</v>
      </c>
      <c r="AB202" s="72"/>
      <c r="AC202" s="73"/>
      <c r="AD202" s="80" t="s">
        <v>1271</v>
      </c>
      <c r="AE202" s="80" t="s">
        <v>1328</v>
      </c>
      <c r="AF202" s="80"/>
      <c r="AG202" s="80"/>
      <c r="AH202" s="80"/>
      <c r="AI202" s="80"/>
      <c r="AJ202" s="87">
        <v>43078.97707175926</v>
      </c>
      <c r="AK202" s="85" t="str">
        <f>HYPERLINK("https://yt3.ggpht.com/jn-PhmHy4BD4lBwlUFfYhbemX9lWuL812d3TUSP8pFDGRX-5ADt-5I6mbIZiSeT1yPj63c63fi8=s88-c-k-c0x00ffffff-no-rj")</f>
        <v>https://yt3.ggpht.com/jn-PhmHy4BD4lBwlUFfYhbemX9lWuL812d3TUSP8pFDGRX-5ADt-5I6mbIZiSeT1yPj63c63fi8=s88-c-k-c0x00ffffff-no-rj</v>
      </c>
      <c r="AL202" s="80">
        <v>6413</v>
      </c>
      <c r="AM202" s="80">
        <v>0</v>
      </c>
      <c r="AN202" s="80">
        <v>173</v>
      </c>
      <c r="AO202" s="80" t="b">
        <v>0</v>
      </c>
      <c r="AP202" s="80">
        <v>49</v>
      </c>
      <c r="AQ202" s="80"/>
      <c r="AR202" s="80"/>
      <c r="AS202" s="80" t="s">
        <v>1376</v>
      </c>
      <c r="AT202" s="85" t="str">
        <f>HYPERLINK("https://www.youtube.com/channel/UCoHpLfLDotbsVyGvGlsekQA")</f>
        <v>https://www.youtube.com/channel/UCoHpLfLDotbsVyGvGlsekQA</v>
      </c>
      <c r="AU202" s="80" t="str">
        <f>REPLACE(INDEX(GroupVertices[Group],MATCH(Vertices[[#This Row],[Vertex]],GroupVertices[Vertex],0)),1,1,"")</f>
        <v>4</v>
      </c>
      <c r="AV202" s="49"/>
      <c r="AW202" s="50"/>
      <c r="AX202" s="49"/>
      <c r="AY202" s="50"/>
      <c r="AZ202" s="49"/>
      <c r="BA202" s="50"/>
      <c r="BB202" s="49"/>
      <c r="BC202" s="50"/>
      <c r="BD202" s="49"/>
      <c r="BE202" s="49"/>
      <c r="BF202" s="49"/>
      <c r="BG202" s="49"/>
      <c r="BH202" s="49"/>
      <c r="BI202" s="49"/>
      <c r="BJ202" s="49"/>
      <c r="BK202" s="111" t="s">
        <v>1239</v>
      </c>
      <c r="BL202" s="111" t="s">
        <v>1239</v>
      </c>
      <c r="BM202" s="111" t="s">
        <v>1239</v>
      </c>
      <c r="BN202" s="111" t="s">
        <v>1239</v>
      </c>
      <c r="BO202" s="2"/>
      <c r="BP202" s="3"/>
      <c r="BQ202" s="3"/>
      <c r="BR202" s="3"/>
      <c r="BS202" s="3"/>
    </row>
    <row r="203" spans="1:71" ht="15">
      <c r="A203" s="65" t="s">
        <v>518</v>
      </c>
      <c r="B203" s="66"/>
      <c r="C203" s="66"/>
      <c r="D203" s="67">
        <v>150</v>
      </c>
      <c r="E203" s="69"/>
      <c r="F203" s="103" t="str">
        <f>HYPERLINK("https://yt3.ggpht.com/FDfKuHnPhG3I6tuqBewPrfBR52VZcA5flYEbVrxDT724U0D37W757Vs4vLofuz8ObgN2nYOubQ=s88-c-k-c0x00ffffff-no-rj")</f>
        <v>https://yt3.ggpht.com/FDfKuHnPhG3I6tuqBewPrfBR52VZcA5flYEbVrxDT724U0D37W757Vs4vLofuz8ObgN2nYOubQ=s88-c-k-c0x00ffffff-no-rj</v>
      </c>
      <c r="G203" s="66"/>
      <c r="H203" s="70" t="s">
        <v>1031</v>
      </c>
      <c r="I203" s="71"/>
      <c r="J203" s="71" t="s">
        <v>159</v>
      </c>
      <c r="K203" s="70" t="s">
        <v>1031</v>
      </c>
      <c r="L203" s="74">
        <v>1</v>
      </c>
      <c r="M203" s="75">
        <v>7637.65478515625</v>
      </c>
      <c r="N203" s="75">
        <v>9412.1201171875</v>
      </c>
      <c r="O203" s="76"/>
      <c r="P203" s="77"/>
      <c r="Q203" s="77"/>
      <c r="R203" s="89"/>
      <c r="S203" s="49">
        <v>0</v>
      </c>
      <c r="T203" s="49">
        <v>1</v>
      </c>
      <c r="U203" s="50">
        <v>0</v>
      </c>
      <c r="V203" s="50">
        <v>0.146896</v>
      </c>
      <c r="W203" s="50">
        <v>0.004722</v>
      </c>
      <c r="X203" s="50">
        <v>0.003897</v>
      </c>
      <c r="Y203" s="50">
        <v>0</v>
      </c>
      <c r="Z203" s="50">
        <v>0</v>
      </c>
      <c r="AA203" s="72">
        <v>203</v>
      </c>
      <c r="AB203" s="72"/>
      <c r="AC203" s="73"/>
      <c r="AD203" s="80" t="s">
        <v>1031</v>
      </c>
      <c r="AE203" s="80"/>
      <c r="AF203" s="80"/>
      <c r="AG203" s="80"/>
      <c r="AH203" s="80"/>
      <c r="AI203" s="80"/>
      <c r="AJ203" s="87">
        <v>41435.268159722225</v>
      </c>
      <c r="AK203" s="85" t="str">
        <f>HYPERLINK("https://yt3.ggpht.com/FDfKuHnPhG3I6tuqBewPrfBR52VZcA5flYEbVrxDT724U0D37W757Vs4vLofuz8ObgN2nYOubQ=s88-c-k-c0x00ffffff-no-rj")</f>
        <v>https://yt3.ggpht.com/FDfKuHnPhG3I6tuqBewPrfBR52VZcA5flYEbVrxDT724U0D37W757Vs4vLofuz8ObgN2nYOubQ=s88-c-k-c0x00ffffff-no-rj</v>
      </c>
      <c r="AL203" s="80">
        <v>0</v>
      </c>
      <c r="AM203" s="80">
        <v>0</v>
      </c>
      <c r="AN203" s="80">
        <v>0</v>
      </c>
      <c r="AO203" s="80" t="b">
        <v>0</v>
      </c>
      <c r="AP203" s="80">
        <v>0</v>
      </c>
      <c r="AQ203" s="80"/>
      <c r="AR203" s="80"/>
      <c r="AS203" s="80" t="s">
        <v>1376</v>
      </c>
      <c r="AT203" s="85" t="str">
        <f>HYPERLINK("https://www.youtube.com/channel/UCmbTaq_33tRrVi_b7V2zzwg")</f>
        <v>https://www.youtube.com/channel/UCmbTaq_33tRrVi_b7V2zzwg</v>
      </c>
      <c r="AU203" s="80" t="str">
        <f>REPLACE(INDEX(GroupVertices[Group],MATCH(Vertices[[#This Row],[Vertex]],GroupVertices[Vertex],0)),1,1,"")</f>
        <v>3</v>
      </c>
      <c r="AV203" s="49">
        <v>2</v>
      </c>
      <c r="AW203" s="50">
        <v>25</v>
      </c>
      <c r="AX203" s="49">
        <v>0</v>
      </c>
      <c r="AY203" s="50">
        <v>0</v>
      </c>
      <c r="AZ203" s="49">
        <v>0</v>
      </c>
      <c r="BA203" s="50">
        <v>0</v>
      </c>
      <c r="BB203" s="49">
        <v>6</v>
      </c>
      <c r="BC203" s="50">
        <v>75</v>
      </c>
      <c r="BD203" s="49">
        <v>8</v>
      </c>
      <c r="BE203" s="49"/>
      <c r="BF203" s="49"/>
      <c r="BG203" s="49"/>
      <c r="BH203" s="49"/>
      <c r="BI203" s="49"/>
      <c r="BJ203" s="49"/>
      <c r="BK203" s="111" t="s">
        <v>2518</v>
      </c>
      <c r="BL203" s="111" t="s">
        <v>2518</v>
      </c>
      <c r="BM203" s="111" t="s">
        <v>2705</v>
      </c>
      <c r="BN203" s="111" t="s">
        <v>2705</v>
      </c>
      <c r="BO203" s="2"/>
      <c r="BP203" s="3"/>
      <c r="BQ203" s="3"/>
      <c r="BR203" s="3"/>
      <c r="BS203" s="3"/>
    </row>
    <row r="204" spans="1:71" ht="15">
      <c r="A204" s="65" t="s">
        <v>519</v>
      </c>
      <c r="B204" s="66"/>
      <c r="C204" s="66"/>
      <c r="D204" s="67">
        <v>150</v>
      </c>
      <c r="E204" s="69"/>
      <c r="F204" s="103" t="str">
        <f>HYPERLINK("https://yt3.ggpht.com/ytc/AKedOLSj3FvISI4Dbcj4bZch0_sVZO_O_-9XNuxJRYGQNQ=s88-c-k-c0x00ffffff-no-rj")</f>
        <v>https://yt3.ggpht.com/ytc/AKedOLSj3FvISI4Dbcj4bZch0_sVZO_O_-9XNuxJRYGQNQ=s88-c-k-c0x00ffffff-no-rj</v>
      </c>
      <c r="G204" s="66"/>
      <c r="H204" s="70" t="s">
        <v>1272</v>
      </c>
      <c r="I204" s="71"/>
      <c r="J204" s="71" t="s">
        <v>159</v>
      </c>
      <c r="K204" s="70" t="s">
        <v>1272</v>
      </c>
      <c r="L204" s="74">
        <v>1</v>
      </c>
      <c r="M204" s="75">
        <v>1609.8885498046875</v>
      </c>
      <c r="N204" s="75">
        <v>1056.879638671875</v>
      </c>
      <c r="O204" s="76"/>
      <c r="P204" s="77"/>
      <c r="Q204" s="77"/>
      <c r="R204" s="89"/>
      <c r="S204" s="49">
        <v>1</v>
      </c>
      <c r="T204" s="49">
        <v>1</v>
      </c>
      <c r="U204" s="50">
        <v>0</v>
      </c>
      <c r="V204" s="50">
        <v>0</v>
      </c>
      <c r="W204" s="50">
        <v>0</v>
      </c>
      <c r="X204" s="50">
        <v>0.004464</v>
      </c>
      <c r="Y204" s="50">
        <v>0</v>
      </c>
      <c r="Z204" s="50">
        <v>0</v>
      </c>
      <c r="AA204" s="72">
        <v>204</v>
      </c>
      <c r="AB204" s="72"/>
      <c r="AC204" s="73"/>
      <c r="AD204" s="80" t="s">
        <v>1272</v>
      </c>
      <c r="AE204" s="80" t="s">
        <v>1329</v>
      </c>
      <c r="AF204" s="80"/>
      <c r="AG204" s="80"/>
      <c r="AH204" s="80"/>
      <c r="AI204" s="80" t="s">
        <v>1368</v>
      </c>
      <c r="AJ204" s="87">
        <v>42408.52071759259</v>
      </c>
      <c r="AK204" s="85" t="str">
        <f>HYPERLINK("https://yt3.ggpht.com/ytc/AKedOLSj3FvISI4Dbcj4bZch0_sVZO_O_-9XNuxJRYGQNQ=s88-c-k-c0x00ffffff-no-rj")</f>
        <v>https://yt3.ggpht.com/ytc/AKedOLSj3FvISI4Dbcj4bZch0_sVZO_O_-9XNuxJRYGQNQ=s88-c-k-c0x00ffffff-no-rj</v>
      </c>
      <c r="AL204" s="80">
        <v>69810679</v>
      </c>
      <c r="AM204" s="80">
        <v>0</v>
      </c>
      <c r="AN204" s="80">
        <v>264000</v>
      </c>
      <c r="AO204" s="80" t="b">
        <v>0</v>
      </c>
      <c r="AP204" s="80">
        <v>12275</v>
      </c>
      <c r="AQ204" s="80"/>
      <c r="AR204" s="80"/>
      <c r="AS204" s="80" t="s">
        <v>1376</v>
      </c>
      <c r="AT204" s="85" t="str">
        <f>HYPERLINK("https://www.youtube.com/channel/UC6-_IKv5-IipN6rYvnyoNUg")</f>
        <v>https://www.youtube.com/channel/UC6-_IKv5-IipN6rYvnyoNUg</v>
      </c>
      <c r="AU204" s="80" t="str">
        <f>REPLACE(INDEX(GroupVertices[Group],MATCH(Vertices[[#This Row],[Vertex]],GroupVertices[Vertex],0)),1,1,"")</f>
        <v>2</v>
      </c>
      <c r="AV204" s="49"/>
      <c r="AW204" s="50"/>
      <c r="AX204" s="49"/>
      <c r="AY204" s="50"/>
      <c r="AZ204" s="49"/>
      <c r="BA204" s="50"/>
      <c r="BB204" s="49"/>
      <c r="BC204" s="50"/>
      <c r="BD204" s="49"/>
      <c r="BE204" s="49"/>
      <c r="BF204" s="49"/>
      <c r="BG204" s="49"/>
      <c r="BH204" s="49"/>
      <c r="BI204" s="49"/>
      <c r="BJ204" s="49"/>
      <c r="BK204" s="111" t="s">
        <v>1239</v>
      </c>
      <c r="BL204" s="111" t="s">
        <v>1239</v>
      </c>
      <c r="BM204" s="111" t="s">
        <v>1239</v>
      </c>
      <c r="BN204" s="111" t="s">
        <v>1239</v>
      </c>
      <c r="BO204" s="2"/>
      <c r="BP204" s="3"/>
      <c r="BQ204" s="3"/>
      <c r="BR204" s="3"/>
      <c r="BS204" s="3"/>
    </row>
    <row r="205" spans="1:71" ht="15">
      <c r="A205" s="65" t="s">
        <v>520</v>
      </c>
      <c r="B205" s="66"/>
      <c r="C205" s="66"/>
      <c r="D205" s="67">
        <v>150</v>
      </c>
      <c r="E205" s="69"/>
      <c r="F205" s="103" t="str">
        <f>HYPERLINK("https://yt3.ggpht.com/ytc/AKedOLRF2PFGtS9sc3OK9sj4Qib5IkVzfr3kp9sLyMDsfg=s88-c-k-c0x00ffffff-no-rj")</f>
        <v>https://yt3.ggpht.com/ytc/AKedOLRF2PFGtS9sc3OK9sj4Qib5IkVzfr3kp9sLyMDsfg=s88-c-k-c0x00ffffff-no-rj</v>
      </c>
      <c r="G205" s="66"/>
      <c r="H205" s="70" t="s">
        <v>1273</v>
      </c>
      <c r="I205" s="71"/>
      <c r="J205" s="71" t="s">
        <v>159</v>
      </c>
      <c r="K205" s="70" t="s">
        <v>1273</v>
      </c>
      <c r="L205" s="74">
        <v>1</v>
      </c>
      <c r="M205" s="75">
        <v>2211.38525390625</v>
      </c>
      <c r="N205" s="75">
        <v>1056.879638671875</v>
      </c>
      <c r="O205" s="76"/>
      <c r="P205" s="77"/>
      <c r="Q205" s="77"/>
      <c r="R205" s="89"/>
      <c r="S205" s="49">
        <v>1</v>
      </c>
      <c r="T205" s="49">
        <v>1</v>
      </c>
      <c r="U205" s="50">
        <v>0</v>
      </c>
      <c r="V205" s="50">
        <v>0</v>
      </c>
      <c r="W205" s="50">
        <v>0</v>
      </c>
      <c r="X205" s="50">
        <v>0.004464</v>
      </c>
      <c r="Y205" s="50">
        <v>0</v>
      </c>
      <c r="Z205" s="50">
        <v>0</v>
      </c>
      <c r="AA205" s="72">
        <v>205</v>
      </c>
      <c r="AB205" s="72"/>
      <c r="AC205" s="73"/>
      <c r="AD205" s="80" t="s">
        <v>1273</v>
      </c>
      <c r="AE205" s="80"/>
      <c r="AF205" s="80"/>
      <c r="AG205" s="80"/>
      <c r="AH205" s="80"/>
      <c r="AI205" s="80"/>
      <c r="AJ205" s="87">
        <v>40401.86981481482</v>
      </c>
      <c r="AK205" s="85" t="str">
        <f>HYPERLINK("https://yt3.ggpht.com/ytc/AKedOLRF2PFGtS9sc3OK9sj4Qib5IkVzfr3kp9sLyMDsfg=s88-c-k-c0x00ffffff-no-rj")</f>
        <v>https://yt3.ggpht.com/ytc/AKedOLRF2PFGtS9sc3OK9sj4Qib5IkVzfr3kp9sLyMDsfg=s88-c-k-c0x00ffffff-no-rj</v>
      </c>
      <c r="AL205" s="80">
        <v>875</v>
      </c>
      <c r="AM205" s="80">
        <v>0</v>
      </c>
      <c r="AN205" s="80">
        <v>6</v>
      </c>
      <c r="AO205" s="80" t="b">
        <v>0</v>
      </c>
      <c r="AP205" s="80">
        <v>3</v>
      </c>
      <c r="AQ205" s="80"/>
      <c r="AR205" s="80"/>
      <c r="AS205" s="80" t="s">
        <v>1376</v>
      </c>
      <c r="AT205" s="85" t="str">
        <f>HYPERLINK("https://www.youtube.com/channel/UC0ejCnEOTEswqFo4wd_6N9g")</f>
        <v>https://www.youtube.com/channel/UC0ejCnEOTEswqFo4wd_6N9g</v>
      </c>
      <c r="AU205" s="80" t="str">
        <f>REPLACE(INDEX(GroupVertices[Group],MATCH(Vertices[[#This Row],[Vertex]],GroupVertices[Vertex],0)),1,1,"")</f>
        <v>2</v>
      </c>
      <c r="AV205" s="49"/>
      <c r="AW205" s="50"/>
      <c r="AX205" s="49"/>
      <c r="AY205" s="50"/>
      <c r="AZ205" s="49"/>
      <c r="BA205" s="50"/>
      <c r="BB205" s="49"/>
      <c r="BC205" s="50"/>
      <c r="BD205" s="49"/>
      <c r="BE205" s="49"/>
      <c r="BF205" s="49"/>
      <c r="BG205" s="49"/>
      <c r="BH205" s="49"/>
      <c r="BI205" s="49"/>
      <c r="BJ205" s="49"/>
      <c r="BK205" s="111" t="s">
        <v>1239</v>
      </c>
      <c r="BL205" s="111" t="s">
        <v>1239</v>
      </c>
      <c r="BM205" s="111" t="s">
        <v>1239</v>
      </c>
      <c r="BN205" s="111" t="s">
        <v>1239</v>
      </c>
      <c r="BO205" s="2"/>
      <c r="BP205" s="3"/>
      <c r="BQ205" s="3"/>
      <c r="BR205" s="3"/>
      <c r="BS205" s="3"/>
    </row>
    <row r="206" spans="1:71" ht="15">
      <c r="A206" s="65" t="s">
        <v>522</v>
      </c>
      <c r="B206" s="66"/>
      <c r="C206" s="66"/>
      <c r="D206" s="67">
        <v>150</v>
      </c>
      <c r="E206" s="69"/>
      <c r="F206" s="103" t="str">
        <f>HYPERLINK("https://yt3.ggpht.com/ytc/AKedOLTAKydZkXmWSqwYCiPrVmzZmnCkA9dODL07Ew=s88-c-k-c0x00ffffff-no-rj")</f>
        <v>https://yt3.ggpht.com/ytc/AKedOLTAKydZkXmWSqwYCiPrVmzZmnCkA9dODL07Ew=s88-c-k-c0x00ffffff-no-rj</v>
      </c>
      <c r="G206" s="66"/>
      <c r="H206" s="70" t="s">
        <v>1274</v>
      </c>
      <c r="I206" s="71"/>
      <c r="J206" s="71" t="s">
        <v>159</v>
      </c>
      <c r="K206" s="70" t="s">
        <v>1274</v>
      </c>
      <c r="L206" s="74">
        <v>1</v>
      </c>
      <c r="M206" s="75">
        <v>1008.3917236328125</v>
      </c>
      <c r="N206" s="75">
        <v>1056.879638671875</v>
      </c>
      <c r="O206" s="76"/>
      <c r="P206" s="77"/>
      <c r="Q206" s="77"/>
      <c r="R206" s="89"/>
      <c r="S206" s="49">
        <v>1</v>
      </c>
      <c r="T206" s="49">
        <v>1</v>
      </c>
      <c r="U206" s="50">
        <v>0</v>
      </c>
      <c r="V206" s="50">
        <v>0</v>
      </c>
      <c r="W206" s="50">
        <v>0</v>
      </c>
      <c r="X206" s="50">
        <v>0.004464</v>
      </c>
      <c r="Y206" s="50">
        <v>0</v>
      </c>
      <c r="Z206" s="50">
        <v>0</v>
      </c>
      <c r="AA206" s="72">
        <v>206</v>
      </c>
      <c r="AB206" s="72"/>
      <c r="AC206" s="73"/>
      <c r="AD206" s="80" t="s">
        <v>1274</v>
      </c>
      <c r="AE206" s="80"/>
      <c r="AF206" s="80"/>
      <c r="AG206" s="80"/>
      <c r="AH206" s="80"/>
      <c r="AI206" s="80"/>
      <c r="AJ206" s="87">
        <v>43981.37986111111</v>
      </c>
      <c r="AK206" s="85" t="str">
        <f>HYPERLINK("https://yt3.ggpht.com/ytc/AKedOLTAKydZkXmWSqwYCiPrVmzZmnCkA9dODL07Ew=s88-c-k-c0x00ffffff-no-rj")</f>
        <v>https://yt3.ggpht.com/ytc/AKedOLTAKydZkXmWSqwYCiPrVmzZmnCkA9dODL07Ew=s88-c-k-c0x00ffffff-no-rj</v>
      </c>
      <c r="AL206" s="80">
        <v>1865</v>
      </c>
      <c r="AM206" s="80">
        <v>0</v>
      </c>
      <c r="AN206" s="80">
        <v>15</v>
      </c>
      <c r="AO206" s="80" t="b">
        <v>0</v>
      </c>
      <c r="AP206" s="80">
        <v>37</v>
      </c>
      <c r="AQ206" s="80"/>
      <c r="AR206" s="80"/>
      <c r="AS206" s="80" t="s">
        <v>1376</v>
      </c>
      <c r="AT206" s="85" t="str">
        <f>HYPERLINK("https://www.youtube.com/channel/UC66vVHIk59YgD3h1mm1KrXQ")</f>
        <v>https://www.youtube.com/channel/UC66vVHIk59YgD3h1mm1KrXQ</v>
      </c>
      <c r="AU206" s="80" t="str">
        <f>REPLACE(INDEX(GroupVertices[Group],MATCH(Vertices[[#This Row],[Vertex]],GroupVertices[Vertex],0)),1,1,"")</f>
        <v>2</v>
      </c>
      <c r="AV206" s="49"/>
      <c r="AW206" s="50"/>
      <c r="AX206" s="49"/>
      <c r="AY206" s="50"/>
      <c r="AZ206" s="49"/>
      <c r="BA206" s="50"/>
      <c r="BB206" s="49"/>
      <c r="BC206" s="50"/>
      <c r="BD206" s="49"/>
      <c r="BE206" s="49"/>
      <c r="BF206" s="49"/>
      <c r="BG206" s="49"/>
      <c r="BH206" s="49"/>
      <c r="BI206" s="49"/>
      <c r="BJ206" s="49"/>
      <c r="BK206" s="111" t="s">
        <v>1239</v>
      </c>
      <c r="BL206" s="111" t="s">
        <v>1239</v>
      </c>
      <c r="BM206" s="111" t="s">
        <v>1239</v>
      </c>
      <c r="BN206" s="111" t="s">
        <v>1239</v>
      </c>
      <c r="BO206" s="2"/>
      <c r="BP206" s="3"/>
      <c r="BQ206" s="3"/>
      <c r="BR206" s="3"/>
      <c r="BS206" s="3"/>
    </row>
    <row r="207" spans="1:71" ht="15">
      <c r="A207" s="65" t="s">
        <v>523</v>
      </c>
      <c r="B207" s="66"/>
      <c r="C207" s="66"/>
      <c r="D207" s="67">
        <v>150</v>
      </c>
      <c r="E207" s="69"/>
      <c r="F207" s="103" t="str">
        <f>HYPERLINK("https://yt3.ggpht.com/ytc/AKedOLQc98VRkeRCyQ7MdAafRN-MXuDKePXDpaWp_w=s88-c-k-c0x00ffffff-no-rj")</f>
        <v>https://yt3.ggpht.com/ytc/AKedOLQc98VRkeRCyQ7MdAafRN-MXuDKePXDpaWp_w=s88-c-k-c0x00ffffff-no-rj</v>
      </c>
      <c r="G207" s="66"/>
      <c r="H207" s="70" t="s">
        <v>1275</v>
      </c>
      <c r="I207" s="71"/>
      <c r="J207" s="71" t="s">
        <v>159</v>
      </c>
      <c r="K207" s="70" t="s">
        <v>1275</v>
      </c>
      <c r="L207" s="74">
        <v>1</v>
      </c>
      <c r="M207" s="75">
        <v>3414.37890625</v>
      </c>
      <c r="N207" s="75">
        <v>1663.4365234375</v>
      </c>
      <c r="O207" s="76"/>
      <c r="P207" s="77"/>
      <c r="Q207" s="77"/>
      <c r="R207" s="89"/>
      <c r="S207" s="49">
        <v>1</v>
      </c>
      <c r="T207" s="49">
        <v>1</v>
      </c>
      <c r="U207" s="50">
        <v>0</v>
      </c>
      <c r="V207" s="50">
        <v>0</v>
      </c>
      <c r="W207" s="50">
        <v>0</v>
      </c>
      <c r="X207" s="50">
        <v>0.004464</v>
      </c>
      <c r="Y207" s="50">
        <v>0</v>
      </c>
      <c r="Z207" s="50">
        <v>0</v>
      </c>
      <c r="AA207" s="72">
        <v>207</v>
      </c>
      <c r="AB207" s="72"/>
      <c r="AC207" s="73"/>
      <c r="AD207" s="80" t="s">
        <v>1275</v>
      </c>
      <c r="AE207" s="80"/>
      <c r="AF207" s="80"/>
      <c r="AG207" s="80"/>
      <c r="AH207" s="80"/>
      <c r="AI207" s="80"/>
      <c r="AJ207" s="87">
        <v>43130.77038194444</v>
      </c>
      <c r="AK207" s="85" t="str">
        <f>HYPERLINK("https://yt3.ggpht.com/ytc/AKedOLQc98VRkeRCyQ7MdAafRN-MXuDKePXDpaWp_w=s88-c-k-c0x00ffffff-no-rj")</f>
        <v>https://yt3.ggpht.com/ytc/AKedOLQc98VRkeRCyQ7MdAafRN-MXuDKePXDpaWp_w=s88-c-k-c0x00ffffff-no-rj</v>
      </c>
      <c r="AL207" s="80">
        <v>295</v>
      </c>
      <c r="AM207" s="80">
        <v>0</v>
      </c>
      <c r="AN207" s="80">
        <v>3</v>
      </c>
      <c r="AO207" s="80" t="b">
        <v>0</v>
      </c>
      <c r="AP207" s="80">
        <v>5</v>
      </c>
      <c r="AQ207" s="80"/>
      <c r="AR207" s="80"/>
      <c r="AS207" s="80" t="s">
        <v>1376</v>
      </c>
      <c r="AT207" s="85" t="str">
        <f>HYPERLINK("https://www.youtube.com/channel/UC4n1n-2l0CaRwTErBeFB_ww")</f>
        <v>https://www.youtube.com/channel/UC4n1n-2l0CaRwTErBeFB_ww</v>
      </c>
      <c r="AU207" s="80" t="str">
        <f>REPLACE(INDEX(GroupVertices[Group],MATCH(Vertices[[#This Row],[Vertex]],GroupVertices[Vertex],0)),1,1,"")</f>
        <v>2</v>
      </c>
      <c r="AV207" s="49"/>
      <c r="AW207" s="50"/>
      <c r="AX207" s="49"/>
      <c r="AY207" s="50"/>
      <c r="AZ207" s="49"/>
      <c r="BA207" s="50"/>
      <c r="BB207" s="49"/>
      <c r="BC207" s="50"/>
      <c r="BD207" s="49"/>
      <c r="BE207" s="49"/>
      <c r="BF207" s="49"/>
      <c r="BG207" s="49"/>
      <c r="BH207" s="49"/>
      <c r="BI207" s="49"/>
      <c r="BJ207" s="49"/>
      <c r="BK207" s="111" t="s">
        <v>1239</v>
      </c>
      <c r="BL207" s="111" t="s">
        <v>1239</v>
      </c>
      <c r="BM207" s="111" t="s">
        <v>1239</v>
      </c>
      <c r="BN207" s="111" t="s">
        <v>1239</v>
      </c>
      <c r="BO207" s="2"/>
      <c r="BP207" s="3"/>
      <c r="BQ207" s="3"/>
      <c r="BR207" s="3"/>
      <c r="BS207" s="3"/>
    </row>
    <row r="208" spans="1:71" ht="15">
      <c r="A208" s="65" t="s">
        <v>524</v>
      </c>
      <c r="B208" s="66"/>
      <c r="C208" s="66"/>
      <c r="D208" s="67">
        <v>150</v>
      </c>
      <c r="E208" s="69"/>
      <c r="F208" s="103" t="str">
        <f>HYPERLINK("https://yt3.ggpht.com/ytc/AKedOLQTHvrnkuuHGU1lmP5GY2mPQS4m70Yb6bciVAfq=s88-c-k-c0x00ffffff-no-rj")</f>
        <v>https://yt3.ggpht.com/ytc/AKedOLQTHvrnkuuHGU1lmP5GY2mPQS4m70Yb6bciVAfq=s88-c-k-c0x00ffffff-no-rj</v>
      </c>
      <c r="G208" s="66"/>
      <c r="H208" s="70" t="s">
        <v>1276</v>
      </c>
      <c r="I208" s="71"/>
      <c r="J208" s="71" t="s">
        <v>159</v>
      </c>
      <c r="K208" s="70" t="s">
        <v>1276</v>
      </c>
      <c r="L208" s="74">
        <v>1</v>
      </c>
      <c r="M208" s="75">
        <v>406.8948974609375</v>
      </c>
      <c r="N208" s="75">
        <v>1056.879638671875</v>
      </c>
      <c r="O208" s="76"/>
      <c r="P208" s="77"/>
      <c r="Q208" s="77"/>
      <c r="R208" s="89"/>
      <c r="S208" s="49">
        <v>1</v>
      </c>
      <c r="T208" s="49">
        <v>1</v>
      </c>
      <c r="U208" s="50">
        <v>0</v>
      </c>
      <c r="V208" s="50">
        <v>0</v>
      </c>
      <c r="W208" s="50">
        <v>0</v>
      </c>
      <c r="X208" s="50">
        <v>0.004464</v>
      </c>
      <c r="Y208" s="50">
        <v>0</v>
      </c>
      <c r="Z208" s="50">
        <v>0</v>
      </c>
      <c r="AA208" s="72">
        <v>208</v>
      </c>
      <c r="AB208" s="72"/>
      <c r="AC208" s="73"/>
      <c r="AD208" s="80" t="s">
        <v>1276</v>
      </c>
      <c r="AE208" s="80"/>
      <c r="AF208" s="80"/>
      <c r="AG208" s="80"/>
      <c r="AH208" s="80"/>
      <c r="AI208" s="80"/>
      <c r="AJ208" s="87">
        <v>40203.69099537037</v>
      </c>
      <c r="AK208" s="85" t="str">
        <f>HYPERLINK("https://yt3.ggpht.com/ytc/AKedOLQTHvrnkuuHGU1lmP5GY2mPQS4m70Yb6bciVAfq=s88-c-k-c0x00ffffff-no-rj")</f>
        <v>https://yt3.ggpht.com/ytc/AKedOLQTHvrnkuuHGU1lmP5GY2mPQS4m70Yb6bciVAfq=s88-c-k-c0x00ffffff-no-rj</v>
      </c>
      <c r="AL208" s="80">
        <v>30238</v>
      </c>
      <c r="AM208" s="80">
        <v>0</v>
      </c>
      <c r="AN208" s="80">
        <v>248</v>
      </c>
      <c r="AO208" s="80" t="b">
        <v>0</v>
      </c>
      <c r="AP208" s="80">
        <v>419</v>
      </c>
      <c r="AQ208" s="80"/>
      <c r="AR208" s="80"/>
      <c r="AS208" s="80" t="s">
        <v>1376</v>
      </c>
      <c r="AT208" s="85" t="str">
        <f>HYPERLINK("https://www.youtube.com/channel/UCyCJVMyIh50PLFp6vCZ6-Zw")</f>
        <v>https://www.youtube.com/channel/UCyCJVMyIh50PLFp6vCZ6-Zw</v>
      </c>
      <c r="AU208" s="80" t="str">
        <f>REPLACE(INDEX(GroupVertices[Group],MATCH(Vertices[[#This Row],[Vertex]],GroupVertices[Vertex],0)),1,1,"")</f>
        <v>2</v>
      </c>
      <c r="AV208" s="49"/>
      <c r="AW208" s="50"/>
      <c r="AX208" s="49"/>
      <c r="AY208" s="50"/>
      <c r="AZ208" s="49"/>
      <c r="BA208" s="50"/>
      <c r="BB208" s="49"/>
      <c r="BC208" s="50"/>
      <c r="BD208" s="49"/>
      <c r="BE208" s="49"/>
      <c r="BF208" s="49"/>
      <c r="BG208" s="49"/>
      <c r="BH208" s="49"/>
      <c r="BI208" s="49"/>
      <c r="BJ208" s="49"/>
      <c r="BK208" s="111" t="s">
        <v>1239</v>
      </c>
      <c r="BL208" s="111" t="s">
        <v>1239</v>
      </c>
      <c r="BM208" s="111" t="s">
        <v>1239</v>
      </c>
      <c r="BN208" s="111" t="s">
        <v>1239</v>
      </c>
      <c r="BO208" s="2"/>
      <c r="BP208" s="3"/>
      <c r="BQ208" s="3"/>
      <c r="BR208" s="3"/>
      <c r="BS208" s="3"/>
    </row>
    <row r="209" spans="1:71" ht="15">
      <c r="A209" s="65" t="s">
        <v>527</v>
      </c>
      <c r="B209" s="66"/>
      <c r="C209" s="66"/>
      <c r="D209" s="67">
        <v>150</v>
      </c>
      <c r="E209" s="69"/>
      <c r="F209" s="103" t="str">
        <f>HYPERLINK("https://yt3.ggpht.com/ytc/AKedOLTWugi5dx8nsNyZW03j0lPo49sWgxPMHGTheCwk=s88-c-k-c0x00ffffff-no-rj")</f>
        <v>https://yt3.ggpht.com/ytc/AKedOLTWugi5dx8nsNyZW03j0lPo49sWgxPMHGTheCwk=s88-c-k-c0x00ffffff-no-rj</v>
      </c>
      <c r="G209" s="66"/>
      <c r="H209" s="70" t="s">
        <v>1277</v>
      </c>
      <c r="I209" s="71"/>
      <c r="J209" s="71" t="s">
        <v>159</v>
      </c>
      <c r="K209" s="70" t="s">
        <v>1277</v>
      </c>
      <c r="L209" s="74">
        <v>1</v>
      </c>
      <c r="M209" s="75">
        <v>2812.882080078125</v>
      </c>
      <c r="N209" s="75">
        <v>1056.879638671875</v>
      </c>
      <c r="O209" s="76"/>
      <c r="P209" s="77"/>
      <c r="Q209" s="77"/>
      <c r="R209" s="89"/>
      <c r="S209" s="49">
        <v>1</v>
      </c>
      <c r="T209" s="49">
        <v>1</v>
      </c>
      <c r="U209" s="50">
        <v>0</v>
      </c>
      <c r="V209" s="50">
        <v>0</v>
      </c>
      <c r="W209" s="50">
        <v>0</v>
      </c>
      <c r="X209" s="50">
        <v>0.004464</v>
      </c>
      <c r="Y209" s="50">
        <v>0</v>
      </c>
      <c r="Z209" s="50">
        <v>0</v>
      </c>
      <c r="AA209" s="72">
        <v>209</v>
      </c>
      <c r="AB209" s="72"/>
      <c r="AC209" s="73"/>
      <c r="AD209" s="80" t="s">
        <v>1277</v>
      </c>
      <c r="AE209" s="80" t="s">
        <v>1330</v>
      </c>
      <c r="AF209" s="80"/>
      <c r="AG209" s="80"/>
      <c r="AH209" s="80"/>
      <c r="AI209" s="80"/>
      <c r="AJ209" s="87">
        <v>40879.78696759259</v>
      </c>
      <c r="AK209" s="85" t="str">
        <f>HYPERLINK("https://yt3.ggpht.com/ytc/AKedOLTWugi5dx8nsNyZW03j0lPo49sWgxPMHGTheCwk=s88-c-k-c0x00ffffff-no-rj")</f>
        <v>https://yt3.ggpht.com/ytc/AKedOLTWugi5dx8nsNyZW03j0lPo49sWgxPMHGTheCwk=s88-c-k-c0x00ffffff-no-rj</v>
      </c>
      <c r="AL209" s="80">
        <v>230683</v>
      </c>
      <c r="AM209" s="80">
        <v>0</v>
      </c>
      <c r="AN209" s="80">
        <v>1160</v>
      </c>
      <c r="AO209" s="80" t="b">
        <v>0</v>
      </c>
      <c r="AP209" s="80">
        <v>1834</v>
      </c>
      <c r="AQ209" s="80"/>
      <c r="AR209" s="80"/>
      <c r="AS209" s="80" t="s">
        <v>1376</v>
      </c>
      <c r="AT209" s="85" t="str">
        <f>HYPERLINK("https://www.youtube.com/channel/UCQVbb4dGKq_eQU0Urm0imww")</f>
        <v>https://www.youtube.com/channel/UCQVbb4dGKq_eQU0Urm0imww</v>
      </c>
      <c r="AU209" s="80" t="str">
        <f>REPLACE(INDEX(GroupVertices[Group],MATCH(Vertices[[#This Row],[Vertex]],GroupVertices[Vertex],0)),1,1,"")</f>
        <v>2</v>
      </c>
      <c r="AV209" s="49"/>
      <c r="AW209" s="50"/>
      <c r="AX209" s="49"/>
      <c r="AY209" s="50"/>
      <c r="AZ209" s="49"/>
      <c r="BA209" s="50"/>
      <c r="BB209" s="49"/>
      <c r="BC209" s="50"/>
      <c r="BD209" s="49"/>
      <c r="BE209" s="49"/>
      <c r="BF209" s="49"/>
      <c r="BG209" s="49"/>
      <c r="BH209" s="49"/>
      <c r="BI209" s="49"/>
      <c r="BJ209" s="49"/>
      <c r="BK209" s="111" t="s">
        <v>1239</v>
      </c>
      <c r="BL209" s="111" t="s">
        <v>1239</v>
      </c>
      <c r="BM209" s="111" t="s">
        <v>1239</v>
      </c>
      <c r="BN209" s="111" t="s">
        <v>1239</v>
      </c>
      <c r="BO209" s="2"/>
      <c r="BP209" s="3"/>
      <c r="BQ209" s="3"/>
      <c r="BR209" s="3"/>
      <c r="BS209" s="3"/>
    </row>
    <row r="210" spans="1:71" ht="15">
      <c r="A210" s="65" t="s">
        <v>528</v>
      </c>
      <c r="B210" s="66"/>
      <c r="C210" s="66"/>
      <c r="D210" s="67">
        <v>150</v>
      </c>
      <c r="E210" s="69"/>
      <c r="F210" s="103" t="str">
        <f>HYPERLINK("https://yt3.ggpht.com/ytc/AKedOLROCPtxwySYmI5-2bwdwulEO3q9XUy39HCQfl6DRA=s88-c-k-c0x00ffffff-no-rj")</f>
        <v>https://yt3.ggpht.com/ytc/AKedOLROCPtxwySYmI5-2bwdwulEO3q9XUy39HCQfl6DRA=s88-c-k-c0x00ffffff-no-rj</v>
      </c>
      <c r="G210" s="66"/>
      <c r="H210" s="70" t="s">
        <v>1278</v>
      </c>
      <c r="I210" s="71"/>
      <c r="J210" s="71" t="s">
        <v>159</v>
      </c>
      <c r="K210" s="70" t="s">
        <v>1278</v>
      </c>
      <c r="L210" s="74">
        <v>1</v>
      </c>
      <c r="M210" s="75">
        <v>1609.8885498046875</v>
      </c>
      <c r="N210" s="75">
        <v>450.3226013183594</v>
      </c>
      <c r="O210" s="76"/>
      <c r="P210" s="77"/>
      <c r="Q210" s="77"/>
      <c r="R210" s="89"/>
      <c r="S210" s="49">
        <v>1</v>
      </c>
      <c r="T210" s="49">
        <v>1</v>
      </c>
      <c r="U210" s="50">
        <v>0</v>
      </c>
      <c r="V210" s="50">
        <v>0</v>
      </c>
      <c r="W210" s="50">
        <v>0</v>
      </c>
      <c r="X210" s="50">
        <v>0.004464</v>
      </c>
      <c r="Y210" s="50">
        <v>0</v>
      </c>
      <c r="Z210" s="50">
        <v>0</v>
      </c>
      <c r="AA210" s="72">
        <v>210</v>
      </c>
      <c r="AB210" s="72"/>
      <c r="AC210" s="73"/>
      <c r="AD210" s="80" t="s">
        <v>1278</v>
      </c>
      <c r="AE210" s="80" t="s">
        <v>1331</v>
      </c>
      <c r="AF210" s="80"/>
      <c r="AG210" s="80"/>
      <c r="AH210" s="80"/>
      <c r="AI210" s="80"/>
      <c r="AJ210" s="87">
        <v>39746.01824074074</v>
      </c>
      <c r="AK210" s="85" t="str">
        <f>HYPERLINK("https://yt3.ggpht.com/ytc/AKedOLROCPtxwySYmI5-2bwdwulEO3q9XUy39HCQfl6DRA=s88-c-k-c0x00ffffff-no-rj")</f>
        <v>https://yt3.ggpht.com/ytc/AKedOLROCPtxwySYmI5-2bwdwulEO3q9XUy39HCQfl6DRA=s88-c-k-c0x00ffffff-no-rj</v>
      </c>
      <c r="AL210" s="80">
        <v>43331203</v>
      </c>
      <c r="AM210" s="80">
        <v>0</v>
      </c>
      <c r="AN210" s="80">
        <v>272000</v>
      </c>
      <c r="AO210" s="80" t="b">
        <v>0</v>
      </c>
      <c r="AP210" s="80">
        <v>9011</v>
      </c>
      <c r="AQ210" s="80"/>
      <c r="AR210" s="80"/>
      <c r="AS210" s="80" t="s">
        <v>1376</v>
      </c>
      <c r="AT210" s="85" t="str">
        <f>HYPERLINK("https://www.youtube.com/channel/UCCb9_Kn8F_Opb3UCGm-lILQ")</f>
        <v>https://www.youtube.com/channel/UCCb9_Kn8F_Opb3UCGm-lILQ</v>
      </c>
      <c r="AU210" s="80" t="str">
        <f>REPLACE(INDEX(GroupVertices[Group],MATCH(Vertices[[#This Row],[Vertex]],GroupVertices[Vertex],0)),1,1,"")</f>
        <v>2</v>
      </c>
      <c r="AV210" s="49"/>
      <c r="AW210" s="50"/>
      <c r="AX210" s="49"/>
      <c r="AY210" s="50"/>
      <c r="AZ210" s="49"/>
      <c r="BA210" s="50"/>
      <c r="BB210" s="49"/>
      <c r="BC210" s="50"/>
      <c r="BD210" s="49"/>
      <c r="BE210" s="49"/>
      <c r="BF210" s="49"/>
      <c r="BG210" s="49"/>
      <c r="BH210" s="49"/>
      <c r="BI210" s="49"/>
      <c r="BJ210" s="49"/>
      <c r="BK210" s="111" t="s">
        <v>1239</v>
      </c>
      <c r="BL210" s="111" t="s">
        <v>1239</v>
      </c>
      <c r="BM210" s="111" t="s">
        <v>1239</v>
      </c>
      <c r="BN210" s="111" t="s">
        <v>1239</v>
      </c>
      <c r="BO210" s="2"/>
      <c r="BP210" s="3"/>
      <c r="BQ210" s="3"/>
      <c r="BR210" s="3"/>
      <c r="BS210" s="3"/>
    </row>
    <row r="211" spans="1:71" ht="15">
      <c r="A211" s="65" t="s">
        <v>530</v>
      </c>
      <c r="B211" s="66"/>
      <c r="C211" s="66"/>
      <c r="D211" s="67">
        <v>150</v>
      </c>
      <c r="E211" s="69"/>
      <c r="F211" s="103" t="str">
        <f>HYPERLINK("https://yt3.ggpht.com/hRiFSzPdU2i6MuPayOZk-41YIljtHoCm2YThIp_YQjzCEvqe9MJk4djuCJhZRstoMFWT5sAJvg=s88-c-k-c0x00ffffff-no-rj")</f>
        <v>https://yt3.ggpht.com/hRiFSzPdU2i6MuPayOZk-41YIljtHoCm2YThIp_YQjzCEvqe9MJk4djuCJhZRstoMFWT5sAJvg=s88-c-k-c0x00ffffff-no-rj</v>
      </c>
      <c r="G211" s="66"/>
      <c r="H211" s="70" t="s">
        <v>1279</v>
      </c>
      <c r="I211" s="71"/>
      <c r="J211" s="71" t="s">
        <v>159</v>
      </c>
      <c r="K211" s="70" t="s">
        <v>1279</v>
      </c>
      <c r="L211" s="74">
        <v>1</v>
      </c>
      <c r="M211" s="75">
        <v>2211.38525390625</v>
      </c>
      <c r="N211" s="75">
        <v>450.3226013183594</v>
      </c>
      <c r="O211" s="76"/>
      <c r="P211" s="77"/>
      <c r="Q211" s="77"/>
      <c r="R211" s="89"/>
      <c r="S211" s="49">
        <v>1</v>
      </c>
      <c r="T211" s="49">
        <v>1</v>
      </c>
      <c r="U211" s="50">
        <v>0</v>
      </c>
      <c r="V211" s="50">
        <v>0</v>
      </c>
      <c r="W211" s="50">
        <v>0</v>
      </c>
      <c r="X211" s="50">
        <v>0.004464</v>
      </c>
      <c r="Y211" s="50">
        <v>0</v>
      </c>
      <c r="Z211" s="50">
        <v>0</v>
      </c>
      <c r="AA211" s="72">
        <v>211</v>
      </c>
      <c r="AB211" s="72"/>
      <c r="AC211" s="73"/>
      <c r="AD211" s="80" t="s">
        <v>1279</v>
      </c>
      <c r="AE211" s="80"/>
      <c r="AF211" s="80"/>
      <c r="AG211" s="80"/>
      <c r="AH211" s="80"/>
      <c r="AI211" s="80" t="s">
        <v>1369</v>
      </c>
      <c r="AJ211" s="87">
        <v>40181.71949074074</v>
      </c>
      <c r="AK211" s="85" t="str">
        <f>HYPERLINK("https://yt3.ggpht.com/hRiFSzPdU2i6MuPayOZk-41YIljtHoCm2YThIp_YQjzCEvqe9MJk4djuCJhZRstoMFWT5sAJvg=s88-c-k-c0x00ffffff-no-rj")</f>
        <v>https://yt3.ggpht.com/hRiFSzPdU2i6MuPayOZk-41YIljtHoCm2YThIp_YQjzCEvqe9MJk4djuCJhZRstoMFWT5sAJvg=s88-c-k-c0x00ffffff-no-rj</v>
      </c>
      <c r="AL211" s="80">
        <v>5371</v>
      </c>
      <c r="AM211" s="80">
        <v>0</v>
      </c>
      <c r="AN211" s="80">
        <v>12</v>
      </c>
      <c r="AO211" s="80" t="b">
        <v>0</v>
      </c>
      <c r="AP211" s="80">
        <v>11</v>
      </c>
      <c r="AQ211" s="80"/>
      <c r="AR211" s="80"/>
      <c r="AS211" s="80" t="s">
        <v>1376</v>
      </c>
      <c r="AT211" s="85" t="str">
        <f>HYPERLINK("https://www.youtube.com/channel/UCPV_4r46H2Qo-jvCJOshyCw")</f>
        <v>https://www.youtube.com/channel/UCPV_4r46H2Qo-jvCJOshyCw</v>
      </c>
      <c r="AU211" s="80" t="str">
        <f>REPLACE(INDEX(GroupVertices[Group],MATCH(Vertices[[#This Row],[Vertex]],GroupVertices[Vertex],0)),1,1,"")</f>
        <v>2</v>
      </c>
      <c r="AV211" s="49"/>
      <c r="AW211" s="50"/>
      <c r="AX211" s="49"/>
      <c r="AY211" s="50"/>
      <c r="AZ211" s="49"/>
      <c r="BA211" s="50"/>
      <c r="BB211" s="49"/>
      <c r="BC211" s="50"/>
      <c r="BD211" s="49"/>
      <c r="BE211" s="49"/>
      <c r="BF211" s="49"/>
      <c r="BG211" s="49"/>
      <c r="BH211" s="49"/>
      <c r="BI211" s="49"/>
      <c r="BJ211" s="49"/>
      <c r="BK211" s="111" t="s">
        <v>1239</v>
      </c>
      <c r="BL211" s="111" t="s">
        <v>1239</v>
      </c>
      <c r="BM211" s="111" t="s">
        <v>1239</v>
      </c>
      <c r="BN211" s="111" t="s">
        <v>1239</v>
      </c>
      <c r="BO211" s="2"/>
      <c r="BP211" s="3"/>
      <c r="BQ211" s="3"/>
      <c r="BR211" s="3"/>
      <c r="BS211" s="3"/>
    </row>
    <row r="212" spans="1:71" ht="15">
      <c r="A212" s="65" t="s">
        <v>532</v>
      </c>
      <c r="B212" s="66"/>
      <c r="C212" s="66"/>
      <c r="D212" s="67">
        <v>150</v>
      </c>
      <c r="E212" s="69"/>
      <c r="F212" s="103" t="str">
        <f>HYPERLINK("https://yt3.ggpht.com/ytc/AKedOLSjP9fchrwSqvIBvOgovxcCBYgrbvFTjknX27Q7s4M=s88-c-k-c0x00ffffff-no-rj")</f>
        <v>https://yt3.ggpht.com/ytc/AKedOLSjP9fchrwSqvIBvOgovxcCBYgrbvFTjknX27Q7s4M=s88-c-k-c0x00ffffff-no-rj</v>
      </c>
      <c r="G212" s="66"/>
      <c r="H212" s="70" t="s">
        <v>1280</v>
      </c>
      <c r="I212" s="71"/>
      <c r="J212" s="71" t="s">
        <v>159</v>
      </c>
      <c r="K212" s="70" t="s">
        <v>1280</v>
      </c>
      <c r="L212" s="74">
        <v>1</v>
      </c>
      <c r="M212" s="75">
        <v>1008.3917236328125</v>
      </c>
      <c r="N212" s="75">
        <v>450.3226013183594</v>
      </c>
      <c r="O212" s="76"/>
      <c r="P212" s="77"/>
      <c r="Q212" s="77"/>
      <c r="R212" s="89"/>
      <c r="S212" s="49">
        <v>1</v>
      </c>
      <c r="T212" s="49">
        <v>1</v>
      </c>
      <c r="U212" s="50">
        <v>0</v>
      </c>
      <c r="V212" s="50">
        <v>0</v>
      </c>
      <c r="W212" s="50">
        <v>0</v>
      </c>
      <c r="X212" s="50">
        <v>0.004464</v>
      </c>
      <c r="Y212" s="50">
        <v>0</v>
      </c>
      <c r="Z212" s="50">
        <v>0</v>
      </c>
      <c r="AA212" s="72">
        <v>212</v>
      </c>
      <c r="AB212" s="72"/>
      <c r="AC212" s="73"/>
      <c r="AD212" s="80" t="s">
        <v>1280</v>
      </c>
      <c r="AE212" s="80"/>
      <c r="AF212" s="80"/>
      <c r="AG212" s="80"/>
      <c r="AH212" s="80"/>
      <c r="AI212" s="80" t="s">
        <v>1370</v>
      </c>
      <c r="AJ212" s="87">
        <v>40843.84108796297</v>
      </c>
      <c r="AK212" s="85" t="str">
        <f>HYPERLINK("https://yt3.ggpht.com/ytc/AKedOLSjP9fchrwSqvIBvOgovxcCBYgrbvFTjknX27Q7s4M=s88-c-k-c0x00ffffff-no-rj")</f>
        <v>https://yt3.ggpht.com/ytc/AKedOLSjP9fchrwSqvIBvOgovxcCBYgrbvFTjknX27Q7s4M=s88-c-k-c0x00ffffff-no-rj</v>
      </c>
      <c r="AL212" s="80">
        <v>63</v>
      </c>
      <c r="AM212" s="80">
        <v>0</v>
      </c>
      <c r="AN212" s="80">
        <v>0</v>
      </c>
      <c r="AO212" s="80" t="b">
        <v>0</v>
      </c>
      <c r="AP212" s="80">
        <v>5</v>
      </c>
      <c r="AQ212" s="80"/>
      <c r="AR212" s="80"/>
      <c r="AS212" s="80" t="s">
        <v>1376</v>
      </c>
      <c r="AT212" s="85" t="str">
        <f>HYPERLINK("https://www.youtube.com/channel/UCNciB2joNhQCbcvuS_sf_fQ")</f>
        <v>https://www.youtube.com/channel/UCNciB2joNhQCbcvuS_sf_fQ</v>
      </c>
      <c r="AU212" s="80" t="str">
        <f>REPLACE(INDEX(GroupVertices[Group],MATCH(Vertices[[#This Row],[Vertex]],GroupVertices[Vertex],0)),1,1,"")</f>
        <v>2</v>
      </c>
      <c r="AV212" s="49"/>
      <c r="AW212" s="50"/>
      <c r="AX212" s="49"/>
      <c r="AY212" s="50"/>
      <c r="AZ212" s="49"/>
      <c r="BA212" s="50"/>
      <c r="BB212" s="49"/>
      <c r="BC212" s="50"/>
      <c r="BD212" s="49"/>
      <c r="BE212" s="49"/>
      <c r="BF212" s="49"/>
      <c r="BG212" s="49"/>
      <c r="BH212" s="49"/>
      <c r="BI212" s="49"/>
      <c r="BJ212" s="49"/>
      <c r="BK212" s="111" t="s">
        <v>1239</v>
      </c>
      <c r="BL212" s="111" t="s">
        <v>1239</v>
      </c>
      <c r="BM212" s="111" t="s">
        <v>1239</v>
      </c>
      <c r="BN212" s="111" t="s">
        <v>1239</v>
      </c>
      <c r="BO212" s="2"/>
      <c r="BP212" s="3"/>
      <c r="BQ212" s="3"/>
      <c r="BR212" s="3"/>
      <c r="BS212" s="3"/>
    </row>
    <row r="213" spans="1:71" ht="15">
      <c r="A213" s="65" t="s">
        <v>533</v>
      </c>
      <c r="B213" s="66"/>
      <c r="C213" s="66"/>
      <c r="D213" s="67">
        <v>150</v>
      </c>
      <c r="E213" s="69"/>
      <c r="F213" s="103" t="str">
        <f>HYPERLINK("https://yt3.ggpht.com/ytc/AKedOLTcifZhLqIIg9w0pG12z4UHvGrAU8FHE7eAZg0C=s88-c-k-c0x00ffffff-no-rj")</f>
        <v>https://yt3.ggpht.com/ytc/AKedOLTcifZhLqIIg9w0pG12z4UHvGrAU8FHE7eAZg0C=s88-c-k-c0x00ffffff-no-rj</v>
      </c>
      <c r="G213" s="66"/>
      <c r="H213" s="70" t="s">
        <v>1281</v>
      </c>
      <c r="I213" s="71"/>
      <c r="J213" s="71" t="s">
        <v>159</v>
      </c>
      <c r="K213" s="70" t="s">
        <v>1281</v>
      </c>
      <c r="L213" s="74">
        <v>1</v>
      </c>
      <c r="M213" s="75">
        <v>3414.37890625</v>
      </c>
      <c r="N213" s="75">
        <v>1056.879638671875</v>
      </c>
      <c r="O213" s="76"/>
      <c r="P213" s="77"/>
      <c r="Q213" s="77"/>
      <c r="R213" s="89"/>
      <c r="S213" s="49">
        <v>1</v>
      </c>
      <c r="T213" s="49">
        <v>1</v>
      </c>
      <c r="U213" s="50">
        <v>0</v>
      </c>
      <c r="V213" s="50">
        <v>0</v>
      </c>
      <c r="W213" s="50">
        <v>0</v>
      </c>
      <c r="X213" s="50">
        <v>0.004464</v>
      </c>
      <c r="Y213" s="50">
        <v>0</v>
      </c>
      <c r="Z213" s="50">
        <v>0</v>
      </c>
      <c r="AA213" s="72">
        <v>213</v>
      </c>
      <c r="AB213" s="72"/>
      <c r="AC213" s="73"/>
      <c r="AD213" s="80" t="s">
        <v>1281</v>
      </c>
      <c r="AE213" s="80"/>
      <c r="AF213" s="80"/>
      <c r="AG213" s="80"/>
      <c r="AH213" s="80"/>
      <c r="AI213" s="80"/>
      <c r="AJ213" s="87">
        <v>40829.82105324074</v>
      </c>
      <c r="AK213" s="85" t="str">
        <f>HYPERLINK("https://yt3.ggpht.com/ytc/AKedOLTcifZhLqIIg9w0pG12z4UHvGrAU8FHE7eAZg0C=s88-c-k-c0x00ffffff-no-rj")</f>
        <v>https://yt3.ggpht.com/ytc/AKedOLTcifZhLqIIg9w0pG12z4UHvGrAU8FHE7eAZg0C=s88-c-k-c0x00ffffff-no-rj</v>
      </c>
      <c r="AL213" s="80">
        <v>139932</v>
      </c>
      <c r="AM213" s="80">
        <v>0</v>
      </c>
      <c r="AN213" s="80">
        <v>532</v>
      </c>
      <c r="AO213" s="80" t="b">
        <v>0</v>
      </c>
      <c r="AP213" s="80">
        <v>64</v>
      </c>
      <c r="AQ213" s="80"/>
      <c r="AR213" s="80"/>
      <c r="AS213" s="80" t="s">
        <v>1376</v>
      </c>
      <c r="AT213" s="85" t="str">
        <f>HYPERLINK("https://www.youtube.com/channel/UCA6OvhEq-_c8R9hHdJkqp3A")</f>
        <v>https://www.youtube.com/channel/UCA6OvhEq-_c8R9hHdJkqp3A</v>
      </c>
      <c r="AU213" s="80" t="str">
        <f>REPLACE(INDEX(GroupVertices[Group],MATCH(Vertices[[#This Row],[Vertex]],GroupVertices[Vertex],0)),1,1,"")</f>
        <v>2</v>
      </c>
      <c r="AV213" s="49"/>
      <c r="AW213" s="50"/>
      <c r="AX213" s="49"/>
      <c r="AY213" s="50"/>
      <c r="AZ213" s="49"/>
      <c r="BA213" s="50"/>
      <c r="BB213" s="49"/>
      <c r="BC213" s="50"/>
      <c r="BD213" s="49"/>
      <c r="BE213" s="49"/>
      <c r="BF213" s="49"/>
      <c r="BG213" s="49"/>
      <c r="BH213" s="49"/>
      <c r="BI213" s="49"/>
      <c r="BJ213" s="49"/>
      <c r="BK213" s="111" t="s">
        <v>1239</v>
      </c>
      <c r="BL213" s="111" t="s">
        <v>1239</v>
      </c>
      <c r="BM213" s="111" t="s">
        <v>1239</v>
      </c>
      <c r="BN213" s="111" t="s">
        <v>1239</v>
      </c>
      <c r="BO213" s="2"/>
      <c r="BP213" s="3"/>
      <c r="BQ213" s="3"/>
      <c r="BR213" s="3"/>
      <c r="BS213" s="3"/>
    </row>
    <row r="214" spans="1:71" ht="15">
      <c r="A214" s="65" t="s">
        <v>534</v>
      </c>
      <c r="B214" s="66"/>
      <c r="C214" s="66"/>
      <c r="D214" s="67">
        <v>150</v>
      </c>
      <c r="E214" s="69"/>
      <c r="F214" s="103" t="str">
        <f>HYPERLINK("https://yt3.ggpht.com/ytc/AKedOLQteVRPwtt6FPj_sGlkImOk5tXvSezuMxBZDM0mNU0=s88-c-k-c0x00ffffff-no-rj")</f>
        <v>https://yt3.ggpht.com/ytc/AKedOLQteVRPwtt6FPj_sGlkImOk5tXvSezuMxBZDM0mNU0=s88-c-k-c0x00ffffff-no-rj</v>
      </c>
      <c r="G214" s="66"/>
      <c r="H214" s="70" t="s">
        <v>1282</v>
      </c>
      <c r="I214" s="71"/>
      <c r="J214" s="71" t="s">
        <v>159</v>
      </c>
      <c r="K214" s="70" t="s">
        <v>1282</v>
      </c>
      <c r="L214" s="74">
        <v>1</v>
      </c>
      <c r="M214" s="75">
        <v>406.8948974609375</v>
      </c>
      <c r="N214" s="75">
        <v>450.3226013183594</v>
      </c>
      <c r="O214" s="76"/>
      <c r="P214" s="77"/>
      <c r="Q214" s="77"/>
      <c r="R214" s="89"/>
      <c r="S214" s="49">
        <v>1</v>
      </c>
      <c r="T214" s="49">
        <v>1</v>
      </c>
      <c r="U214" s="50">
        <v>0</v>
      </c>
      <c r="V214" s="50">
        <v>0</v>
      </c>
      <c r="W214" s="50">
        <v>0</v>
      </c>
      <c r="X214" s="50">
        <v>0.004464</v>
      </c>
      <c r="Y214" s="50">
        <v>0</v>
      </c>
      <c r="Z214" s="50">
        <v>0</v>
      </c>
      <c r="AA214" s="72">
        <v>214</v>
      </c>
      <c r="AB214" s="72"/>
      <c r="AC214" s="73"/>
      <c r="AD214" s="80" t="s">
        <v>1282</v>
      </c>
      <c r="AE214" s="80" t="s">
        <v>1282</v>
      </c>
      <c r="AF214" s="80"/>
      <c r="AG214" s="80"/>
      <c r="AH214" s="80"/>
      <c r="AI214" s="80" t="s">
        <v>1371</v>
      </c>
      <c r="AJ214" s="87">
        <v>40328.495787037034</v>
      </c>
      <c r="AK214" s="85" t="str">
        <f>HYPERLINK("https://yt3.ggpht.com/ytc/AKedOLQteVRPwtt6FPj_sGlkImOk5tXvSezuMxBZDM0mNU0=s88-c-k-c0x00ffffff-no-rj")</f>
        <v>https://yt3.ggpht.com/ytc/AKedOLQteVRPwtt6FPj_sGlkImOk5tXvSezuMxBZDM0mNU0=s88-c-k-c0x00ffffff-no-rj</v>
      </c>
      <c r="AL214" s="80">
        <v>1281594</v>
      </c>
      <c r="AM214" s="80">
        <v>0</v>
      </c>
      <c r="AN214" s="80">
        <v>7080</v>
      </c>
      <c r="AO214" s="80" t="b">
        <v>0</v>
      </c>
      <c r="AP214" s="80">
        <v>197</v>
      </c>
      <c r="AQ214" s="80"/>
      <c r="AR214" s="80"/>
      <c r="AS214" s="80" t="s">
        <v>1376</v>
      </c>
      <c r="AT214" s="85" t="str">
        <f>HYPERLINK("https://www.youtube.com/channel/UCNZfOYWp05qz-k-2UKkfCTA")</f>
        <v>https://www.youtube.com/channel/UCNZfOYWp05qz-k-2UKkfCTA</v>
      </c>
      <c r="AU214" s="80" t="str">
        <f>REPLACE(INDEX(GroupVertices[Group],MATCH(Vertices[[#This Row],[Vertex]],GroupVertices[Vertex],0)),1,1,"")</f>
        <v>2</v>
      </c>
      <c r="AV214" s="49"/>
      <c r="AW214" s="50"/>
      <c r="AX214" s="49"/>
      <c r="AY214" s="50"/>
      <c r="AZ214" s="49"/>
      <c r="BA214" s="50"/>
      <c r="BB214" s="49"/>
      <c r="BC214" s="50"/>
      <c r="BD214" s="49"/>
      <c r="BE214" s="49"/>
      <c r="BF214" s="49"/>
      <c r="BG214" s="49"/>
      <c r="BH214" s="49"/>
      <c r="BI214" s="49"/>
      <c r="BJ214" s="49"/>
      <c r="BK214" s="111" t="s">
        <v>1239</v>
      </c>
      <c r="BL214" s="111" t="s">
        <v>1239</v>
      </c>
      <c r="BM214" s="111" t="s">
        <v>1239</v>
      </c>
      <c r="BN214" s="111" t="s">
        <v>1239</v>
      </c>
      <c r="BO214" s="2"/>
      <c r="BP214" s="3"/>
      <c r="BQ214" s="3"/>
      <c r="BR214" s="3"/>
      <c r="BS214" s="3"/>
    </row>
    <row r="215" spans="1:71" ht="15">
      <c r="A215" s="65" t="s">
        <v>535</v>
      </c>
      <c r="B215" s="66"/>
      <c r="C215" s="66"/>
      <c r="D215" s="67">
        <v>150</v>
      </c>
      <c r="E215" s="69"/>
      <c r="F215" s="103" t="str">
        <f>HYPERLINK("https://yt3.ggpht.com/ytc/AKedOLSWmS2cIPzeMT9wtpMsk_8SKTDjTo92IX87qrnf=s88-c-k-c0x00ffffff-no-rj")</f>
        <v>https://yt3.ggpht.com/ytc/AKedOLSWmS2cIPzeMT9wtpMsk_8SKTDjTo92IX87qrnf=s88-c-k-c0x00ffffff-no-rj</v>
      </c>
      <c r="G215" s="66"/>
      <c r="H215" s="70" t="s">
        <v>1283</v>
      </c>
      <c r="I215" s="71"/>
      <c r="J215" s="71" t="s">
        <v>159</v>
      </c>
      <c r="K215" s="70" t="s">
        <v>1283</v>
      </c>
      <c r="L215" s="74">
        <v>1</v>
      </c>
      <c r="M215" s="75">
        <v>2211.38525390625</v>
      </c>
      <c r="N215" s="75">
        <v>2269.99365234375</v>
      </c>
      <c r="O215" s="76"/>
      <c r="P215" s="77"/>
      <c r="Q215" s="77"/>
      <c r="R215" s="89"/>
      <c r="S215" s="49">
        <v>1</v>
      </c>
      <c r="T215" s="49">
        <v>1</v>
      </c>
      <c r="U215" s="50">
        <v>0</v>
      </c>
      <c r="V215" s="50">
        <v>0</v>
      </c>
      <c r="W215" s="50">
        <v>0</v>
      </c>
      <c r="X215" s="50">
        <v>0.004464</v>
      </c>
      <c r="Y215" s="50">
        <v>0</v>
      </c>
      <c r="Z215" s="50">
        <v>0</v>
      </c>
      <c r="AA215" s="72">
        <v>215</v>
      </c>
      <c r="AB215" s="72"/>
      <c r="AC215" s="73"/>
      <c r="AD215" s="80" t="s">
        <v>1283</v>
      </c>
      <c r="AE215" s="80" t="s">
        <v>1332</v>
      </c>
      <c r="AF215" s="80"/>
      <c r="AG215" s="80"/>
      <c r="AH215" s="80"/>
      <c r="AI215" s="80" t="s">
        <v>1372</v>
      </c>
      <c r="AJ215" s="87">
        <v>41626.501597222225</v>
      </c>
      <c r="AK215" s="85" t="str">
        <f>HYPERLINK("https://yt3.ggpht.com/ytc/AKedOLSWmS2cIPzeMT9wtpMsk_8SKTDjTo92IX87qrnf=s88-c-k-c0x00ffffff-no-rj")</f>
        <v>https://yt3.ggpht.com/ytc/AKedOLSWmS2cIPzeMT9wtpMsk_8SKTDjTo92IX87qrnf=s88-c-k-c0x00ffffff-no-rj</v>
      </c>
      <c r="AL215" s="80">
        <v>11926</v>
      </c>
      <c r="AM215" s="80">
        <v>0</v>
      </c>
      <c r="AN215" s="80">
        <v>126</v>
      </c>
      <c r="AO215" s="80" t="b">
        <v>0</v>
      </c>
      <c r="AP215" s="80">
        <v>6</v>
      </c>
      <c r="AQ215" s="80"/>
      <c r="AR215" s="80"/>
      <c r="AS215" s="80" t="s">
        <v>1376</v>
      </c>
      <c r="AT215" s="85" t="str">
        <f>HYPERLINK("https://www.youtube.com/channel/UCo0TNY6-xhfq93AOKF_zDng")</f>
        <v>https://www.youtube.com/channel/UCo0TNY6-xhfq93AOKF_zDng</v>
      </c>
      <c r="AU215" s="80" t="str">
        <f>REPLACE(INDEX(GroupVertices[Group],MATCH(Vertices[[#This Row],[Vertex]],GroupVertices[Vertex],0)),1,1,"")</f>
        <v>2</v>
      </c>
      <c r="AV215" s="49"/>
      <c r="AW215" s="50"/>
      <c r="AX215" s="49"/>
      <c r="AY215" s="50"/>
      <c r="AZ215" s="49"/>
      <c r="BA215" s="50"/>
      <c r="BB215" s="49"/>
      <c r="BC215" s="50"/>
      <c r="BD215" s="49"/>
      <c r="BE215" s="49"/>
      <c r="BF215" s="49"/>
      <c r="BG215" s="49"/>
      <c r="BH215" s="49"/>
      <c r="BI215" s="49"/>
      <c r="BJ215" s="49"/>
      <c r="BK215" s="111" t="s">
        <v>1239</v>
      </c>
      <c r="BL215" s="111" t="s">
        <v>1239</v>
      </c>
      <c r="BM215" s="111" t="s">
        <v>1239</v>
      </c>
      <c r="BN215" s="111" t="s">
        <v>1239</v>
      </c>
      <c r="BO215" s="2"/>
      <c r="BP215" s="3"/>
      <c r="BQ215" s="3"/>
      <c r="BR215" s="3"/>
      <c r="BS215" s="3"/>
    </row>
    <row r="216" spans="1:71" ht="15">
      <c r="A216" s="65" t="s">
        <v>537</v>
      </c>
      <c r="B216" s="66"/>
      <c r="C216" s="66"/>
      <c r="D216" s="67">
        <v>150</v>
      </c>
      <c r="E216" s="69"/>
      <c r="F216" s="103" t="str">
        <f>HYPERLINK("https://yt3.ggpht.com/ytc/AKedOLQys_zmbBDt98cOJ36ATot-Q-wUr2ACRu4mANIuxWk=s88-c-k-c0x00ffffff-no-rj")</f>
        <v>https://yt3.ggpht.com/ytc/AKedOLQys_zmbBDt98cOJ36ATot-Q-wUr2ACRu4mANIuxWk=s88-c-k-c0x00ffffff-no-rj</v>
      </c>
      <c r="G216" s="66"/>
      <c r="H216" s="70" t="s">
        <v>1032</v>
      </c>
      <c r="I216" s="71"/>
      <c r="J216" s="71" t="s">
        <v>159</v>
      </c>
      <c r="K216" s="70" t="s">
        <v>1032</v>
      </c>
      <c r="L216" s="74">
        <v>1</v>
      </c>
      <c r="M216" s="75">
        <v>2812.882080078125</v>
      </c>
      <c r="N216" s="75">
        <v>2269.99365234375</v>
      </c>
      <c r="O216" s="76"/>
      <c r="P216" s="77"/>
      <c r="Q216" s="77"/>
      <c r="R216" s="89"/>
      <c r="S216" s="49">
        <v>1</v>
      </c>
      <c r="T216" s="49">
        <v>1</v>
      </c>
      <c r="U216" s="50">
        <v>0</v>
      </c>
      <c r="V216" s="50">
        <v>0</v>
      </c>
      <c r="W216" s="50">
        <v>0</v>
      </c>
      <c r="X216" s="50">
        <v>0.004464</v>
      </c>
      <c r="Y216" s="50">
        <v>0</v>
      </c>
      <c r="Z216" s="50">
        <v>0</v>
      </c>
      <c r="AA216" s="72">
        <v>216</v>
      </c>
      <c r="AB216" s="72"/>
      <c r="AC216" s="73"/>
      <c r="AD216" s="80" t="s">
        <v>1032</v>
      </c>
      <c r="AE216" s="80" t="s">
        <v>1333</v>
      </c>
      <c r="AF216" s="80"/>
      <c r="AG216" s="80"/>
      <c r="AH216" s="80"/>
      <c r="AI216" s="80" t="s">
        <v>1373</v>
      </c>
      <c r="AJ216" s="87">
        <v>38903.705034722225</v>
      </c>
      <c r="AK216" s="85" t="str">
        <f>HYPERLINK("https://yt3.ggpht.com/ytc/AKedOLQys_zmbBDt98cOJ36ATot-Q-wUr2ACRu4mANIuxWk=s88-c-k-c0x00ffffff-no-rj")</f>
        <v>https://yt3.ggpht.com/ytc/AKedOLQys_zmbBDt98cOJ36ATot-Q-wUr2ACRu4mANIuxWk=s88-c-k-c0x00ffffff-no-rj</v>
      </c>
      <c r="AL216" s="80">
        <v>470046</v>
      </c>
      <c r="AM216" s="80">
        <v>0</v>
      </c>
      <c r="AN216" s="80">
        <v>722</v>
      </c>
      <c r="AO216" s="80" t="b">
        <v>0</v>
      </c>
      <c r="AP216" s="80">
        <v>183</v>
      </c>
      <c r="AQ216" s="80"/>
      <c r="AR216" s="80"/>
      <c r="AS216" s="80" t="s">
        <v>1376</v>
      </c>
      <c r="AT216" s="85" t="str">
        <f>HYPERLINK("https://www.youtube.com/channel/UCcBoleECTMUEbXqg2AZNHdg")</f>
        <v>https://www.youtube.com/channel/UCcBoleECTMUEbXqg2AZNHdg</v>
      </c>
      <c r="AU216" s="80" t="str">
        <f>REPLACE(INDEX(GroupVertices[Group],MATCH(Vertices[[#This Row],[Vertex]],GroupVertices[Vertex],0)),1,1,"")</f>
        <v>2</v>
      </c>
      <c r="AV216" s="49">
        <v>0</v>
      </c>
      <c r="AW216" s="50">
        <v>0</v>
      </c>
      <c r="AX216" s="49">
        <v>0</v>
      </c>
      <c r="AY216" s="50">
        <v>0</v>
      </c>
      <c r="AZ216" s="49">
        <v>0</v>
      </c>
      <c r="BA216" s="50">
        <v>0</v>
      </c>
      <c r="BB216" s="49">
        <v>21</v>
      </c>
      <c r="BC216" s="50">
        <v>100</v>
      </c>
      <c r="BD216" s="49">
        <v>21</v>
      </c>
      <c r="BE216" s="49"/>
      <c r="BF216" s="49"/>
      <c r="BG216" s="49"/>
      <c r="BH216" s="49"/>
      <c r="BI216" s="49"/>
      <c r="BJ216" s="49"/>
      <c r="BK216" s="111" t="s">
        <v>2519</v>
      </c>
      <c r="BL216" s="111" t="s">
        <v>2519</v>
      </c>
      <c r="BM216" s="111" t="s">
        <v>2706</v>
      </c>
      <c r="BN216" s="111" t="s">
        <v>2706</v>
      </c>
      <c r="BO216" s="2"/>
      <c r="BP216" s="3"/>
      <c r="BQ216" s="3"/>
      <c r="BR216" s="3"/>
      <c r="BS216" s="3"/>
    </row>
    <row r="217" spans="1:71" ht="15">
      <c r="A217" s="65" t="s">
        <v>538</v>
      </c>
      <c r="B217" s="66"/>
      <c r="C217" s="66"/>
      <c r="D217" s="67">
        <v>150</v>
      </c>
      <c r="E217" s="69"/>
      <c r="F217" s="103" t="str">
        <f>HYPERLINK("https://yt3.ggpht.com/ytc/AKedOLSK-a7vI6zjSWvW-fdzsn_nC8CW_jrAwIsxFW2Wkw=s88-c-k-c0x00ffffff-no-rj")</f>
        <v>https://yt3.ggpht.com/ytc/AKedOLSK-a7vI6zjSWvW-fdzsn_nC8CW_jrAwIsxFW2Wkw=s88-c-k-c0x00ffffff-no-rj</v>
      </c>
      <c r="G217" s="66"/>
      <c r="H217" s="70" t="s">
        <v>1284</v>
      </c>
      <c r="I217" s="71"/>
      <c r="J217" s="71" t="s">
        <v>159</v>
      </c>
      <c r="K217" s="70" t="s">
        <v>1284</v>
      </c>
      <c r="L217" s="74">
        <v>1</v>
      </c>
      <c r="M217" s="75">
        <v>1609.8885498046875</v>
      </c>
      <c r="N217" s="75">
        <v>2269.99365234375</v>
      </c>
      <c r="O217" s="76"/>
      <c r="P217" s="77"/>
      <c r="Q217" s="77"/>
      <c r="R217" s="89"/>
      <c r="S217" s="49">
        <v>1</v>
      </c>
      <c r="T217" s="49">
        <v>1</v>
      </c>
      <c r="U217" s="50">
        <v>0</v>
      </c>
      <c r="V217" s="50">
        <v>0</v>
      </c>
      <c r="W217" s="50">
        <v>0</v>
      </c>
      <c r="X217" s="50">
        <v>0.004464</v>
      </c>
      <c r="Y217" s="50">
        <v>0</v>
      </c>
      <c r="Z217" s="50">
        <v>0</v>
      </c>
      <c r="AA217" s="72">
        <v>217</v>
      </c>
      <c r="AB217" s="72"/>
      <c r="AC217" s="73"/>
      <c r="AD217" s="80" t="s">
        <v>1284</v>
      </c>
      <c r="AE217" s="80"/>
      <c r="AF217" s="80"/>
      <c r="AG217" s="80"/>
      <c r="AH217" s="80"/>
      <c r="AI217" s="80"/>
      <c r="AJ217" s="87">
        <v>41552.90013888889</v>
      </c>
      <c r="AK217" s="85" t="str">
        <f>HYPERLINK("https://yt3.ggpht.com/ytc/AKedOLSK-a7vI6zjSWvW-fdzsn_nC8CW_jrAwIsxFW2Wkw=s88-c-k-c0x00ffffff-no-rj")</f>
        <v>https://yt3.ggpht.com/ytc/AKedOLSK-a7vI6zjSWvW-fdzsn_nC8CW_jrAwIsxFW2Wkw=s88-c-k-c0x00ffffff-no-rj</v>
      </c>
      <c r="AL217" s="80">
        <v>840</v>
      </c>
      <c r="AM217" s="80">
        <v>0</v>
      </c>
      <c r="AN217" s="80">
        <v>11</v>
      </c>
      <c r="AO217" s="80" t="b">
        <v>0</v>
      </c>
      <c r="AP217" s="80">
        <v>9</v>
      </c>
      <c r="AQ217" s="80"/>
      <c r="AR217" s="80"/>
      <c r="AS217" s="80" t="s">
        <v>1376</v>
      </c>
      <c r="AT217" s="85" t="str">
        <f>HYPERLINK("https://www.youtube.com/channel/UCgGajeuaTuh2HMsWDSnsD7Q")</f>
        <v>https://www.youtube.com/channel/UCgGajeuaTuh2HMsWDSnsD7Q</v>
      </c>
      <c r="AU217" s="80" t="str">
        <f>REPLACE(INDEX(GroupVertices[Group],MATCH(Vertices[[#This Row],[Vertex]],GroupVertices[Vertex],0)),1,1,"")</f>
        <v>2</v>
      </c>
      <c r="AV217" s="49"/>
      <c r="AW217" s="50"/>
      <c r="AX217" s="49"/>
      <c r="AY217" s="50"/>
      <c r="AZ217" s="49"/>
      <c r="BA217" s="50"/>
      <c r="BB217" s="49"/>
      <c r="BC217" s="50"/>
      <c r="BD217" s="49"/>
      <c r="BE217" s="49"/>
      <c r="BF217" s="49"/>
      <c r="BG217" s="49"/>
      <c r="BH217" s="49"/>
      <c r="BI217" s="49"/>
      <c r="BJ217" s="49"/>
      <c r="BK217" s="111" t="s">
        <v>1239</v>
      </c>
      <c r="BL217" s="111" t="s">
        <v>1239</v>
      </c>
      <c r="BM217" s="111" t="s">
        <v>1239</v>
      </c>
      <c r="BN217" s="111" t="s">
        <v>1239</v>
      </c>
      <c r="BO217" s="2"/>
      <c r="BP217" s="3"/>
      <c r="BQ217" s="3"/>
      <c r="BR217" s="3"/>
      <c r="BS217" s="3"/>
    </row>
    <row r="218" spans="1:71" ht="15">
      <c r="A218" s="65" t="s">
        <v>539</v>
      </c>
      <c r="B218" s="66"/>
      <c r="C218" s="66"/>
      <c r="D218" s="67">
        <v>150</v>
      </c>
      <c r="E218" s="69"/>
      <c r="F218" s="103" t="str">
        <f>HYPERLINK("https://yt3.ggpht.com/ytc/AKedOLTVLKn76KSXjD9GkjNMfcWV1OErfS6uT41ws2UA=s88-c-k-c0x00ffffff-no-rj")</f>
        <v>https://yt3.ggpht.com/ytc/AKedOLTVLKn76KSXjD9GkjNMfcWV1OErfS6uT41ws2UA=s88-c-k-c0x00ffffff-no-rj</v>
      </c>
      <c r="G218" s="66"/>
      <c r="H218" s="70" t="s">
        <v>1285</v>
      </c>
      <c r="I218" s="71"/>
      <c r="J218" s="71" t="s">
        <v>159</v>
      </c>
      <c r="K218" s="70" t="s">
        <v>1285</v>
      </c>
      <c r="L218" s="74">
        <v>1</v>
      </c>
      <c r="M218" s="75">
        <v>3821.27392578125</v>
      </c>
      <c r="N218" s="75">
        <v>1568.471923828125</v>
      </c>
      <c r="O218" s="76"/>
      <c r="P218" s="77"/>
      <c r="Q218" s="77"/>
      <c r="R218" s="89"/>
      <c r="S218" s="49">
        <v>2</v>
      </c>
      <c r="T218" s="49">
        <v>1</v>
      </c>
      <c r="U218" s="50">
        <v>0</v>
      </c>
      <c r="V218" s="50">
        <v>0.163648</v>
      </c>
      <c r="W218" s="50">
        <v>0.013575</v>
      </c>
      <c r="X218" s="50">
        <v>0.00422</v>
      </c>
      <c r="Y218" s="50">
        <v>0</v>
      </c>
      <c r="Z218" s="50">
        <v>0</v>
      </c>
      <c r="AA218" s="72">
        <v>218</v>
      </c>
      <c r="AB218" s="72"/>
      <c r="AC218" s="73"/>
      <c r="AD218" s="80" t="s">
        <v>1285</v>
      </c>
      <c r="AE218" s="80" t="s">
        <v>1334</v>
      </c>
      <c r="AF218" s="80"/>
      <c r="AG218" s="80"/>
      <c r="AH218" s="80"/>
      <c r="AI218" s="80" t="s">
        <v>1374</v>
      </c>
      <c r="AJ218" s="87">
        <v>41754.672002314815</v>
      </c>
      <c r="AK218" s="85" t="str">
        <f>HYPERLINK("https://yt3.ggpht.com/ytc/AKedOLTVLKn76KSXjD9GkjNMfcWV1OErfS6uT41ws2UA=s88-c-k-c0x00ffffff-no-rj")</f>
        <v>https://yt3.ggpht.com/ytc/AKedOLTVLKn76KSXjD9GkjNMfcWV1OErfS6uT41ws2UA=s88-c-k-c0x00ffffff-no-rj</v>
      </c>
      <c r="AL218" s="80">
        <v>571</v>
      </c>
      <c r="AM218" s="80">
        <v>0</v>
      </c>
      <c r="AN218" s="80">
        <v>6</v>
      </c>
      <c r="AO218" s="80" t="b">
        <v>0</v>
      </c>
      <c r="AP218" s="80">
        <v>12</v>
      </c>
      <c r="AQ218" s="80"/>
      <c r="AR218" s="80"/>
      <c r="AS218" s="80" t="s">
        <v>1376</v>
      </c>
      <c r="AT218" s="85" t="str">
        <f>HYPERLINK("https://www.youtube.com/channel/UC_gmpAYBi-b5LaCaWZnDBhQ")</f>
        <v>https://www.youtube.com/channel/UC_gmpAYBi-b5LaCaWZnDBhQ</v>
      </c>
      <c r="AU218" s="80" t="str">
        <f>REPLACE(INDEX(GroupVertices[Group],MATCH(Vertices[[#This Row],[Vertex]],GroupVertices[Vertex],0)),1,1,"")</f>
        <v>6</v>
      </c>
      <c r="AV218" s="49"/>
      <c r="AW218" s="50"/>
      <c r="AX218" s="49"/>
      <c r="AY218" s="50"/>
      <c r="AZ218" s="49"/>
      <c r="BA218" s="50"/>
      <c r="BB218" s="49"/>
      <c r="BC218" s="50"/>
      <c r="BD218" s="49"/>
      <c r="BE218" s="49"/>
      <c r="BF218" s="49"/>
      <c r="BG218" s="49"/>
      <c r="BH218" s="49"/>
      <c r="BI218" s="49"/>
      <c r="BJ218" s="49"/>
      <c r="BK218" s="111" t="s">
        <v>1239</v>
      </c>
      <c r="BL218" s="111" t="s">
        <v>1239</v>
      </c>
      <c r="BM218" s="111" t="s">
        <v>1239</v>
      </c>
      <c r="BN218" s="111" t="s">
        <v>1239</v>
      </c>
      <c r="BO218" s="2"/>
      <c r="BP218" s="3"/>
      <c r="BQ218" s="3"/>
      <c r="BR218" s="3"/>
      <c r="BS218" s="3"/>
    </row>
    <row r="219" spans="1:71" ht="15">
      <c r="A219" s="65" t="s">
        <v>540</v>
      </c>
      <c r="B219" s="66"/>
      <c r="C219" s="66"/>
      <c r="D219" s="67">
        <v>150</v>
      </c>
      <c r="E219" s="69"/>
      <c r="F219" s="103" t="str">
        <f>HYPERLINK("https://yt3.ggpht.com/ytc/AKedOLTDBEZq7amqomXPZojBFDR10bTjgJocgNouMFcq=s88-c-k-c0x00ffffff-no-rj")</f>
        <v>https://yt3.ggpht.com/ytc/AKedOLTDBEZq7amqomXPZojBFDR10bTjgJocgNouMFcq=s88-c-k-c0x00ffffff-no-rj</v>
      </c>
      <c r="G219" s="66"/>
      <c r="H219" s="70" t="s">
        <v>1286</v>
      </c>
      <c r="I219" s="71"/>
      <c r="J219" s="71" t="s">
        <v>159</v>
      </c>
      <c r="K219" s="70" t="s">
        <v>1286</v>
      </c>
      <c r="L219" s="74">
        <v>1</v>
      </c>
      <c r="M219" s="75">
        <v>406.8948974609375</v>
      </c>
      <c r="N219" s="75">
        <v>2269.99365234375</v>
      </c>
      <c r="O219" s="76"/>
      <c r="P219" s="77"/>
      <c r="Q219" s="77"/>
      <c r="R219" s="89"/>
      <c r="S219" s="49">
        <v>1</v>
      </c>
      <c r="T219" s="49">
        <v>1</v>
      </c>
      <c r="U219" s="50">
        <v>0</v>
      </c>
      <c r="V219" s="50">
        <v>0</v>
      </c>
      <c r="W219" s="50">
        <v>0</v>
      </c>
      <c r="X219" s="50">
        <v>0.004464</v>
      </c>
      <c r="Y219" s="50">
        <v>0</v>
      </c>
      <c r="Z219" s="50">
        <v>0</v>
      </c>
      <c r="AA219" s="72">
        <v>219</v>
      </c>
      <c r="AB219" s="72"/>
      <c r="AC219" s="73"/>
      <c r="AD219" s="80" t="s">
        <v>1286</v>
      </c>
      <c r="AE219" s="80"/>
      <c r="AF219" s="80"/>
      <c r="AG219" s="80"/>
      <c r="AH219" s="80"/>
      <c r="AI219" s="80"/>
      <c r="AJ219" s="87">
        <v>42118.92733796296</v>
      </c>
      <c r="AK219" s="85" t="str">
        <f>HYPERLINK("https://yt3.ggpht.com/ytc/AKedOLTDBEZq7amqomXPZojBFDR10bTjgJocgNouMFcq=s88-c-k-c0x00ffffff-no-rj")</f>
        <v>https://yt3.ggpht.com/ytc/AKedOLTDBEZq7amqomXPZojBFDR10bTjgJocgNouMFcq=s88-c-k-c0x00ffffff-no-rj</v>
      </c>
      <c r="AL219" s="80">
        <v>8657</v>
      </c>
      <c r="AM219" s="80">
        <v>0</v>
      </c>
      <c r="AN219" s="80">
        <v>38</v>
      </c>
      <c r="AO219" s="80" t="b">
        <v>0</v>
      </c>
      <c r="AP219" s="80">
        <v>14</v>
      </c>
      <c r="AQ219" s="80"/>
      <c r="AR219" s="80"/>
      <c r="AS219" s="80" t="s">
        <v>1376</v>
      </c>
      <c r="AT219" s="85" t="str">
        <f>HYPERLINK("https://www.youtube.com/channel/UCqDiq5jdrPYU0Qck9GJDbRg")</f>
        <v>https://www.youtube.com/channel/UCqDiq5jdrPYU0Qck9GJDbRg</v>
      </c>
      <c r="AU219" s="80" t="str">
        <f>REPLACE(INDEX(GroupVertices[Group],MATCH(Vertices[[#This Row],[Vertex]],GroupVertices[Vertex],0)),1,1,"")</f>
        <v>2</v>
      </c>
      <c r="AV219" s="49"/>
      <c r="AW219" s="50"/>
      <c r="AX219" s="49"/>
      <c r="AY219" s="50"/>
      <c r="AZ219" s="49"/>
      <c r="BA219" s="50"/>
      <c r="BB219" s="49"/>
      <c r="BC219" s="50"/>
      <c r="BD219" s="49"/>
      <c r="BE219" s="49"/>
      <c r="BF219" s="49"/>
      <c r="BG219" s="49"/>
      <c r="BH219" s="49"/>
      <c r="BI219" s="49"/>
      <c r="BJ219" s="49"/>
      <c r="BK219" s="111" t="s">
        <v>1239</v>
      </c>
      <c r="BL219" s="111" t="s">
        <v>1239</v>
      </c>
      <c r="BM219" s="111" t="s">
        <v>1239</v>
      </c>
      <c r="BN219" s="111" t="s">
        <v>1239</v>
      </c>
      <c r="BO219" s="2"/>
      <c r="BP219" s="3"/>
      <c r="BQ219" s="3"/>
      <c r="BR219" s="3"/>
      <c r="BS219" s="3"/>
    </row>
    <row r="220" spans="1:71" ht="15">
      <c r="A220" s="65" t="s">
        <v>541</v>
      </c>
      <c r="B220" s="66"/>
      <c r="C220" s="66"/>
      <c r="D220" s="67">
        <v>150</v>
      </c>
      <c r="E220" s="69"/>
      <c r="F220" s="103" t="str">
        <f>HYPERLINK("https://yt3.ggpht.com/ytc/AKedOLQyRfpQTJ4FXjOgUoru-F_7FWU8U_s1Mu0OaKzonA=s88-c-k-c0x00ffffff-no-rj")</f>
        <v>https://yt3.ggpht.com/ytc/AKedOLQyRfpQTJ4FXjOgUoru-F_7FWU8U_s1Mu0OaKzonA=s88-c-k-c0x00ffffff-no-rj</v>
      </c>
      <c r="G220" s="66"/>
      <c r="H220" s="70" t="s">
        <v>1287</v>
      </c>
      <c r="I220" s="71"/>
      <c r="J220" s="71" t="s">
        <v>159</v>
      </c>
      <c r="K220" s="70" t="s">
        <v>1287</v>
      </c>
      <c r="L220" s="74">
        <v>1</v>
      </c>
      <c r="M220" s="75">
        <v>1008.3917236328125</v>
      </c>
      <c r="N220" s="75">
        <v>2269.99365234375</v>
      </c>
      <c r="O220" s="76"/>
      <c r="P220" s="77"/>
      <c r="Q220" s="77"/>
      <c r="R220" s="89"/>
      <c r="S220" s="49">
        <v>1</v>
      </c>
      <c r="T220" s="49">
        <v>1</v>
      </c>
      <c r="U220" s="50">
        <v>0</v>
      </c>
      <c r="V220" s="50">
        <v>0</v>
      </c>
      <c r="W220" s="50">
        <v>0</v>
      </c>
      <c r="X220" s="50">
        <v>0.004464</v>
      </c>
      <c r="Y220" s="50">
        <v>0</v>
      </c>
      <c r="Z220" s="50">
        <v>0</v>
      </c>
      <c r="AA220" s="72">
        <v>220</v>
      </c>
      <c r="AB220" s="72"/>
      <c r="AC220" s="73"/>
      <c r="AD220" s="80" t="s">
        <v>1287</v>
      </c>
      <c r="AE220" s="80" t="s">
        <v>1335</v>
      </c>
      <c r="AF220" s="80"/>
      <c r="AG220" s="80"/>
      <c r="AH220" s="80"/>
      <c r="AI220" s="80"/>
      <c r="AJ220" s="87">
        <v>41308.96388888889</v>
      </c>
      <c r="AK220" s="85" t="str">
        <f>HYPERLINK("https://yt3.ggpht.com/ytc/AKedOLQyRfpQTJ4FXjOgUoru-F_7FWU8U_s1Mu0OaKzonA=s88-c-k-c0x00ffffff-no-rj")</f>
        <v>https://yt3.ggpht.com/ytc/AKedOLQyRfpQTJ4FXjOgUoru-F_7FWU8U_s1Mu0OaKzonA=s88-c-k-c0x00ffffff-no-rj</v>
      </c>
      <c r="AL220" s="80">
        <v>7423</v>
      </c>
      <c r="AM220" s="80">
        <v>0</v>
      </c>
      <c r="AN220" s="80">
        <v>82</v>
      </c>
      <c r="AO220" s="80" t="b">
        <v>0</v>
      </c>
      <c r="AP220" s="80">
        <v>41</v>
      </c>
      <c r="AQ220" s="80"/>
      <c r="AR220" s="80"/>
      <c r="AS220" s="80" t="s">
        <v>1376</v>
      </c>
      <c r="AT220" s="85" t="str">
        <f>HYPERLINK("https://www.youtube.com/channel/UCEqAdgfHAPJPDq0hZqxjvyA")</f>
        <v>https://www.youtube.com/channel/UCEqAdgfHAPJPDq0hZqxjvyA</v>
      </c>
      <c r="AU220" s="80" t="str">
        <f>REPLACE(INDEX(GroupVertices[Group],MATCH(Vertices[[#This Row],[Vertex]],GroupVertices[Vertex],0)),1,1,"")</f>
        <v>2</v>
      </c>
      <c r="AV220" s="49"/>
      <c r="AW220" s="50"/>
      <c r="AX220" s="49"/>
      <c r="AY220" s="50"/>
      <c r="AZ220" s="49"/>
      <c r="BA220" s="50"/>
      <c r="BB220" s="49"/>
      <c r="BC220" s="50"/>
      <c r="BD220" s="49"/>
      <c r="BE220" s="49"/>
      <c r="BF220" s="49"/>
      <c r="BG220" s="49"/>
      <c r="BH220" s="49"/>
      <c r="BI220" s="49"/>
      <c r="BJ220" s="49"/>
      <c r="BK220" s="111" t="s">
        <v>1239</v>
      </c>
      <c r="BL220" s="111" t="s">
        <v>1239</v>
      </c>
      <c r="BM220" s="111" t="s">
        <v>1239</v>
      </c>
      <c r="BN220" s="111" t="s">
        <v>1239</v>
      </c>
      <c r="BO220" s="2"/>
      <c r="BP220" s="3"/>
      <c r="BQ220" s="3"/>
      <c r="BR220" s="3"/>
      <c r="BS220" s="3"/>
    </row>
    <row r="221" spans="1:71" ht="15">
      <c r="A221" s="65" t="s">
        <v>545</v>
      </c>
      <c r="B221" s="66"/>
      <c r="C221" s="66"/>
      <c r="D221" s="67">
        <v>150</v>
      </c>
      <c r="E221" s="69"/>
      <c r="F221" s="103" t="str">
        <f>HYPERLINK("https://yt3.ggpht.com/ytc/AKedOLQlKJYCcTIDn7cb0GgLO7hNDmEFYP76RtRe-xk=s88-c-k-c0x00ffffff-no-rj")</f>
        <v>https://yt3.ggpht.com/ytc/AKedOLQlKJYCcTIDn7cb0GgLO7hNDmEFYP76RtRe-xk=s88-c-k-c0x00ffffff-no-rj</v>
      </c>
      <c r="G221" s="66"/>
      <c r="H221" s="70" t="s">
        <v>1288</v>
      </c>
      <c r="I221" s="71"/>
      <c r="J221" s="71" t="s">
        <v>159</v>
      </c>
      <c r="K221" s="70" t="s">
        <v>1288</v>
      </c>
      <c r="L221" s="74">
        <v>1</v>
      </c>
      <c r="M221" s="75">
        <v>3414.37890625</v>
      </c>
      <c r="N221" s="75">
        <v>2269.99365234375</v>
      </c>
      <c r="O221" s="76"/>
      <c r="P221" s="77"/>
      <c r="Q221" s="77"/>
      <c r="R221" s="89"/>
      <c r="S221" s="49">
        <v>1</v>
      </c>
      <c r="T221" s="49">
        <v>1</v>
      </c>
      <c r="U221" s="50">
        <v>0</v>
      </c>
      <c r="V221" s="50">
        <v>0</v>
      </c>
      <c r="W221" s="50">
        <v>0</v>
      </c>
      <c r="X221" s="50">
        <v>0.004464</v>
      </c>
      <c r="Y221" s="50">
        <v>0</v>
      </c>
      <c r="Z221" s="50">
        <v>0</v>
      </c>
      <c r="AA221" s="72">
        <v>221</v>
      </c>
      <c r="AB221" s="72"/>
      <c r="AC221" s="73"/>
      <c r="AD221" s="80" t="s">
        <v>1288</v>
      </c>
      <c r="AE221" s="80" t="s">
        <v>1336</v>
      </c>
      <c r="AF221" s="80"/>
      <c r="AG221" s="80"/>
      <c r="AH221" s="80"/>
      <c r="AI221" s="80"/>
      <c r="AJ221" s="87">
        <v>43109.87900462963</v>
      </c>
      <c r="AK221" s="85" t="str">
        <f>HYPERLINK("https://yt3.ggpht.com/ytc/AKedOLQlKJYCcTIDn7cb0GgLO7hNDmEFYP76RtRe-xk=s88-c-k-c0x00ffffff-no-rj")</f>
        <v>https://yt3.ggpht.com/ytc/AKedOLQlKJYCcTIDn7cb0GgLO7hNDmEFYP76RtRe-xk=s88-c-k-c0x00ffffff-no-rj</v>
      </c>
      <c r="AL221" s="80">
        <v>944</v>
      </c>
      <c r="AM221" s="80">
        <v>0</v>
      </c>
      <c r="AN221" s="80">
        <v>35</v>
      </c>
      <c r="AO221" s="80" t="b">
        <v>0</v>
      </c>
      <c r="AP221" s="80">
        <v>8</v>
      </c>
      <c r="AQ221" s="80"/>
      <c r="AR221" s="80"/>
      <c r="AS221" s="80" t="s">
        <v>1376</v>
      </c>
      <c r="AT221" s="85" t="str">
        <f>HYPERLINK("https://www.youtube.com/channel/UCszcmo-D454RsJIOheCu7QQ")</f>
        <v>https://www.youtube.com/channel/UCszcmo-D454RsJIOheCu7QQ</v>
      </c>
      <c r="AU221" s="80" t="str">
        <f>REPLACE(INDEX(GroupVertices[Group],MATCH(Vertices[[#This Row],[Vertex]],GroupVertices[Vertex],0)),1,1,"")</f>
        <v>2</v>
      </c>
      <c r="AV221" s="49"/>
      <c r="AW221" s="50"/>
      <c r="AX221" s="49"/>
      <c r="AY221" s="50"/>
      <c r="AZ221" s="49"/>
      <c r="BA221" s="50"/>
      <c r="BB221" s="49"/>
      <c r="BC221" s="50"/>
      <c r="BD221" s="49"/>
      <c r="BE221" s="49"/>
      <c r="BF221" s="49"/>
      <c r="BG221" s="49"/>
      <c r="BH221" s="49"/>
      <c r="BI221" s="49"/>
      <c r="BJ221" s="49"/>
      <c r="BK221" s="111" t="s">
        <v>1239</v>
      </c>
      <c r="BL221" s="111" t="s">
        <v>1239</v>
      </c>
      <c r="BM221" s="111" t="s">
        <v>1239</v>
      </c>
      <c r="BN221" s="111" t="s">
        <v>1239</v>
      </c>
      <c r="BO221" s="2"/>
      <c r="BP221" s="3"/>
      <c r="BQ221" s="3"/>
      <c r="BR221" s="3"/>
      <c r="BS221" s="3"/>
    </row>
    <row r="222" spans="1:71" ht="15">
      <c r="A222" s="65" t="s">
        <v>547</v>
      </c>
      <c r="B222" s="66"/>
      <c r="C222" s="66"/>
      <c r="D222" s="67">
        <v>150</v>
      </c>
      <c r="E222" s="69"/>
      <c r="F222" s="103" t="str">
        <f>HYPERLINK("https://yt3.ggpht.com/ytc/AKedOLTOUmNMQo8wVy25GZzzPwXMa4DPTOnjQsJwdw=s88-c-k-c0x00ffffff-no-rj")</f>
        <v>https://yt3.ggpht.com/ytc/AKedOLTOUmNMQo8wVy25GZzzPwXMa4DPTOnjQsJwdw=s88-c-k-c0x00ffffff-no-rj</v>
      </c>
      <c r="G222" s="66"/>
      <c r="H222" s="70" t="s">
        <v>1289</v>
      </c>
      <c r="I222" s="71"/>
      <c r="J222" s="71" t="s">
        <v>159</v>
      </c>
      <c r="K222" s="70" t="s">
        <v>1289</v>
      </c>
      <c r="L222" s="74">
        <v>1</v>
      </c>
      <c r="M222" s="75">
        <v>2211.38525390625</v>
      </c>
      <c r="N222" s="75">
        <v>1663.4365234375</v>
      </c>
      <c r="O222" s="76"/>
      <c r="P222" s="77"/>
      <c r="Q222" s="77"/>
      <c r="R222" s="89"/>
      <c r="S222" s="49">
        <v>1</v>
      </c>
      <c r="T222" s="49">
        <v>1</v>
      </c>
      <c r="U222" s="50">
        <v>0</v>
      </c>
      <c r="V222" s="50">
        <v>0</v>
      </c>
      <c r="W222" s="50">
        <v>0</v>
      </c>
      <c r="X222" s="50">
        <v>0.004464</v>
      </c>
      <c r="Y222" s="50">
        <v>0</v>
      </c>
      <c r="Z222" s="50">
        <v>0</v>
      </c>
      <c r="AA222" s="72">
        <v>222</v>
      </c>
      <c r="AB222" s="72"/>
      <c r="AC222" s="73"/>
      <c r="AD222" s="80" t="s">
        <v>1289</v>
      </c>
      <c r="AE222" s="80" t="s">
        <v>1337</v>
      </c>
      <c r="AF222" s="80"/>
      <c r="AG222" s="80"/>
      <c r="AH222" s="80"/>
      <c r="AI222" s="80"/>
      <c r="AJ222" s="87">
        <v>43928.42261574074</v>
      </c>
      <c r="AK222" s="85" t="str">
        <f>HYPERLINK("https://yt3.ggpht.com/ytc/AKedOLTOUmNMQo8wVy25GZzzPwXMa4DPTOnjQsJwdw=s88-c-k-c0x00ffffff-no-rj")</f>
        <v>https://yt3.ggpht.com/ytc/AKedOLTOUmNMQo8wVy25GZzzPwXMa4DPTOnjQsJwdw=s88-c-k-c0x00ffffff-no-rj</v>
      </c>
      <c r="AL222" s="80">
        <v>815</v>
      </c>
      <c r="AM222" s="80">
        <v>0</v>
      </c>
      <c r="AN222" s="80">
        <v>15</v>
      </c>
      <c r="AO222" s="80" t="b">
        <v>0</v>
      </c>
      <c r="AP222" s="80">
        <v>13</v>
      </c>
      <c r="AQ222" s="80"/>
      <c r="AR222" s="80"/>
      <c r="AS222" s="80" t="s">
        <v>1376</v>
      </c>
      <c r="AT222" s="85" t="str">
        <f>HYPERLINK("https://www.youtube.com/channel/UC8Gt-9-7Z9vypF8m3WMaOgg")</f>
        <v>https://www.youtube.com/channel/UC8Gt-9-7Z9vypF8m3WMaOgg</v>
      </c>
      <c r="AU222" s="80" t="str">
        <f>REPLACE(INDEX(GroupVertices[Group],MATCH(Vertices[[#This Row],[Vertex]],GroupVertices[Vertex],0)),1,1,"")</f>
        <v>2</v>
      </c>
      <c r="AV222" s="49"/>
      <c r="AW222" s="50"/>
      <c r="AX222" s="49"/>
      <c r="AY222" s="50"/>
      <c r="AZ222" s="49"/>
      <c r="BA222" s="50"/>
      <c r="BB222" s="49"/>
      <c r="BC222" s="50"/>
      <c r="BD222" s="49"/>
      <c r="BE222" s="49"/>
      <c r="BF222" s="49"/>
      <c r="BG222" s="49"/>
      <c r="BH222" s="49"/>
      <c r="BI222" s="49"/>
      <c r="BJ222" s="49"/>
      <c r="BK222" s="111" t="s">
        <v>1239</v>
      </c>
      <c r="BL222" s="111" t="s">
        <v>1239</v>
      </c>
      <c r="BM222" s="111" t="s">
        <v>1239</v>
      </c>
      <c r="BN222" s="111" t="s">
        <v>1239</v>
      </c>
      <c r="BO222" s="2"/>
      <c r="BP222" s="3"/>
      <c r="BQ222" s="3"/>
      <c r="BR222" s="3"/>
      <c r="BS222" s="3"/>
    </row>
    <row r="223" spans="1:71" ht="15">
      <c r="A223" s="65" t="s">
        <v>549</v>
      </c>
      <c r="B223" s="66"/>
      <c r="C223" s="66"/>
      <c r="D223" s="67">
        <v>150</v>
      </c>
      <c r="E223" s="69"/>
      <c r="F223" s="103" t="str">
        <f>HYPERLINK("https://yt3.ggpht.com/ytc/AKedOLSrwbL58M-B9EIETioYUUNFV7ugNy8Rr5pb6wjU2g=s88-c-k-c0x00ffffff-no-rj")</f>
        <v>https://yt3.ggpht.com/ytc/AKedOLSrwbL58M-B9EIETioYUUNFV7ugNy8Rr5pb6wjU2g=s88-c-k-c0x00ffffff-no-rj</v>
      </c>
      <c r="G223" s="66"/>
      <c r="H223" s="70" t="s">
        <v>1290</v>
      </c>
      <c r="I223" s="71"/>
      <c r="J223" s="71" t="s">
        <v>159</v>
      </c>
      <c r="K223" s="70" t="s">
        <v>1290</v>
      </c>
      <c r="L223" s="74">
        <v>1</v>
      </c>
      <c r="M223" s="75">
        <v>2812.882080078125</v>
      </c>
      <c r="N223" s="75">
        <v>1663.4365234375</v>
      </c>
      <c r="O223" s="76"/>
      <c r="P223" s="77"/>
      <c r="Q223" s="77"/>
      <c r="R223" s="89"/>
      <c r="S223" s="49">
        <v>1</v>
      </c>
      <c r="T223" s="49">
        <v>1</v>
      </c>
      <c r="U223" s="50">
        <v>0</v>
      </c>
      <c r="V223" s="50">
        <v>0</v>
      </c>
      <c r="W223" s="50">
        <v>0</v>
      </c>
      <c r="X223" s="50">
        <v>0.004464</v>
      </c>
      <c r="Y223" s="50">
        <v>0</v>
      </c>
      <c r="Z223" s="50">
        <v>0</v>
      </c>
      <c r="AA223" s="72">
        <v>223</v>
      </c>
      <c r="AB223" s="72"/>
      <c r="AC223" s="73"/>
      <c r="AD223" s="80" t="s">
        <v>1290</v>
      </c>
      <c r="AE223" s="80"/>
      <c r="AF223" s="80"/>
      <c r="AG223" s="80"/>
      <c r="AH223" s="80"/>
      <c r="AI223" s="80"/>
      <c r="AJ223" s="87">
        <v>41675.326631944445</v>
      </c>
      <c r="AK223" s="85" t="str">
        <f>HYPERLINK("https://yt3.ggpht.com/ytc/AKedOLSrwbL58M-B9EIETioYUUNFV7ugNy8Rr5pb6wjU2g=s88-c-k-c0x00ffffff-no-rj")</f>
        <v>https://yt3.ggpht.com/ytc/AKedOLSrwbL58M-B9EIETioYUUNFV7ugNy8Rr5pb6wjU2g=s88-c-k-c0x00ffffff-no-rj</v>
      </c>
      <c r="AL223" s="80">
        <v>119</v>
      </c>
      <c r="AM223" s="80">
        <v>0</v>
      </c>
      <c r="AN223" s="80">
        <v>0</v>
      </c>
      <c r="AO223" s="80" t="b">
        <v>0</v>
      </c>
      <c r="AP223" s="80">
        <v>2</v>
      </c>
      <c r="AQ223" s="80"/>
      <c r="AR223" s="80"/>
      <c r="AS223" s="80" t="s">
        <v>1376</v>
      </c>
      <c r="AT223" s="85" t="str">
        <f>HYPERLINK("https://www.youtube.com/channel/UCpSb0VfB8knPbOeEdHGJdnQ")</f>
        <v>https://www.youtube.com/channel/UCpSb0VfB8knPbOeEdHGJdnQ</v>
      </c>
      <c r="AU223" s="80" t="str">
        <f>REPLACE(INDEX(GroupVertices[Group],MATCH(Vertices[[#This Row],[Vertex]],GroupVertices[Vertex],0)),1,1,"")</f>
        <v>2</v>
      </c>
      <c r="AV223" s="49"/>
      <c r="AW223" s="50"/>
      <c r="AX223" s="49"/>
      <c r="AY223" s="50"/>
      <c r="AZ223" s="49"/>
      <c r="BA223" s="50"/>
      <c r="BB223" s="49"/>
      <c r="BC223" s="50"/>
      <c r="BD223" s="49"/>
      <c r="BE223" s="49"/>
      <c r="BF223" s="49"/>
      <c r="BG223" s="49"/>
      <c r="BH223" s="49"/>
      <c r="BI223" s="49"/>
      <c r="BJ223" s="49"/>
      <c r="BK223" s="111" t="s">
        <v>1239</v>
      </c>
      <c r="BL223" s="111" t="s">
        <v>1239</v>
      </c>
      <c r="BM223" s="111" t="s">
        <v>1239</v>
      </c>
      <c r="BN223" s="111" t="s">
        <v>1239</v>
      </c>
      <c r="BO223" s="2"/>
      <c r="BP223" s="3"/>
      <c r="BQ223" s="3"/>
      <c r="BR223" s="3"/>
      <c r="BS223" s="3"/>
    </row>
    <row r="224" spans="1:71" ht="15">
      <c r="A224" s="65" t="s">
        <v>554</v>
      </c>
      <c r="B224" s="66"/>
      <c r="C224" s="66"/>
      <c r="D224" s="67">
        <v>150</v>
      </c>
      <c r="E224" s="69"/>
      <c r="F224" s="103" t="str">
        <f>HYPERLINK("https://yt3.ggpht.com/ytc/AKedOLSydF4pzCV5EdE7hlxapL46NEywmlF8jmPnxgCT-A=s88-c-k-c0x00ffffff-no-rj")</f>
        <v>https://yt3.ggpht.com/ytc/AKedOLSydF4pzCV5EdE7hlxapL46NEywmlF8jmPnxgCT-A=s88-c-k-c0x00ffffff-no-rj</v>
      </c>
      <c r="G224" s="66"/>
      <c r="H224" s="70" t="s">
        <v>1291</v>
      </c>
      <c r="I224" s="71"/>
      <c r="J224" s="71" t="s">
        <v>159</v>
      </c>
      <c r="K224" s="70" t="s">
        <v>1291</v>
      </c>
      <c r="L224" s="74">
        <v>1</v>
      </c>
      <c r="M224" s="75">
        <v>1609.8885498046875</v>
      </c>
      <c r="N224" s="75">
        <v>1663.4365234375</v>
      </c>
      <c r="O224" s="76"/>
      <c r="P224" s="77"/>
      <c r="Q224" s="77"/>
      <c r="R224" s="89"/>
      <c r="S224" s="49">
        <v>1</v>
      </c>
      <c r="T224" s="49">
        <v>1</v>
      </c>
      <c r="U224" s="50">
        <v>0</v>
      </c>
      <c r="V224" s="50">
        <v>0</v>
      </c>
      <c r="W224" s="50">
        <v>0</v>
      </c>
      <c r="X224" s="50">
        <v>0.004464</v>
      </c>
      <c r="Y224" s="50">
        <v>0</v>
      </c>
      <c r="Z224" s="50">
        <v>0</v>
      </c>
      <c r="AA224" s="72">
        <v>224</v>
      </c>
      <c r="AB224" s="72"/>
      <c r="AC224" s="73"/>
      <c r="AD224" s="80" t="s">
        <v>1291</v>
      </c>
      <c r="AE224" s="80"/>
      <c r="AF224" s="80"/>
      <c r="AG224" s="80"/>
      <c r="AH224" s="80"/>
      <c r="AI224" s="80"/>
      <c r="AJ224" s="87">
        <v>38895.71375</v>
      </c>
      <c r="AK224" s="85" t="str">
        <f>HYPERLINK("https://yt3.ggpht.com/ytc/AKedOLSydF4pzCV5EdE7hlxapL46NEywmlF8jmPnxgCT-A=s88-c-k-c0x00ffffff-no-rj")</f>
        <v>https://yt3.ggpht.com/ytc/AKedOLSydF4pzCV5EdE7hlxapL46NEywmlF8jmPnxgCT-A=s88-c-k-c0x00ffffff-no-rj</v>
      </c>
      <c r="AL224" s="80">
        <v>109950</v>
      </c>
      <c r="AM224" s="80">
        <v>0</v>
      </c>
      <c r="AN224" s="80">
        <v>51</v>
      </c>
      <c r="AO224" s="80" t="b">
        <v>0</v>
      </c>
      <c r="AP224" s="80">
        <v>165</v>
      </c>
      <c r="AQ224" s="80"/>
      <c r="AR224" s="80"/>
      <c r="AS224" s="80" t="s">
        <v>1376</v>
      </c>
      <c r="AT224" s="85" t="str">
        <f>HYPERLINK("https://www.youtube.com/channel/UC2T_oimRLkjFPyGYeAz6qPw")</f>
        <v>https://www.youtube.com/channel/UC2T_oimRLkjFPyGYeAz6qPw</v>
      </c>
      <c r="AU224" s="80" t="str">
        <f>REPLACE(INDEX(GroupVertices[Group],MATCH(Vertices[[#This Row],[Vertex]],GroupVertices[Vertex],0)),1,1,"")</f>
        <v>2</v>
      </c>
      <c r="AV224" s="49"/>
      <c r="AW224" s="50"/>
      <c r="AX224" s="49"/>
      <c r="AY224" s="50"/>
      <c r="AZ224" s="49"/>
      <c r="BA224" s="50"/>
      <c r="BB224" s="49"/>
      <c r="BC224" s="50"/>
      <c r="BD224" s="49"/>
      <c r="BE224" s="49"/>
      <c r="BF224" s="49"/>
      <c r="BG224" s="49"/>
      <c r="BH224" s="49"/>
      <c r="BI224" s="49"/>
      <c r="BJ224" s="49"/>
      <c r="BK224" s="111" t="s">
        <v>1239</v>
      </c>
      <c r="BL224" s="111" t="s">
        <v>1239</v>
      </c>
      <c r="BM224" s="111" t="s">
        <v>1239</v>
      </c>
      <c r="BN224" s="111" t="s">
        <v>1239</v>
      </c>
      <c r="BO224" s="2"/>
      <c r="BP224" s="3"/>
      <c r="BQ224" s="3"/>
      <c r="BR224" s="3"/>
      <c r="BS224" s="3"/>
    </row>
    <row r="225" spans="1:71" ht="15">
      <c r="A225" s="65" t="s">
        <v>556</v>
      </c>
      <c r="B225" s="66"/>
      <c r="C225" s="66"/>
      <c r="D225" s="67">
        <v>150</v>
      </c>
      <c r="E225" s="69"/>
      <c r="F225" s="103" t="str">
        <f>HYPERLINK("https://yt3.ggpht.com/hTxAq_LFnangZ9ow5xRYsgUqkNVnM3P5ju9jfofCZrV3bSOdRQ4BHMm0qD89nZcIz6FlJwHm=s88-c-k-c0x00ffffff-no-rj")</f>
        <v>https://yt3.ggpht.com/hTxAq_LFnangZ9ow5xRYsgUqkNVnM3P5ju9jfofCZrV3bSOdRQ4BHMm0qD89nZcIz6FlJwHm=s88-c-k-c0x00ffffff-no-rj</v>
      </c>
      <c r="G225" s="66"/>
      <c r="H225" s="70" t="s">
        <v>1292</v>
      </c>
      <c r="I225" s="71"/>
      <c r="J225" s="71" t="s">
        <v>159</v>
      </c>
      <c r="K225" s="70" t="s">
        <v>1292</v>
      </c>
      <c r="L225" s="74">
        <v>1</v>
      </c>
      <c r="M225" s="75">
        <v>406.8948974609375</v>
      </c>
      <c r="N225" s="75">
        <v>1663.4365234375</v>
      </c>
      <c r="O225" s="76"/>
      <c r="P225" s="77"/>
      <c r="Q225" s="77"/>
      <c r="R225" s="89"/>
      <c r="S225" s="49">
        <v>1</v>
      </c>
      <c r="T225" s="49">
        <v>1</v>
      </c>
      <c r="U225" s="50">
        <v>0</v>
      </c>
      <c r="V225" s="50">
        <v>0</v>
      </c>
      <c r="W225" s="50">
        <v>0</v>
      </c>
      <c r="X225" s="50">
        <v>0.004464</v>
      </c>
      <c r="Y225" s="50">
        <v>0</v>
      </c>
      <c r="Z225" s="50">
        <v>0</v>
      </c>
      <c r="AA225" s="72">
        <v>225</v>
      </c>
      <c r="AB225" s="72"/>
      <c r="AC225" s="73"/>
      <c r="AD225" s="80" t="s">
        <v>1292</v>
      </c>
      <c r="AE225" s="80" t="s">
        <v>1338</v>
      </c>
      <c r="AF225" s="80"/>
      <c r="AG225" s="80"/>
      <c r="AH225" s="80"/>
      <c r="AI225" s="80" t="s">
        <v>1375</v>
      </c>
      <c r="AJ225" s="87">
        <v>41484.73380787037</v>
      </c>
      <c r="AK225" s="85" t="str">
        <f>HYPERLINK("https://yt3.ggpht.com/hTxAq_LFnangZ9ow5xRYsgUqkNVnM3P5ju9jfofCZrV3bSOdRQ4BHMm0qD89nZcIz6FlJwHm=s88-c-k-c0x00ffffff-no-rj")</f>
        <v>https://yt3.ggpht.com/hTxAq_LFnangZ9ow5xRYsgUqkNVnM3P5ju9jfofCZrV3bSOdRQ4BHMm0qD89nZcIz6FlJwHm=s88-c-k-c0x00ffffff-no-rj</v>
      </c>
      <c r="AL225" s="80">
        <v>282948</v>
      </c>
      <c r="AM225" s="80">
        <v>0</v>
      </c>
      <c r="AN225" s="80">
        <v>7780</v>
      </c>
      <c r="AO225" s="80" t="b">
        <v>0</v>
      </c>
      <c r="AP225" s="80">
        <v>448</v>
      </c>
      <c r="AQ225" s="80"/>
      <c r="AR225" s="80"/>
      <c r="AS225" s="80" t="s">
        <v>1376</v>
      </c>
      <c r="AT225" s="85" t="str">
        <f>HYPERLINK("https://www.youtube.com/channel/UCY8xUWeaWVE4JY05JUupzYQ")</f>
        <v>https://www.youtube.com/channel/UCY8xUWeaWVE4JY05JUupzYQ</v>
      </c>
      <c r="AU225" s="80" t="str">
        <f>REPLACE(INDEX(GroupVertices[Group],MATCH(Vertices[[#This Row],[Vertex]],GroupVertices[Vertex],0)),1,1,"")</f>
        <v>2</v>
      </c>
      <c r="AV225" s="49"/>
      <c r="AW225" s="50"/>
      <c r="AX225" s="49"/>
      <c r="AY225" s="50"/>
      <c r="AZ225" s="49"/>
      <c r="BA225" s="50"/>
      <c r="BB225" s="49"/>
      <c r="BC225" s="50"/>
      <c r="BD225" s="49"/>
      <c r="BE225" s="49"/>
      <c r="BF225" s="49"/>
      <c r="BG225" s="49"/>
      <c r="BH225" s="49"/>
      <c r="BI225" s="49"/>
      <c r="BJ225" s="49"/>
      <c r="BK225" s="111" t="s">
        <v>1239</v>
      </c>
      <c r="BL225" s="111" t="s">
        <v>1239</v>
      </c>
      <c r="BM225" s="111" t="s">
        <v>1239</v>
      </c>
      <c r="BN225" s="111" t="s">
        <v>1239</v>
      </c>
      <c r="BO225" s="2"/>
      <c r="BP225" s="3"/>
      <c r="BQ225" s="3"/>
      <c r="BR225" s="3"/>
      <c r="BS225" s="3"/>
    </row>
    <row r="226" spans="1:71" ht="15">
      <c r="A226" s="90" t="s">
        <v>557</v>
      </c>
      <c r="B226" s="91"/>
      <c r="C226" s="91"/>
      <c r="D226" s="92">
        <v>150</v>
      </c>
      <c r="E226" s="93"/>
      <c r="F226" s="104" t="str">
        <f>HYPERLINK("https://yt3.ggpht.com/ytc/AKedOLQkXVsZnZgteD_AqnSfPlxqfh6tg2wH6Hlkodp0=s88-c-k-c0x00ffffff-no-rj")</f>
        <v>https://yt3.ggpht.com/ytc/AKedOLQkXVsZnZgteD_AqnSfPlxqfh6tg2wH6Hlkodp0=s88-c-k-c0x00ffffff-no-rj</v>
      </c>
      <c r="G226" s="91"/>
      <c r="H226" s="94" t="s">
        <v>1293</v>
      </c>
      <c r="I226" s="95"/>
      <c r="J226" s="95" t="s">
        <v>159</v>
      </c>
      <c r="K226" s="94" t="s">
        <v>1293</v>
      </c>
      <c r="L226" s="96">
        <v>1</v>
      </c>
      <c r="M226" s="97">
        <v>1008.3917236328125</v>
      </c>
      <c r="N226" s="97">
        <v>1663.4365234375</v>
      </c>
      <c r="O226" s="98"/>
      <c r="P226" s="99"/>
      <c r="Q226" s="99"/>
      <c r="R226" s="100"/>
      <c r="S226" s="49">
        <v>1</v>
      </c>
      <c r="T226" s="49">
        <v>1</v>
      </c>
      <c r="U226" s="50">
        <v>0</v>
      </c>
      <c r="V226" s="50">
        <v>0</v>
      </c>
      <c r="W226" s="50">
        <v>0</v>
      </c>
      <c r="X226" s="50">
        <v>0.004464</v>
      </c>
      <c r="Y226" s="50">
        <v>0</v>
      </c>
      <c r="Z226" s="50">
        <v>0</v>
      </c>
      <c r="AA226" s="101">
        <v>226</v>
      </c>
      <c r="AB226" s="101"/>
      <c r="AC226" s="102"/>
      <c r="AD226" s="80" t="s">
        <v>1293</v>
      </c>
      <c r="AE226" s="80" t="s">
        <v>1339</v>
      </c>
      <c r="AF226" s="80"/>
      <c r="AG226" s="80"/>
      <c r="AH226" s="80"/>
      <c r="AI226" s="80"/>
      <c r="AJ226" s="87">
        <v>41494.37630787037</v>
      </c>
      <c r="AK226" s="85" t="str">
        <f>HYPERLINK("https://yt3.ggpht.com/ytc/AKedOLQkXVsZnZgteD_AqnSfPlxqfh6tg2wH6Hlkodp0=s88-c-k-c0x00ffffff-no-rj")</f>
        <v>https://yt3.ggpht.com/ytc/AKedOLQkXVsZnZgteD_AqnSfPlxqfh6tg2wH6Hlkodp0=s88-c-k-c0x00ffffff-no-rj</v>
      </c>
      <c r="AL226" s="80">
        <v>35024</v>
      </c>
      <c r="AM226" s="80">
        <v>0</v>
      </c>
      <c r="AN226" s="80">
        <v>420</v>
      </c>
      <c r="AO226" s="80" t="b">
        <v>0</v>
      </c>
      <c r="AP226" s="80">
        <v>219</v>
      </c>
      <c r="AQ226" s="80"/>
      <c r="AR226" s="80"/>
      <c r="AS226" s="80" t="s">
        <v>1376</v>
      </c>
      <c r="AT226" s="85" t="str">
        <f>HYPERLINK("https://www.youtube.com/channel/UC3WCzD4z9DiTLTempQrMUeg")</f>
        <v>https://www.youtube.com/channel/UC3WCzD4z9DiTLTempQrMUeg</v>
      </c>
      <c r="AU226" s="80" t="str">
        <f>REPLACE(INDEX(GroupVertices[Group],MATCH(Vertices[[#This Row],[Vertex]],GroupVertices[Vertex],0)),1,1,"")</f>
        <v>2</v>
      </c>
      <c r="AV226" s="49"/>
      <c r="AW226" s="50"/>
      <c r="AX226" s="49"/>
      <c r="AY226" s="50"/>
      <c r="AZ226" s="49"/>
      <c r="BA226" s="50"/>
      <c r="BB226" s="49"/>
      <c r="BC226" s="50"/>
      <c r="BD226" s="49"/>
      <c r="BE226" s="49"/>
      <c r="BF226" s="49"/>
      <c r="BG226" s="49"/>
      <c r="BH226" s="49"/>
      <c r="BI226" s="49"/>
      <c r="BJ226" s="49"/>
      <c r="BK226" s="111" t="s">
        <v>1239</v>
      </c>
      <c r="BL226" s="111" t="s">
        <v>1239</v>
      </c>
      <c r="BM226" s="111" t="s">
        <v>1239</v>
      </c>
      <c r="BN226" s="111" t="s">
        <v>1239</v>
      </c>
      <c r="BO226" s="2"/>
      <c r="BP226" s="3"/>
      <c r="BQ226" s="3"/>
      <c r="BR226" s="3"/>
      <c r="BS2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6"/>
    <dataValidation allowBlank="1" errorTitle="Invalid Vertex Visibility" error="You have entered an unrecognized vertex visibility.  Try selecting from the drop-down list instead." sqref="BO3"/>
    <dataValidation allowBlank="1" showErrorMessage="1" sqref="BO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6"/>
    <dataValidation allowBlank="1" showInputMessage="1" promptTitle="Vertex Tooltip" prompt="Enter optional text that will pop up when the mouse is hovered over the vertex." errorTitle="Invalid Vertex Image Key" sqref="K3:K22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6"/>
    <dataValidation allowBlank="1" showInputMessage="1" promptTitle="Vertex Label Fill Color" prompt="To select an optional fill color for the Label shape, right-click and select Select Color on the right-click menu." sqref="I3:I226"/>
    <dataValidation allowBlank="1" showInputMessage="1" promptTitle="Vertex Image File" prompt="Enter the path to an image file.  Hover over the column header for examples." errorTitle="Invalid Vertex Image Key" sqref="F3:F226"/>
    <dataValidation allowBlank="1" showInputMessage="1" promptTitle="Vertex Color" prompt="To select an optional vertex color, right-click and select Select Color on the right-click menu." sqref="B3:B226"/>
    <dataValidation allowBlank="1" showInputMessage="1" promptTitle="Vertex Opacity" prompt="Enter an optional vertex opacity between 0 (transparent) and 100 (opaque)." errorTitle="Invalid Vertex Opacity" error="The optional vertex opacity must be a whole number between 0 and 10." sqref="E3:E226"/>
    <dataValidation type="list" allowBlank="1" showInputMessage="1" showErrorMessage="1" promptTitle="Vertex Shape" prompt="Select an optional vertex shape." errorTitle="Invalid Vertex Shape" error="You have entered an invalid vertex shape.  Try selecting from the drop-down list instead." sqref="C3:C2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6">
      <formula1>ValidVertexLabelPositions</formula1>
    </dataValidation>
    <dataValidation allowBlank="1" showInputMessage="1" showErrorMessage="1" promptTitle="Vertex Name" prompt="Enter the name of the vertex." sqref="A3:A22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2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3.7109375" style="0" bestFit="1" customWidth="1"/>
    <col min="35" max="35" width="15.140625" style="0" bestFit="1" customWidth="1"/>
    <col min="36" max="36" width="15.421875" style="0" bestFit="1" customWidth="1"/>
    <col min="37" max="37" width="14.140625" style="0" bestFit="1" customWidth="1"/>
    <col min="38" max="38" width="17.14062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38"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2072</v>
      </c>
      <c r="Z2" s="54" t="s">
        <v>2073</v>
      </c>
      <c r="AA2" s="54" t="s">
        <v>2074</v>
      </c>
      <c r="AB2" s="54" t="s">
        <v>2075</v>
      </c>
      <c r="AC2" s="54" t="s">
        <v>2076</v>
      </c>
      <c r="AD2" s="54" t="s">
        <v>2077</v>
      </c>
      <c r="AE2" s="54" t="s">
        <v>2078</v>
      </c>
      <c r="AF2" s="54" t="s">
        <v>2079</v>
      </c>
      <c r="AG2" s="54" t="s">
        <v>2082</v>
      </c>
      <c r="AH2" s="13" t="s">
        <v>2161</v>
      </c>
      <c r="AI2" s="13" t="s">
        <v>2188</v>
      </c>
      <c r="AJ2" s="13" t="s">
        <v>2205</v>
      </c>
      <c r="AK2" s="13" t="s">
        <v>2217</v>
      </c>
      <c r="AL2" s="13" t="s">
        <v>2318</v>
      </c>
    </row>
    <row r="3" spans="1:38" ht="15">
      <c r="A3" s="65" t="s">
        <v>1378</v>
      </c>
      <c r="B3" s="66" t="s">
        <v>1403</v>
      </c>
      <c r="C3" s="66" t="s">
        <v>56</v>
      </c>
      <c r="D3" s="106"/>
      <c r="E3" s="14"/>
      <c r="F3" s="15" t="s">
        <v>2951</v>
      </c>
      <c r="G3" s="64"/>
      <c r="H3" s="64"/>
      <c r="I3" s="107">
        <v>3</v>
      </c>
      <c r="J3" s="51"/>
      <c r="K3" s="49">
        <v>62</v>
      </c>
      <c r="L3" s="49">
        <v>84</v>
      </c>
      <c r="M3" s="49">
        <v>47</v>
      </c>
      <c r="N3" s="49">
        <v>131</v>
      </c>
      <c r="O3" s="49">
        <v>33</v>
      </c>
      <c r="P3" s="50">
        <v>0.3225806451612903</v>
      </c>
      <c r="Q3" s="50">
        <v>0.4878048780487805</v>
      </c>
      <c r="R3" s="49">
        <v>1</v>
      </c>
      <c r="S3" s="49">
        <v>0</v>
      </c>
      <c r="T3" s="49">
        <v>62</v>
      </c>
      <c r="U3" s="49">
        <v>131</v>
      </c>
      <c r="V3" s="49">
        <v>4</v>
      </c>
      <c r="W3" s="50">
        <v>1.996878</v>
      </c>
      <c r="X3" s="50">
        <v>0.02168164992067689</v>
      </c>
      <c r="Y3" s="49">
        <v>210</v>
      </c>
      <c r="Z3" s="50">
        <v>3.821656050955414</v>
      </c>
      <c r="AA3" s="49">
        <v>55</v>
      </c>
      <c r="AB3" s="50">
        <v>1.0009099181073704</v>
      </c>
      <c r="AC3" s="49">
        <v>0</v>
      </c>
      <c r="AD3" s="50">
        <v>0</v>
      </c>
      <c r="AE3" s="49">
        <v>5230</v>
      </c>
      <c r="AF3" s="50">
        <v>95.17743403093722</v>
      </c>
      <c r="AG3" s="49">
        <v>5495</v>
      </c>
      <c r="AH3" s="80" t="s">
        <v>2162</v>
      </c>
      <c r="AI3" s="80" t="s">
        <v>2189</v>
      </c>
      <c r="AJ3" s="80"/>
      <c r="AK3" s="83" t="s">
        <v>2218</v>
      </c>
      <c r="AL3" s="83" t="s">
        <v>2319</v>
      </c>
    </row>
    <row r="4" spans="1:38" ht="15">
      <c r="A4" s="65" t="s">
        <v>1379</v>
      </c>
      <c r="B4" s="66" t="s">
        <v>1404</v>
      </c>
      <c r="C4" s="66" t="s">
        <v>56</v>
      </c>
      <c r="D4" s="106"/>
      <c r="E4" s="14"/>
      <c r="F4" s="15" t="s">
        <v>2952</v>
      </c>
      <c r="G4" s="64"/>
      <c r="H4" s="64"/>
      <c r="I4" s="107">
        <v>4</v>
      </c>
      <c r="J4" s="78"/>
      <c r="K4" s="49">
        <v>22</v>
      </c>
      <c r="L4" s="49">
        <v>18</v>
      </c>
      <c r="M4" s="49">
        <v>14</v>
      </c>
      <c r="N4" s="49">
        <v>32</v>
      </c>
      <c r="O4" s="49">
        <v>32</v>
      </c>
      <c r="P4" s="50" t="s">
        <v>1418</v>
      </c>
      <c r="Q4" s="50" t="s">
        <v>1418</v>
      </c>
      <c r="R4" s="49">
        <v>22</v>
      </c>
      <c r="S4" s="49">
        <v>22</v>
      </c>
      <c r="T4" s="49">
        <v>1</v>
      </c>
      <c r="U4" s="49">
        <v>6</v>
      </c>
      <c r="V4" s="49">
        <v>0</v>
      </c>
      <c r="W4" s="50">
        <v>0</v>
      </c>
      <c r="X4" s="50">
        <v>0</v>
      </c>
      <c r="Y4" s="49">
        <v>0</v>
      </c>
      <c r="Z4" s="50">
        <v>0</v>
      </c>
      <c r="AA4" s="49">
        <v>0</v>
      </c>
      <c r="AB4" s="50">
        <v>0</v>
      </c>
      <c r="AC4" s="49">
        <v>0</v>
      </c>
      <c r="AD4" s="50">
        <v>0</v>
      </c>
      <c r="AE4" s="49">
        <v>21</v>
      </c>
      <c r="AF4" s="50">
        <v>100</v>
      </c>
      <c r="AG4" s="49">
        <v>21</v>
      </c>
      <c r="AH4" s="80"/>
      <c r="AI4" s="80"/>
      <c r="AJ4" s="80"/>
      <c r="AK4" s="83" t="s">
        <v>1455</v>
      </c>
      <c r="AL4" s="83" t="s">
        <v>1239</v>
      </c>
    </row>
    <row r="5" spans="1:38" ht="15">
      <c r="A5" s="65" t="s">
        <v>1380</v>
      </c>
      <c r="B5" s="66" t="s">
        <v>1405</v>
      </c>
      <c r="C5" s="66" t="s">
        <v>56</v>
      </c>
      <c r="D5" s="106"/>
      <c r="E5" s="14"/>
      <c r="F5" s="15" t="s">
        <v>2953</v>
      </c>
      <c r="G5" s="64"/>
      <c r="H5" s="64"/>
      <c r="I5" s="107">
        <v>5</v>
      </c>
      <c r="J5" s="78"/>
      <c r="K5" s="49">
        <v>17</v>
      </c>
      <c r="L5" s="49">
        <v>17</v>
      </c>
      <c r="M5" s="49">
        <v>3</v>
      </c>
      <c r="N5" s="49">
        <v>20</v>
      </c>
      <c r="O5" s="49">
        <v>4</v>
      </c>
      <c r="P5" s="50">
        <v>0</v>
      </c>
      <c r="Q5" s="50">
        <v>0</v>
      </c>
      <c r="R5" s="49">
        <v>1</v>
      </c>
      <c r="S5" s="49">
        <v>0</v>
      </c>
      <c r="T5" s="49">
        <v>17</v>
      </c>
      <c r="U5" s="49">
        <v>20</v>
      </c>
      <c r="V5" s="49">
        <v>4</v>
      </c>
      <c r="W5" s="50">
        <v>2.048443</v>
      </c>
      <c r="X5" s="50">
        <v>0.058823529411764705</v>
      </c>
      <c r="Y5" s="49">
        <v>26</v>
      </c>
      <c r="Z5" s="50">
        <v>3.903903903903904</v>
      </c>
      <c r="AA5" s="49">
        <v>8</v>
      </c>
      <c r="AB5" s="50">
        <v>1.2012012012012012</v>
      </c>
      <c r="AC5" s="49">
        <v>0</v>
      </c>
      <c r="AD5" s="50">
        <v>0</v>
      </c>
      <c r="AE5" s="49">
        <v>632</v>
      </c>
      <c r="AF5" s="50">
        <v>94.89489489489489</v>
      </c>
      <c r="AG5" s="49">
        <v>666</v>
      </c>
      <c r="AH5" s="80" t="s">
        <v>2163</v>
      </c>
      <c r="AI5" s="80" t="s">
        <v>1221</v>
      </c>
      <c r="AJ5" s="80"/>
      <c r="AK5" s="83" t="s">
        <v>2219</v>
      </c>
      <c r="AL5" s="83" t="s">
        <v>2320</v>
      </c>
    </row>
    <row r="6" spans="1:38" ht="15">
      <c r="A6" s="65" t="s">
        <v>1381</v>
      </c>
      <c r="B6" s="66" t="s">
        <v>1406</v>
      </c>
      <c r="C6" s="66" t="s">
        <v>56</v>
      </c>
      <c r="D6" s="106"/>
      <c r="E6" s="14"/>
      <c r="F6" s="15" t="s">
        <v>2954</v>
      </c>
      <c r="G6" s="64"/>
      <c r="H6" s="64"/>
      <c r="I6" s="107">
        <v>6</v>
      </c>
      <c r="J6" s="78"/>
      <c r="K6" s="49">
        <v>17</v>
      </c>
      <c r="L6" s="49">
        <v>21</v>
      </c>
      <c r="M6" s="49">
        <v>14</v>
      </c>
      <c r="N6" s="49">
        <v>35</v>
      </c>
      <c r="O6" s="49">
        <v>12</v>
      </c>
      <c r="P6" s="50">
        <v>0.23529411764705882</v>
      </c>
      <c r="Q6" s="50">
        <v>0.38095238095238093</v>
      </c>
      <c r="R6" s="49">
        <v>1</v>
      </c>
      <c r="S6" s="49">
        <v>0</v>
      </c>
      <c r="T6" s="49">
        <v>17</v>
      </c>
      <c r="U6" s="49">
        <v>35</v>
      </c>
      <c r="V6" s="49">
        <v>5</v>
      </c>
      <c r="W6" s="50">
        <v>2.657439</v>
      </c>
      <c r="X6" s="50">
        <v>0.07720588235294118</v>
      </c>
      <c r="Y6" s="49">
        <v>48</v>
      </c>
      <c r="Z6" s="50">
        <v>7.779578606158833</v>
      </c>
      <c r="AA6" s="49">
        <v>6</v>
      </c>
      <c r="AB6" s="50">
        <v>0.9724473257698542</v>
      </c>
      <c r="AC6" s="49">
        <v>0</v>
      </c>
      <c r="AD6" s="50">
        <v>0</v>
      </c>
      <c r="AE6" s="49">
        <v>563</v>
      </c>
      <c r="AF6" s="50">
        <v>91.24797406807131</v>
      </c>
      <c r="AG6" s="49">
        <v>617</v>
      </c>
      <c r="AH6" s="80" t="s">
        <v>2164</v>
      </c>
      <c r="AI6" s="80" t="s">
        <v>2190</v>
      </c>
      <c r="AJ6" s="80"/>
      <c r="AK6" s="83" t="s">
        <v>2220</v>
      </c>
      <c r="AL6" s="83" t="s">
        <v>2321</v>
      </c>
    </row>
    <row r="7" spans="1:38" ht="15">
      <c r="A7" s="65" t="s">
        <v>1382</v>
      </c>
      <c r="B7" s="66" t="s">
        <v>1407</v>
      </c>
      <c r="C7" s="66" t="s">
        <v>56</v>
      </c>
      <c r="D7" s="106"/>
      <c r="E7" s="14"/>
      <c r="F7" s="15" t="s">
        <v>2955</v>
      </c>
      <c r="G7" s="64"/>
      <c r="H7" s="64"/>
      <c r="I7" s="107">
        <v>7</v>
      </c>
      <c r="J7" s="78"/>
      <c r="K7" s="49">
        <v>15</v>
      </c>
      <c r="L7" s="49">
        <v>17</v>
      </c>
      <c r="M7" s="49">
        <v>2</v>
      </c>
      <c r="N7" s="49">
        <v>19</v>
      </c>
      <c r="O7" s="49">
        <v>4</v>
      </c>
      <c r="P7" s="50">
        <v>0.07142857142857142</v>
      </c>
      <c r="Q7" s="50">
        <v>0.13333333333333333</v>
      </c>
      <c r="R7" s="49">
        <v>1</v>
      </c>
      <c r="S7" s="49">
        <v>0</v>
      </c>
      <c r="T7" s="49">
        <v>15</v>
      </c>
      <c r="U7" s="49">
        <v>19</v>
      </c>
      <c r="V7" s="49">
        <v>6</v>
      </c>
      <c r="W7" s="50">
        <v>2.933333</v>
      </c>
      <c r="X7" s="50">
        <v>0.07142857142857142</v>
      </c>
      <c r="Y7" s="49">
        <v>1</v>
      </c>
      <c r="Z7" s="50">
        <v>0.22026431718061673</v>
      </c>
      <c r="AA7" s="49">
        <v>0</v>
      </c>
      <c r="AB7" s="50">
        <v>0</v>
      </c>
      <c r="AC7" s="49">
        <v>0</v>
      </c>
      <c r="AD7" s="50">
        <v>0</v>
      </c>
      <c r="AE7" s="49">
        <v>453</v>
      </c>
      <c r="AF7" s="50">
        <v>99.77973568281938</v>
      </c>
      <c r="AG7" s="49">
        <v>454</v>
      </c>
      <c r="AH7" s="80" t="s">
        <v>2165</v>
      </c>
      <c r="AI7" s="80" t="s">
        <v>2191</v>
      </c>
      <c r="AJ7" s="80"/>
      <c r="AK7" s="83" t="s">
        <v>2221</v>
      </c>
      <c r="AL7" s="83" t="s">
        <v>2322</v>
      </c>
    </row>
    <row r="8" spans="1:38" ht="15">
      <c r="A8" s="65" t="s">
        <v>1383</v>
      </c>
      <c r="B8" s="66" t="s">
        <v>1408</v>
      </c>
      <c r="C8" s="66" t="s">
        <v>56</v>
      </c>
      <c r="D8" s="106"/>
      <c r="E8" s="14"/>
      <c r="F8" s="15" t="s">
        <v>2956</v>
      </c>
      <c r="G8" s="64"/>
      <c r="H8" s="64"/>
      <c r="I8" s="107">
        <v>8</v>
      </c>
      <c r="J8" s="78"/>
      <c r="K8" s="49">
        <v>10</v>
      </c>
      <c r="L8" s="49">
        <v>10</v>
      </c>
      <c r="M8" s="49">
        <v>11</v>
      </c>
      <c r="N8" s="49">
        <v>21</v>
      </c>
      <c r="O8" s="49">
        <v>11</v>
      </c>
      <c r="P8" s="50">
        <v>0.1111111111111111</v>
      </c>
      <c r="Q8" s="50">
        <v>0.2</v>
      </c>
      <c r="R8" s="49">
        <v>1</v>
      </c>
      <c r="S8" s="49">
        <v>0</v>
      </c>
      <c r="T8" s="49">
        <v>10</v>
      </c>
      <c r="U8" s="49">
        <v>21</v>
      </c>
      <c r="V8" s="49">
        <v>3</v>
      </c>
      <c r="W8" s="50">
        <v>1.76</v>
      </c>
      <c r="X8" s="50">
        <v>0.1111111111111111</v>
      </c>
      <c r="Y8" s="49">
        <v>10</v>
      </c>
      <c r="Z8" s="50">
        <v>4.166666666666667</v>
      </c>
      <c r="AA8" s="49">
        <v>3</v>
      </c>
      <c r="AB8" s="50">
        <v>1.25</v>
      </c>
      <c r="AC8" s="49">
        <v>0</v>
      </c>
      <c r="AD8" s="50">
        <v>0</v>
      </c>
      <c r="AE8" s="49">
        <v>227</v>
      </c>
      <c r="AF8" s="50">
        <v>94.58333333333333</v>
      </c>
      <c r="AG8" s="49">
        <v>240</v>
      </c>
      <c r="AH8" s="80"/>
      <c r="AI8" s="80"/>
      <c r="AJ8" s="80"/>
      <c r="AK8" s="83" t="s">
        <v>2222</v>
      </c>
      <c r="AL8" s="83" t="s">
        <v>2323</v>
      </c>
    </row>
    <row r="9" spans="1:38" ht="15">
      <c r="A9" s="65" t="s">
        <v>1384</v>
      </c>
      <c r="B9" s="66" t="s">
        <v>1409</v>
      </c>
      <c r="C9" s="66" t="s">
        <v>56</v>
      </c>
      <c r="D9" s="106"/>
      <c r="E9" s="14"/>
      <c r="F9" s="15" t="s">
        <v>2957</v>
      </c>
      <c r="G9" s="64"/>
      <c r="H9" s="64"/>
      <c r="I9" s="107">
        <v>9</v>
      </c>
      <c r="J9" s="78"/>
      <c r="K9" s="49">
        <v>10</v>
      </c>
      <c r="L9" s="49">
        <v>10</v>
      </c>
      <c r="M9" s="49">
        <v>5</v>
      </c>
      <c r="N9" s="49">
        <v>15</v>
      </c>
      <c r="O9" s="49">
        <v>5</v>
      </c>
      <c r="P9" s="50">
        <v>0.1111111111111111</v>
      </c>
      <c r="Q9" s="50">
        <v>0.2</v>
      </c>
      <c r="R9" s="49">
        <v>1</v>
      </c>
      <c r="S9" s="49">
        <v>0</v>
      </c>
      <c r="T9" s="49">
        <v>10</v>
      </c>
      <c r="U9" s="49">
        <v>15</v>
      </c>
      <c r="V9" s="49">
        <v>3</v>
      </c>
      <c r="W9" s="50">
        <v>1.76</v>
      </c>
      <c r="X9" s="50">
        <v>0.1111111111111111</v>
      </c>
      <c r="Y9" s="49">
        <v>21</v>
      </c>
      <c r="Z9" s="50">
        <v>4.55531453362256</v>
      </c>
      <c r="AA9" s="49">
        <v>6</v>
      </c>
      <c r="AB9" s="50">
        <v>1.3015184381778742</v>
      </c>
      <c r="AC9" s="49">
        <v>0</v>
      </c>
      <c r="AD9" s="50">
        <v>0</v>
      </c>
      <c r="AE9" s="49">
        <v>434</v>
      </c>
      <c r="AF9" s="50">
        <v>94.14316702819957</v>
      </c>
      <c r="AG9" s="49">
        <v>461</v>
      </c>
      <c r="AH9" s="80"/>
      <c r="AI9" s="80"/>
      <c r="AJ9" s="80"/>
      <c r="AK9" s="83" t="s">
        <v>2223</v>
      </c>
      <c r="AL9" s="83" t="s">
        <v>2324</v>
      </c>
    </row>
    <row r="10" spans="1:38" ht="14.25" customHeight="1">
      <c r="A10" s="65" t="s">
        <v>1385</v>
      </c>
      <c r="B10" s="66" t="s">
        <v>1410</v>
      </c>
      <c r="C10" s="66" t="s">
        <v>56</v>
      </c>
      <c r="D10" s="106"/>
      <c r="E10" s="14"/>
      <c r="F10" s="15" t="s">
        <v>2958</v>
      </c>
      <c r="G10" s="64"/>
      <c r="H10" s="64"/>
      <c r="I10" s="107">
        <v>10</v>
      </c>
      <c r="J10" s="78"/>
      <c r="K10" s="49">
        <v>10</v>
      </c>
      <c r="L10" s="49">
        <v>16</v>
      </c>
      <c r="M10" s="49">
        <v>2</v>
      </c>
      <c r="N10" s="49">
        <v>18</v>
      </c>
      <c r="O10" s="49">
        <v>3</v>
      </c>
      <c r="P10" s="50">
        <v>0</v>
      </c>
      <c r="Q10" s="50">
        <v>0</v>
      </c>
      <c r="R10" s="49">
        <v>1</v>
      </c>
      <c r="S10" s="49">
        <v>0</v>
      </c>
      <c r="T10" s="49">
        <v>10</v>
      </c>
      <c r="U10" s="49">
        <v>18</v>
      </c>
      <c r="V10" s="49">
        <v>3</v>
      </c>
      <c r="W10" s="50">
        <v>1.62</v>
      </c>
      <c r="X10" s="50">
        <v>0.16666666666666666</v>
      </c>
      <c r="Y10" s="49">
        <v>4</v>
      </c>
      <c r="Z10" s="50">
        <v>1.0666666666666667</v>
      </c>
      <c r="AA10" s="49">
        <v>0</v>
      </c>
      <c r="AB10" s="50">
        <v>0</v>
      </c>
      <c r="AC10" s="49">
        <v>0</v>
      </c>
      <c r="AD10" s="50">
        <v>0</v>
      </c>
      <c r="AE10" s="49">
        <v>371</v>
      </c>
      <c r="AF10" s="50">
        <v>98.93333333333334</v>
      </c>
      <c r="AG10" s="49">
        <v>375</v>
      </c>
      <c r="AH10" s="80" t="s">
        <v>2151</v>
      </c>
      <c r="AI10" s="80" t="s">
        <v>1225</v>
      </c>
      <c r="AJ10" s="80"/>
      <c r="AK10" s="83" t="s">
        <v>2224</v>
      </c>
      <c r="AL10" s="83" t="s">
        <v>2325</v>
      </c>
    </row>
    <row r="11" spans="1:38" ht="15">
      <c r="A11" s="65" t="s">
        <v>1386</v>
      </c>
      <c r="B11" s="66" t="s">
        <v>1411</v>
      </c>
      <c r="C11" s="66" t="s">
        <v>56</v>
      </c>
      <c r="D11" s="106"/>
      <c r="E11" s="14"/>
      <c r="F11" s="15" t="s">
        <v>2959</v>
      </c>
      <c r="G11" s="64"/>
      <c r="H11" s="64"/>
      <c r="I11" s="107">
        <v>11</v>
      </c>
      <c r="J11" s="78"/>
      <c r="K11" s="49">
        <v>10</v>
      </c>
      <c r="L11" s="49">
        <v>11</v>
      </c>
      <c r="M11" s="49">
        <v>0</v>
      </c>
      <c r="N11" s="49">
        <v>11</v>
      </c>
      <c r="O11" s="49">
        <v>1</v>
      </c>
      <c r="P11" s="50">
        <v>0.1111111111111111</v>
      </c>
      <c r="Q11" s="50">
        <v>0.2</v>
      </c>
      <c r="R11" s="49">
        <v>1</v>
      </c>
      <c r="S11" s="49">
        <v>0</v>
      </c>
      <c r="T11" s="49">
        <v>10</v>
      </c>
      <c r="U11" s="49">
        <v>11</v>
      </c>
      <c r="V11" s="49">
        <v>3</v>
      </c>
      <c r="W11" s="50">
        <v>1.76</v>
      </c>
      <c r="X11" s="50">
        <v>0.1111111111111111</v>
      </c>
      <c r="Y11" s="49">
        <v>10</v>
      </c>
      <c r="Z11" s="50">
        <v>3.2467532467532467</v>
      </c>
      <c r="AA11" s="49">
        <v>3</v>
      </c>
      <c r="AB11" s="50">
        <v>0.974025974025974</v>
      </c>
      <c r="AC11" s="49">
        <v>0</v>
      </c>
      <c r="AD11" s="50">
        <v>0</v>
      </c>
      <c r="AE11" s="49">
        <v>295</v>
      </c>
      <c r="AF11" s="50">
        <v>95.77922077922078</v>
      </c>
      <c r="AG11" s="49">
        <v>308</v>
      </c>
      <c r="AH11" s="80" t="s">
        <v>2154</v>
      </c>
      <c r="AI11" s="80" t="s">
        <v>1221</v>
      </c>
      <c r="AJ11" s="80"/>
      <c r="AK11" s="83" t="s">
        <v>2225</v>
      </c>
      <c r="AL11" s="83" t="s">
        <v>2326</v>
      </c>
    </row>
    <row r="12" spans="1:38" ht="15">
      <c r="A12" s="65" t="s">
        <v>1387</v>
      </c>
      <c r="B12" s="66" t="s">
        <v>1412</v>
      </c>
      <c r="C12" s="66" t="s">
        <v>56</v>
      </c>
      <c r="D12" s="106"/>
      <c r="E12" s="14"/>
      <c r="F12" s="15" t="s">
        <v>2960</v>
      </c>
      <c r="G12" s="64"/>
      <c r="H12" s="64"/>
      <c r="I12" s="107">
        <v>12</v>
      </c>
      <c r="J12" s="78"/>
      <c r="K12" s="49">
        <v>7</v>
      </c>
      <c r="L12" s="49">
        <v>6</v>
      </c>
      <c r="M12" s="49">
        <v>2</v>
      </c>
      <c r="N12" s="49">
        <v>8</v>
      </c>
      <c r="O12" s="49">
        <v>2</v>
      </c>
      <c r="P12" s="50">
        <v>0</v>
      </c>
      <c r="Q12" s="50">
        <v>0</v>
      </c>
      <c r="R12" s="49">
        <v>1</v>
      </c>
      <c r="S12" s="49">
        <v>0</v>
      </c>
      <c r="T12" s="49">
        <v>7</v>
      </c>
      <c r="U12" s="49">
        <v>8</v>
      </c>
      <c r="V12" s="49">
        <v>2</v>
      </c>
      <c r="W12" s="50">
        <v>1.469388</v>
      </c>
      <c r="X12" s="50">
        <v>0.14285714285714285</v>
      </c>
      <c r="Y12" s="49">
        <v>7</v>
      </c>
      <c r="Z12" s="50">
        <v>4.117647058823529</v>
      </c>
      <c r="AA12" s="49">
        <v>0</v>
      </c>
      <c r="AB12" s="50">
        <v>0</v>
      </c>
      <c r="AC12" s="49">
        <v>0</v>
      </c>
      <c r="AD12" s="50">
        <v>0</v>
      </c>
      <c r="AE12" s="49">
        <v>163</v>
      </c>
      <c r="AF12" s="50">
        <v>95.88235294117646</v>
      </c>
      <c r="AG12" s="49">
        <v>170</v>
      </c>
      <c r="AH12" s="80" t="s">
        <v>2166</v>
      </c>
      <c r="AI12" s="80" t="s">
        <v>2174</v>
      </c>
      <c r="AJ12" s="80"/>
      <c r="AK12" s="83" t="s">
        <v>2226</v>
      </c>
      <c r="AL12" s="83" t="s">
        <v>2327</v>
      </c>
    </row>
    <row r="13" spans="1:38" ht="15">
      <c r="A13" s="65" t="s">
        <v>1388</v>
      </c>
      <c r="B13" s="66" t="s">
        <v>1413</v>
      </c>
      <c r="C13" s="66" t="s">
        <v>56</v>
      </c>
      <c r="D13" s="106"/>
      <c r="E13" s="14"/>
      <c r="F13" s="15" t="s">
        <v>2961</v>
      </c>
      <c r="G13" s="64"/>
      <c r="H13" s="64"/>
      <c r="I13" s="107">
        <v>13</v>
      </c>
      <c r="J13" s="78"/>
      <c r="K13" s="49">
        <v>7</v>
      </c>
      <c r="L13" s="49">
        <v>7</v>
      </c>
      <c r="M13" s="49">
        <v>0</v>
      </c>
      <c r="N13" s="49">
        <v>7</v>
      </c>
      <c r="O13" s="49">
        <v>1</v>
      </c>
      <c r="P13" s="50">
        <v>0</v>
      </c>
      <c r="Q13" s="50">
        <v>0</v>
      </c>
      <c r="R13" s="49">
        <v>1</v>
      </c>
      <c r="S13" s="49">
        <v>0</v>
      </c>
      <c r="T13" s="49">
        <v>7</v>
      </c>
      <c r="U13" s="49">
        <v>7</v>
      </c>
      <c r="V13" s="49">
        <v>3</v>
      </c>
      <c r="W13" s="50">
        <v>1.632653</v>
      </c>
      <c r="X13" s="50">
        <v>0.14285714285714285</v>
      </c>
      <c r="Y13" s="49">
        <v>6</v>
      </c>
      <c r="Z13" s="50">
        <v>4.615384615384615</v>
      </c>
      <c r="AA13" s="49">
        <v>0</v>
      </c>
      <c r="AB13" s="50">
        <v>0</v>
      </c>
      <c r="AC13" s="49">
        <v>0</v>
      </c>
      <c r="AD13" s="50">
        <v>0</v>
      </c>
      <c r="AE13" s="49">
        <v>124</v>
      </c>
      <c r="AF13" s="50">
        <v>95.38461538461539</v>
      </c>
      <c r="AG13" s="49">
        <v>130</v>
      </c>
      <c r="AH13" s="80"/>
      <c r="AI13" s="80"/>
      <c r="AJ13" s="80"/>
      <c r="AK13" s="83" t="s">
        <v>2227</v>
      </c>
      <c r="AL13" s="83" t="s">
        <v>2328</v>
      </c>
    </row>
    <row r="14" spans="1:38" ht="15">
      <c r="A14" s="65" t="s">
        <v>1389</v>
      </c>
      <c r="B14" s="66" t="s">
        <v>1414</v>
      </c>
      <c r="C14" s="66" t="s">
        <v>56</v>
      </c>
      <c r="D14" s="106"/>
      <c r="E14" s="14"/>
      <c r="F14" s="15" t="s">
        <v>2962</v>
      </c>
      <c r="G14" s="64"/>
      <c r="H14" s="64"/>
      <c r="I14" s="107">
        <v>14</v>
      </c>
      <c r="J14" s="78"/>
      <c r="K14" s="49">
        <v>4</v>
      </c>
      <c r="L14" s="49">
        <v>4</v>
      </c>
      <c r="M14" s="49">
        <v>0</v>
      </c>
      <c r="N14" s="49">
        <v>4</v>
      </c>
      <c r="O14" s="49">
        <v>1</v>
      </c>
      <c r="P14" s="50">
        <v>0</v>
      </c>
      <c r="Q14" s="50">
        <v>0</v>
      </c>
      <c r="R14" s="49">
        <v>1</v>
      </c>
      <c r="S14" s="49">
        <v>0</v>
      </c>
      <c r="T14" s="49">
        <v>4</v>
      </c>
      <c r="U14" s="49">
        <v>4</v>
      </c>
      <c r="V14" s="49">
        <v>2</v>
      </c>
      <c r="W14" s="50">
        <v>1.125</v>
      </c>
      <c r="X14" s="50">
        <v>0.25</v>
      </c>
      <c r="Y14" s="49">
        <v>0</v>
      </c>
      <c r="Z14" s="50">
        <v>0</v>
      </c>
      <c r="AA14" s="49">
        <v>0</v>
      </c>
      <c r="AB14" s="50">
        <v>0</v>
      </c>
      <c r="AC14" s="49">
        <v>0</v>
      </c>
      <c r="AD14" s="50">
        <v>0</v>
      </c>
      <c r="AE14" s="49">
        <v>43</v>
      </c>
      <c r="AF14" s="50">
        <v>100</v>
      </c>
      <c r="AG14" s="49">
        <v>43</v>
      </c>
      <c r="AH14" s="80"/>
      <c r="AI14" s="80"/>
      <c r="AJ14" s="80"/>
      <c r="AK14" s="83" t="s">
        <v>2228</v>
      </c>
      <c r="AL14" s="83" t="s">
        <v>1239</v>
      </c>
    </row>
    <row r="15" spans="1:38" ht="15">
      <c r="A15" s="65" t="s">
        <v>1390</v>
      </c>
      <c r="B15" s="66" t="s">
        <v>1403</v>
      </c>
      <c r="C15" s="66" t="s">
        <v>59</v>
      </c>
      <c r="D15" s="106"/>
      <c r="E15" s="14"/>
      <c r="F15" s="15" t="s">
        <v>2963</v>
      </c>
      <c r="G15" s="64"/>
      <c r="H15" s="64"/>
      <c r="I15" s="107">
        <v>15</v>
      </c>
      <c r="J15" s="78"/>
      <c r="K15" s="49">
        <v>4</v>
      </c>
      <c r="L15" s="49">
        <v>4</v>
      </c>
      <c r="M15" s="49">
        <v>0</v>
      </c>
      <c r="N15" s="49">
        <v>4</v>
      </c>
      <c r="O15" s="49">
        <v>1</v>
      </c>
      <c r="P15" s="50">
        <v>0</v>
      </c>
      <c r="Q15" s="50">
        <v>0</v>
      </c>
      <c r="R15" s="49">
        <v>1</v>
      </c>
      <c r="S15" s="49">
        <v>0</v>
      </c>
      <c r="T15" s="49">
        <v>4</v>
      </c>
      <c r="U15" s="49">
        <v>4</v>
      </c>
      <c r="V15" s="49">
        <v>2</v>
      </c>
      <c r="W15" s="50">
        <v>1.125</v>
      </c>
      <c r="X15" s="50">
        <v>0.25</v>
      </c>
      <c r="Y15" s="49">
        <v>0</v>
      </c>
      <c r="Z15" s="50">
        <v>0</v>
      </c>
      <c r="AA15" s="49">
        <v>0</v>
      </c>
      <c r="AB15" s="50">
        <v>0</v>
      </c>
      <c r="AC15" s="49">
        <v>0</v>
      </c>
      <c r="AD15" s="50">
        <v>0</v>
      </c>
      <c r="AE15" s="49">
        <v>18</v>
      </c>
      <c r="AF15" s="50">
        <v>100</v>
      </c>
      <c r="AG15" s="49">
        <v>18</v>
      </c>
      <c r="AH15" s="80"/>
      <c r="AI15" s="80"/>
      <c r="AJ15" s="80"/>
      <c r="AK15" s="83" t="s">
        <v>1753</v>
      </c>
      <c r="AL15" s="83" t="s">
        <v>1239</v>
      </c>
    </row>
    <row r="16" spans="1:38" ht="15">
      <c r="A16" s="65" t="s">
        <v>1391</v>
      </c>
      <c r="B16" s="66" t="s">
        <v>1404</v>
      </c>
      <c r="C16" s="66" t="s">
        <v>59</v>
      </c>
      <c r="D16" s="106"/>
      <c r="E16" s="14"/>
      <c r="F16" s="15" t="s">
        <v>1391</v>
      </c>
      <c r="G16" s="64"/>
      <c r="H16" s="64"/>
      <c r="I16" s="107">
        <v>16</v>
      </c>
      <c r="J16" s="78"/>
      <c r="K16" s="49">
        <v>4</v>
      </c>
      <c r="L16" s="49">
        <v>4</v>
      </c>
      <c r="M16" s="49">
        <v>0</v>
      </c>
      <c r="N16" s="49">
        <v>4</v>
      </c>
      <c r="O16" s="49">
        <v>1</v>
      </c>
      <c r="P16" s="50">
        <v>0</v>
      </c>
      <c r="Q16" s="50">
        <v>0</v>
      </c>
      <c r="R16" s="49">
        <v>1</v>
      </c>
      <c r="S16" s="49">
        <v>0</v>
      </c>
      <c r="T16" s="49">
        <v>4</v>
      </c>
      <c r="U16" s="49">
        <v>4</v>
      </c>
      <c r="V16" s="49">
        <v>2</v>
      </c>
      <c r="W16" s="50">
        <v>1.125</v>
      </c>
      <c r="X16" s="50">
        <v>0.25</v>
      </c>
      <c r="Y16" s="49">
        <v>1</v>
      </c>
      <c r="Z16" s="50">
        <v>3.0303030303030303</v>
      </c>
      <c r="AA16" s="49">
        <v>0</v>
      </c>
      <c r="AB16" s="50">
        <v>0</v>
      </c>
      <c r="AC16" s="49">
        <v>0</v>
      </c>
      <c r="AD16" s="50">
        <v>0</v>
      </c>
      <c r="AE16" s="49">
        <v>32</v>
      </c>
      <c r="AF16" s="50">
        <v>96.96969696969697</v>
      </c>
      <c r="AG16" s="49">
        <v>33</v>
      </c>
      <c r="AH16" s="80"/>
      <c r="AI16" s="80"/>
      <c r="AJ16" s="80"/>
      <c r="AK16" s="83" t="s">
        <v>1239</v>
      </c>
      <c r="AL16" s="83" t="s">
        <v>1239</v>
      </c>
    </row>
    <row r="17" spans="1:38" ht="15">
      <c r="A17" s="65" t="s">
        <v>1392</v>
      </c>
      <c r="B17" s="66" t="s">
        <v>1405</v>
      </c>
      <c r="C17" s="66" t="s">
        <v>59</v>
      </c>
      <c r="D17" s="106"/>
      <c r="E17" s="14"/>
      <c r="F17" s="15" t="s">
        <v>2964</v>
      </c>
      <c r="G17" s="64"/>
      <c r="H17" s="64"/>
      <c r="I17" s="107">
        <v>17</v>
      </c>
      <c r="J17" s="78"/>
      <c r="K17" s="49">
        <v>3</v>
      </c>
      <c r="L17" s="49">
        <v>3</v>
      </c>
      <c r="M17" s="49">
        <v>0</v>
      </c>
      <c r="N17" s="49">
        <v>3</v>
      </c>
      <c r="O17" s="49">
        <v>1</v>
      </c>
      <c r="P17" s="50">
        <v>0</v>
      </c>
      <c r="Q17" s="50">
        <v>0</v>
      </c>
      <c r="R17" s="49">
        <v>1</v>
      </c>
      <c r="S17" s="49">
        <v>0</v>
      </c>
      <c r="T17" s="49">
        <v>3</v>
      </c>
      <c r="U17" s="49">
        <v>3</v>
      </c>
      <c r="V17" s="49">
        <v>2</v>
      </c>
      <c r="W17" s="50">
        <v>0.888889</v>
      </c>
      <c r="X17" s="50">
        <v>0.3333333333333333</v>
      </c>
      <c r="Y17" s="49">
        <v>1</v>
      </c>
      <c r="Z17" s="50">
        <v>8.333333333333334</v>
      </c>
      <c r="AA17" s="49">
        <v>1</v>
      </c>
      <c r="AB17" s="50">
        <v>8.333333333333334</v>
      </c>
      <c r="AC17" s="49">
        <v>0</v>
      </c>
      <c r="AD17" s="50">
        <v>0</v>
      </c>
      <c r="AE17" s="49">
        <v>10</v>
      </c>
      <c r="AF17" s="50">
        <v>83.33333333333333</v>
      </c>
      <c r="AG17" s="49">
        <v>12</v>
      </c>
      <c r="AH17" s="80"/>
      <c r="AI17" s="80"/>
      <c r="AJ17" s="80"/>
      <c r="AK17" s="83" t="s">
        <v>1459</v>
      </c>
      <c r="AL17" s="83" t="s">
        <v>1239</v>
      </c>
    </row>
    <row r="18" spans="1:38" ht="15">
      <c r="A18" s="65" t="s">
        <v>1393</v>
      </c>
      <c r="B18" s="66" t="s">
        <v>1406</v>
      </c>
      <c r="C18" s="66" t="s">
        <v>59</v>
      </c>
      <c r="D18" s="106"/>
      <c r="E18" s="14"/>
      <c r="F18" s="15" t="s">
        <v>2965</v>
      </c>
      <c r="G18" s="64"/>
      <c r="H18" s="64"/>
      <c r="I18" s="107">
        <v>18</v>
      </c>
      <c r="J18" s="78"/>
      <c r="K18" s="49">
        <v>3</v>
      </c>
      <c r="L18" s="49">
        <v>3</v>
      </c>
      <c r="M18" s="49">
        <v>0</v>
      </c>
      <c r="N18" s="49">
        <v>3</v>
      </c>
      <c r="O18" s="49">
        <v>1</v>
      </c>
      <c r="P18" s="50">
        <v>0</v>
      </c>
      <c r="Q18" s="50">
        <v>0</v>
      </c>
      <c r="R18" s="49">
        <v>1</v>
      </c>
      <c r="S18" s="49">
        <v>0</v>
      </c>
      <c r="T18" s="49">
        <v>3</v>
      </c>
      <c r="U18" s="49">
        <v>3</v>
      </c>
      <c r="V18" s="49">
        <v>2</v>
      </c>
      <c r="W18" s="50">
        <v>0.888889</v>
      </c>
      <c r="X18" s="50">
        <v>0.3333333333333333</v>
      </c>
      <c r="Y18" s="49">
        <v>0</v>
      </c>
      <c r="Z18" s="50">
        <v>0</v>
      </c>
      <c r="AA18" s="49">
        <v>0</v>
      </c>
      <c r="AB18" s="50">
        <v>0</v>
      </c>
      <c r="AC18" s="49">
        <v>0</v>
      </c>
      <c r="AD18" s="50">
        <v>0</v>
      </c>
      <c r="AE18" s="49">
        <v>24</v>
      </c>
      <c r="AF18" s="50">
        <v>100</v>
      </c>
      <c r="AG18" s="49">
        <v>24</v>
      </c>
      <c r="AH18" s="80"/>
      <c r="AI18" s="80"/>
      <c r="AJ18" s="80"/>
      <c r="AK18" s="83" t="s">
        <v>1976</v>
      </c>
      <c r="AL18" s="83" t="s">
        <v>1239</v>
      </c>
    </row>
    <row r="19" spans="1:38" ht="15">
      <c r="A19" s="65" t="s">
        <v>1394</v>
      </c>
      <c r="B19" s="66" t="s">
        <v>1407</v>
      </c>
      <c r="C19" s="66" t="s">
        <v>59</v>
      </c>
      <c r="D19" s="106"/>
      <c r="E19" s="14"/>
      <c r="F19" s="15" t="s">
        <v>2966</v>
      </c>
      <c r="G19" s="64"/>
      <c r="H19" s="64"/>
      <c r="I19" s="107">
        <v>19</v>
      </c>
      <c r="J19" s="78"/>
      <c r="K19" s="49">
        <v>3</v>
      </c>
      <c r="L19" s="49">
        <v>4</v>
      </c>
      <c r="M19" s="49">
        <v>7</v>
      </c>
      <c r="N19" s="49">
        <v>11</v>
      </c>
      <c r="O19" s="49">
        <v>7</v>
      </c>
      <c r="P19" s="50">
        <v>1</v>
      </c>
      <c r="Q19" s="50">
        <v>1</v>
      </c>
      <c r="R19" s="49">
        <v>1</v>
      </c>
      <c r="S19" s="49">
        <v>0</v>
      </c>
      <c r="T19" s="49">
        <v>3</v>
      </c>
      <c r="U19" s="49">
        <v>11</v>
      </c>
      <c r="V19" s="49">
        <v>2</v>
      </c>
      <c r="W19" s="50">
        <v>0.888889</v>
      </c>
      <c r="X19" s="50">
        <v>0.6666666666666666</v>
      </c>
      <c r="Y19" s="49">
        <v>5</v>
      </c>
      <c r="Z19" s="50">
        <v>1.0266940451745379</v>
      </c>
      <c r="AA19" s="49">
        <v>2</v>
      </c>
      <c r="AB19" s="50">
        <v>0.4106776180698152</v>
      </c>
      <c r="AC19" s="49">
        <v>0</v>
      </c>
      <c r="AD19" s="50">
        <v>0</v>
      </c>
      <c r="AE19" s="49">
        <v>480</v>
      </c>
      <c r="AF19" s="50">
        <v>98.56262833675565</v>
      </c>
      <c r="AG19" s="49">
        <v>487</v>
      </c>
      <c r="AH19" s="80" t="s">
        <v>2167</v>
      </c>
      <c r="AI19" s="80" t="s">
        <v>2192</v>
      </c>
      <c r="AJ19" s="80"/>
      <c r="AK19" s="83" t="s">
        <v>2229</v>
      </c>
      <c r="AL19" s="83" t="s">
        <v>2329</v>
      </c>
    </row>
    <row r="20" spans="1:38" ht="15">
      <c r="A20" s="65" t="s">
        <v>1395</v>
      </c>
      <c r="B20" s="66" t="s">
        <v>1408</v>
      </c>
      <c r="C20" s="66" t="s">
        <v>59</v>
      </c>
      <c r="D20" s="106"/>
      <c r="E20" s="14"/>
      <c r="F20" s="15" t="s">
        <v>2967</v>
      </c>
      <c r="G20" s="64"/>
      <c r="H20" s="64"/>
      <c r="I20" s="107">
        <v>20</v>
      </c>
      <c r="J20" s="78"/>
      <c r="K20" s="49">
        <v>2</v>
      </c>
      <c r="L20" s="49">
        <v>0</v>
      </c>
      <c r="M20" s="49">
        <v>3</v>
      </c>
      <c r="N20" s="49">
        <v>3</v>
      </c>
      <c r="O20" s="49">
        <v>0</v>
      </c>
      <c r="P20" s="50">
        <v>0</v>
      </c>
      <c r="Q20" s="50">
        <v>0</v>
      </c>
      <c r="R20" s="49">
        <v>1</v>
      </c>
      <c r="S20" s="49">
        <v>0</v>
      </c>
      <c r="T20" s="49">
        <v>2</v>
      </c>
      <c r="U20" s="49">
        <v>3</v>
      </c>
      <c r="V20" s="49">
        <v>1</v>
      </c>
      <c r="W20" s="50">
        <v>0.5</v>
      </c>
      <c r="X20" s="50">
        <v>0.5</v>
      </c>
      <c r="Y20" s="49">
        <v>2</v>
      </c>
      <c r="Z20" s="50">
        <v>2.0833333333333335</v>
      </c>
      <c r="AA20" s="49">
        <v>0</v>
      </c>
      <c r="AB20" s="50">
        <v>0</v>
      </c>
      <c r="AC20" s="49">
        <v>0</v>
      </c>
      <c r="AD20" s="50">
        <v>0</v>
      </c>
      <c r="AE20" s="49">
        <v>94</v>
      </c>
      <c r="AF20" s="50">
        <v>97.91666666666667</v>
      </c>
      <c r="AG20" s="49">
        <v>96</v>
      </c>
      <c r="AH20" s="80"/>
      <c r="AI20" s="80"/>
      <c r="AJ20" s="80"/>
      <c r="AK20" s="83" t="s">
        <v>2230</v>
      </c>
      <c r="AL20" s="83" t="s">
        <v>2330</v>
      </c>
    </row>
    <row r="21" spans="1:38" ht="15">
      <c r="A21" s="65" t="s">
        <v>1396</v>
      </c>
      <c r="B21" s="66" t="s">
        <v>1409</v>
      </c>
      <c r="C21" s="66" t="s">
        <v>59</v>
      </c>
      <c r="D21" s="106"/>
      <c r="E21" s="14"/>
      <c r="F21" s="15" t="s">
        <v>1396</v>
      </c>
      <c r="G21" s="64"/>
      <c r="H21" s="64"/>
      <c r="I21" s="107">
        <v>21</v>
      </c>
      <c r="J21" s="78"/>
      <c r="K21" s="49">
        <v>2</v>
      </c>
      <c r="L21" s="49">
        <v>2</v>
      </c>
      <c r="M21" s="49">
        <v>0</v>
      </c>
      <c r="N21" s="49">
        <v>2</v>
      </c>
      <c r="O21" s="49">
        <v>1</v>
      </c>
      <c r="P21" s="50">
        <v>0</v>
      </c>
      <c r="Q21" s="50">
        <v>0</v>
      </c>
      <c r="R21" s="49">
        <v>1</v>
      </c>
      <c r="S21" s="49">
        <v>0</v>
      </c>
      <c r="T21" s="49">
        <v>2</v>
      </c>
      <c r="U21" s="49">
        <v>2</v>
      </c>
      <c r="V21" s="49">
        <v>1</v>
      </c>
      <c r="W21" s="50">
        <v>0.5</v>
      </c>
      <c r="X21" s="50">
        <v>0.5</v>
      </c>
      <c r="Y21" s="49">
        <v>1</v>
      </c>
      <c r="Z21" s="50">
        <v>25</v>
      </c>
      <c r="AA21" s="49">
        <v>0</v>
      </c>
      <c r="AB21" s="50">
        <v>0</v>
      </c>
      <c r="AC21" s="49">
        <v>0</v>
      </c>
      <c r="AD21" s="50">
        <v>0</v>
      </c>
      <c r="AE21" s="49">
        <v>3</v>
      </c>
      <c r="AF21" s="50">
        <v>75</v>
      </c>
      <c r="AG21" s="49">
        <v>4</v>
      </c>
      <c r="AH21" s="80"/>
      <c r="AI21" s="80"/>
      <c r="AJ21" s="80"/>
      <c r="AK21" s="83" t="s">
        <v>1239</v>
      </c>
      <c r="AL21" s="83" t="s">
        <v>1239</v>
      </c>
    </row>
    <row r="22" spans="1:38" ht="15">
      <c r="A22" s="65" t="s">
        <v>1397</v>
      </c>
      <c r="B22" s="66" t="s">
        <v>1410</v>
      </c>
      <c r="C22" s="66" t="s">
        <v>59</v>
      </c>
      <c r="D22" s="106"/>
      <c r="E22" s="14"/>
      <c r="F22" s="15" t="s">
        <v>2968</v>
      </c>
      <c r="G22" s="64"/>
      <c r="H22" s="64"/>
      <c r="I22" s="107">
        <v>22</v>
      </c>
      <c r="J22" s="78"/>
      <c r="K22" s="49">
        <v>2</v>
      </c>
      <c r="L22" s="49">
        <v>2</v>
      </c>
      <c r="M22" s="49">
        <v>0</v>
      </c>
      <c r="N22" s="49">
        <v>2</v>
      </c>
      <c r="O22" s="49">
        <v>1</v>
      </c>
      <c r="P22" s="50">
        <v>0</v>
      </c>
      <c r="Q22" s="50">
        <v>0</v>
      </c>
      <c r="R22" s="49">
        <v>1</v>
      </c>
      <c r="S22" s="49">
        <v>0</v>
      </c>
      <c r="T22" s="49">
        <v>2</v>
      </c>
      <c r="U22" s="49">
        <v>2</v>
      </c>
      <c r="V22" s="49">
        <v>1</v>
      </c>
      <c r="W22" s="50">
        <v>0.5</v>
      </c>
      <c r="X22" s="50">
        <v>0.5</v>
      </c>
      <c r="Y22" s="49">
        <v>0</v>
      </c>
      <c r="Z22" s="50">
        <v>0</v>
      </c>
      <c r="AA22" s="49">
        <v>2</v>
      </c>
      <c r="AB22" s="50">
        <v>8.695652173913043</v>
      </c>
      <c r="AC22" s="49">
        <v>0</v>
      </c>
      <c r="AD22" s="50">
        <v>0</v>
      </c>
      <c r="AE22" s="49">
        <v>21</v>
      </c>
      <c r="AF22" s="50">
        <v>91.30434782608695</v>
      </c>
      <c r="AG22" s="49">
        <v>23</v>
      </c>
      <c r="AH22" s="80"/>
      <c r="AI22" s="80"/>
      <c r="AJ22" s="80"/>
      <c r="AK22" s="83" t="s">
        <v>2231</v>
      </c>
      <c r="AL22" s="83" t="s">
        <v>1239</v>
      </c>
    </row>
    <row r="23" spans="1:38" ht="15">
      <c r="A23" s="65" t="s">
        <v>1398</v>
      </c>
      <c r="B23" s="66" t="s">
        <v>1411</v>
      </c>
      <c r="C23" s="66" t="s">
        <v>59</v>
      </c>
      <c r="D23" s="106"/>
      <c r="E23" s="14"/>
      <c r="F23" s="15" t="s">
        <v>2969</v>
      </c>
      <c r="G23" s="64"/>
      <c r="H23" s="64"/>
      <c r="I23" s="107">
        <v>23</v>
      </c>
      <c r="J23" s="78"/>
      <c r="K23" s="49">
        <v>2</v>
      </c>
      <c r="L23" s="49">
        <v>1</v>
      </c>
      <c r="M23" s="49">
        <v>2</v>
      </c>
      <c r="N23" s="49">
        <v>3</v>
      </c>
      <c r="O23" s="49">
        <v>2</v>
      </c>
      <c r="P23" s="50">
        <v>0</v>
      </c>
      <c r="Q23" s="50">
        <v>0</v>
      </c>
      <c r="R23" s="49">
        <v>1</v>
      </c>
      <c r="S23" s="49">
        <v>0</v>
      </c>
      <c r="T23" s="49">
        <v>2</v>
      </c>
      <c r="U23" s="49">
        <v>3</v>
      </c>
      <c r="V23" s="49">
        <v>1</v>
      </c>
      <c r="W23" s="50">
        <v>0.5</v>
      </c>
      <c r="X23" s="50">
        <v>0.5</v>
      </c>
      <c r="Y23" s="49">
        <v>0</v>
      </c>
      <c r="Z23" s="50">
        <v>0</v>
      </c>
      <c r="AA23" s="49">
        <v>0</v>
      </c>
      <c r="AB23" s="50">
        <v>0</v>
      </c>
      <c r="AC23" s="49">
        <v>0</v>
      </c>
      <c r="AD23" s="50">
        <v>0</v>
      </c>
      <c r="AE23" s="49">
        <v>88</v>
      </c>
      <c r="AF23" s="50">
        <v>100</v>
      </c>
      <c r="AG23" s="49">
        <v>88</v>
      </c>
      <c r="AH23" s="80" t="s">
        <v>2168</v>
      </c>
      <c r="AI23" s="80" t="s">
        <v>1225</v>
      </c>
      <c r="AJ23" s="80"/>
      <c r="AK23" s="83" t="s">
        <v>2232</v>
      </c>
      <c r="AL23" s="83" t="s">
        <v>2331</v>
      </c>
    </row>
    <row r="24" spans="1:38" ht="15">
      <c r="A24" s="65" t="s">
        <v>1399</v>
      </c>
      <c r="B24" s="66" t="s">
        <v>1412</v>
      </c>
      <c r="C24" s="66" t="s">
        <v>59</v>
      </c>
      <c r="D24" s="106"/>
      <c r="E24" s="14"/>
      <c r="F24" s="15" t="s">
        <v>2970</v>
      </c>
      <c r="G24" s="64"/>
      <c r="H24" s="64"/>
      <c r="I24" s="107">
        <v>24</v>
      </c>
      <c r="J24" s="78"/>
      <c r="K24" s="49">
        <v>2</v>
      </c>
      <c r="L24" s="49">
        <v>1</v>
      </c>
      <c r="M24" s="49">
        <v>0</v>
      </c>
      <c r="N24" s="49">
        <v>1</v>
      </c>
      <c r="O24" s="49">
        <v>0</v>
      </c>
      <c r="P24" s="50">
        <v>0</v>
      </c>
      <c r="Q24" s="50">
        <v>0</v>
      </c>
      <c r="R24" s="49">
        <v>1</v>
      </c>
      <c r="S24" s="49">
        <v>0</v>
      </c>
      <c r="T24" s="49">
        <v>2</v>
      </c>
      <c r="U24" s="49">
        <v>1</v>
      </c>
      <c r="V24" s="49">
        <v>1</v>
      </c>
      <c r="W24" s="50">
        <v>0.5</v>
      </c>
      <c r="X24" s="50">
        <v>0.5</v>
      </c>
      <c r="Y24" s="49">
        <v>2</v>
      </c>
      <c r="Z24" s="50">
        <v>2.150537634408602</v>
      </c>
      <c r="AA24" s="49">
        <v>0</v>
      </c>
      <c r="AB24" s="50">
        <v>0</v>
      </c>
      <c r="AC24" s="49">
        <v>0</v>
      </c>
      <c r="AD24" s="50">
        <v>0</v>
      </c>
      <c r="AE24" s="49">
        <v>91</v>
      </c>
      <c r="AF24" s="50">
        <v>97.84946236559139</v>
      </c>
      <c r="AG24" s="49">
        <v>93</v>
      </c>
      <c r="AH24" s="80" t="s">
        <v>2169</v>
      </c>
      <c r="AI24" s="80" t="s">
        <v>2193</v>
      </c>
      <c r="AJ24" s="80"/>
      <c r="AK24" s="83" t="s">
        <v>2233</v>
      </c>
      <c r="AL24" s="83" t="s">
        <v>2332</v>
      </c>
    </row>
    <row r="25" spans="1:38" ht="15">
      <c r="A25" s="65" t="s">
        <v>1400</v>
      </c>
      <c r="B25" s="66" t="s">
        <v>1413</v>
      </c>
      <c r="C25" s="66" t="s">
        <v>59</v>
      </c>
      <c r="D25" s="106"/>
      <c r="E25" s="14"/>
      <c r="F25" s="15" t="s">
        <v>1400</v>
      </c>
      <c r="G25" s="64"/>
      <c r="H25" s="64"/>
      <c r="I25" s="107">
        <v>25</v>
      </c>
      <c r="J25" s="78"/>
      <c r="K25" s="49">
        <v>2</v>
      </c>
      <c r="L25" s="49">
        <v>2</v>
      </c>
      <c r="M25" s="49">
        <v>0</v>
      </c>
      <c r="N25" s="49">
        <v>2</v>
      </c>
      <c r="O25" s="49">
        <v>1</v>
      </c>
      <c r="P25" s="50">
        <v>0</v>
      </c>
      <c r="Q25" s="50">
        <v>0</v>
      </c>
      <c r="R25" s="49">
        <v>1</v>
      </c>
      <c r="S25" s="49">
        <v>0</v>
      </c>
      <c r="T25" s="49">
        <v>2</v>
      </c>
      <c r="U25" s="49">
        <v>2</v>
      </c>
      <c r="V25" s="49">
        <v>1</v>
      </c>
      <c r="W25" s="50">
        <v>0.5</v>
      </c>
      <c r="X25" s="50">
        <v>0.5</v>
      </c>
      <c r="Y25" s="49">
        <v>2</v>
      </c>
      <c r="Z25" s="50">
        <v>15.384615384615385</v>
      </c>
      <c r="AA25" s="49">
        <v>0</v>
      </c>
      <c r="AB25" s="50">
        <v>0</v>
      </c>
      <c r="AC25" s="49">
        <v>0</v>
      </c>
      <c r="AD25" s="50">
        <v>0</v>
      </c>
      <c r="AE25" s="49">
        <v>11</v>
      </c>
      <c r="AF25" s="50">
        <v>84.61538461538461</v>
      </c>
      <c r="AG25" s="49">
        <v>13</v>
      </c>
      <c r="AH25" s="80"/>
      <c r="AI25" s="80"/>
      <c r="AJ25" s="80"/>
      <c r="AK25" s="83" t="s">
        <v>1239</v>
      </c>
      <c r="AL25" s="83" t="s">
        <v>1239</v>
      </c>
    </row>
    <row r="26" spans="1:38" ht="15">
      <c r="A26" s="65" t="s">
        <v>1401</v>
      </c>
      <c r="B26" s="66" t="s">
        <v>1414</v>
      </c>
      <c r="C26" s="66" t="s">
        <v>59</v>
      </c>
      <c r="D26" s="106"/>
      <c r="E26" s="14"/>
      <c r="F26" s="15" t="s">
        <v>1401</v>
      </c>
      <c r="G26" s="64"/>
      <c r="H26" s="64"/>
      <c r="I26" s="107">
        <v>26</v>
      </c>
      <c r="J26" s="78"/>
      <c r="K26" s="49">
        <v>2</v>
      </c>
      <c r="L26" s="49">
        <v>2</v>
      </c>
      <c r="M26" s="49">
        <v>0</v>
      </c>
      <c r="N26" s="49">
        <v>2</v>
      </c>
      <c r="O26" s="49">
        <v>1</v>
      </c>
      <c r="P26" s="50">
        <v>0</v>
      </c>
      <c r="Q26" s="50">
        <v>0</v>
      </c>
      <c r="R26" s="49">
        <v>1</v>
      </c>
      <c r="S26" s="49">
        <v>0</v>
      </c>
      <c r="T26" s="49">
        <v>2</v>
      </c>
      <c r="U26" s="49">
        <v>2</v>
      </c>
      <c r="V26" s="49">
        <v>1</v>
      </c>
      <c r="W26" s="50">
        <v>0.5</v>
      </c>
      <c r="X26" s="50">
        <v>0.5</v>
      </c>
      <c r="Y26" s="49">
        <v>1</v>
      </c>
      <c r="Z26" s="50">
        <v>16.666666666666668</v>
      </c>
      <c r="AA26" s="49">
        <v>0</v>
      </c>
      <c r="AB26" s="50">
        <v>0</v>
      </c>
      <c r="AC26" s="49">
        <v>0</v>
      </c>
      <c r="AD26" s="50">
        <v>0</v>
      </c>
      <c r="AE26" s="49">
        <v>5</v>
      </c>
      <c r="AF26" s="50">
        <v>83.33333333333333</v>
      </c>
      <c r="AG26" s="49">
        <v>6</v>
      </c>
      <c r="AH26" s="80"/>
      <c r="AI26" s="80"/>
      <c r="AJ26" s="80"/>
      <c r="AK26" s="83" t="s">
        <v>1239</v>
      </c>
      <c r="AL26" s="83" t="s">
        <v>1239</v>
      </c>
    </row>
    <row r="27" spans="1:38" ht="15">
      <c r="A27" s="65" t="s">
        <v>1402</v>
      </c>
      <c r="B27" s="66" t="s">
        <v>1403</v>
      </c>
      <c r="C27" s="66" t="s">
        <v>61</v>
      </c>
      <c r="D27" s="106"/>
      <c r="E27" s="14"/>
      <c r="F27" s="15" t="s">
        <v>1402</v>
      </c>
      <c r="G27" s="64"/>
      <c r="H27" s="64"/>
      <c r="I27" s="107">
        <v>27</v>
      </c>
      <c r="J27" s="78"/>
      <c r="K27" s="49">
        <v>2</v>
      </c>
      <c r="L27" s="49">
        <v>2</v>
      </c>
      <c r="M27" s="49">
        <v>0</v>
      </c>
      <c r="N27" s="49">
        <v>2</v>
      </c>
      <c r="O27" s="49">
        <v>1</v>
      </c>
      <c r="P27" s="50">
        <v>0</v>
      </c>
      <c r="Q27" s="50">
        <v>0</v>
      </c>
      <c r="R27" s="49">
        <v>1</v>
      </c>
      <c r="S27" s="49">
        <v>0</v>
      </c>
      <c r="T27" s="49">
        <v>2</v>
      </c>
      <c r="U27" s="49">
        <v>2</v>
      </c>
      <c r="V27" s="49">
        <v>1</v>
      </c>
      <c r="W27" s="50">
        <v>0.5</v>
      </c>
      <c r="X27" s="50">
        <v>0.5</v>
      </c>
      <c r="Y27" s="49">
        <v>0</v>
      </c>
      <c r="Z27" s="50">
        <v>0</v>
      </c>
      <c r="AA27" s="49">
        <v>0</v>
      </c>
      <c r="AB27" s="50">
        <v>0</v>
      </c>
      <c r="AC27" s="49">
        <v>0</v>
      </c>
      <c r="AD27" s="50">
        <v>0</v>
      </c>
      <c r="AE27" s="49">
        <v>5</v>
      </c>
      <c r="AF27" s="50">
        <v>100</v>
      </c>
      <c r="AG27" s="49">
        <v>5</v>
      </c>
      <c r="AH27" s="80"/>
      <c r="AI27" s="80"/>
      <c r="AJ27" s="80"/>
      <c r="AK27" s="83" t="s">
        <v>1239</v>
      </c>
      <c r="AL27" s="83" t="s">
        <v>1239</v>
      </c>
    </row>
  </sheetData>
  <dataValidations count="8">
    <dataValidation allowBlank="1" showInputMessage="1" promptTitle="Group Vertex Color" prompt="To select a color to use for all vertices in the group, right-click and select Select Color on the right-click menu." sqref="B3:B2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7">
      <formula1>ValidGroupShapes</formula1>
    </dataValidation>
    <dataValidation allowBlank="1" showInputMessage="1" showErrorMessage="1" promptTitle="Group Name" prompt="Enter the name of the group." sqref="A3:A2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7">
      <formula1>ValidBooleansDefaultFalse</formula1>
    </dataValidation>
    <dataValidation allowBlank="1" sqref="K3:K27"/>
    <dataValidation allowBlank="1" showInputMessage="1" showErrorMessage="1" promptTitle="Group Label" prompt="Enter an optional group label." errorTitle="Invalid Group Collapsed" error="You have entered an unrecognized &quot;group collapsed.&quot;  Try selecting from the drop-down list instead." sqref="F3:F2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1378</v>
      </c>
      <c r="B2" s="83" t="s">
        <v>369</v>
      </c>
      <c r="C2" s="80">
        <f>VLOOKUP(GroupVertices[[#This Row],[Vertex]],Vertices[],MATCH("ID",Vertices[[#Headers],[Vertex]:[Top Word Pairs in Comment by Salience]],0),FALSE)</f>
        <v>37</v>
      </c>
    </row>
    <row r="3" spans="1:3" ht="15">
      <c r="A3" s="81" t="s">
        <v>1378</v>
      </c>
      <c r="B3" s="83" t="s">
        <v>507</v>
      </c>
      <c r="C3" s="80">
        <f>VLOOKUP(GroupVertices[[#This Row],[Vertex]],Vertices[],MATCH("ID",Vertices[[#Headers],[Vertex]:[Top Word Pairs in Comment by Salience]],0),FALSE)</f>
        <v>191</v>
      </c>
    </row>
    <row r="4" spans="1:3" ht="15">
      <c r="A4" s="81" t="s">
        <v>1378</v>
      </c>
      <c r="B4" s="83" t="s">
        <v>506</v>
      </c>
      <c r="C4" s="80">
        <f>VLOOKUP(GroupVertices[[#This Row],[Vertex]],Vertices[],MATCH("ID",Vertices[[#Headers],[Vertex]:[Top Word Pairs in Comment by Salience]],0),FALSE)</f>
        <v>190</v>
      </c>
    </row>
    <row r="5" spans="1:3" ht="15">
      <c r="A5" s="81" t="s">
        <v>1378</v>
      </c>
      <c r="B5" s="83" t="s">
        <v>505</v>
      </c>
      <c r="C5" s="80">
        <f>VLOOKUP(GroupVertices[[#This Row],[Vertex]],Vertices[],MATCH("ID",Vertices[[#Headers],[Vertex]:[Top Word Pairs in Comment by Salience]],0),FALSE)</f>
        <v>189</v>
      </c>
    </row>
    <row r="6" spans="1:3" ht="15">
      <c r="A6" s="81" t="s">
        <v>1378</v>
      </c>
      <c r="B6" s="83" t="s">
        <v>504</v>
      </c>
      <c r="C6" s="80">
        <f>VLOOKUP(GroupVertices[[#This Row],[Vertex]],Vertices[],MATCH("ID",Vertices[[#Headers],[Vertex]:[Top Word Pairs in Comment by Salience]],0),FALSE)</f>
        <v>188</v>
      </c>
    </row>
    <row r="7" spans="1:3" ht="15">
      <c r="A7" s="81" t="s">
        <v>1378</v>
      </c>
      <c r="B7" s="83" t="s">
        <v>503</v>
      </c>
      <c r="C7" s="80">
        <f>VLOOKUP(GroupVertices[[#This Row],[Vertex]],Vertices[],MATCH("ID",Vertices[[#Headers],[Vertex]:[Top Word Pairs in Comment by Salience]],0),FALSE)</f>
        <v>187</v>
      </c>
    </row>
    <row r="8" spans="1:3" ht="15">
      <c r="A8" s="81" t="s">
        <v>1378</v>
      </c>
      <c r="B8" s="83" t="s">
        <v>502</v>
      </c>
      <c r="C8" s="80">
        <f>VLOOKUP(GroupVertices[[#This Row],[Vertex]],Vertices[],MATCH("ID",Vertices[[#Headers],[Vertex]:[Top Word Pairs in Comment by Salience]],0),FALSE)</f>
        <v>186</v>
      </c>
    </row>
    <row r="9" spans="1:3" ht="15">
      <c r="A9" s="81" t="s">
        <v>1378</v>
      </c>
      <c r="B9" s="83" t="s">
        <v>501</v>
      </c>
      <c r="C9" s="80">
        <f>VLOOKUP(GroupVertices[[#This Row],[Vertex]],Vertices[],MATCH("ID",Vertices[[#Headers],[Vertex]:[Top Word Pairs in Comment by Salience]],0),FALSE)</f>
        <v>185</v>
      </c>
    </row>
    <row r="10" spans="1:3" ht="15">
      <c r="A10" s="81" t="s">
        <v>1378</v>
      </c>
      <c r="B10" s="83" t="s">
        <v>500</v>
      </c>
      <c r="C10" s="80">
        <f>VLOOKUP(GroupVertices[[#This Row],[Vertex]],Vertices[],MATCH("ID",Vertices[[#Headers],[Vertex]:[Top Word Pairs in Comment by Salience]],0),FALSE)</f>
        <v>184</v>
      </c>
    </row>
    <row r="11" spans="1:3" ht="15">
      <c r="A11" s="81" t="s">
        <v>1378</v>
      </c>
      <c r="B11" s="83" t="s">
        <v>499</v>
      </c>
      <c r="C11" s="80">
        <f>VLOOKUP(GroupVertices[[#This Row],[Vertex]],Vertices[],MATCH("ID",Vertices[[#Headers],[Vertex]:[Top Word Pairs in Comment by Salience]],0),FALSE)</f>
        <v>183</v>
      </c>
    </row>
    <row r="12" spans="1:3" ht="15">
      <c r="A12" s="81" t="s">
        <v>1378</v>
      </c>
      <c r="B12" s="83" t="s">
        <v>498</v>
      </c>
      <c r="C12" s="80">
        <f>VLOOKUP(GroupVertices[[#This Row],[Vertex]],Vertices[],MATCH("ID",Vertices[[#Headers],[Vertex]:[Top Word Pairs in Comment by Salience]],0),FALSE)</f>
        <v>182</v>
      </c>
    </row>
    <row r="13" spans="1:3" ht="15">
      <c r="A13" s="81" t="s">
        <v>1378</v>
      </c>
      <c r="B13" s="83" t="s">
        <v>496</v>
      </c>
      <c r="C13" s="80">
        <f>VLOOKUP(GroupVertices[[#This Row],[Vertex]],Vertices[],MATCH("ID",Vertices[[#Headers],[Vertex]:[Top Word Pairs in Comment by Salience]],0),FALSE)</f>
        <v>180</v>
      </c>
    </row>
    <row r="14" spans="1:3" ht="15">
      <c r="A14" s="81" t="s">
        <v>1378</v>
      </c>
      <c r="B14" s="83" t="s">
        <v>495</v>
      </c>
      <c r="C14" s="80">
        <f>VLOOKUP(GroupVertices[[#This Row],[Vertex]],Vertices[],MATCH("ID",Vertices[[#Headers],[Vertex]:[Top Word Pairs in Comment by Salience]],0),FALSE)</f>
        <v>179</v>
      </c>
    </row>
    <row r="15" spans="1:3" ht="15">
      <c r="A15" s="81" t="s">
        <v>1378</v>
      </c>
      <c r="B15" s="83" t="s">
        <v>494</v>
      </c>
      <c r="C15" s="80">
        <f>VLOOKUP(GroupVertices[[#This Row],[Vertex]],Vertices[],MATCH("ID",Vertices[[#Headers],[Vertex]:[Top Word Pairs in Comment by Salience]],0),FALSE)</f>
        <v>178</v>
      </c>
    </row>
    <row r="16" spans="1:3" ht="15">
      <c r="A16" s="81" t="s">
        <v>1378</v>
      </c>
      <c r="B16" s="83" t="s">
        <v>493</v>
      </c>
      <c r="C16" s="80">
        <f>VLOOKUP(GroupVertices[[#This Row],[Vertex]],Vertices[],MATCH("ID",Vertices[[#Headers],[Vertex]:[Top Word Pairs in Comment by Salience]],0),FALSE)</f>
        <v>177</v>
      </c>
    </row>
    <row r="17" spans="1:3" ht="15">
      <c r="A17" s="81" t="s">
        <v>1378</v>
      </c>
      <c r="B17" s="83" t="s">
        <v>492</v>
      </c>
      <c r="C17" s="80">
        <f>VLOOKUP(GroupVertices[[#This Row],[Vertex]],Vertices[],MATCH("ID",Vertices[[#Headers],[Vertex]:[Top Word Pairs in Comment by Salience]],0),FALSE)</f>
        <v>176</v>
      </c>
    </row>
    <row r="18" spans="1:3" ht="15">
      <c r="A18" s="81" t="s">
        <v>1378</v>
      </c>
      <c r="B18" s="83" t="s">
        <v>491</v>
      </c>
      <c r="C18" s="80">
        <f>VLOOKUP(GroupVertices[[#This Row],[Vertex]],Vertices[],MATCH("ID",Vertices[[#Headers],[Vertex]:[Top Word Pairs in Comment by Salience]],0),FALSE)</f>
        <v>175</v>
      </c>
    </row>
    <row r="19" spans="1:3" ht="15">
      <c r="A19" s="81" t="s">
        <v>1378</v>
      </c>
      <c r="B19" s="83" t="s">
        <v>490</v>
      </c>
      <c r="C19" s="80">
        <f>VLOOKUP(GroupVertices[[#This Row],[Vertex]],Vertices[],MATCH("ID",Vertices[[#Headers],[Vertex]:[Top Word Pairs in Comment by Salience]],0),FALSE)</f>
        <v>174</v>
      </c>
    </row>
    <row r="20" spans="1:3" ht="15">
      <c r="A20" s="81" t="s">
        <v>1378</v>
      </c>
      <c r="B20" s="83" t="s">
        <v>489</v>
      </c>
      <c r="C20" s="80">
        <f>VLOOKUP(GroupVertices[[#This Row],[Vertex]],Vertices[],MATCH("ID",Vertices[[#Headers],[Vertex]:[Top Word Pairs in Comment by Salience]],0),FALSE)</f>
        <v>173</v>
      </c>
    </row>
    <row r="21" spans="1:3" ht="15">
      <c r="A21" s="81" t="s">
        <v>1378</v>
      </c>
      <c r="B21" s="83" t="s">
        <v>488</v>
      </c>
      <c r="C21" s="80">
        <f>VLOOKUP(GroupVertices[[#This Row],[Vertex]],Vertices[],MATCH("ID",Vertices[[#Headers],[Vertex]:[Top Word Pairs in Comment by Salience]],0),FALSE)</f>
        <v>172</v>
      </c>
    </row>
    <row r="22" spans="1:3" ht="15">
      <c r="A22" s="81" t="s">
        <v>1378</v>
      </c>
      <c r="B22" s="83" t="s">
        <v>487</v>
      </c>
      <c r="C22" s="80">
        <f>VLOOKUP(GroupVertices[[#This Row],[Vertex]],Vertices[],MATCH("ID",Vertices[[#Headers],[Vertex]:[Top Word Pairs in Comment by Salience]],0),FALSE)</f>
        <v>171</v>
      </c>
    </row>
    <row r="23" spans="1:3" ht="15">
      <c r="A23" s="81" t="s">
        <v>1378</v>
      </c>
      <c r="B23" s="83" t="s">
        <v>486</v>
      </c>
      <c r="C23" s="80">
        <f>VLOOKUP(GroupVertices[[#This Row],[Vertex]],Vertices[],MATCH("ID",Vertices[[#Headers],[Vertex]:[Top Word Pairs in Comment by Salience]],0),FALSE)</f>
        <v>170</v>
      </c>
    </row>
    <row r="24" spans="1:3" ht="15">
      <c r="A24" s="81" t="s">
        <v>1378</v>
      </c>
      <c r="B24" s="83" t="s">
        <v>485</v>
      </c>
      <c r="C24" s="80">
        <f>VLOOKUP(GroupVertices[[#This Row],[Vertex]],Vertices[],MATCH("ID",Vertices[[#Headers],[Vertex]:[Top Word Pairs in Comment by Salience]],0),FALSE)</f>
        <v>169</v>
      </c>
    </row>
    <row r="25" spans="1:3" ht="15">
      <c r="A25" s="81" t="s">
        <v>1378</v>
      </c>
      <c r="B25" s="83" t="s">
        <v>484</v>
      </c>
      <c r="C25" s="80">
        <f>VLOOKUP(GroupVertices[[#This Row],[Vertex]],Vertices[],MATCH("ID",Vertices[[#Headers],[Vertex]:[Top Word Pairs in Comment by Salience]],0),FALSE)</f>
        <v>168</v>
      </c>
    </row>
    <row r="26" spans="1:3" ht="15">
      <c r="A26" s="81" t="s">
        <v>1378</v>
      </c>
      <c r="B26" s="83" t="s">
        <v>482</v>
      </c>
      <c r="C26" s="80">
        <f>VLOOKUP(GroupVertices[[#This Row],[Vertex]],Vertices[],MATCH("ID",Vertices[[#Headers],[Vertex]:[Top Word Pairs in Comment by Salience]],0),FALSE)</f>
        <v>165</v>
      </c>
    </row>
    <row r="27" spans="1:3" ht="15">
      <c r="A27" s="81" t="s">
        <v>1378</v>
      </c>
      <c r="B27" s="83" t="s">
        <v>481</v>
      </c>
      <c r="C27" s="80">
        <f>VLOOKUP(GroupVertices[[#This Row],[Vertex]],Vertices[],MATCH("ID",Vertices[[#Headers],[Vertex]:[Top Word Pairs in Comment by Salience]],0),FALSE)</f>
        <v>164</v>
      </c>
    </row>
    <row r="28" spans="1:3" ht="15">
      <c r="A28" s="81" t="s">
        <v>1378</v>
      </c>
      <c r="B28" s="83" t="s">
        <v>480</v>
      </c>
      <c r="C28" s="80">
        <f>VLOOKUP(GroupVertices[[#This Row],[Vertex]],Vertices[],MATCH("ID",Vertices[[#Headers],[Vertex]:[Top Word Pairs in Comment by Salience]],0),FALSE)</f>
        <v>163</v>
      </c>
    </row>
    <row r="29" spans="1:3" ht="15">
      <c r="A29" s="81" t="s">
        <v>1378</v>
      </c>
      <c r="B29" s="83" t="s">
        <v>479</v>
      </c>
      <c r="C29" s="80">
        <f>VLOOKUP(GroupVertices[[#This Row],[Vertex]],Vertices[],MATCH("ID",Vertices[[#Headers],[Vertex]:[Top Word Pairs in Comment by Salience]],0),FALSE)</f>
        <v>162</v>
      </c>
    </row>
    <row r="30" spans="1:3" ht="15">
      <c r="A30" s="81" t="s">
        <v>1378</v>
      </c>
      <c r="B30" s="83" t="s">
        <v>478</v>
      </c>
      <c r="C30" s="80">
        <f>VLOOKUP(GroupVertices[[#This Row],[Vertex]],Vertices[],MATCH("ID",Vertices[[#Headers],[Vertex]:[Top Word Pairs in Comment by Salience]],0),FALSE)</f>
        <v>161</v>
      </c>
    </row>
    <row r="31" spans="1:3" ht="15">
      <c r="A31" s="81" t="s">
        <v>1378</v>
      </c>
      <c r="B31" s="83" t="s">
        <v>477</v>
      </c>
      <c r="C31" s="80">
        <f>VLOOKUP(GroupVertices[[#This Row],[Vertex]],Vertices[],MATCH("ID",Vertices[[#Headers],[Vertex]:[Top Word Pairs in Comment by Salience]],0),FALSE)</f>
        <v>160</v>
      </c>
    </row>
    <row r="32" spans="1:3" ht="15">
      <c r="A32" s="81" t="s">
        <v>1378</v>
      </c>
      <c r="B32" s="83" t="s">
        <v>476</v>
      </c>
      <c r="C32" s="80">
        <f>VLOOKUP(GroupVertices[[#This Row],[Vertex]],Vertices[],MATCH("ID",Vertices[[#Headers],[Vertex]:[Top Word Pairs in Comment by Salience]],0),FALSE)</f>
        <v>159</v>
      </c>
    </row>
    <row r="33" spans="1:3" ht="15">
      <c r="A33" s="81" t="s">
        <v>1378</v>
      </c>
      <c r="B33" s="83" t="s">
        <v>475</v>
      </c>
      <c r="C33" s="80">
        <f>VLOOKUP(GroupVertices[[#This Row],[Vertex]],Vertices[],MATCH("ID",Vertices[[#Headers],[Vertex]:[Top Word Pairs in Comment by Salience]],0),FALSE)</f>
        <v>158</v>
      </c>
    </row>
    <row r="34" spans="1:3" ht="15">
      <c r="A34" s="81" t="s">
        <v>1378</v>
      </c>
      <c r="B34" s="83" t="s">
        <v>474</v>
      </c>
      <c r="C34" s="80">
        <f>VLOOKUP(GroupVertices[[#This Row],[Vertex]],Vertices[],MATCH("ID",Vertices[[#Headers],[Vertex]:[Top Word Pairs in Comment by Salience]],0),FALSE)</f>
        <v>157</v>
      </c>
    </row>
    <row r="35" spans="1:3" ht="15">
      <c r="A35" s="81" t="s">
        <v>1378</v>
      </c>
      <c r="B35" s="83" t="s">
        <v>473</v>
      </c>
      <c r="C35" s="80">
        <f>VLOOKUP(GroupVertices[[#This Row],[Vertex]],Vertices[],MATCH("ID",Vertices[[#Headers],[Vertex]:[Top Word Pairs in Comment by Salience]],0),FALSE)</f>
        <v>156</v>
      </c>
    </row>
    <row r="36" spans="1:3" ht="15">
      <c r="A36" s="81" t="s">
        <v>1378</v>
      </c>
      <c r="B36" s="83" t="s">
        <v>472</v>
      </c>
      <c r="C36" s="80">
        <f>VLOOKUP(GroupVertices[[#This Row],[Vertex]],Vertices[],MATCH("ID",Vertices[[#Headers],[Vertex]:[Top Word Pairs in Comment by Salience]],0),FALSE)</f>
        <v>155</v>
      </c>
    </row>
    <row r="37" spans="1:3" ht="15">
      <c r="A37" s="81" t="s">
        <v>1378</v>
      </c>
      <c r="B37" s="83" t="s">
        <v>465</v>
      </c>
      <c r="C37" s="80">
        <f>VLOOKUP(GroupVertices[[#This Row],[Vertex]],Vertices[],MATCH("ID",Vertices[[#Headers],[Vertex]:[Top Word Pairs in Comment by Salience]],0),FALSE)</f>
        <v>148</v>
      </c>
    </row>
    <row r="38" spans="1:3" ht="15">
      <c r="A38" s="81" t="s">
        <v>1378</v>
      </c>
      <c r="B38" s="83" t="s">
        <v>464</v>
      </c>
      <c r="C38" s="80">
        <f>VLOOKUP(GroupVertices[[#This Row],[Vertex]],Vertices[],MATCH("ID",Vertices[[#Headers],[Vertex]:[Top Word Pairs in Comment by Salience]],0),FALSE)</f>
        <v>147</v>
      </c>
    </row>
    <row r="39" spans="1:3" ht="15">
      <c r="A39" s="81" t="s">
        <v>1378</v>
      </c>
      <c r="B39" s="83" t="s">
        <v>463</v>
      </c>
      <c r="C39" s="80">
        <f>VLOOKUP(GroupVertices[[#This Row],[Vertex]],Vertices[],MATCH("ID",Vertices[[#Headers],[Vertex]:[Top Word Pairs in Comment by Salience]],0),FALSE)</f>
        <v>146</v>
      </c>
    </row>
    <row r="40" spans="1:3" ht="15">
      <c r="A40" s="81" t="s">
        <v>1378</v>
      </c>
      <c r="B40" s="83" t="s">
        <v>462</v>
      </c>
      <c r="C40" s="80">
        <f>VLOOKUP(GroupVertices[[#This Row],[Vertex]],Vertices[],MATCH("ID",Vertices[[#Headers],[Vertex]:[Top Word Pairs in Comment by Salience]],0),FALSE)</f>
        <v>145</v>
      </c>
    </row>
    <row r="41" spans="1:3" ht="15">
      <c r="A41" s="81" t="s">
        <v>1378</v>
      </c>
      <c r="B41" s="83" t="s">
        <v>461</v>
      </c>
      <c r="C41" s="80">
        <f>VLOOKUP(GroupVertices[[#This Row],[Vertex]],Vertices[],MATCH("ID",Vertices[[#Headers],[Vertex]:[Top Word Pairs in Comment by Salience]],0),FALSE)</f>
        <v>144</v>
      </c>
    </row>
    <row r="42" spans="1:3" ht="15">
      <c r="A42" s="81" t="s">
        <v>1378</v>
      </c>
      <c r="B42" s="83" t="s">
        <v>460</v>
      </c>
      <c r="C42" s="80">
        <f>VLOOKUP(GroupVertices[[#This Row],[Vertex]],Vertices[],MATCH("ID",Vertices[[#Headers],[Vertex]:[Top Word Pairs in Comment by Salience]],0),FALSE)</f>
        <v>143</v>
      </c>
    </row>
    <row r="43" spans="1:3" ht="15">
      <c r="A43" s="81" t="s">
        <v>1378</v>
      </c>
      <c r="B43" s="83" t="s">
        <v>459</v>
      </c>
      <c r="C43" s="80">
        <f>VLOOKUP(GroupVertices[[#This Row],[Vertex]],Vertices[],MATCH("ID",Vertices[[#Headers],[Vertex]:[Top Word Pairs in Comment by Salience]],0),FALSE)</f>
        <v>142</v>
      </c>
    </row>
    <row r="44" spans="1:3" ht="15">
      <c r="A44" s="81" t="s">
        <v>1378</v>
      </c>
      <c r="B44" s="83" t="s">
        <v>458</v>
      </c>
      <c r="C44" s="80">
        <f>VLOOKUP(GroupVertices[[#This Row],[Vertex]],Vertices[],MATCH("ID",Vertices[[#Headers],[Vertex]:[Top Word Pairs in Comment by Salience]],0),FALSE)</f>
        <v>141</v>
      </c>
    </row>
    <row r="45" spans="1:3" ht="15">
      <c r="A45" s="81" t="s">
        <v>1378</v>
      </c>
      <c r="B45" s="83" t="s">
        <v>434</v>
      </c>
      <c r="C45" s="80">
        <f>VLOOKUP(GroupVertices[[#This Row],[Vertex]],Vertices[],MATCH("ID",Vertices[[#Headers],[Vertex]:[Top Word Pairs in Comment by Salience]],0),FALSE)</f>
        <v>115</v>
      </c>
    </row>
    <row r="46" spans="1:3" ht="15">
      <c r="A46" s="81" t="s">
        <v>1378</v>
      </c>
      <c r="B46" s="83" t="s">
        <v>433</v>
      </c>
      <c r="C46" s="80">
        <f>VLOOKUP(GroupVertices[[#This Row],[Vertex]],Vertices[],MATCH("ID",Vertices[[#Headers],[Vertex]:[Top Word Pairs in Comment by Salience]],0),FALSE)</f>
        <v>114</v>
      </c>
    </row>
    <row r="47" spans="1:3" ht="15">
      <c r="A47" s="81" t="s">
        <v>1378</v>
      </c>
      <c r="B47" s="83" t="s">
        <v>432</v>
      </c>
      <c r="C47" s="80">
        <f>VLOOKUP(GroupVertices[[#This Row],[Vertex]],Vertices[],MATCH("ID",Vertices[[#Headers],[Vertex]:[Top Word Pairs in Comment by Salience]],0),FALSE)</f>
        <v>113</v>
      </c>
    </row>
    <row r="48" spans="1:3" ht="15">
      <c r="A48" s="81" t="s">
        <v>1378</v>
      </c>
      <c r="B48" s="83" t="s">
        <v>420</v>
      </c>
      <c r="C48" s="80">
        <f>VLOOKUP(GroupVertices[[#This Row],[Vertex]],Vertices[],MATCH("ID",Vertices[[#Headers],[Vertex]:[Top Word Pairs in Comment by Salience]],0),FALSE)</f>
        <v>100</v>
      </c>
    </row>
    <row r="49" spans="1:3" ht="15">
      <c r="A49" s="81" t="s">
        <v>1378</v>
      </c>
      <c r="B49" s="83" t="s">
        <v>402</v>
      </c>
      <c r="C49" s="80">
        <f>VLOOKUP(GroupVertices[[#This Row],[Vertex]],Vertices[],MATCH("ID",Vertices[[#Headers],[Vertex]:[Top Word Pairs in Comment by Salience]],0),FALSE)</f>
        <v>79</v>
      </c>
    </row>
    <row r="50" spans="1:3" ht="15">
      <c r="A50" s="81" t="s">
        <v>1378</v>
      </c>
      <c r="B50" s="83" t="s">
        <v>401</v>
      </c>
      <c r="C50" s="80">
        <f>VLOOKUP(GroupVertices[[#This Row],[Vertex]],Vertices[],MATCH("ID",Vertices[[#Headers],[Vertex]:[Top Word Pairs in Comment by Salience]],0),FALSE)</f>
        <v>78</v>
      </c>
    </row>
    <row r="51" spans="1:3" ht="15">
      <c r="A51" s="81" t="s">
        <v>1378</v>
      </c>
      <c r="B51" s="83" t="s">
        <v>400</v>
      </c>
      <c r="C51" s="80">
        <f>VLOOKUP(GroupVertices[[#This Row],[Vertex]],Vertices[],MATCH("ID",Vertices[[#Headers],[Vertex]:[Top Word Pairs in Comment by Salience]],0),FALSE)</f>
        <v>77</v>
      </c>
    </row>
    <row r="52" spans="1:3" ht="15">
      <c r="A52" s="81" t="s">
        <v>1378</v>
      </c>
      <c r="B52" s="83" t="s">
        <v>399</v>
      </c>
      <c r="C52" s="80">
        <f>VLOOKUP(GroupVertices[[#This Row],[Vertex]],Vertices[],MATCH("ID",Vertices[[#Headers],[Vertex]:[Top Word Pairs in Comment by Salience]],0),FALSE)</f>
        <v>76</v>
      </c>
    </row>
    <row r="53" spans="1:3" ht="15">
      <c r="A53" s="81" t="s">
        <v>1378</v>
      </c>
      <c r="B53" s="83" t="s">
        <v>396</v>
      </c>
      <c r="C53" s="80">
        <f>VLOOKUP(GroupVertices[[#This Row],[Vertex]],Vertices[],MATCH("ID",Vertices[[#Headers],[Vertex]:[Top Word Pairs in Comment by Salience]],0),FALSE)</f>
        <v>73</v>
      </c>
    </row>
    <row r="54" spans="1:3" ht="15">
      <c r="A54" s="81" t="s">
        <v>1378</v>
      </c>
      <c r="B54" s="83" t="s">
        <v>395</v>
      </c>
      <c r="C54" s="80">
        <f>VLOOKUP(GroupVertices[[#This Row],[Vertex]],Vertices[],MATCH("ID",Vertices[[#Headers],[Vertex]:[Top Word Pairs in Comment by Salience]],0),FALSE)</f>
        <v>72</v>
      </c>
    </row>
    <row r="55" spans="1:3" ht="15">
      <c r="A55" s="81" t="s">
        <v>1378</v>
      </c>
      <c r="B55" s="83" t="s">
        <v>394</v>
      </c>
      <c r="C55" s="80">
        <f>VLOOKUP(GroupVertices[[#This Row],[Vertex]],Vertices[],MATCH("ID",Vertices[[#Headers],[Vertex]:[Top Word Pairs in Comment by Salience]],0),FALSE)</f>
        <v>71</v>
      </c>
    </row>
    <row r="56" spans="1:3" ht="15">
      <c r="A56" s="81" t="s">
        <v>1378</v>
      </c>
      <c r="B56" s="83" t="s">
        <v>379</v>
      </c>
      <c r="C56" s="80">
        <f>VLOOKUP(GroupVertices[[#This Row],[Vertex]],Vertices[],MATCH("ID",Vertices[[#Headers],[Vertex]:[Top Word Pairs in Comment by Salience]],0),FALSE)</f>
        <v>51</v>
      </c>
    </row>
    <row r="57" spans="1:3" ht="15">
      <c r="A57" s="81" t="s">
        <v>1378</v>
      </c>
      <c r="B57" s="83" t="s">
        <v>378</v>
      </c>
      <c r="C57" s="80">
        <f>VLOOKUP(GroupVertices[[#This Row],[Vertex]],Vertices[],MATCH("ID",Vertices[[#Headers],[Vertex]:[Top Word Pairs in Comment by Salience]],0),FALSE)</f>
        <v>50</v>
      </c>
    </row>
    <row r="58" spans="1:3" ht="15">
      <c r="A58" s="81" t="s">
        <v>1378</v>
      </c>
      <c r="B58" s="83" t="s">
        <v>377</v>
      </c>
      <c r="C58" s="80">
        <f>VLOOKUP(GroupVertices[[#This Row],[Vertex]],Vertices[],MATCH("ID",Vertices[[#Headers],[Vertex]:[Top Word Pairs in Comment by Salience]],0),FALSE)</f>
        <v>49</v>
      </c>
    </row>
    <row r="59" spans="1:3" ht="15">
      <c r="A59" s="81" t="s">
        <v>1378</v>
      </c>
      <c r="B59" s="83" t="s">
        <v>376</v>
      </c>
      <c r="C59" s="80">
        <f>VLOOKUP(GroupVertices[[#This Row],[Vertex]],Vertices[],MATCH("ID",Vertices[[#Headers],[Vertex]:[Top Word Pairs in Comment by Salience]],0),FALSE)</f>
        <v>48</v>
      </c>
    </row>
    <row r="60" spans="1:3" ht="15">
      <c r="A60" s="81" t="s">
        <v>1378</v>
      </c>
      <c r="B60" s="83" t="s">
        <v>372</v>
      </c>
      <c r="C60" s="80">
        <f>VLOOKUP(GroupVertices[[#This Row],[Vertex]],Vertices[],MATCH("ID",Vertices[[#Headers],[Vertex]:[Top Word Pairs in Comment by Salience]],0),FALSE)</f>
        <v>43</v>
      </c>
    </row>
    <row r="61" spans="1:3" ht="15">
      <c r="A61" s="81" t="s">
        <v>1378</v>
      </c>
      <c r="B61" s="83" t="s">
        <v>370</v>
      </c>
      <c r="C61" s="80">
        <f>VLOOKUP(GroupVertices[[#This Row],[Vertex]],Vertices[],MATCH("ID",Vertices[[#Headers],[Vertex]:[Top Word Pairs in Comment by Salience]],0),FALSE)</f>
        <v>41</v>
      </c>
    </row>
    <row r="62" spans="1:3" ht="15">
      <c r="A62" s="81" t="s">
        <v>1378</v>
      </c>
      <c r="B62" s="83" t="s">
        <v>368</v>
      </c>
      <c r="C62" s="80">
        <f>VLOOKUP(GroupVertices[[#This Row],[Vertex]],Vertices[],MATCH("ID",Vertices[[#Headers],[Vertex]:[Top Word Pairs in Comment by Salience]],0),FALSE)</f>
        <v>40</v>
      </c>
    </row>
    <row r="63" spans="1:3" ht="15">
      <c r="A63" s="81" t="s">
        <v>1378</v>
      </c>
      <c r="B63" s="83" t="s">
        <v>365</v>
      </c>
      <c r="C63" s="80">
        <f>VLOOKUP(GroupVertices[[#This Row],[Vertex]],Vertices[],MATCH("ID",Vertices[[#Headers],[Vertex]:[Top Word Pairs in Comment by Salience]],0),FALSE)</f>
        <v>36</v>
      </c>
    </row>
    <row r="64" spans="1:3" ht="15">
      <c r="A64" s="81" t="s">
        <v>1379</v>
      </c>
      <c r="B64" s="83" t="s">
        <v>519</v>
      </c>
      <c r="C64" s="80">
        <f>VLOOKUP(GroupVertices[[#This Row],[Vertex]],Vertices[],MATCH("ID",Vertices[[#Headers],[Vertex]:[Top Word Pairs in Comment by Salience]],0),FALSE)</f>
        <v>204</v>
      </c>
    </row>
    <row r="65" spans="1:3" ht="15">
      <c r="A65" s="81" t="s">
        <v>1379</v>
      </c>
      <c r="B65" s="83" t="s">
        <v>520</v>
      </c>
      <c r="C65" s="80">
        <f>VLOOKUP(GroupVertices[[#This Row],[Vertex]],Vertices[],MATCH("ID",Vertices[[#Headers],[Vertex]:[Top Word Pairs in Comment by Salience]],0),FALSE)</f>
        <v>205</v>
      </c>
    </row>
    <row r="66" spans="1:3" ht="15">
      <c r="A66" s="81" t="s">
        <v>1379</v>
      </c>
      <c r="B66" s="83" t="s">
        <v>522</v>
      </c>
      <c r="C66" s="80">
        <f>VLOOKUP(GroupVertices[[#This Row],[Vertex]],Vertices[],MATCH("ID",Vertices[[#Headers],[Vertex]:[Top Word Pairs in Comment by Salience]],0),FALSE)</f>
        <v>206</v>
      </c>
    </row>
    <row r="67" spans="1:3" ht="15">
      <c r="A67" s="81" t="s">
        <v>1379</v>
      </c>
      <c r="B67" s="83" t="s">
        <v>523</v>
      </c>
      <c r="C67" s="80">
        <f>VLOOKUP(GroupVertices[[#This Row],[Vertex]],Vertices[],MATCH("ID",Vertices[[#Headers],[Vertex]:[Top Word Pairs in Comment by Salience]],0),FALSE)</f>
        <v>207</v>
      </c>
    </row>
    <row r="68" spans="1:3" ht="15">
      <c r="A68" s="81" t="s">
        <v>1379</v>
      </c>
      <c r="B68" s="83" t="s">
        <v>524</v>
      </c>
      <c r="C68" s="80">
        <f>VLOOKUP(GroupVertices[[#This Row],[Vertex]],Vertices[],MATCH("ID",Vertices[[#Headers],[Vertex]:[Top Word Pairs in Comment by Salience]],0),FALSE)</f>
        <v>208</v>
      </c>
    </row>
    <row r="69" spans="1:3" ht="15">
      <c r="A69" s="81" t="s">
        <v>1379</v>
      </c>
      <c r="B69" s="83" t="s">
        <v>527</v>
      </c>
      <c r="C69" s="80">
        <f>VLOOKUP(GroupVertices[[#This Row],[Vertex]],Vertices[],MATCH("ID",Vertices[[#Headers],[Vertex]:[Top Word Pairs in Comment by Salience]],0),FALSE)</f>
        <v>209</v>
      </c>
    </row>
    <row r="70" spans="1:3" ht="15">
      <c r="A70" s="81" t="s">
        <v>1379</v>
      </c>
      <c r="B70" s="83" t="s">
        <v>528</v>
      </c>
      <c r="C70" s="80">
        <f>VLOOKUP(GroupVertices[[#This Row],[Vertex]],Vertices[],MATCH("ID",Vertices[[#Headers],[Vertex]:[Top Word Pairs in Comment by Salience]],0),FALSE)</f>
        <v>210</v>
      </c>
    </row>
    <row r="71" spans="1:3" ht="15">
      <c r="A71" s="81" t="s">
        <v>1379</v>
      </c>
      <c r="B71" s="83" t="s">
        <v>530</v>
      </c>
      <c r="C71" s="80">
        <f>VLOOKUP(GroupVertices[[#This Row],[Vertex]],Vertices[],MATCH("ID",Vertices[[#Headers],[Vertex]:[Top Word Pairs in Comment by Salience]],0),FALSE)</f>
        <v>211</v>
      </c>
    </row>
    <row r="72" spans="1:3" ht="15">
      <c r="A72" s="81" t="s">
        <v>1379</v>
      </c>
      <c r="B72" s="83" t="s">
        <v>532</v>
      </c>
      <c r="C72" s="80">
        <f>VLOOKUP(GroupVertices[[#This Row],[Vertex]],Vertices[],MATCH("ID",Vertices[[#Headers],[Vertex]:[Top Word Pairs in Comment by Salience]],0),FALSE)</f>
        <v>212</v>
      </c>
    </row>
    <row r="73" spans="1:3" ht="15">
      <c r="A73" s="81" t="s">
        <v>1379</v>
      </c>
      <c r="B73" s="83" t="s">
        <v>533</v>
      </c>
      <c r="C73" s="80">
        <f>VLOOKUP(GroupVertices[[#This Row],[Vertex]],Vertices[],MATCH("ID",Vertices[[#Headers],[Vertex]:[Top Word Pairs in Comment by Salience]],0),FALSE)</f>
        <v>213</v>
      </c>
    </row>
    <row r="74" spans="1:3" ht="15">
      <c r="A74" s="81" t="s">
        <v>1379</v>
      </c>
      <c r="B74" s="83" t="s">
        <v>534</v>
      </c>
      <c r="C74" s="80">
        <f>VLOOKUP(GroupVertices[[#This Row],[Vertex]],Vertices[],MATCH("ID",Vertices[[#Headers],[Vertex]:[Top Word Pairs in Comment by Salience]],0),FALSE)</f>
        <v>214</v>
      </c>
    </row>
    <row r="75" spans="1:3" ht="15">
      <c r="A75" s="81" t="s">
        <v>1379</v>
      </c>
      <c r="B75" s="83" t="s">
        <v>535</v>
      </c>
      <c r="C75" s="80">
        <f>VLOOKUP(GroupVertices[[#This Row],[Vertex]],Vertices[],MATCH("ID",Vertices[[#Headers],[Vertex]:[Top Word Pairs in Comment by Salience]],0),FALSE)</f>
        <v>215</v>
      </c>
    </row>
    <row r="76" spans="1:3" ht="15">
      <c r="A76" s="81" t="s">
        <v>1379</v>
      </c>
      <c r="B76" s="83" t="s">
        <v>537</v>
      </c>
      <c r="C76" s="80">
        <f>VLOOKUP(GroupVertices[[#This Row],[Vertex]],Vertices[],MATCH("ID",Vertices[[#Headers],[Vertex]:[Top Word Pairs in Comment by Salience]],0),FALSE)</f>
        <v>216</v>
      </c>
    </row>
    <row r="77" spans="1:3" ht="15">
      <c r="A77" s="81" t="s">
        <v>1379</v>
      </c>
      <c r="B77" s="83" t="s">
        <v>538</v>
      </c>
      <c r="C77" s="80">
        <f>VLOOKUP(GroupVertices[[#This Row],[Vertex]],Vertices[],MATCH("ID",Vertices[[#Headers],[Vertex]:[Top Word Pairs in Comment by Salience]],0),FALSE)</f>
        <v>217</v>
      </c>
    </row>
    <row r="78" spans="1:3" ht="15">
      <c r="A78" s="81" t="s">
        <v>1379</v>
      </c>
      <c r="B78" s="83" t="s">
        <v>540</v>
      </c>
      <c r="C78" s="80">
        <f>VLOOKUP(GroupVertices[[#This Row],[Vertex]],Vertices[],MATCH("ID",Vertices[[#Headers],[Vertex]:[Top Word Pairs in Comment by Salience]],0),FALSE)</f>
        <v>219</v>
      </c>
    </row>
    <row r="79" spans="1:3" ht="15">
      <c r="A79" s="81" t="s">
        <v>1379</v>
      </c>
      <c r="B79" s="83" t="s">
        <v>541</v>
      </c>
      <c r="C79" s="80">
        <f>VLOOKUP(GroupVertices[[#This Row],[Vertex]],Vertices[],MATCH("ID",Vertices[[#Headers],[Vertex]:[Top Word Pairs in Comment by Salience]],0),FALSE)</f>
        <v>220</v>
      </c>
    </row>
    <row r="80" spans="1:3" ht="15">
      <c r="A80" s="81" t="s">
        <v>1379</v>
      </c>
      <c r="B80" s="83" t="s">
        <v>545</v>
      </c>
      <c r="C80" s="80">
        <f>VLOOKUP(GroupVertices[[#This Row],[Vertex]],Vertices[],MATCH("ID",Vertices[[#Headers],[Vertex]:[Top Word Pairs in Comment by Salience]],0),FALSE)</f>
        <v>221</v>
      </c>
    </row>
    <row r="81" spans="1:3" ht="15">
      <c r="A81" s="81" t="s">
        <v>1379</v>
      </c>
      <c r="B81" s="83" t="s">
        <v>547</v>
      </c>
      <c r="C81" s="80">
        <f>VLOOKUP(GroupVertices[[#This Row],[Vertex]],Vertices[],MATCH("ID",Vertices[[#Headers],[Vertex]:[Top Word Pairs in Comment by Salience]],0),FALSE)</f>
        <v>222</v>
      </c>
    </row>
    <row r="82" spans="1:3" ht="15">
      <c r="A82" s="81" t="s">
        <v>1379</v>
      </c>
      <c r="B82" s="83" t="s">
        <v>549</v>
      </c>
      <c r="C82" s="80">
        <f>VLOOKUP(GroupVertices[[#This Row],[Vertex]],Vertices[],MATCH("ID",Vertices[[#Headers],[Vertex]:[Top Word Pairs in Comment by Salience]],0),FALSE)</f>
        <v>223</v>
      </c>
    </row>
    <row r="83" spans="1:3" ht="15">
      <c r="A83" s="81" t="s">
        <v>1379</v>
      </c>
      <c r="B83" s="83" t="s">
        <v>554</v>
      </c>
      <c r="C83" s="80">
        <f>VLOOKUP(GroupVertices[[#This Row],[Vertex]],Vertices[],MATCH("ID",Vertices[[#Headers],[Vertex]:[Top Word Pairs in Comment by Salience]],0),FALSE)</f>
        <v>224</v>
      </c>
    </row>
    <row r="84" spans="1:3" ht="15">
      <c r="A84" s="81" t="s">
        <v>1379</v>
      </c>
      <c r="B84" s="83" t="s">
        <v>556</v>
      </c>
      <c r="C84" s="80">
        <f>VLOOKUP(GroupVertices[[#This Row],[Vertex]],Vertices[],MATCH("ID",Vertices[[#Headers],[Vertex]:[Top Word Pairs in Comment by Salience]],0),FALSE)</f>
        <v>225</v>
      </c>
    </row>
    <row r="85" spans="1:3" ht="15">
      <c r="A85" s="81" t="s">
        <v>1379</v>
      </c>
      <c r="B85" s="83" t="s">
        <v>557</v>
      </c>
      <c r="C85" s="80">
        <f>VLOOKUP(GroupVertices[[#This Row],[Vertex]],Vertices[],MATCH("ID",Vertices[[#Headers],[Vertex]:[Top Word Pairs in Comment by Salience]],0),FALSE)</f>
        <v>226</v>
      </c>
    </row>
    <row r="86" spans="1:3" ht="15">
      <c r="A86" s="81" t="s">
        <v>1380</v>
      </c>
      <c r="B86" s="83" t="s">
        <v>518</v>
      </c>
      <c r="C86" s="80">
        <f>VLOOKUP(GroupVertices[[#This Row],[Vertex]],Vertices[],MATCH("ID",Vertices[[#Headers],[Vertex]:[Top Word Pairs in Comment by Salience]],0),FALSE)</f>
        <v>203</v>
      </c>
    </row>
    <row r="87" spans="1:3" ht="15">
      <c r="A87" s="81" t="s">
        <v>1380</v>
      </c>
      <c r="B87" s="83" t="s">
        <v>561</v>
      </c>
      <c r="C87" s="80">
        <f>VLOOKUP(GroupVertices[[#This Row],[Vertex]],Vertices[],MATCH("ID",Vertices[[#Headers],[Vertex]:[Top Word Pairs in Comment by Salience]],0),FALSE)</f>
        <v>88</v>
      </c>
    </row>
    <row r="88" spans="1:3" ht="15">
      <c r="A88" s="81" t="s">
        <v>1380</v>
      </c>
      <c r="B88" s="83" t="s">
        <v>516</v>
      </c>
      <c r="C88" s="80">
        <f>VLOOKUP(GroupVertices[[#This Row],[Vertex]],Vertices[],MATCH("ID",Vertices[[#Headers],[Vertex]:[Top Word Pairs in Comment by Salience]],0),FALSE)</f>
        <v>200</v>
      </c>
    </row>
    <row r="89" spans="1:3" ht="15">
      <c r="A89" s="81" t="s">
        <v>1380</v>
      </c>
      <c r="B89" s="83" t="s">
        <v>515</v>
      </c>
      <c r="C89" s="80">
        <f>VLOOKUP(GroupVertices[[#This Row],[Vertex]],Vertices[],MATCH("ID",Vertices[[#Headers],[Vertex]:[Top Word Pairs in Comment by Salience]],0),FALSE)</f>
        <v>199</v>
      </c>
    </row>
    <row r="90" spans="1:3" ht="15">
      <c r="A90" s="81" t="s">
        <v>1380</v>
      </c>
      <c r="B90" s="83" t="s">
        <v>514</v>
      </c>
      <c r="C90" s="80">
        <f>VLOOKUP(GroupVertices[[#This Row],[Vertex]],Vertices[],MATCH("ID",Vertices[[#Headers],[Vertex]:[Top Word Pairs in Comment by Salience]],0),FALSE)</f>
        <v>198</v>
      </c>
    </row>
    <row r="91" spans="1:3" ht="15">
      <c r="A91" s="81" t="s">
        <v>1380</v>
      </c>
      <c r="B91" s="83" t="s">
        <v>513</v>
      </c>
      <c r="C91" s="80">
        <f>VLOOKUP(GroupVertices[[#This Row],[Vertex]],Vertices[],MATCH("ID",Vertices[[#Headers],[Vertex]:[Top Word Pairs in Comment by Salience]],0),FALSE)</f>
        <v>197</v>
      </c>
    </row>
    <row r="92" spans="1:3" ht="15">
      <c r="A92" s="81" t="s">
        <v>1380</v>
      </c>
      <c r="B92" s="83" t="s">
        <v>512</v>
      </c>
      <c r="C92" s="80">
        <f>VLOOKUP(GroupVertices[[#This Row],[Vertex]],Vertices[],MATCH("ID",Vertices[[#Headers],[Vertex]:[Top Word Pairs in Comment by Salience]],0),FALSE)</f>
        <v>196</v>
      </c>
    </row>
    <row r="93" spans="1:3" ht="15">
      <c r="A93" s="81" t="s">
        <v>1380</v>
      </c>
      <c r="B93" s="83" t="s">
        <v>553</v>
      </c>
      <c r="C93" s="80">
        <f>VLOOKUP(GroupVertices[[#This Row],[Vertex]],Vertices[],MATCH("ID",Vertices[[#Headers],[Vertex]:[Top Word Pairs in Comment by Salience]],0),FALSE)</f>
        <v>167</v>
      </c>
    </row>
    <row r="94" spans="1:3" ht="15">
      <c r="A94" s="81" t="s">
        <v>1380</v>
      </c>
      <c r="B94" s="83" t="s">
        <v>511</v>
      </c>
      <c r="C94" s="80">
        <f>VLOOKUP(GroupVertices[[#This Row],[Vertex]],Vertices[],MATCH("ID",Vertices[[#Headers],[Vertex]:[Top Word Pairs in Comment by Salience]],0),FALSE)</f>
        <v>195</v>
      </c>
    </row>
    <row r="95" spans="1:3" ht="15">
      <c r="A95" s="81" t="s">
        <v>1380</v>
      </c>
      <c r="B95" s="83" t="s">
        <v>510</v>
      </c>
      <c r="C95" s="80">
        <f>VLOOKUP(GroupVertices[[#This Row],[Vertex]],Vertices[],MATCH("ID",Vertices[[#Headers],[Vertex]:[Top Word Pairs in Comment by Salience]],0),FALSE)</f>
        <v>194</v>
      </c>
    </row>
    <row r="96" spans="1:3" ht="15">
      <c r="A96" s="81" t="s">
        <v>1380</v>
      </c>
      <c r="B96" s="83" t="s">
        <v>508</v>
      </c>
      <c r="C96" s="80">
        <f>VLOOKUP(GroupVertices[[#This Row],[Vertex]],Vertices[],MATCH("ID",Vertices[[#Headers],[Vertex]:[Top Word Pairs in Comment by Salience]],0),FALSE)</f>
        <v>192</v>
      </c>
    </row>
    <row r="97" spans="1:3" ht="15">
      <c r="A97" s="81" t="s">
        <v>1380</v>
      </c>
      <c r="B97" s="83" t="s">
        <v>483</v>
      </c>
      <c r="C97" s="80">
        <f>VLOOKUP(GroupVertices[[#This Row],[Vertex]],Vertices[],MATCH("ID",Vertices[[#Headers],[Vertex]:[Top Word Pairs in Comment by Salience]],0),FALSE)</f>
        <v>166</v>
      </c>
    </row>
    <row r="98" spans="1:3" ht="15">
      <c r="A98" s="81" t="s">
        <v>1380</v>
      </c>
      <c r="B98" s="83" t="s">
        <v>436</v>
      </c>
      <c r="C98" s="80">
        <f>VLOOKUP(GroupVertices[[#This Row],[Vertex]],Vertices[],MATCH("ID",Vertices[[#Headers],[Vertex]:[Top Word Pairs in Comment by Salience]],0),FALSE)</f>
        <v>117</v>
      </c>
    </row>
    <row r="99" spans="1:3" ht="15">
      <c r="A99" s="81" t="s">
        <v>1380</v>
      </c>
      <c r="B99" s="83" t="s">
        <v>435</v>
      </c>
      <c r="C99" s="80">
        <f>VLOOKUP(GroupVertices[[#This Row],[Vertex]],Vertices[],MATCH("ID",Vertices[[#Headers],[Vertex]:[Top Word Pairs in Comment by Salience]],0),FALSE)</f>
        <v>116</v>
      </c>
    </row>
    <row r="100" spans="1:3" ht="15">
      <c r="A100" s="81" t="s">
        <v>1380</v>
      </c>
      <c r="B100" s="83" t="s">
        <v>411</v>
      </c>
      <c r="C100" s="80">
        <f>VLOOKUP(GroupVertices[[#This Row],[Vertex]],Vertices[],MATCH("ID",Vertices[[#Headers],[Vertex]:[Top Word Pairs in Comment by Salience]],0),FALSE)</f>
        <v>90</v>
      </c>
    </row>
    <row r="101" spans="1:3" ht="15">
      <c r="A101" s="81" t="s">
        <v>1380</v>
      </c>
      <c r="B101" s="83" t="s">
        <v>410</v>
      </c>
      <c r="C101" s="80">
        <f>VLOOKUP(GroupVertices[[#This Row],[Vertex]],Vertices[],MATCH("ID",Vertices[[#Headers],[Vertex]:[Top Word Pairs in Comment by Salience]],0),FALSE)</f>
        <v>89</v>
      </c>
    </row>
    <row r="102" spans="1:3" ht="15">
      <c r="A102" s="81" t="s">
        <v>1380</v>
      </c>
      <c r="B102" s="83" t="s">
        <v>409</v>
      </c>
      <c r="C102" s="80">
        <f>VLOOKUP(GroupVertices[[#This Row],[Vertex]],Vertices[],MATCH("ID",Vertices[[#Headers],[Vertex]:[Top Word Pairs in Comment by Salience]],0),FALSE)</f>
        <v>87</v>
      </c>
    </row>
    <row r="103" spans="1:3" ht="15">
      <c r="A103" s="81" t="s">
        <v>1381</v>
      </c>
      <c r="B103" s="83" t="s">
        <v>558</v>
      </c>
      <c r="C103" s="80">
        <f>VLOOKUP(GroupVertices[[#This Row],[Vertex]],Vertices[],MATCH("ID",Vertices[[#Headers],[Vertex]:[Top Word Pairs in Comment by Salience]],0),FALSE)</f>
        <v>202</v>
      </c>
    </row>
    <row r="104" spans="1:3" ht="15">
      <c r="A104" s="81" t="s">
        <v>1381</v>
      </c>
      <c r="B104" s="83" t="s">
        <v>517</v>
      </c>
      <c r="C104" s="80">
        <f>VLOOKUP(GroupVertices[[#This Row],[Vertex]],Vertices[],MATCH("ID",Vertices[[#Headers],[Vertex]:[Top Word Pairs in Comment by Salience]],0),FALSE)</f>
        <v>201</v>
      </c>
    </row>
    <row r="105" spans="1:3" ht="15">
      <c r="A105" s="81" t="s">
        <v>1381</v>
      </c>
      <c r="B105" s="83" t="s">
        <v>560</v>
      </c>
      <c r="C105" s="80">
        <f>VLOOKUP(GroupVertices[[#This Row],[Vertex]],Vertices[],MATCH("ID",Vertices[[#Headers],[Vertex]:[Top Word Pairs in Comment by Salience]],0),FALSE)</f>
        <v>119</v>
      </c>
    </row>
    <row r="106" spans="1:3" ht="15">
      <c r="A106" s="81" t="s">
        <v>1381</v>
      </c>
      <c r="B106" s="83" t="s">
        <v>468</v>
      </c>
      <c r="C106" s="80">
        <f>VLOOKUP(GroupVertices[[#This Row],[Vertex]],Vertices[],MATCH("ID",Vertices[[#Headers],[Vertex]:[Top Word Pairs in Comment by Salience]],0),FALSE)</f>
        <v>151</v>
      </c>
    </row>
    <row r="107" spans="1:3" ht="15">
      <c r="A107" s="81" t="s">
        <v>1381</v>
      </c>
      <c r="B107" s="83" t="s">
        <v>555</v>
      </c>
      <c r="C107" s="80">
        <f>VLOOKUP(GroupVertices[[#This Row],[Vertex]],Vertices[],MATCH("ID",Vertices[[#Headers],[Vertex]:[Top Word Pairs in Comment by Salience]],0),FALSE)</f>
        <v>121</v>
      </c>
    </row>
    <row r="108" spans="1:3" ht="15">
      <c r="A108" s="81" t="s">
        <v>1381</v>
      </c>
      <c r="B108" s="83" t="s">
        <v>351</v>
      </c>
      <c r="C108" s="80">
        <f>VLOOKUP(GroupVertices[[#This Row],[Vertex]],Vertices[],MATCH("ID",Vertices[[#Headers],[Vertex]:[Top Word Pairs in Comment by Salience]],0),FALSE)</f>
        <v>22</v>
      </c>
    </row>
    <row r="109" spans="1:3" ht="15">
      <c r="A109" s="81" t="s">
        <v>1381</v>
      </c>
      <c r="B109" s="83" t="s">
        <v>471</v>
      </c>
      <c r="C109" s="80">
        <f>VLOOKUP(GroupVertices[[#This Row],[Vertex]],Vertices[],MATCH("ID",Vertices[[#Headers],[Vertex]:[Top Word Pairs in Comment by Salience]],0),FALSE)</f>
        <v>154</v>
      </c>
    </row>
    <row r="110" spans="1:3" ht="15">
      <c r="A110" s="81" t="s">
        <v>1381</v>
      </c>
      <c r="B110" s="83" t="s">
        <v>470</v>
      </c>
      <c r="C110" s="80">
        <f>VLOOKUP(GroupVertices[[#This Row],[Vertex]],Vertices[],MATCH("ID",Vertices[[#Headers],[Vertex]:[Top Word Pairs in Comment by Salience]],0),FALSE)</f>
        <v>153</v>
      </c>
    </row>
    <row r="111" spans="1:3" ht="15">
      <c r="A111" s="81" t="s">
        <v>1381</v>
      </c>
      <c r="B111" s="83" t="s">
        <v>469</v>
      </c>
      <c r="C111" s="80">
        <f>VLOOKUP(GroupVertices[[#This Row],[Vertex]],Vertices[],MATCH("ID",Vertices[[#Headers],[Vertex]:[Top Word Pairs in Comment by Salience]],0),FALSE)</f>
        <v>152</v>
      </c>
    </row>
    <row r="112" spans="1:3" ht="15">
      <c r="A112" s="81" t="s">
        <v>1381</v>
      </c>
      <c r="B112" s="83" t="s">
        <v>467</v>
      </c>
      <c r="C112" s="80">
        <f>VLOOKUP(GroupVertices[[#This Row],[Vertex]],Vertices[],MATCH("ID",Vertices[[#Headers],[Vertex]:[Top Word Pairs in Comment by Salience]],0),FALSE)</f>
        <v>150</v>
      </c>
    </row>
    <row r="113" spans="1:3" ht="15">
      <c r="A113" s="81" t="s">
        <v>1381</v>
      </c>
      <c r="B113" s="83" t="s">
        <v>466</v>
      </c>
      <c r="C113" s="80">
        <f>VLOOKUP(GroupVertices[[#This Row],[Vertex]],Vertices[],MATCH("ID",Vertices[[#Headers],[Vertex]:[Top Word Pairs in Comment by Salience]],0),FALSE)</f>
        <v>149</v>
      </c>
    </row>
    <row r="114" spans="1:3" ht="15">
      <c r="A114" s="81" t="s">
        <v>1381</v>
      </c>
      <c r="B114" s="83" t="s">
        <v>454</v>
      </c>
      <c r="C114" s="80">
        <f>VLOOKUP(GroupVertices[[#This Row],[Vertex]],Vertices[],MATCH("ID",Vertices[[#Headers],[Vertex]:[Top Word Pairs in Comment by Salience]],0),FALSE)</f>
        <v>136</v>
      </c>
    </row>
    <row r="115" spans="1:3" ht="15">
      <c r="A115" s="81" t="s">
        <v>1381</v>
      </c>
      <c r="B115" s="83" t="s">
        <v>453</v>
      </c>
      <c r="C115" s="80">
        <f>VLOOKUP(GroupVertices[[#This Row],[Vertex]],Vertices[],MATCH("ID",Vertices[[#Headers],[Vertex]:[Top Word Pairs in Comment by Salience]],0),FALSE)</f>
        <v>135</v>
      </c>
    </row>
    <row r="116" spans="1:3" ht="15">
      <c r="A116" s="81" t="s">
        <v>1381</v>
      </c>
      <c r="B116" s="83" t="s">
        <v>452</v>
      </c>
      <c r="C116" s="80">
        <f>VLOOKUP(GroupVertices[[#This Row],[Vertex]],Vertices[],MATCH("ID",Vertices[[#Headers],[Vertex]:[Top Word Pairs in Comment by Salience]],0),FALSE)</f>
        <v>134</v>
      </c>
    </row>
    <row r="117" spans="1:3" ht="15">
      <c r="A117" s="81" t="s">
        <v>1381</v>
      </c>
      <c r="B117" s="83" t="s">
        <v>438</v>
      </c>
      <c r="C117" s="80">
        <f>VLOOKUP(GroupVertices[[#This Row],[Vertex]],Vertices[],MATCH("ID",Vertices[[#Headers],[Vertex]:[Top Word Pairs in Comment by Salience]],0),FALSE)</f>
        <v>120</v>
      </c>
    </row>
    <row r="118" spans="1:3" ht="15">
      <c r="A118" s="81" t="s">
        <v>1381</v>
      </c>
      <c r="B118" s="83" t="s">
        <v>437</v>
      </c>
      <c r="C118" s="80">
        <f>VLOOKUP(GroupVertices[[#This Row],[Vertex]],Vertices[],MATCH("ID",Vertices[[#Headers],[Vertex]:[Top Word Pairs in Comment by Salience]],0),FALSE)</f>
        <v>118</v>
      </c>
    </row>
    <row r="119" spans="1:3" ht="15">
      <c r="A119" s="81" t="s">
        <v>1381</v>
      </c>
      <c r="B119" s="83" t="s">
        <v>352</v>
      </c>
      <c r="C119" s="80">
        <f>VLOOKUP(GroupVertices[[#This Row],[Vertex]],Vertices[],MATCH("ID",Vertices[[#Headers],[Vertex]:[Top Word Pairs in Comment by Salience]],0),FALSE)</f>
        <v>23</v>
      </c>
    </row>
    <row r="120" spans="1:3" ht="15">
      <c r="A120" s="81" t="s">
        <v>1382</v>
      </c>
      <c r="B120" s="83" t="s">
        <v>444</v>
      </c>
      <c r="C120" s="80">
        <f>VLOOKUP(GroupVertices[[#This Row],[Vertex]],Vertices[],MATCH("ID",Vertices[[#Headers],[Vertex]:[Top Word Pairs in Comment by Salience]],0),FALSE)</f>
        <v>127</v>
      </c>
    </row>
    <row r="121" spans="1:3" ht="15">
      <c r="A121" s="81" t="s">
        <v>1382</v>
      </c>
      <c r="B121" s="83" t="s">
        <v>441</v>
      </c>
      <c r="C121" s="80">
        <f>VLOOKUP(GroupVertices[[#This Row],[Vertex]],Vertices[],MATCH("ID",Vertices[[#Headers],[Vertex]:[Top Word Pairs in Comment by Salience]],0),FALSE)</f>
        <v>124</v>
      </c>
    </row>
    <row r="122" spans="1:3" ht="15">
      <c r="A122" s="81" t="s">
        <v>1382</v>
      </c>
      <c r="B122" s="83" t="s">
        <v>551</v>
      </c>
      <c r="C122" s="80">
        <f>VLOOKUP(GroupVertices[[#This Row],[Vertex]],Vertices[],MATCH("ID",Vertices[[#Headers],[Vertex]:[Top Word Pairs in Comment by Salience]],0),FALSE)</f>
        <v>93</v>
      </c>
    </row>
    <row r="123" spans="1:3" ht="15">
      <c r="A123" s="81" t="s">
        <v>1382</v>
      </c>
      <c r="B123" s="83" t="s">
        <v>443</v>
      </c>
      <c r="C123" s="80">
        <f>VLOOKUP(GroupVertices[[#This Row],[Vertex]],Vertices[],MATCH("ID",Vertices[[#Headers],[Vertex]:[Top Word Pairs in Comment by Salience]],0),FALSE)</f>
        <v>126</v>
      </c>
    </row>
    <row r="124" spans="1:3" ht="15">
      <c r="A124" s="81" t="s">
        <v>1382</v>
      </c>
      <c r="B124" s="83" t="s">
        <v>442</v>
      </c>
      <c r="C124" s="80">
        <f>VLOOKUP(GroupVertices[[#This Row],[Vertex]],Vertices[],MATCH("ID",Vertices[[#Headers],[Vertex]:[Top Word Pairs in Comment by Salience]],0),FALSE)</f>
        <v>125</v>
      </c>
    </row>
    <row r="125" spans="1:3" ht="15">
      <c r="A125" s="81" t="s">
        <v>1382</v>
      </c>
      <c r="B125" s="83" t="s">
        <v>440</v>
      </c>
      <c r="C125" s="80">
        <f>VLOOKUP(GroupVertices[[#This Row],[Vertex]],Vertices[],MATCH("ID",Vertices[[#Headers],[Vertex]:[Top Word Pairs in Comment by Salience]],0),FALSE)</f>
        <v>123</v>
      </c>
    </row>
    <row r="126" spans="1:3" ht="15">
      <c r="A126" s="81" t="s">
        <v>1382</v>
      </c>
      <c r="B126" s="83" t="s">
        <v>439</v>
      </c>
      <c r="C126" s="80">
        <f>VLOOKUP(GroupVertices[[#This Row],[Vertex]],Vertices[],MATCH("ID",Vertices[[#Headers],[Vertex]:[Top Word Pairs in Comment by Salience]],0),FALSE)</f>
        <v>122</v>
      </c>
    </row>
    <row r="127" spans="1:3" ht="15">
      <c r="A127" s="81" t="s">
        <v>1382</v>
      </c>
      <c r="B127" s="83" t="s">
        <v>419</v>
      </c>
      <c r="C127" s="80">
        <f>VLOOKUP(GroupVertices[[#This Row],[Vertex]],Vertices[],MATCH("ID",Vertices[[#Headers],[Vertex]:[Top Word Pairs in Comment by Salience]],0),FALSE)</f>
        <v>99</v>
      </c>
    </row>
    <row r="128" spans="1:3" ht="15">
      <c r="A128" s="81" t="s">
        <v>1382</v>
      </c>
      <c r="B128" s="83" t="s">
        <v>418</v>
      </c>
      <c r="C128" s="80">
        <f>VLOOKUP(GroupVertices[[#This Row],[Vertex]],Vertices[],MATCH("ID",Vertices[[#Headers],[Vertex]:[Top Word Pairs in Comment by Salience]],0),FALSE)</f>
        <v>98</v>
      </c>
    </row>
    <row r="129" spans="1:3" ht="15">
      <c r="A129" s="81" t="s">
        <v>1382</v>
      </c>
      <c r="B129" s="83" t="s">
        <v>416</v>
      </c>
      <c r="C129" s="80">
        <f>VLOOKUP(GroupVertices[[#This Row],[Vertex]],Vertices[],MATCH("ID",Vertices[[#Headers],[Vertex]:[Top Word Pairs in Comment by Salience]],0),FALSE)</f>
        <v>97</v>
      </c>
    </row>
    <row r="130" spans="1:3" ht="15">
      <c r="A130" s="81" t="s">
        <v>1382</v>
      </c>
      <c r="B130" s="83" t="s">
        <v>417</v>
      </c>
      <c r="C130" s="80">
        <f>VLOOKUP(GroupVertices[[#This Row],[Vertex]],Vertices[],MATCH("ID",Vertices[[#Headers],[Vertex]:[Top Word Pairs in Comment by Salience]],0),FALSE)</f>
        <v>96</v>
      </c>
    </row>
    <row r="131" spans="1:3" ht="15">
      <c r="A131" s="81" t="s">
        <v>1382</v>
      </c>
      <c r="B131" s="83" t="s">
        <v>415</v>
      </c>
      <c r="C131" s="80">
        <f>VLOOKUP(GroupVertices[[#This Row],[Vertex]],Vertices[],MATCH("ID",Vertices[[#Headers],[Vertex]:[Top Word Pairs in Comment by Salience]],0),FALSE)</f>
        <v>95</v>
      </c>
    </row>
    <row r="132" spans="1:3" ht="15">
      <c r="A132" s="81" t="s">
        <v>1382</v>
      </c>
      <c r="B132" s="83" t="s">
        <v>414</v>
      </c>
      <c r="C132" s="80">
        <f>VLOOKUP(GroupVertices[[#This Row],[Vertex]],Vertices[],MATCH("ID",Vertices[[#Headers],[Vertex]:[Top Word Pairs in Comment by Salience]],0),FALSE)</f>
        <v>94</v>
      </c>
    </row>
    <row r="133" spans="1:3" ht="15">
      <c r="A133" s="81" t="s">
        <v>1382</v>
      </c>
      <c r="B133" s="83" t="s">
        <v>413</v>
      </c>
      <c r="C133" s="80">
        <f>VLOOKUP(GroupVertices[[#This Row],[Vertex]],Vertices[],MATCH("ID",Vertices[[#Headers],[Vertex]:[Top Word Pairs in Comment by Salience]],0),FALSE)</f>
        <v>92</v>
      </c>
    </row>
    <row r="134" spans="1:3" ht="15">
      <c r="A134" s="81" t="s">
        <v>1382</v>
      </c>
      <c r="B134" s="83" t="s">
        <v>412</v>
      </c>
      <c r="C134" s="80">
        <f>VLOOKUP(GroupVertices[[#This Row],[Vertex]],Vertices[],MATCH("ID",Vertices[[#Headers],[Vertex]:[Top Word Pairs in Comment by Salience]],0),FALSE)</f>
        <v>91</v>
      </c>
    </row>
    <row r="135" spans="1:3" ht="15">
      <c r="A135" s="81" t="s">
        <v>1383</v>
      </c>
      <c r="B135" s="83" t="s">
        <v>539</v>
      </c>
      <c r="C135" s="80">
        <f>VLOOKUP(GroupVertices[[#This Row],[Vertex]],Vertices[],MATCH("ID",Vertices[[#Headers],[Vertex]:[Top Word Pairs in Comment by Salience]],0),FALSE)</f>
        <v>218</v>
      </c>
    </row>
    <row r="136" spans="1:3" ht="15">
      <c r="A136" s="81" t="s">
        <v>1383</v>
      </c>
      <c r="B136" s="83" t="s">
        <v>450</v>
      </c>
      <c r="C136" s="80">
        <f>VLOOKUP(GroupVertices[[#This Row],[Vertex]],Vertices[],MATCH("ID",Vertices[[#Headers],[Vertex]:[Top Word Pairs in Comment by Salience]],0),FALSE)</f>
        <v>13</v>
      </c>
    </row>
    <row r="137" spans="1:3" ht="15">
      <c r="A137" s="81" t="s">
        <v>1383</v>
      </c>
      <c r="B137" s="83" t="s">
        <v>509</v>
      </c>
      <c r="C137" s="80">
        <f>VLOOKUP(GroupVertices[[#This Row],[Vertex]],Vertices[],MATCH("ID",Vertices[[#Headers],[Vertex]:[Top Word Pairs in Comment by Salience]],0),FALSE)</f>
        <v>193</v>
      </c>
    </row>
    <row r="138" spans="1:3" ht="15">
      <c r="A138" s="81" t="s">
        <v>1383</v>
      </c>
      <c r="B138" s="83" t="s">
        <v>451</v>
      </c>
      <c r="C138" s="80">
        <f>VLOOKUP(GroupVertices[[#This Row],[Vertex]],Vertices[],MATCH("ID",Vertices[[#Headers],[Vertex]:[Top Word Pairs in Comment by Salience]],0),FALSE)</f>
        <v>133</v>
      </c>
    </row>
    <row r="139" spans="1:3" ht="15">
      <c r="A139" s="81" t="s">
        <v>1383</v>
      </c>
      <c r="B139" s="83" t="s">
        <v>449</v>
      </c>
      <c r="C139" s="80">
        <f>VLOOKUP(GroupVertices[[#This Row],[Vertex]],Vertices[],MATCH("ID",Vertices[[#Headers],[Vertex]:[Top Word Pairs in Comment by Salience]],0),FALSE)</f>
        <v>132</v>
      </c>
    </row>
    <row r="140" spans="1:3" ht="15">
      <c r="A140" s="81" t="s">
        <v>1383</v>
      </c>
      <c r="B140" s="83" t="s">
        <v>448</v>
      </c>
      <c r="C140" s="80">
        <f>VLOOKUP(GroupVertices[[#This Row],[Vertex]],Vertices[],MATCH("ID",Vertices[[#Headers],[Vertex]:[Top Word Pairs in Comment by Salience]],0),FALSE)</f>
        <v>131</v>
      </c>
    </row>
    <row r="141" spans="1:3" ht="15">
      <c r="A141" s="81" t="s">
        <v>1383</v>
      </c>
      <c r="B141" s="83" t="s">
        <v>447</v>
      </c>
      <c r="C141" s="80">
        <f>VLOOKUP(GroupVertices[[#This Row],[Vertex]],Vertices[],MATCH("ID",Vertices[[#Headers],[Vertex]:[Top Word Pairs in Comment by Salience]],0),FALSE)</f>
        <v>130</v>
      </c>
    </row>
    <row r="142" spans="1:3" ht="15">
      <c r="A142" s="81" t="s">
        <v>1383</v>
      </c>
      <c r="B142" s="83" t="s">
        <v>446</v>
      </c>
      <c r="C142" s="80">
        <f>VLOOKUP(GroupVertices[[#This Row],[Vertex]],Vertices[],MATCH("ID",Vertices[[#Headers],[Vertex]:[Top Word Pairs in Comment by Salience]],0),FALSE)</f>
        <v>129</v>
      </c>
    </row>
    <row r="143" spans="1:3" ht="15">
      <c r="A143" s="81" t="s">
        <v>1383</v>
      </c>
      <c r="B143" s="83" t="s">
        <v>445</v>
      </c>
      <c r="C143" s="80">
        <f>VLOOKUP(GroupVertices[[#This Row],[Vertex]],Vertices[],MATCH("ID",Vertices[[#Headers],[Vertex]:[Top Word Pairs in Comment by Salience]],0),FALSE)</f>
        <v>128</v>
      </c>
    </row>
    <row r="144" spans="1:3" ht="15">
      <c r="A144" s="81" t="s">
        <v>1383</v>
      </c>
      <c r="B144" s="83" t="s">
        <v>345</v>
      </c>
      <c r="C144" s="80">
        <f>VLOOKUP(GroupVertices[[#This Row],[Vertex]],Vertices[],MATCH("ID",Vertices[[#Headers],[Vertex]:[Top Word Pairs in Comment by Salience]],0),FALSE)</f>
        <v>12</v>
      </c>
    </row>
    <row r="145" spans="1:3" ht="15">
      <c r="A145" s="81" t="s">
        <v>1384</v>
      </c>
      <c r="B145" s="83" t="s">
        <v>497</v>
      </c>
      <c r="C145" s="80">
        <f>VLOOKUP(GroupVertices[[#This Row],[Vertex]],Vertices[],MATCH("ID",Vertices[[#Headers],[Vertex]:[Top Word Pairs in Comment by Salience]],0),FALSE)</f>
        <v>181</v>
      </c>
    </row>
    <row r="146" spans="1:3" ht="15">
      <c r="A146" s="81" t="s">
        <v>1384</v>
      </c>
      <c r="B146" s="83" t="s">
        <v>430</v>
      </c>
      <c r="C146" s="80">
        <f>VLOOKUP(GroupVertices[[#This Row],[Vertex]],Vertices[],MATCH("ID",Vertices[[#Headers],[Vertex]:[Top Word Pairs in Comment by Salience]],0),FALSE)</f>
        <v>102</v>
      </c>
    </row>
    <row r="147" spans="1:3" ht="15">
      <c r="A147" s="81" t="s">
        <v>1384</v>
      </c>
      <c r="B147" s="83" t="s">
        <v>431</v>
      </c>
      <c r="C147" s="80">
        <f>VLOOKUP(GroupVertices[[#This Row],[Vertex]],Vertices[],MATCH("ID",Vertices[[#Headers],[Vertex]:[Top Word Pairs in Comment by Salience]],0),FALSE)</f>
        <v>112</v>
      </c>
    </row>
    <row r="148" spans="1:3" ht="15">
      <c r="A148" s="81" t="s">
        <v>1384</v>
      </c>
      <c r="B148" s="83" t="s">
        <v>429</v>
      </c>
      <c r="C148" s="80">
        <f>VLOOKUP(GroupVertices[[#This Row],[Vertex]],Vertices[],MATCH("ID",Vertices[[#Headers],[Vertex]:[Top Word Pairs in Comment by Salience]],0),FALSE)</f>
        <v>111</v>
      </c>
    </row>
    <row r="149" spans="1:3" ht="15">
      <c r="A149" s="81" t="s">
        <v>1384</v>
      </c>
      <c r="B149" s="83" t="s">
        <v>428</v>
      </c>
      <c r="C149" s="80">
        <f>VLOOKUP(GroupVertices[[#This Row],[Vertex]],Vertices[],MATCH("ID",Vertices[[#Headers],[Vertex]:[Top Word Pairs in Comment by Salience]],0),FALSE)</f>
        <v>110</v>
      </c>
    </row>
    <row r="150" spans="1:3" ht="15">
      <c r="A150" s="81" t="s">
        <v>1384</v>
      </c>
      <c r="B150" s="83" t="s">
        <v>425</v>
      </c>
      <c r="C150" s="80">
        <f>VLOOKUP(GroupVertices[[#This Row],[Vertex]],Vertices[],MATCH("ID",Vertices[[#Headers],[Vertex]:[Top Word Pairs in Comment by Salience]],0),FALSE)</f>
        <v>106</v>
      </c>
    </row>
    <row r="151" spans="1:3" ht="15">
      <c r="A151" s="81" t="s">
        <v>1384</v>
      </c>
      <c r="B151" s="83" t="s">
        <v>424</v>
      </c>
      <c r="C151" s="80">
        <f>VLOOKUP(GroupVertices[[#This Row],[Vertex]],Vertices[],MATCH("ID",Vertices[[#Headers],[Vertex]:[Top Word Pairs in Comment by Salience]],0),FALSE)</f>
        <v>105</v>
      </c>
    </row>
    <row r="152" spans="1:3" ht="15">
      <c r="A152" s="81" t="s">
        <v>1384</v>
      </c>
      <c r="B152" s="83" t="s">
        <v>423</v>
      </c>
      <c r="C152" s="80">
        <f>VLOOKUP(GroupVertices[[#This Row],[Vertex]],Vertices[],MATCH("ID",Vertices[[#Headers],[Vertex]:[Top Word Pairs in Comment by Salience]],0),FALSE)</f>
        <v>104</v>
      </c>
    </row>
    <row r="153" spans="1:3" ht="15">
      <c r="A153" s="81" t="s">
        <v>1384</v>
      </c>
      <c r="B153" s="83" t="s">
        <v>422</v>
      </c>
      <c r="C153" s="80">
        <f>VLOOKUP(GroupVertices[[#This Row],[Vertex]],Vertices[],MATCH("ID",Vertices[[#Headers],[Vertex]:[Top Word Pairs in Comment by Salience]],0),FALSE)</f>
        <v>103</v>
      </c>
    </row>
    <row r="154" spans="1:3" ht="15">
      <c r="A154" s="81" t="s">
        <v>1384</v>
      </c>
      <c r="B154" s="83" t="s">
        <v>421</v>
      </c>
      <c r="C154" s="80">
        <f>VLOOKUP(GroupVertices[[#This Row],[Vertex]],Vertices[],MATCH("ID",Vertices[[#Headers],[Vertex]:[Top Word Pairs in Comment by Salience]],0),FALSE)</f>
        <v>101</v>
      </c>
    </row>
    <row r="155" spans="1:3" ht="15">
      <c r="A155" s="81" t="s">
        <v>1385</v>
      </c>
      <c r="B155" s="83" t="s">
        <v>389</v>
      </c>
      <c r="C155" s="80">
        <f>VLOOKUP(GroupVertices[[#This Row],[Vertex]],Vertices[],MATCH("ID",Vertices[[#Headers],[Vertex]:[Top Word Pairs in Comment by Salience]],0),FALSE)</f>
        <v>63</v>
      </c>
    </row>
    <row r="156" spans="1:3" ht="15">
      <c r="A156" s="81" t="s">
        <v>1385</v>
      </c>
      <c r="B156" s="83" t="s">
        <v>543</v>
      </c>
      <c r="C156" s="80">
        <f>VLOOKUP(GroupVertices[[#This Row],[Vertex]],Vertices[],MATCH("ID",Vertices[[#Headers],[Vertex]:[Top Word Pairs in Comment by Salience]],0),FALSE)</f>
        <v>56</v>
      </c>
    </row>
    <row r="157" spans="1:3" ht="15">
      <c r="A157" s="81" t="s">
        <v>1385</v>
      </c>
      <c r="B157" s="83" t="s">
        <v>388</v>
      </c>
      <c r="C157" s="80">
        <f>VLOOKUP(GroupVertices[[#This Row],[Vertex]],Vertices[],MATCH("ID",Vertices[[#Headers],[Vertex]:[Top Word Pairs in Comment by Salience]],0),FALSE)</f>
        <v>62</v>
      </c>
    </row>
    <row r="158" spans="1:3" ht="15">
      <c r="A158" s="81" t="s">
        <v>1385</v>
      </c>
      <c r="B158" s="83" t="s">
        <v>381</v>
      </c>
      <c r="C158" s="80">
        <f>VLOOKUP(GroupVertices[[#This Row],[Vertex]],Vertices[],MATCH("ID",Vertices[[#Headers],[Vertex]:[Top Word Pairs in Comment by Salience]],0),FALSE)</f>
        <v>54</v>
      </c>
    </row>
    <row r="159" spans="1:3" ht="15">
      <c r="A159" s="81" t="s">
        <v>1385</v>
      </c>
      <c r="B159" s="83" t="s">
        <v>387</v>
      </c>
      <c r="C159" s="80">
        <f>VLOOKUP(GroupVertices[[#This Row],[Vertex]],Vertices[],MATCH("ID",Vertices[[#Headers],[Vertex]:[Top Word Pairs in Comment by Salience]],0),FALSE)</f>
        <v>61</v>
      </c>
    </row>
    <row r="160" spans="1:3" ht="15">
      <c r="A160" s="81" t="s">
        <v>1385</v>
      </c>
      <c r="B160" s="83" t="s">
        <v>386</v>
      </c>
      <c r="C160" s="80">
        <f>VLOOKUP(GroupVertices[[#This Row],[Vertex]],Vertices[],MATCH("ID",Vertices[[#Headers],[Vertex]:[Top Word Pairs in Comment by Salience]],0),FALSE)</f>
        <v>60</v>
      </c>
    </row>
    <row r="161" spans="1:3" ht="15">
      <c r="A161" s="81" t="s">
        <v>1385</v>
      </c>
      <c r="B161" s="83" t="s">
        <v>385</v>
      </c>
      <c r="C161" s="80">
        <f>VLOOKUP(GroupVertices[[#This Row],[Vertex]],Vertices[],MATCH("ID",Vertices[[#Headers],[Vertex]:[Top Word Pairs in Comment by Salience]],0),FALSE)</f>
        <v>59</v>
      </c>
    </row>
    <row r="162" spans="1:3" ht="15">
      <c r="A162" s="81" t="s">
        <v>1385</v>
      </c>
      <c r="B162" s="83" t="s">
        <v>384</v>
      </c>
      <c r="C162" s="80">
        <f>VLOOKUP(GroupVertices[[#This Row],[Vertex]],Vertices[],MATCH("ID",Vertices[[#Headers],[Vertex]:[Top Word Pairs in Comment by Salience]],0),FALSE)</f>
        <v>58</v>
      </c>
    </row>
    <row r="163" spans="1:3" ht="15">
      <c r="A163" s="81" t="s">
        <v>1385</v>
      </c>
      <c r="B163" s="83" t="s">
        <v>383</v>
      </c>
      <c r="C163" s="80">
        <f>VLOOKUP(GroupVertices[[#This Row],[Vertex]],Vertices[],MATCH("ID",Vertices[[#Headers],[Vertex]:[Top Word Pairs in Comment by Salience]],0),FALSE)</f>
        <v>57</v>
      </c>
    </row>
    <row r="164" spans="1:3" ht="15">
      <c r="A164" s="81" t="s">
        <v>1385</v>
      </c>
      <c r="B164" s="83" t="s">
        <v>382</v>
      </c>
      <c r="C164" s="80">
        <f>VLOOKUP(GroupVertices[[#This Row],[Vertex]],Vertices[],MATCH("ID",Vertices[[#Headers],[Vertex]:[Top Word Pairs in Comment by Salience]],0),FALSE)</f>
        <v>55</v>
      </c>
    </row>
    <row r="165" spans="1:3" ht="15">
      <c r="A165" s="81" t="s">
        <v>1386</v>
      </c>
      <c r="B165" s="83" t="s">
        <v>371</v>
      </c>
      <c r="C165" s="80">
        <f>VLOOKUP(GroupVertices[[#This Row],[Vertex]],Vertices[],MATCH("ID",Vertices[[#Headers],[Vertex]:[Top Word Pairs in Comment by Salience]],0),FALSE)</f>
        <v>42</v>
      </c>
    </row>
    <row r="166" spans="1:3" ht="15">
      <c r="A166" s="81" t="s">
        <v>1386</v>
      </c>
      <c r="B166" s="83" t="s">
        <v>358</v>
      </c>
      <c r="C166" s="80">
        <f>VLOOKUP(GroupVertices[[#This Row],[Vertex]],Vertices[],MATCH("ID",Vertices[[#Headers],[Vertex]:[Top Word Pairs in Comment by Salience]],0),FALSE)</f>
        <v>28</v>
      </c>
    </row>
    <row r="167" spans="1:3" ht="15">
      <c r="A167" s="81" t="s">
        <v>1386</v>
      </c>
      <c r="B167" s="83" t="s">
        <v>364</v>
      </c>
      <c r="C167" s="80">
        <f>VLOOKUP(GroupVertices[[#This Row],[Vertex]],Vertices[],MATCH("ID",Vertices[[#Headers],[Vertex]:[Top Word Pairs in Comment by Salience]],0),FALSE)</f>
        <v>35</v>
      </c>
    </row>
    <row r="168" spans="1:3" ht="15">
      <c r="A168" s="81" t="s">
        <v>1386</v>
      </c>
      <c r="B168" s="83" t="s">
        <v>363</v>
      </c>
      <c r="C168" s="80">
        <f>VLOOKUP(GroupVertices[[#This Row],[Vertex]],Vertices[],MATCH("ID",Vertices[[#Headers],[Vertex]:[Top Word Pairs in Comment by Salience]],0),FALSE)</f>
        <v>34</v>
      </c>
    </row>
    <row r="169" spans="1:3" ht="15">
      <c r="A169" s="81" t="s">
        <v>1386</v>
      </c>
      <c r="B169" s="83" t="s">
        <v>362</v>
      </c>
      <c r="C169" s="80">
        <f>VLOOKUP(GroupVertices[[#This Row],[Vertex]],Vertices[],MATCH("ID",Vertices[[#Headers],[Vertex]:[Top Word Pairs in Comment by Salience]],0),FALSE)</f>
        <v>33</v>
      </c>
    </row>
    <row r="170" spans="1:3" ht="15">
      <c r="A170" s="81" t="s">
        <v>1386</v>
      </c>
      <c r="B170" s="83" t="s">
        <v>361</v>
      </c>
      <c r="C170" s="80">
        <f>VLOOKUP(GroupVertices[[#This Row],[Vertex]],Vertices[],MATCH("ID",Vertices[[#Headers],[Vertex]:[Top Word Pairs in Comment by Salience]],0),FALSE)</f>
        <v>32</v>
      </c>
    </row>
    <row r="171" spans="1:3" ht="15">
      <c r="A171" s="81" t="s">
        <v>1386</v>
      </c>
      <c r="B171" s="83" t="s">
        <v>360</v>
      </c>
      <c r="C171" s="80">
        <f>VLOOKUP(GroupVertices[[#This Row],[Vertex]],Vertices[],MATCH("ID",Vertices[[#Headers],[Vertex]:[Top Word Pairs in Comment by Salience]],0),FALSE)</f>
        <v>31</v>
      </c>
    </row>
    <row r="172" spans="1:3" ht="15">
      <c r="A172" s="81" t="s">
        <v>1386</v>
      </c>
      <c r="B172" s="83" t="s">
        <v>359</v>
      </c>
      <c r="C172" s="80">
        <f>VLOOKUP(GroupVertices[[#This Row],[Vertex]],Vertices[],MATCH("ID",Vertices[[#Headers],[Vertex]:[Top Word Pairs in Comment by Salience]],0),FALSE)</f>
        <v>30</v>
      </c>
    </row>
    <row r="173" spans="1:3" ht="15">
      <c r="A173" s="81" t="s">
        <v>1386</v>
      </c>
      <c r="B173" s="83" t="s">
        <v>357</v>
      </c>
      <c r="C173" s="80">
        <f>VLOOKUP(GroupVertices[[#This Row],[Vertex]],Vertices[],MATCH("ID",Vertices[[#Headers],[Vertex]:[Top Word Pairs in Comment by Salience]],0),FALSE)</f>
        <v>29</v>
      </c>
    </row>
    <row r="174" spans="1:3" ht="15">
      <c r="A174" s="81" t="s">
        <v>1386</v>
      </c>
      <c r="B174" s="83" t="s">
        <v>356</v>
      </c>
      <c r="C174" s="80">
        <f>VLOOKUP(GroupVertices[[#This Row],[Vertex]],Vertices[],MATCH("ID",Vertices[[#Headers],[Vertex]:[Top Word Pairs in Comment by Salience]],0),FALSE)</f>
        <v>27</v>
      </c>
    </row>
    <row r="175" spans="1:3" ht="15">
      <c r="A175" s="81" t="s">
        <v>1387</v>
      </c>
      <c r="B175" s="83" t="s">
        <v>408</v>
      </c>
      <c r="C175" s="80">
        <f>VLOOKUP(GroupVertices[[#This Row],[Vertex]],Vertices[],MATCH("ID",Vertices[[#Headers],[Vertex]:[Top Word Pairs in Comment by Salience]],0),FALSE)</f>
        <v>86</v>
      </c>
    </row>
    <row r="176" spans="1:3" ht="15">
      <c r="A176" s="81" t="s">
        <v>1387</v>
      </c>
      <c r="B176" s="83" t="s">
        <v>550</v>
      </c>
      <c r="C176" s="80">
        <f>VLOOKUP(GroupVertices[[#This Row],[Vertex]],Vertices[],MATCH("ID",Vertices[[#Headers],[Vertex]:[Top Word Pairs in Comment by Salience]],0),FALSE)</f>
        <v>81</v>
      </c>
    </row>
    <row r="177" spans="1:3" ht="15">
      <c r="A177" s="81" t="s">
        <v>1387</v>
      </c>
      <c r="B177" s="83" t="s">
        <v>407</v>
      </c>
      <c r="C177" s="80">
        <f>VLOOKUP(GroupVertices[[#This Row],[Vertex]],Vertices[],MATCH("ID",Vertices[[#Headers],[Vertex]:[Top Word Pairs in Comment by Salience]],0),FALSE)</f>
        <v>85</v>
      </c>
    </row>
    <row r="178" spans="1:3" ht="15">
      <c r="A178" s="81" t="s">
        <v>1387</v>
      </c>
      <c r="B178" s="83" t="s">
        <v>406</v>
      </c>
      <c r="C178" s="80">
        <f>VLOOKUP(GroupVertices[[#This Row],[Vertex]],Vertices[],MATCH("ID",Vertices[[#Headers],[Vertex]:[Top Word Pairs in Comment by Salience]],0),FALSE)</f>
        <v>84</v>
      </c>
    </row>
    <row r="179" spans="1:3" ht="15">
      <c r="A179" s="81" t="s">
        <v>1387</v>
      </c>
      <c r="B179" s="83" t="s">
        <v>405</v>
      </c>
      <c r="C179" s="80">
        <f>VLOOKUP(GroupVertices[[#This Row],[Vertex]],Vertices[],MATCH("ID",Vertices[[#Headers],[Vertex]:[Top Word Pairs in Comment by Salience]],0),FALSE)</f>
        <v>83</v>
      </c>
    </row>
    <row r="180" spans="1:3" ht="15">
      <c r="A180" s="81" t="s">
        <v>1387</v>
      </c>
      <c r="B180" s="83" t="s">
        <v>404</v>
      </c>
      <c r="C180" s="80">
        <f>VLOOKUP(GroupVertices[[#This Row],[Vertex]],Vertices[],MATCH("ID",Vertices[[#Headers],[Vertex]:[Top Word Pairs in Comment by Salience]],0),FALSE)</f>
        <v>82</v>
      </c>
    </row>
    <row r="181" spans="1:3" ht="15">
      <c r="A181" s="81" t="s">
        <v>1387</v>
      </c>
      <c r="B181" s="83" t="s">
        <v>403</v>
      </c>
      <c r="C181" s="80">
        <f>VLOOKUP(GroupVertices[[#This Row],[Vertex]],Vertices[],MATCH("ID",Vertices[[#Headers],[Vertex]:[Top Word Pairs in Comment by Salience]],0),FALSE)</f>
        <v>80</v>
      </c>
    </row>
    <row r="182" spans="1:3" ht="15">
      <c r="A182" s="81" t="s">
        <v>1388</v>
      </c>
      <c r="B182" s="83" t="s">
        <v>344</v>
      </c>
      <c r="C182" s="80">
        <f>VLOOKUP(GroupVertices[[#This Row],[Vertex]],Vertices[],MATCH("ID",Vertices[[#Headers],[Vertex]:[Top Word Pairs in Comment by Salience]],0),FALSE)</f>
        <v>11</v>
      </c>
    </row>
    <row r="183" spans="1:3" ht="15">
      <c r="A183" s="81" t="s">
        <v>1388</v>
      </c>
      <c r="B183" s="83" t="s">
        <v>525</v>
      </c>
      <c r="C183" s="80">
        <f>VLOOKUP(GroupVertices[[#This Row],[Vertex]],Vertices[],MATCH("ID",Vertices[[#Headers],[Vertex]:[Top Word Pairs in Comment by Salience]],0),FALSE)</f>
        <v>6</v>
      </c>
    </row>
    <row r="184" spans="1:3" ht="15">
      <c r="A184" s="81" t="s">
        <v>1388</v>
      </c>
      <c r="B184" s="83" t="s">
        <v>343</v>
      </c>
      <c r="C184" s="80">
        <f>VLOOKUP(GroupVertices[[#This Row],[Vertex]],Vertices[],MATCH("ID",Vertices[[#Headers],[Vertex]:[Top Word Pairs in Comment by Salience]],0),FALSE)</f>
        <v>10</v>
      </c>
    </row>
    <row r="185" spans="1:3" ht="15">
      <c r="A185" s="81" t="s">
        <v>1388</v>
      </c>
      <c r="B185" s="83" t="s">
        <v>342</v>
      </c>
      <c r="C185" s="80">
        <f>VLOOKUP(GroupVertices[[#This Row],[Vertex]],Vertices[],MATCH("ID",Vertices[[#Headers],[Vertex]:[Top Word Pairs in Comment by Salience]],0),FALSE)</f>
        <v>9</v>
      </c>
    </row>
    <row r="186" spans="1:3" ht="15">
      <c r="A186" s="81" t="s">
        <v>1388</v>
      </c>
      <c r="B186" s="83" t="s">
        <v>341</v>
      </c>
      <c r="C186" s="80">
        <f>VLOOKUP(GroupVertices[[#This Row],[Vertex]],Vertices[],MATCH("ID",Vertices[[#Headers],[Vertex]:[Top Word Pairs in Comment by Salience]],0),FALSE)</f>
        <v>8</v>
      </c>
    </row>
    <row r="187" spans="1:3" ht="15">
      <c r="A187" s="81" t="s">
        <v>1388</v>
      </c>
      <c r="B187" s="83" t="s">
        <v>340</v>
      </c>
      <c r="C187" s="80">
        <f>VLOOKUP(GroupVertices[[#This Row],[Vertex]],Vertices[],MATCH("ID",Vertices[[#Headers],[Vertex]:[Top Word Pairs in Comment by Salience]],0),FALSE)</f>
        <v>7</v>
      </c>
    </row>
    <row r="188" spans="1:3" ht="15">
      <c r="A188" s="81" t="s">
        <v>1388</v>
      </c>
      <c r="B188" s="83" t="s">
        <v>339</v>
      </c>
      <c r="C188" s="80">
        <f>VLOOKUP(GroupVertices[[#This Row],[Vertex]],Vertices[],MATCH("ID",Vertices[[#Headers],[Vertex]:[Top Word Pairs in Comment by Salience]],0),FALSE)</f>
        <v>5</v>
      </c>
    </row>
    <row r="189" spans="1:3" ht="15">
      <c r="A189" s="81" t="s">
        <v>1389</v>
      </c>
      <c r="B189" s="83" t="s">
        <v>457</v>
      </c>
      <c r="C189" s="80">
        <f>VLOOKUP(GroupVertices[[#This Row],[Vertex]],Vertices[],MATCH("ID",Vertices[[#Headers],[Vertex]:[Top Word Pairs in Comment by Salience]],0),FALSE)</f>
        <v>140</v>
      </c>
    </row>
    <row r="190" spans="1:3" ht="15">
      <c r="A190" s="81" t="s">
        <v>1389</v>
      </c>
      <c r="B190" s="83" t="s">
        <v>559</v>
      </c>
      <c r="C190" s="80">
        <f>VLOOKUP(GroupVertices[[#This Row],[Vertex]],Vertices[],MATCH("ID",Vertices[[#Headers],[Vertex]:[Top Word Pairs in Comment by Salience]],0),FALSE)</f>
        <v>138</v>
      </c>
    </row>
    <row r="191" spans="1:3" ht="15">
      <c r="A191" s="81" t="s">
        <v>1389</v>
      </c>
      <c r="B191" s="83" t="s">
        <v>456</v>
      </c>
      <c r="C191" s="80">
        <f>VLOOKUP(GroupVertices[[#This Row],[Vertex]],Vertices[],MATCH("ID",Vertices[[#Headers],[Vertex]:[Top Word Pairs in Comment by Salience]],0),FALSE)</f>
        <v>139</v>
      </c>
    </row>
    <row r="192" spans="1:3" ht="15">
      <c r="A192" s="81" t="s">
        <v>1389</v>
      </c>
      <c r="B192" s="83" t="s">
        <v>455</v>
      </c>
      <c r="C192" s="80">
        <f>VLOOKUP(GroupVertices[[#This Row],[Vertex]],Vertices[],MATCH("ID",Vertices[[#Headers],[Vertex]:[Top Word Pairs in Comment by Salience]],0),FALSE)</f>
        <v>137</v>
      </c>
    </row>
    <row r="193" spans="1:3" ht="15">
      <c r="A193" s="81" t="s">
        <v>1390</v>
      </c>
      <c r="B193" s="83" t="s">
        <v>375</v>
      </c>
      <c r="C193" s="80">
        <f>VLOOKUP(GroupVertices[[#This Row],[Vertex]],Vertices[],MATCH("ID",Vertices[[#Headers],[Vertex]:[Top Word Pairs in Comment by Salience]],0),FALSE)</f>
        <v>47</v>
      </c>
    </row>
    <row r="194" spans="1:3" ht="15">
      <c r="A194" s="81" t="s">
        <v>1390</v>
      </c>
      <c r="B194" s="83" t="s">
        <v>536</v>
      </c>
      <c r="C194" s="80">
        <f>VLOOKUP(GroupVertices[[#This Row],[Vertex]],Vertices[],MATCH("ID",Vertices[[#Headers],[Vertex]:[Top Word Pairs in Comment by Salience]],0),FALSE)</f>
        <v>45</v>
      </c>
    </row>
    <row r="195" spans="1:3" ht="15">
      <c r="A195" s="81" t="s">
        <v>1390</v>
      </c>
      <c r="B195" s="83" t="s">
        <v>374</v>
      </c>
      <c r="C195" s="80">
        <f>VLOOKUP(GroupVertices[[#This Row],[Vertex]],Vertices[],MATCH("ID",Vertices[[#Headers],[Vertex]:[Top Word Pairs in Comment by Salience]],0),FALSE)</f>
        <v>46</v>
      </c>
    </row>
    <row r="196" spans="1:3" ht="15">
      <c r="A196" s="81" t="s">
        <v>1390</v>
      </c>
      <c r="B196" s="83" t="s">
        <v>373</v>
      </c>
      <c r="C196" s="80">
        <f>VLOOKUP(GroupVertices[[#This Row],[Vertex]],Vertices[],MATCH("ID",Vertices[[#Headers],[Vertex]:[Top Word Pairs in Comment by Salience]],0),FALSE)</f>
        <v>44</v>
      </c>
    </row>
    <row r="197" spans="1:3" ht="15">
      <c r="A197" s="81" t="s">
        <v>1391</v>
      </c>
      <c r="B197" s="83" t="s">
        <v>348</v>
      </c>
      <c r="C197" s="80">
        <f>VLOOKUP(GroupVertices[[#This Row],[Vertex]],Vertices[],MATCH("ID",Vertices[[#Headers],[Vertex]:[Top Word Pairs in Comment by Salience]],0),FALSE)</f>
        <v>17</v>
      </c>
    </row>
    <row r="198" spans="1:3" ht="15">
      <c r="A198" s="81" t="s">
        <v>1391</v>
      </c>
      <c r="B198" s="83" t="s">
        <v>526</v>
      </c>
      <c r="C198" s="80">
        <f>VLOOKUP(GroupVertices[[#This Row],[Vertex]],Vertices[],MATCH("ID",Vertices[[#Headers],[Vertex]:[Top Word Pairs in Comment by Salience]],0),FALSE)</f>
        <v>15</v>
      </c>
    </row>
    <row r="199" spans="1:3" ht="15">
      <c r="A199" s="81" t="s">
        <v>1391</v>
      </c>
      <c r="B199" s="83" t="s">
        <v>347</v>
      </c>
      <c r="C199" s="80">
        <f>VLOOKUP(GroupVertices[[#This Row],[Vertex]],Vertices[],MATCH("ID",Vertices[[#Headers],[Vertex]:[Top Word Pairs in Comment by Salience]],0),FALSE)</f>
        <v>16</v>
      </c>
    </row>
    <row r="200" spans="1:3" ht="15">
      <c r="A200" s="81" t="s">
        <v>1391</v>
      </c>
      <c r="B200" s="83" t="s">
        <v>346</v>
      </c>
      <c r="C200" s="80">
        <f>VLOOKUP(GroupVertices[[#This Row],[Vertex]],Vertices[],MATCH("ID",Vertices[[#Headers],[Vertex]:[Top Word Pairs in Comment by Salience]],0),FALSE)</f>
        <v>14</v>
      </c>
    </row>
    <row r="201" spans="1:3" ht="15">
      <c r="A201" s="81" t="s">
        <v>1392</v>
      </c>
      <c r="B201" s="83" t="s">
        <v>427</v>
      </c>
      <c r="C201" s="80">
        <f>VLOOKUP(GroupVertices[[#This Row],[Vertex]],Vertices[],MATCH("ID",Vertices[[#Headers],[Vertex]:[Top Word Pairs in Comment by Salience]],0),FALSE)</f>
        <v>109</v>
      </c>
    </row>
    <row r="202" spans="1:3" ht="15">
      <c r="A202" s="81" t="s">
        <v>1392</v>
      </c>
      <c r="B202" s="83" t="s">
        <v>552</v>
      </c>
      <c r="C202" s="80">
        <f>VLOOKUP(GroupVertices[[#This Row],[Vertex]],Vertices[],MATCH("ID",Vertices[[#Headers],[Vertex]:[Top Word Pairs in Comment by Salience]],0),FALSE)</f>
        <v>108</v>
      </c>
    </row>
    <row r="203" spans="1:3" ht="15">
      <c r="A203" s="81" t="s">
        <v>1392</v>
      </c>
      <c r="B203" s="83" t="s">
        <v>426</v>
      </c>
      <c r="C203" s="80">
        <f>VLOOKUP(GroupVertices[[#This Row],[Vertex]],Vertices[],MATCH("ID",Vertices[[#Headers],[Vertex]:[Top Word Pairs in Comment by Salience]],0),FALSE)</f>
        <v>107</v>
      </c>
    </row>
    <row r="204" spans="1:3" ht="15">
      <c r="A204" s="81" t="s">
        <v>1393</v>
      </c>
      <c r="B204" s="83" t="s">
        <v>392</v>
      </c>
      <c r="C204" s="80">
        <f>VLOOKUP(GroupVertices[[#This Row],[Vertex]],Vertices[],MATCH("ID",Vertices[[#Headers],[Vertex]:[Top Word Pairs in Comment by Salience]],0),FALSE)</f>
        <v>68</v>
      </c>
    </row>
    <row r="205" spans="1:3" ht="15">
      <c r="A205" s="81" t="s">
        <v>1393</v>
      </c>
      <c r="B205" s="83" t="s">
        <v>546</v>
      </c>
      <c r="C205" s="80">
        <f>VLOOKUP(GroupVertices[[#This Row],[Vertex]],Vertices[],MATCH("ID",Vertices[[#Headers],[Vertex]:[Top Word Pairs in Comment by Salience]],0),FALSE)</f>
        <v>67</v>
      </c>
    </row>
    <row r="206" spans="1:3" ht="15">
      <c r="A206" s="81" t="s">
        <v>1393</v>
      </c>
      <c r="B206" s="83" t="s">
        <v>391</v>
      </c>
      <c r="C206" s="80">
        <f>VLOOKUP(GroupVertices[[#This Row],[Vertex]],Vertices[],MATCH("ID",Vertices[[#Headers],[Vertex]:[Top Word Pairs in Comment by Salience]],0),FALSE)</f>
        <v>66</v>
      </c>
    </row>
    <row r="207" spans="1:3" ht="15">
      <c r="A207" s="81" t="s">
        <v>1394</v>
      </c>
      <c r="B207" s="83" t="s">
        <v>355</v>
      </c>
      <c r="C207" s="80">
        <f>VLOOKUP(GroupVertices[[#This Row],[Vertex]],Vertices[],MATCH("ID",Vertices[[#Headers],[Vertex]:[Top Word Pairs in Comment by Salience]],0),FALSE)</f>
        <v>26</v>
      </c>
    </row>
    <row r="208" spans="1:3" ht="15">
      <c r="A208" s="81" t="s">
        <v>1394</v>
      </c>
      <c r="B208" s="83" t="s">
        <v>353</v>
      </c>
      <c r="C208" s="80">
        <f>VLOOKUP(GroupVertices[[#This Row],[Vertex]],Vertices[],MATCH("ID",Vertices[[#Headers],[Vertex]:[Top Word Pairs in Comment by Salience]],0),FALSE)</f>
        <v>24</v>
      </c>
    </row>
    <row r="209" spans="1:3" ht="15">
      <c r="A209" s="81" t="s">
        <v>1394</v>
      </c>
      <c r="B209" s="83" t="s">
        <v>354</v>
      </c>
      <c r="C209" s="80">
        <f>VLOOKUP(GroupVertices[[#This Row],[Vertex]],Vertices[],MATCH("ID",Vertices[[#Headers],[Vertex]:[Top Word Pairs in Comment by Salience]],0),FALSE)</f>
        <v>25</v>
      </c>
    </row>
    <row r="210" spans="1:3" ht="15">
      <c r="A210" s="81" t="s">
        <v>1395</v>
      </c>
      <c r="B210" s="83" t="s">
        <v>398</v>
      </c>
      <c r="C210" s="80">
        <f>VLOOKUP(GroupVertices[[#This Row],[Vertex]],Vertices[],MATCH("ID",Vertices[[#Headers],[Vertex]:[Top Word Pairs in Comment by Salience]],0),FALSE)</f>
        <v>75</v>
      </c>
    </row>
    <row r="211" spans="1:3" ht="15">
      <c r="A211" s="81" t="s">
        <v>1395</v>
      </c>
      <c r="B211" s="83" t="s">
        <v>397</v>
      </c>
      <c r="C211" s="80">
        <f>VLOOKUP(GroupVertices[[#This Row],[Vertex]],Vertices[],MATCH("ID",Vertices[[#Headers],[Vertex]:[Top Word Pairs in Comment by Salience]],0),FALSE)</f>
        <v>74</v>
      </c>
    </row>
    <row r="212" spans="1:3" ht="15">
      <c r="A212" s="81" t="s">
        <v>1396</v>
      </c>
      <c r="B212" s="83" t="s">
        <v>548</v>
      </c>
      <c r="C212" s="80">
        <f>VLOOKUP(GroupVertices[[#This Row],[Vertex]],Vertices[],MATCH("ID",Vertices[[#Headers],[Vertex]:[Top Word Pairs in Comment by Salience]],0),FALSE)</f>
        <v>70</v>
      </c>
    </row>
    <row r="213" spans="1:3" ht="15">
      <c r="A213" s="81" t="s">
        <v>1396</v>
      </c>
      <c r="B213" s="83" t="s">
        <v>393</v>
      </c>
      <c r="C213" s="80">
        <f>VLOOKUP(GroupVertices[[#This Row],[Vertex]],Vertices[],MATCH("ID",Vertices[[#Headers],[Vertex]:[Top Word Pairs in Comment by Salience]],0),FALSE)</f>
        <v>69</v>
      </c>
    </row>
    <row r="214" spans="1:3" ht="15">
      <c r="A214" s="81" t="s">
        <v>1397</v>
      </c>
      <c r="B214" s="83" t="s">
        <v>544</v>
      </c>
      <c r="C214" s="80">
        <f>VLOOKUP(GroupVertices[[#This Row],[Vertex]],Vertices[],MATCH("ID",Vertices[[#Headers],[Vertex]:[Top Word Pairs in Comment by Salience]],0),FALSE)</f>
        <v>65</v>
      </c>
    </row>
    <row r="215" spans="1:3" ht="15">
      <c r="A215" s="81" t="s">
        <v>1397</v>
      </c>
      <c r="B215" s="83" t="s">
        <v>390</v>
      </c>
      <c r="C215" s="80">
        <f>VLOOKUP(GroupVertices[[#This Row],[Vertex]],Vertices[],MATCH("ID",Vertices[[#Headers],[Vertex]:[Top Word Pairs in Comment by Salience]],0),FALSE)</f>
        <v>64</v>
      </c>
    </row>
    <row r="216" spans="1:3" ht="15">
      <c r="A216" s="81" t="s">
        <v>1398</v>
      </c>
      <c r="B216" s="83" t="s">
        <v>542</v>
      </c>
      <c r="C216" s="80">
        <f>VLOOKUP(GroupVertices[[#This Row],[Vertex]],Vertices[],MATCH("ID",Vertices[[#Headers],[Vertex]:[Top Word Pairs in Comment by Salience]],0),FALSE)</f>
        <v>53</v>
      </c>
    </row>
    <row r="217" spans="1:3" ht="15">
      <c r="A217" s="81" t="s">
        <v>1398</v>
      </c>
      <c r="B217" s="83" t="s">
        <v>380</v>
      </c>
      <c r="C217" s="80">
        <f>VLOOKUP(GroupVertices[[#This Row],[Vertex]],Vertices[],MATCH("ID",Vertices[[#Headers],[Vertex]:[Top Word Pairs in Comment by Salience]],0),FALSE)</f>
        <v>52</v>
      </c>
    </row>
    <row r="218" spans="1:3" ht="15">
      <c r="A218" s="81" t="s">
        <v>1399</v>
      </c>
      <c r="B218" s="83" t="s">
        <v>367</v>
      </c>
      <c r="C218" s="80">
        <f>VLOOKUP(GroupVertices[[#This Row],[Vertex]],Vertices[],MATCH("ID",Vertices[[#Headers],[Vertex]:[Top Word Pairs in Comment by Salience]],0),FALSE)</f>
        <v>39</v>
      </c>
    </row>
    <row r="219" spans="1:3" ht="15">
      <c r="A219" s="81" t="s">
        <v>1399</v>
      </c>
      <c r="B219" s="83" t="s">
        <v>366</v>
      </c>
      <c r="C219" s="80">
        <f>VLOOKUP(GroupVertices[[#This Row],[Vertex]],Vertices[],MATCH("ID",Vertices[[#Headers],[Vertex]:[Top Word Pairs in Comment by Salience]],0),FALSE)</f>
        <v>38</v>
      </c>
    </row>
    <row r="220" spans="1:3" ht="15">
      <c r="A220" s="81" t="s">
        <v>1400</v>
      </c>
      <c r="B220" s="83" t="s">
        <v>531</v>
      </c>
      <c r="C220" s="80">
        <f>VLOOKUP(GroupVertices[[#This Row],[Vertex]],Vertices[],MATCH("ID",Vertices[[#Headers],[Vertex]:[Top Word Pairs in Comment by Salience]],0),FALSE)</f>
        <v>21</v>
      </c>
    </row>
    <row r="221" spans="1:3" ht="15">
      <c r="A221" s="81" t="s">
        <v>1400</v>
      </c>
      <c r="B221" s="83" t="s">
        <v>350</v>
      </c>
      <c r="C221" s="80">
        <f>VLOOKUP(GroupVertices[[#This Row],[Vertex]],Vertices[],MATCH("ID",Vertices[[#Headers],[Vertex]:[Top Word Pairs in Comment by Salience]],0),FALSE)</f>
        <v>20</v>
      </c>
    </row>
    <row r="222" spans="1:3" ht="15">
      <c r="A222" s="81" t="s">
        <v>1401</v>
      </c>
      <c r="B222" s="83" t="s">
        <v>529</v>
      </c>
      <c r="C222" s="80">
        <f>VLOOKUP(GroupVertices[[#This Row],[Vertex]],Vertices[],MATCH("ID",Vertices[[#Headers],[Vertex]:[Top Word Pairs in Comment by Salience]],0),FALSE)</f>
        <v>19</v>
      </c>
    </row>
    <row r="223" spans="1:3" ht="15">
      <c r="A223" s="81" t="s">
        <v>1401</v>
      </c>
      <c r="B223" s="83" t="s">
        <v>349</v>
      </c>
      <c r="C223" s="80">
        <f>VLOOKUP(GroupVertices[[#This Row],[Vertex]],Vertices[],MATCH("ID",Vertices[[#Headers],[Vertex]:[Top Word Pairs in Comment by Salience]],0),FALSE)</f>
        <v>18</v>
      </c>
    </row>
    <row r="224" spans="1:3" ht="15">
      <c r="A224" s="81" t="s">
        <v>1402</v>
      </c>
      <c r="B224" s="83" t="s">
        <v>521</v>
      </c>
      <c r="C224" s="80">
        <f>VLOOKUP(GroupVertices[[#This Row],[Vertex]],Vertices[],MATCH("ID",Vertices[[#Headers],[Vertex]:[Top Word Pairs in Comment by Salience]],0),FALSE)</f>
        <v>4</v>
      </c>
    </row>
    <row r="225" spans="1:3" ht="15">
      <c r="A225" s="81" t="s">
        <v>1402</v>
      </c>
      <c r="B225" s="83" t="s">
        <v>562</v>
      </c>
      <c r="C225" s="80">
        <f>VLOOKUP(GroupVertices[[#This Row],[Vertex]],Vertices[],MATCH("ID",Vertices[[#Headers],[Vertex]:[Top Word Pairs in Comment by Salience]],0),FALSE)</f>
        <v>3</v>
      </c>
    </row>
  </sheetData>
  <dataValidations count="3" xWindow="58" yWindow="226">
    <dataValidation allowBlank="1" showInputMessage="1" showErrorMessage="1" promptTitle="Group Name" prompt="Enter the name of the group.  The group name must also be entered on the Groups worksheet." sqref="A2:A225"/>
    <dataValidation allowBlank="1" showInputMessage="1" showErrorMessage="1" promptTitle="Vertex Name" prompt="Enter the name of a vertex to include in the group." sqref="B2:B225"/>
    <dataValidation allowBlank="1" showInputMessage="1" promptTitle="Vertex ID" prompt="This is the value of the hidden ID cell in the Vertices worksheet.  It gets filled in by the items on the NodeXL, Analysis, Groups menu." sqref="C2:C22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2086</v>
      </c>
      <c r="B2" s="35" t="s">
        <v>302</v>
      </c>
      <c r="D2" s="32">
        <f>MIN(Vertices[Degree])</f>
        <v>0</v>
      </c>
      <c r="E2" s="3">
        <f>COUNTIF(Vertices[Degree],"&gt;= "&amp;D2)-COUNTIF(Vertices[Degree],"&gt;="&amp;D3)</f>
        <v>0</v>
      </c>
      <c r="F2" s="38">
        <f>MIN(Vertices[In-Degree])</f>
        <v>0</v>
      </c>
      <c r="G2" s="39">
        <f>COUNTIF(Vertices[In-Degree],"&gt;= "&amp;F2)-COUNTIF(Vertices[In-Degree],"&gt;="&amp;F3)</f>
        <v>200</v>
      </c>
      <c r="H2" s="38">
        <f>MIN(Vertices[Out-Degree])</f>
        <v>1</v>
      </c>
      <c r="I2" s="39">
        <f>COUNTIF(Vertices[Out-Degree],"&gt;= "&amp;H2)-COUNTIF(Vertices[Out-Degree],"&gt;="&amp;H3)</f>
        <v>190</v>
      </c>
      <c r="J2" s="38">
        <f>MIN(Vertices[Betweenness Centrality])</f>
        <v>0</v>
      </c>
      <c r="K2" s="39">
        <f>COUNTIF(Vertices[Betweenness Centrality],"&gt;= "&amp;J2)-COUNTIF(Vertices[Betweenness Centrality],"&gt;="&amp;J3)</f>
        <v>209</v>
      </c>
      <c r="L2" s="38">
        <f>MIN(Vertices[Closeness Centrality])</f>
        <v>0</v>
      </c>
      <c r="M2" s="39">
        <f>COUNTIF(Vertices[Closeness Centrality],"&gt;= "&amp;L2)-COUNTIF(Vertices[Closeness Centrality],"&gt;="&amp;L3)</f>
        <v>49</v>
      </c>
      <c r="N2" s="38">
        <f>MIN(Vertices[Eigenvector Centrality])</f>
        <v>0</v>
      </c>
      <c r="O2" s="39">
        <f>COUNTIF(Vertices[Eigenvector Centrality],"&gt;= "&amp;N2)-COUNTIF(Vertices[Eigenvector Centrality],"&gt;="&amp;N3)</f>
        <v>152</v>
      </c>
      <c r="P2" s="38">
        <f>MIN(Vertices[PageRank])</f>
        <v>0.003874</v>
      </c>
      <c r="Q2" s="39">
        <f>COUNTIF(Vertices[PageRank],"&gt;= "&amp;P2)-COUNTIF(Vertices[PageRank],"&gt;="&amp;P3)</f>
        <v>202</v>
      </c>
      <c r="R2" s="38">
        <f>MIN(Vertices[Clustering Coefficient])</f>
        <v>0</v>
      </c>
      <c r="S2" s="44">
        <f>COUNTIF(Vertices[Clustering Coefficient],"&gt;= "&amp;R2)-COUNTIF(Vertices[Clustering Coefficient],"&gt;="&amp;R3)</f>
        <v>214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2.0294117647058822</v>
      </c>
      <c r="G3" s="41">
        <f>COUNTIF(Vertices[In-Degree],"&gt;= "&amp;F3)-COUNTIF(Vertices[In-Degree],"&gt;="&amp;F4)</f>
        <v>12</v>
      </c>
      <c r="H3" s="40">
        <f aca="true" t="shared" si="3" ref="H3:H35">H2+($H$36-$H$2)/BinDivisor</f>
        <v>1.7058823529411766</v>
      </c>
      <c r="I3" s="41">
        <f>COUNTIF(Vertices[Out-Degree],"&gt;= "&amp;H3)-COUNTIF(Vertices[Out-Degree],"&gt;="&amp;H4)</f>
        <v>27</v>
      </c>
      <c r="J3" s="40">
        <f aca="true" t="shared" si="4" ref="J3:J35">J2+($J$36-$J$2)/BinDivisor</f>
        <v>407.76960785294114</v>
      </c>
      <c r="K3" s="41">
        <f>COUNTIF(Vertices[Betweenness Centrality],"&gt;= "&amp;J3)-COUNTIF(Vertices[Betweenness Centrality],"&gt;="&amp;J4)</f>
        <v>2</v>
      </c>
      <c r="L3" s="40">
        <f aca="true" t="shared" si="5" ref="L3:L35">L2+($L$36-$L$2)/BinDivisor</f>
        <v>0.008282264705882352</v>
      </c>
      <c r="M3" s="41">
        <f>COUNTIF(Vertices[Closeness Centrality],"&gt;= "&amp;L3)-COUNTIF(Vertices[Closeness Centrality],"&gt;="&amp;L4)</f>
        <v>20</v>
      </c>
      <c r="N3" s="40">
        <f aca="true" t="shared" si="6" ref="N3:N35">N2+($N$36-$N$2)/BinDivisor</f>
        <v>0.021154823529411764</v>
      </c>
      <c r="O3" s="41">
        <f>COUNTIF(Vertices[Eigenvector Centrality],"&gt;= "&amp;N3)-COUNTIF(Vertices[Eigenvector Centrality],"&gt;="&amp;N4)</f>
        <v>3</v>
      </c>
      <c r="P3" s="40">
        <f aca="true" t="shared" si="7" ref="P3:P35">P2+($P$36-$P$2)/BinDivisor</f>
        <v>0.0048365</v>
      </c>
      <c r="Q3" s="41">
        <f>COUNTIF(Vertices[PageRank],"&gt;= "&amp;P3)-COUNTIF(Vertices[PageRank],"&gt;="&amp;P4)</f>
        <v>8</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224</v>
      </c>
      <c r="D4" s="33">
        <f t="shared" si="1"/>
        <v>0</v>
      </c>
      <c r="E4" s="3">
        <f>COUNTIF(Vertices[Degree],"&gt;= "&amp;D4)-COUNTIF(Vertices[Degree],"&gt;="&amp;D5)</f>
        <v>0</v>
      </c>
      <c r="F4" s="38">
        <f t="shared" si="2"/>
        <v>4.0588235294117645</v>
      </c>
      <c r="G4" s="39">
        <f>COUNTIF(Vertices[In-Degree],"&gt;= "&amp;F4)-COUNTIF(Vertices[In-Degree],"&gt;="&amp;F5)</f>
        <v>5</v>
      </c>
      <c r="H4" s="38">
        <f t="shared" si="3"/>
        <v>2.4117647058823533</v>
      </c>
      <c r="I4" s="39">
        <f>COUNTIF(Vertices[Out-Degree],"&gt;= "&amp;H4)-COUNTIF(Vertices[Out-Degree],"&gt;="&amp;H5)</f>
        <v>2</v>
      </c>
      <c r="J4" s="38">
        <f t="shared" si="4"/>
        <v>815.5392157058823</v>
      </c>
      <c r="K4" s="39">
        <f>COUNTIF(Vertices[Betweenness Centrality],"&gt;= "&amp;J4)-COUNTIF(Vertices[Betweenness Centrality],"&gt;="&amp;J5)</f>
        <v>3</v>
      </c>
      <c r="L4" s="38">
        <f t="shared" si="5"/>
        <v>0.016564529411764704</v>
      </c>
      <c r="M4" s="39">
        <f>COUNTIF(Vertices[Closeness Centrality],"&gt;= "&amp;L4)-COUNTIF(Vertices[Closeness Centrality],"&gt;="&amp;L5)</f>
        <v>20</v>
      </c>
      <c r="N4" s="38">
        <f t="shared" si="6"/>
        <v>0.04230964705882353</v>
      </c>
      <c r="O4" s="39">
        <f>COUNTIF(Vertices[Eigenvector Centrality],"&gt;= "&amp;N4)-COUNTIF(Vertices[Eigenvector Centrality],"&gt;="&amp;N5)</f>
        <v>0</v>
      </c>
      <c r="P4" s="38">
        <f t="shared" si="7"/>
        <v>0.0057989999999999995</v>
      </c>
      <c r="Q4" s="39">
        <f>COUNTIF(Vertices[PageRank],"&gt;= "&amp;P4)-COUNTIF(Vertices[PageRank],"&gt;="&amp;P5)</f>
        <v>8</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6.088235294117647</v>
      </c>
      <c r="G5" s="41">
        <f>COUNTIF(Vertices[In-Degree],"&gt;= "&amp;F5)-COUNTIF(Vertices[In-Degree],"&gt;="&amp;F6)</f>
        <v>2</v>
      </c>
      <c r="H5" s="40">
        <f t="shared" si="3"/>
        <v>3.11764705882353</v>
      </c>
      <c r="I5" s="41">
        <f>COUNTIF(Vertices[Out-Degree],"&gt;= "&amp;H5)-COUNTIF(Vertices[Out-Degree],"&gt;="&amp;H6)</f>
        <v>0</v>
      </c>
      <c r="J5" s="40">
        <f t="shared" si="4"/>
        <v>1223.3088235588234</v>
      </c>
      <c r="K5" s="41">
        <f>COUNTIF(Vertices[Betweenness Centrality],"&gt;= "&amp;J5)-COUNTIF(Vertices[Betweenness Centrality],"&gt;="&amp;J6)</f>
        <v>2</v>
      </c>
      <c r="L5" s="40">
        <f t="shared" si="5"/>
        <v>0.024846794117647057</v>
      </c>
      <c r="M5" s="41">
        <f>COUNTIF(Vertices[Closeness Centrality],"&gt;= "&amp;L5)-COUNTIF(Vertices[Closeness Centrality],"&gt;="&amp;L6)</f>
        <v>4</v>
      </c>
      <c r="N5" s="40">
        <f t="shared" si="6"/>
        <v>0.06346447058823529</v>
      </c>
      <c r="O5" s="41">
        <f>COUNTIF(Vertices[Eigenvector Centrality],"&gt;= "&amp;N5)-COUNTIF(Vertices[Eigenvector Centrality],"&gt;="&amp;N6)</f>
        <v>50</v>
      </c>
      <c r="P5" s="40">
        <f t="shared" si="7"/>
        <v>0.006761499999999999</v>
      </c>
      <c r="Q5" s="41">
        <f>COUNTIF(Vertices[PageRank],"&gt;= "&amp;P5)-COUNTIF(Vertices[PageRank],"&gt;="&amp;P6)</f>
        <v>1</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262</v>
      </c>
      <c r="D6" s="33">
        <f t="shared" si="1"/>
        <v>0</v>
      </c>
      <c r="E6" s="3">
        <f>COUNTIF(Vertices[Degree],"&gt;= "&amp;D6)-COUNTIF(Vertices[Degree],"&gt;="&amp;D7)</f>
        <v>0</v>
      </c>
      <c r="F6" s="38">
        <f t="shared" si="2"/>
        <v>8.117647058823529</v>
      </c>
      <c r="G6" s="39">
        <f>COUNTIF(Vertices[In-Degree],"&gt;= "&amp;F6)-COUNTIF(Vertices[In-Degree],"&gt;="&amp;F7)</f>
        <v>3</v>
      </c>
      <c r="H6" s="38">
        <f t="shared" si="3"/>
        <v>3.8235294117647065</v>
      </c>
      <c r="I6" s="39">
        <f>COUNTIF(Vertices[Out-Degree],"&gt;= "&amp;H6)-COUNTIF(Vertices[Out-Degree],"&gt;="&amp;H7)</f>
        <v>1</v>
      </c>
      <c r="J6" s="38">
        <f t="shared" si="4"/>
        <v>1631.0784314117645</v>
      </c>
      <c r="K6" s="39">
        <f>COUNTIF(Vertices[Betweenness Centrality],"&gt;= "&amp;J6)-COUNTIF(Vertices[Betweenness Centrality],"&gt;="&amp;J7)</f>
        <v>3</v>
      </c>
      <c r="L6" s="38">
        <f t="shared" si="5"/>
        <v>0.03312905882352941</v>
      </c>
      <c r="M6" s="39">
        <f>COUNTIF(Vertices[Closeness Centrality],"&gt;= "&amp;L6)-COUNTIF(Vertices[Closeness Centrality],"&gt;="&amp;L7)</f>
        <v>1</v>
      </c>
      <c r="N6" s="38">
        <f t="shared" si="6"/>
        <v>0.08461929411764706</v>
      </c>
      <c r="O6" s="39">
        <f>COUNTIF(Vertices[Eigenvector Centrality],"&gt;= "&amp;N6)-COUNTIF(Vertices[Eigenvector Centrality],"&gt;="&amp;N7)</f>
        <v>17</v>
      </c>
      <c r="P6" s="38">
        <f t="shared" si="7"/>
        <v>0.007723999999999999</v>
      </c>
      <c r="Q6" s="39">
        <f>COUNTIF(Vertices[PageRank],"&gt;= "&amp;P6)-COUNTIF(Vertices[PageRank],"&gt;="&amp;P7)</f>
        <v>3</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126</v>
      </c>
      <c r="D7" s="33">
        <f t="shared" si="1"/>
        <v>0</v>
      </c>
      <c r="E7" s="3">
        <f>COUNTIF(Vertices[Degree],"&gt;= "&amp;D7)-COUNTIF(Vertices[Degree],"&gt;="&amp;D8)</f>
        <v>0</v>
      </c>
      <c r="F7" s="40">
        <f t="shared" si="2"/>
        <v>10.147058823529411</v>
      </c>
      <c r="G7" s="41">
        <f>COUNTIF(Vertices[In-Degree],"&gt;= "&amp;F7)-COUNTIF(Vertices[In-Degree],"&gt;="&amp;F8)</f>
        <v>0</v>
      </c>
      <c r="H7" s="40">
        <f t="shared" si="3"/>
        <v>4.529411764705883</v>
      </c>
      <c r="I7" s="41">
        <f>COUNTIF(Vertices[Out-Degree],"&gt;= "&amp;H7)-COUNTIF(Vertices[Out-Degree],"&gt;="&amp;H8)</f>
        <v>1</v>
      </c>
      <c r="J7" s="40">
        <f t="shared" si="4"/>
        <v>2038.8480392647057</v>
      </c>
      <c r="K7" s="41">
        <f>COUNTIF(Vertices[Betweenness Centrality],"&gt;= "&amp;J7)-COUNTIF(Vertices[Betweenness Centrality],"&gt;="&amp;J8)</f>
        <v>1</v>
      </c>
      <c r="L7" s="40">
        <f t="shared" si="5"/>
        <v>0.04141132352941176</v>
      </c>
      <c r="M7" s="41">
        <f>COUNTIF(Vertices[Closeness Centrality],"&gt;= "&amp;L7)-COUNTIF(Vertices[Closeness Centrality],"&gt;="&amp;L8)</f>
        <v>0</v>
      </c>
      <c r="N7" s="40">
        <f t="shared" si="6"/>
        <v>0.10577411764705882</v>
      </c>
      <c r="O7" s="41">
        <f>COUNTIF(Vertices[Eigenvector Centrality],"&gt;= "&amp;N7)-COUNTIF(Vertices[Eigenvector Centrality],"&gt;="&amp;N8)</f>
        <v>1</v>
      </c>
      <c r="P7" s="40">
        <f t="shared" si="7"/>
        <v>0.0086865</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388</v>
      </c>
      <c r="D8" s="33">
        <f t="shared" si="1"/>
        <v>0</v>
      </c>
      <c r="E8" s="3">
        <f>COUNTIF(Vertices[Degree],"&gt;= "&amp;D8)-COUNTIF(Vertices[Degree],"&gt;="&amp;D9)</f>
        <v>0</v>
      </c>
      <c r="F8" s="38">
        <f t="shared" si="2"/>
        <v>12.176470588235293</v>
      </c>
      <c r="G8" s="39">
        <f>COUNTIF(Vertices[In-Degree],"&gt;= "&amp;F8)-COUNTIF(Vertices[In-Degree],"&gt;="&amp;F9)</f>
        <v>0</v>
      </c>
      <c r="H8" s="38">
        <f t="shared" si="3"/>
        <v>5.23529411764706</v>
      </c>
      <c r="I8" s="39">
        <f>COUNTIF(Vertices[Out-Degree],"&gt;= "&amp;H8)-COUNTIF(Vertices[Out-Degree],"&gt;="&amp;H9)</f>
        <v>0</v>
      </c>
      <c r="J8" s="38">
        <f t="shared" si="4"/>
        <v>2446.617647117647</v>
      </c>
      <c r="K8" s="39">
        <f>COUNTIF(Vertices[Betweenness Centrality],"&gt;= "&amp;J8)-COUNTIF(Vertices[Betweenness Centrality],"&gt;="&amp;J9)</f>
        <v>0</v>
      </c>
      <c r="L8" s="38">
        <f t="shared" si="5"/>
        <v>0.04969358823529411</v>
      </c>
      <c r="M8" s="39">
        <f>COUNTIF(Vertices[Closeness Centrality],"&gt;= "&amp;L8)-COUNTIF(Vertices[Closeness Centrality],"&gt;="&amp;L9)</f>
        <v>0</v>
      </c>
      <c r="N8" s="38">
        <f t="shared" si="6"/>
        <v>0.12692894117647058</v>
      </c>
      <c r="O8" s="39">
        <f>COUNTIF(Vertices[Eigenvector Centrality],"&gt;= "&amp;N8)-COUNTIF(Vertices[Eigenvector Centrality],"&gt;="&amp;N9)</f>
        <v>0</v>
      </c>
      <c r="P8" s="38">
        <f t="shared" si="7"/>
        <v>0.009649</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14.205882352941176</v>
      </c>
      <c r="G9" s="41">
        <f>COUNTIF(Vertices[In-Degree],"&gt;= "&amp;F9)-COUNTIF(Vertices[In-Degree],"&gt;="&amp;F10)</f>
        <v>0</v>
      </c>
      <c r="H9" s="40">
        <f t="shared" si="3"/>
        <v>5.941176470588236</v>
      </c>
      <c r="I9" s="41">
        <f>COUNTIF(Vertices[Out-Degree],"&gt;= "&amp;H9)-COUNTIF(Vertices[Out-Degree],"&gt;="&amp;H10)</f>
        <v>1</v>
      </c>
      <c r="J9" s="40">
        <f t="shared" si="4"/>
        <v>2854.387254970588</v>
      </c>
      <c r="K9" s="41">
        <f>COUNTIF(Vertices[Betweenness Centrality],"&gt;= "&amp;J9)-COUNTIF(Vertices[Betweenness Centrality],"&gt;="&amp;J10)</f>
        <v>0</v>
      </c>
      <c r="L9" s="40">
        <f t="shared" si="5"/>
        <v>0.05797585294117646</v>
      </c>
      <c r="M9" s="41">
        <f>COUNTIF(Vertices[Closeness Centrality],"&gt;= "&amp;L9)-COUNTIF(Vertices[Closeness Centrality],"&gt;="&amp;L10)</f>
        <v>0</v>
      </c>
      <c r="N9" s="40">
        <f t="shared" si="6"/>
        <v>0.14808376470588233</v>
      </c>
      <c r="O9" s="41">
        <f>COUNTIF(Vertices[Eigenvector Centrality],"&gt;= "&amp;N9)-COUNTIF(Vertices[Eigenvector Centrality],"&gt;="&amp;N10)</f>
        <v>0</v>
      </c>
      <c r="P9" s="40">
        <f t="shared" si="7"/>
        <v>0.0106115</v>
      </c>
      <c r="Q9" s="41">
        <f>COUNTIF(Vertices[PageRank],"&gt;= "&amp;P9)-COUNTIF(Vertices[PageRank],"&gt;="&amp;P10)</f>
        <v>1</v>
      </c>
      <c r="R9" s="40">
        <f t="shared" si="8"/>
        <v>0.10294117647058824</v>
      </c>
      <c r="S9" s="45">
        <f>COUNTIF(Vertices[Clustering Coefficient],"&gt;= "&amp;R9)-COUNTIF(Vertices[Clustering Coefficient],"&gt;="&amp;R10)</f>
        <v>1</v>
      </c>
      <c r="T9" s="40" t="e">
        <f ca="1" t="shared" si="9"/>
        <v>#REF!</v>
      </c>
      <c r="U9" s="41" t="e">
        <f ca="1" t="shared" si="0"/>
        <v>#REF!</v>
      </c>
    </row>
    <row r="10" spans="1:21" ht="15">
      <c r="A10" s="35" t="s">
        <v>151</v>
      </c>
      <c r="B10" s="35">
        <v>127</v>
      </c>
      <c r="D10" s="33">
        <f t="shared" si="1"/>
        <v>0</v>
      </c>
      <c r="E10" s="3">
        <f>COUNTIF(Vertices[Degree],"&gt;= "&amp;D10)-COUNTIF(Vertices[Degree],"&gt;="&amp;D11)</f>
        <v>0</v>
      </c>
      <c r="F10" s="38">
        <f t="shared" si="2"/>
        <v>16.235294117647058</v>
      </c>
      <c r="G10" s="39">
        <f>COUNTIF(Vertices[In-Degree],"&gt;= "&amp;F10)-COUNTIF(Vertices[In-Degree],"&gt;="&amp;F11)</f>
        <v>1</v>
      </c>
      <c r="H10" s="38">
        <f t="shared" si="3"/>
        <v>6.647058823529413</v>
      </c>
      <c r="I10" s="39">
        <f>COUNTIF(Vertices[Out-Degree],"&gt;= "&amp;H10)-COUNTIF(Vertices[Out-Degree],"&gt;="&amp;H11)</f>
        <v>1</v>
      </c>
      <c r="J10" s="38">
        <f t="shared" si="4"/>
        <v>3262.156862823529</v>
      </c>
      <c r="K10" s="39">
        <f>COUNTIF(Vertices[Betweenness Centrality],"&gt;= "&amp;J10)-COUNTIF(Vertices[Betweenness Centrality],"&gt;="&amp;J11)</f>
        <v>1</v>
      </c>
      <c r="L10" s="38">
        <f t="shared" si="5"/>
        <v>0.06625811764705881</v>
      </c>
      <c r="M10" s="39">
        <f>COUNTIF(Vertices[Closeness Centrality],"&gt;= "&amp;L10)-COUNTIF(Vertices[Closeness Centrality],"&gt;="&amp;L11)</f>
        <v>0</v>
      </c>
      <c r="N10" s="38">
        <f t="shared" si="6"/>
        <v>0.16923858823529409</v>
      </c>
      <c r="O10" s="39">
        <f>COUNTIF(Vertices[Eigenvector Centrality],"&gt;= "&amp;N10)-COUNTIF(Vertices[Eigenvector Centrality],"&gt;="&amp;N11)</f>
        <v>0</v>
      </c>
      <c r="P10" s="38">
        <f t="shared" si="7"/>
        <v>0.011574</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6"/>
      <c r="B11" s="116"/>
      <c r="D11" s="33">
        <f t="shared" si="1"/>
        <v>0</v>
      </c>
      <c r="E11" s="3">
        <f>COUNTIF(Vertices[Degree],"&gt;= "&amp;D11)-COUNTIF(Vertices[Degree],"&gt;="&amp;D12)</f>
        <v>0</v>
      </c>
      <c r="F11" s="40">
        <f t="shared" si="2"/>
        <v>18.264705882352942</v>
      </c>
      <c r="G11" s="41">
        <f>COUNTIF(Vertices[In-Degree],"&gt;= "&amp;F11)-COUNTIF(Vertices[In-Degree],"&gt;="&amp;F12)</f>
        <v>0</v>
      </c>
      <c r="H11" s="40">
        <f t="shared" si="3"/>
        <v>7.35294117647059</v>
      </c>
      <c r="I11" s="41">
        <f>COUNTIF(Vertices[Out-Degree],"&gt;= "&amp;H11)-COUNTIF(Vertices[Out-Degree],"&gt;="&amp;H12)</f>
        <v>0</v>
      </c>
      <c r="J11" s="40">
        <f t="shared" si="4"/>
        <v>3669.92647067647</v>
      </c>
      <c r="K11" s="41">
        <f>COUNTIF(Vertices[Betweenness Centrality],"&gt;= "&amp;J11)-COUNTIF(Vertices[Betweenness Centrality],"&gt;="&amp;J12)</f>
        <v>1</v>
      </c>
      <c r="L11" s="40">
        <f t="shared" si="5"/>
        <v>0.07454038235294116</v>
      </c>
      <c r="M11" s="41">
        <f>COUNTIF(Vertices[Closeness Centrality],"&gt;= "&amp;L11)-COUNTIF(Vertices[Closeness Centrality],"&gt;="&amp;L12)</f>
        <v>0</v>
      </c>
      <c r="N11" s="40">
        <f t="shared" si="6"/>
        <v>0.19039341176470584</v>
      </c>
      <c r="O11" s="41">
        <f>COUNTIF(Vertices[Eigenvector Centrality],"&gt;= "&amp;N11)-COUNTIF(Vertices[Eigenvector Centrality],"&gt;="&amp;N12)</f>
        <v>0</v>
      </c>
      <c r="P11" s="40">
        <f t="shared" si="7"/>
        <v>0.012536499999999999</v>
      </c>
      <c r="Q11" s="41">
        <f>COUNTIF(Vertices[PageRank],"&gt;= "&amp;P11)-COUNTIF(Vertices[PageRank],"&gt;="&amp;P12)</f>
        <v>0</v>
      </c>
      <c r="R11" s="40">
        <f t="shared" si="8"/>
        <v>0.1323529411764706</v>
      </c>
      <c r="S11" s="45">
        <f>COUNTIF(Vertices[Clustering Coefficient],"&gt;= "&amp;R11)-COUNTIF(Vertices[Clustering Coefficient],"&gt;="&amp;R12)</f>
        <v>1</v>
      </c>
      <c r="T11" s="40" t="e">
        <f ca="1" t="shared" si="9"/>
        <v>#REF!</v>
      </c>
      <c r="U11" s="41" t="e">
        <f ca="1" t="shared" si="0"/>
        <v>#REF!</v>
      </c>
    </row>
    <row r="12" spans="1:21" ht="15">
      <c r="A12" s="35" t="s">
        <v>170</v>
      </c>
      <c r="B12" s="35">
        <v>0.1717171717171717</v>
      </c>
      <c r="D12" s="33">
        <f t="shared" si="1"/>
        <v>0</v>
      </c>
      <c r="E12" s="3">
        <f>COUNTIF(Vertices[Degree],"&gt;= "&amp;D12)-COUNTIF(Vertices[Degree],"&gt;="&amp;D13)</f>
        <v>0</v>
      </c>
      <c r="F12" s="38">
        <f t="shared" si="2"/>
        <v>20.294117647058826</v>
      </c>
      <c r="G12" s="39">
        <f>COUNTIF(Vertices[In-Degree],"&gt;= "&amp;F12)-COUNTIF(Vertices[In-Degree],"&gt;="&amp;F13)</f>
        <v>0</v>
      </c>
      <c r="H12" s="38">
        <f t="shared" si="3"/>
        <v>8.058823529411766</v>
      </c>
      <c r="I12" s="39">
        <f>COUNTIF(Vertices[Out-Degree],"&gt;= "&amp;H12)-COUNTIF(Vertices[Out-Degree],"&gt;="&amp;H13)</f>
        <v>0</v>
      </c>
      <c r="J12" s="38">
        <f t="shared" si="4"/>
        <v>4077.6960785294114</v>
      </c>
      <c r="K12" s="39">
        <f>COUNTIF(Vertices[Betweenness Centrality],"&gt;= "&amp;J12)-COUNTIF(Vertices[Betweenness Centrality],"&gt;="&amp;J13)</f>
        <v>0</v>
      </c>
      <c r="L12" s="38">
        <f t="shared" si="5"/>
        <v>0.08282264705882351</v>
      </c>
      <c r="M12" s="39">
        <f>COUNTIF(Vertices[Closeness Centrality],"&gt;= "&amp;L12)-COUNTIF(Vertices[Closeness Centrality],"&gt;="&amp;L13)</f>
        <v>1</v>
      </c>
      <c r="N12" s="38">
        <f t="shared" si="6"/>
        <v>0.2115482352941176</v>
      </c>
      <c r="O12" s="39">
        <f>COUNTIF(Vertices[Eigenvector Centrality],"&gt;= "&amp;N12)-COUNTIF(Vertices[Eigenvector Centrality],"&gt;="&amp;N13)</f>
        <v>0</v>
      </c>
      <c r="P12" s="38">
        <f t="shared" si="7"/>
        <v>0.013498999999999999</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171</v>
      </c>
      <c r="B13" s="35">
        <v>0.29310344827586204</v>
      </c>
      <c r="D13" s="33">
        <f t="shared" si="1"/>
        <v>0</v>
      </c>
      <c r="E13" s="3">
        <f>COUNTIF(Vertices[Degree],"&gt;= "&amp;D13)-COUNTIF(Vertices[Degree],"&gt;="&amp;D14)</f>
        <v>0</v>
      </c>
      <c r="F13" s="40">
        <f t="shared" si="2"/>
        <v>22.32352941176471</v>
      </c>
      <c r="G13" s="41">
        <f>COUNTIF(Vertices[In-Degree],"&gt;= "&amp;F13)-COUNTIF(Vertices[In-Degree],"&gt;="&amp;F14)</f>
        <v>0</v>
      </c>
      <c r="H13" s="40">
        <f t="shared" si="3"/>
        <v>8.764705882352942</v>
      </c>
      <c r="I13" s="41">
        <f>COUNTIF(Vertices[Out-Degree],"&gt;= "&amp;H13)-COUNTIF(Vertices[Out-Degree],"&gt;="&amp;H14)</f>
        <v>0</v>
      </c>
      <c r="J13" s="40">
        <f t="shared" si="4"/>
        <v>4485.465686382353</v>
      </c>
      <c r="K13" s="41">
        <f>COUNTIF(Vertices[Betweenness Centrality],"&gt;= "&amp;J13)-COUNTIF(Vertices[Betweenness Centrality],"&gt;="&amp;J14)</f>
        <v>0</v>
      </c>
      <c r="L13" s="40">
        <f t="shared" si="5"/>
        <v>0.09110491176470586</v>
      </c>
      <c r="M13" s="41">
        <f>COUNTIF(Vertices[Closeness Centrality],"&gt;= "&amp;L13)-COUNTIF(Vertices[Closeness Centrality],"&gt;="&amp;L14)</f>
        <v>0</v>
      </c>
      <c r="N13" s="40">
        <f t="shared" si="6"/>
        <v>0.23270305882352935</v>
      </c>
      <c r="O13" s="41">
        <f>COUNTIF(Vertices[Eigenvector Centrality],"&gt;= "&amp;N13)-COUNTIF(Vertices[Eigenvector Centrality],"&gt;="&amp;N14)</f>
        <v>0</v>
      </c>
      <c r="P13" s="40">
        <f t="shared" si="7"/>
        <v>0.014461499999999999</v>
      </c>
      <c r="Q13" s="41">
        <f>COUNTIF(Vertices[PageRank],"&gt;= "&amp;P13)-COUNTIF(Vertices[PageRank],"&gt;="&amp;P14)</f>
        <v>0</v>
      </c>
      <c r="R13" s="40">
        <f t="shared" si="8"/>
        <v>0.16176470588235295</v>
      </c>
      <c r="S13" s="45">
        <f>COUNTIF(Vertices[Clustering Coefficient],"&gt;= "&amp;R13)-COUNTIF(Vertices[Clustering Coefficient],"&gt;="&amp;R14)</f>
        <v>1</v>
      </c>
      <c r="T13" s="40" t="e">
        <f ca="1" t="shared" si="9"/>
        <v>#REF!</v>
      </c>
      <c r="U13" s="41" t="e">
        <f ca="1" t="shared" si="0"/>
        <v>#REF!</v>
      </c>
    </row>
    <row r="14" spans="1:21" ht="15">
      <c r="A14" s="116"/>
      <c r="B14" s="116"/>
      <c r="D14" s="33">
        <f t="shared" si="1"/>
        <v>0</v>
      </c>
      <c r="E14" s="3">
        <f>COUNTIF(Vertices[Degree],"&gt;= "&amp;D14)-COUNTIF(Vertices[Degree],"&gt;="&amp;D15)</f>
        <v>0</v>
      </c>
      <c r="F14" s="38">
        <f t="shared" si="2"/>
        <v>24.352941176470594</v>
      </c>
      <c r="G14" s="39">
        <f>COUNTIF(Vertices[In-Degree],"&gt;= "&amp;F14)-COUNTIF(Vertices[In-Degree],"&gt;="&amp;F15)</f>
        <v>0</v>
      </c>
      <c r="H14" s="38">
        <f t="shared" si="3"/>
        <v>9.470588235294118</v>
      </c>
      <c r="I14" s="39">
        <f>COUNTIF(Vertices[Out-Degree],"&gt;= "&amp;H14)-COUNTIF(Vertices[Out-Degree],"&gt;="&amp;H15)</f>
        <v>0</v>
      </c>
      <c r="J14" s="38">
        <f t="shared" si="4"/>
        <v>4893.235294235294</v>
      </c>
      <c r="K14" s="39">
        <f>COUNTIF(Vertices[Betweenness Centrality],"&gt;= "&amp;J14)-COUNTIF(Vertices[Betweenness Centrality],"&gt;="&amp;J15)</f>
        <v>0</v>
      </c>
      <c r="L14" s="38">
        <f t="shared" si="5"/>
        <v>0.09938717647058821</v>
      </c>
      <c r="M14" s="39">
        <f>COUNTIF(Vertices[Closeness Centrality],"&gt;= "&amp;L14)-COUNTIF(Vertices[Closeness Centrality],"&gt;="&amp;L15)</f>
        <v>11</v>
      </c>
      <c r="N14" s="38">
        <f t="shared" si="6"/>
        <v>0.2538578823529411</v>
      </c>
      <c r="O14" s="39">
        <f>COUNTIF(Vertices[Eigenvector Centrality],"&gt;= "&amp;N14)-COUNTIF(Vertices[Eigenvector Centrality],"&gt;="&amp;N15)</f>
        <v>0</v>
      </c>
      <c r="P14" s="38">
        <f t="shared" si="7"/>
        <v>0.015423999999999998</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152</v>
      </c>
      <c r="B15" s="35">
        <v>39</v>
      </c>
      <c r="D15" s="33">
        <f t="shared" si="1"/>
        <v>0</v>
      </c>
      <c r="E15" s="3">
        <f>COUNTIF(Vertices[Degree],"&gt;= "&amp;D15)-COUNTIF(Vertices[Degree],"&gt;="&amp;D16)</f>
        <v>0</v>
      </c>
      <c r="F15" s="40">
        <f t="shared" si="2"/>
        <v>26.382352941176478</v>
      </c>
      <c r="G15" s="41">
        <f>COUNTIF(Vertices[In-Degree],"&gt;= "&amp;F15)-COUNTIF(Vertices[In-Degree],"&gt;="&amp;F16)</f>
        <v>0</v>
      </c>
      <c r="H15" s="40">
        <f t="shared" si="3"/>
        <v>10.176470588235293</v>
      </c>
      <c r="I15" s="41">
        <f>COUNTIF(Vertices[Out-Degree],"&gt;= "&amp;H15)-COUNTIF(Vertices[Out-Degree],"&gt;="&amp;H16)</f>
        <v>0</v>
      </c>
      <c r="J15" s="40">
        <f t="shared" si="4"/>
        <v>5301.004902088234</v>
      </c>
      <c r="K15" s="41">
        <f>COUNTIF(Vertices[Betweenness Centrality],"&gt;= "&amp;J15)-COUNTIF(Vertices[Betweenness Centrality],"&gt;="&amp;J16)</f>
        <v>0</v>
      </c>
      <c r="L15" s="40">
        <f t="shared" si="5"/>
        <v>0.10766944117647057</v>
      </c>
      <c r="M15" s="41">
        <f>COUNTIF(Vertices[Closeness Centrality],"&gt;= "&amp;L15)-COUNTIF(Vertices[Closeness Centrality],"&gt;="&amp;L16)</f>
        <v>1</v>
      </c>
      <c r="N15" s="40">
        <f t="shared" si="6"/>
        <v>0.2750127058823529</v>
      </c>
      <c r="O15" s="41">
        <f>COUNTIF(Vertices[Eigenvector Centrality],"&gt;= "&amp;N15)-COUNTIF(Vertices[Eigenvector Centrality],"&gt;="&amp;N16)</f>
        <v>0</v>
      </c>
      <c r="P15" s="40">
        <f t="shared" si="7"/>
        <v>0.0163865</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153</v>
      </c>
      <c r="B16" s="35">
        <v>22</v>
      </c>
      <c r="D16" s="33">
        <f t="shared" si="1"/>
        <v>0</v>
      </c>
      <c r="E16" s="3">
        <f>COUNTIF(Vertices[Degree],"&gt;= "&amp;D16)-COUNTIF(Vertices[Degree],"&gt;="&amp;D17)</f>
        <v>0</v>
      </c>
      <c r="F16" s="38">
        <f t="shared" si="2"/>
        <v>28.411764705882362</v>
      </c>
      <c r="G16" s="39">
        <f>COUNTIF(Vertices[In-Degree],"&gt;= "&amp;F16)-COUNTIF(Vertices[In-Degree],"&gt;="&amp;F17)</f>
        <v>0</v>
      </c>
      <c r="H16" s="38">
        <f t="shared" si="3"/>
        <v>10.88235294117647</v>
      </c>
      <c r="I16" s="39">
        <f>COUNTIF(Vertices[Out-Degree],"&gt;= "&amp;H16)-COUNTIF(Vertices[Out-Degree],"&gt;="&amp;H17)</f>
        <v>0</v>
      </c>
      <c r="J16" s="38">
        <f t="shared" si="4"/>
        <v>5708.774509941175</v>
      </c>
      <c r="K16" s="39">
        <f>COUNTIF(Vertices[Betweenness Centrality],"&gt;= "&amp;J16)-COUNTIF(Vertices[Betweenness Centrality],"&gt;="&amp;J17)</f>
        <v>0</v>
      </c>
      <c r="L16" s="38">
        <f t="shared" si="5"/>
        <v>0.11595170588235292</v>
      </c>
      <c r="M16" s="39">
        <f>COUNTIF(Vertices[Closeness Centrality],"&gt;= "&amp;L16)-COUNTIF(Vertices[Closeness Centrality],"&gt;="&amp;L17)</f>
        <v>9</v>
      </c>
      <c r="N16" s="38">
        <f t="shared" si="6"/>
        <v>0.29616752941176466</v>
      </c>
      <c r="O16" s="39">
        <f>COUNTIF(Vertices[Eigenvector Centrality],"&gt;= "&amp;N16)-COUNTIF(Vertices[Eigenvector Centrality],"&gt;="&amp;N17)</f>
        <v>0</v>
      </c>
      <c r="P16" s="38">
        <f t="shared" si="7"/>
        <v>0.017349</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35" t="s">
        <v>154</v>
      </c>
      <c r="B17" s="35">
        <v>130</v>
      </c>
      <c r="D17" s="33">
        <f t="shared" si="1"/>
        <v>0</v>
      </c>
      <c r="E17" s="3">
        <f>COUNTIF(Vertices[Degree],"&gt;= "&amp;D17)-COUNTIF(Vertices[Degree],"&gt;="&amp;D18)</f>
        <v>0</v>
      </c>
      <c r="F17" s="40">
        <f t="shared" si="2"/>
        <v>30.441176470588246</v>
      </c>
      <c r="G17" s="41">
        <f>COUNTIF(Vertices[In-Degree],"&gt;= "&amp;F17)-COUNTIF(Vertices[In-Degree],"&gt;="&amp;F18)</f>
        <v>0</v>
      </c>
      <c r="H17" s="40">
        <f t="shared" si="3"/>
        <v>11.588235294117645</v>
      </c>
      <c r="I17" s="41">
        <f>COUNTIF(Vertices[Out-Degree],"&gt;= "&amp;H17)-COUNTIF(Vertices[Out-Degree],"&gt;="&amp;H18)</f>
        <v>0</v>
      </c>
      <c r="J17" s="40">
        <f t="shared" si="4"/>
        <v>6116.544117794116</v>
      </c>
      <c r="K17" s="41">
        <f>COUNTIF(Vertices[Betweenness Centrality],"&gt;= "&amp;J17)-COUNTIF(Vertices[Betweenness Centrality],"&gt;="&amp;J18)</f>
        <v>1</v>
      </c>
      <c r="L17" s="40">
        <f t="shared" si="5"/>
        <v>0.12423397058823527</v>
      </c>
      <c r="M17" s="41">
        <f>COUNTIF(Vertices[Closeness Centrality],"&gt;= "&amp;L17)-COUNTIF(Vertices[Closeness Centrality],"&gt;="&amp;L18)</f>
        <v>11</v>
      </c>
      <c r="N17" s="40">
        <f t="shared" si="6"/>
        <v>0.31732235294117644</v>
      </c>
      <c r="O17" s="41">
        <f>COUNTIF(Vertices[Eigenvector Centrality],"&gt;= "&amp;N17)-COUNTIF(Vertices[Eigenvector Centrality],"&gt;="&amp;N18)</f>
        <v>0</v>
      </c>
      <c r="P17" s="40">
        <f t="shared" si="7"/>
        <v>0.0183115</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155</v>
      </c>
      <c r="B18" s="35">
        <v>262</v>
      </c>
      <c r="D18" s="33">
        <f t="shared" si="1"/>
        <v>0</v>
      </c>
      <c r="E18" s="3">
        <f>COUNTIF(Vertices[Degree],"&gt;= "&amp;D18)-COUNTIF(Vertices[Degree],"&gt;="&amp;D19)</f>
        <v>0</v>
      </c>
      <c r="F18" s="38">
        <f t="shared" si="2"/>
        <v>32.47058823529413</v>
      </c>
      <c r="G18" s="39">
        <f>COUNTIF(Vertices[In-Degree],"&gt;= "&amp;F18)-COUNTIF(Vertices[In-Degree],"&gt;="&amp;F19)</f>
        <v>0</v>
      </c>
      <c r="H18" s="38">
        <f t="shared" si="3"/>
        <v>12.29411764705882</v>
      </c>
      <c r="I18" s="39">
        <f>COUNTIF(Vertices[Out-Degree],"&gt;= "&amp;H18)-COUNTIF(Vertices[Out-Degree],"&gt;="&amp;H19)</f>
        <v>0</v>
      </c>
      <c r="J18" s="38">
        <f t="shared" si="4"/>
        <v>6524.313725647056</v>
      </c>
      <c r="K18" s="39">
        <f>COUNTIF(Vertices[Betweenness Centrality],"&gt;= "&amp;J18)-COUNTIF(Vertices[Betweenness Centrality],"&gt;="&amp;J19)</f>
        <v>0</v>
      </c>
      <c r="L18" s="38">
        <f t="shared" si="5"/>
        <v>0.13251623529411763</v>
      </c>
      <c r="M18" s="39">
        <f>COUNTIF(Vertices[Closeness Centrality],"&gt;= "&amp;L18)-COUNTIF(Vertices[Closeness Centrality],"&gt;="&amp;L19)</f>
        <v>0</v>
      </c>
      <c r="N18" s="38">
        <f t="shared" si="6"/>
        <v>0.3384771764705882</v>
      </c>
      <c r="O18" s="39">
        <f>COUNTIF(Vertices[Eigenvector Centrality],"&gt;= "&amp;N18)-COUNTIF(Vertices[Eigenvector Centrality],"&gt;="&amp;N19)</f>
        <v>0</v>
      </c>
      <c r="P18" s="38">
        <f t="shared" si="7"/>
        <v>0.019274000000000003</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34.500000000000014</v>
      </c>
      <c r="G19" s="41">
        <f>COUNTIF(Vertices[In-Degree],"&gt;= "&amp;F19)-COUNTIF(Vertices[In-Degree],"&gt;="&amp;F20)</f>
        <v>0</v>
      </c>
      <c r="H19" s="40">
        <f t="shared" si="3"/>
        <v>12.999999999999996</v>
      </c>
      <c r="I19" s="41">
        <f>COUNTIF(Vertices[Out-Degree],"&gt;= "&amp;H19)-COUNTIF(Vertices[Out-Degree],"&gt;="&amp;H20)</f>
        <v>0</v>
      </c>
      <c r="J19" s="40">
        <f t="shared" si="4"/>
        <v>6932.083333499997</v>
      </c>
      <c r="K19" s="41">
        <f>COUNTIF(Vertices[Betweenness Centrality],"&gt;= "&amp;J19)-COUNTIF(Vertices[Betweenness Centrality],"&gt;="&amp;J20)</f>
        <v>0</v>
      </c>
      <c r="L19" s="40">
        <f t="shared" si="5"/>
        <v>0.1407985</v>
      </c>
      <c r="M19" s="41">
        <f>COUNTIF(Vertices[Closeness Centrality],"&gt;= "&amp;L19)-COUNTIF(Vertices[Closeness Centrality],"&gt;="&amp;L20)</f>
        <v>15</v>
      </c>
      <c r="N19" s="40">
        <f t="shared" si="6"/>
        <v>0.359632</v>
      </c>
      <c r="O19" s="41">
        <f>COUNTIF(Vertices[Eigenvector Centrality],"&gt;= "&amp;N19)-COUNTIF(Vertices[Eigenvector Centrality],"&gt;="&amp;N20)</f>
        <v>0</v>
      </c>
      <c r="P19" s="40">
        <f t="shared" si="7"/>
        <v>0.020236500000000004</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156</v>
      </c>
      <c r="B20" s="35">
        <v>10</v>
      </c>
      <c r="D20" s="33">
        <f t="shared" si="1"/>
        <v>0</v>
      </c>
      <c r="E20" s="3">
        <f>COUNTIF(Vertices[Degree],"&gt;= "&amp;D20)-COUNTIF(Vertices[Degree],"&gt;="&amp;D21)</f>
        <v>0</v>
      </c>
      <c r="F20" s="38">
        <f t="shared" si="2"/>
        <v>36.5294117647059</v>
      </c>
      <c r="G20" s="39">
        <f>COUNTIF(Vertices[In-Degree],"&gt;= "&amp;F20)-COUNTIF(Vertices[In-Degree],"&gt;="&amp;F21)</f>
        <v>0</v>
      </c>
      <c r="H20" s="38">
        <f t="shared" si="3"/>
        <v>13.705882352941172</v>
      </c>
      <c r="I20" s="39">
        <f>COUNTIF(Vertices[Out-Degree],"&gt;= "&amp;H20)-COUNTIF(Vertices[Out-Degree],"&gt;="&amp;H21)</f>
        <v>0</v>
      </c>
      <c r="J20" s="38">
        <f t="shared" si="4"/>
        <v>7339.852941352938</v>
      </c>
      <c r="K20" s="39">
        <f>COUNTIF(Vertices[Betweenness Centrality],"&gt;= "&amp;J20)-COUNTIF(Vertices[Betweenness Centrality],"&gt;="&amp;J21)</f>
        <v>0</v>
      </c>
      <c r="L20" s="38">
        <f t="shared" si="5"/>
        <v>0.14908076470588236</v>
      </c>
      <c r="M20" s="39">
        <f>COUNTIF(Vertices[Closeness Centrality],"&gt;= "&amp;L20)-COUNTIF(Vertices[Closeness Centrality],"&gt;="&amp;L21)</f>
        <v>2</v>
      </c>
      <c r="N20" s="38">
        <f t="shared" si="6"/>
        <v>0.3807868235294118</v>
      </c>
      <c r="O20" s="39">
        <f>COUNTIF(Vertices[Eigenvector Centrality],"&gt;= "&amp;N20)-COUNTIF(Vertices[Eigenvector Centrality],"&gt;="&amp;N21)</f>
        <v>0</v>
      </c>
      <c r="P20" s="38">
        <f t="shared" si="7"/>
        <v>0.021199000000000006</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157</v>
      </c>
      <c r="B21" s="35">
        <v>3.588512</v>
      </c>
      <c r="D21" s="33">
        <f t="shared" si="1"/>
        <v>0</v>
      </c>
      <c r="E21" s="3">
        <f>COUNTIF(Vertices[Degree],"&gt;= "&amp;D21)-COUNTIF(Vertices[Degree],"&gt;="&amp;D22)</f>
        <v>0</v>
      </c>
      <c r="F21" s="40">
        <f t="shared" si="2"/>
        <v>38.55882352941178</v>
      </c>
      <c r="G21" s="41">
        <f>COUNTIF(Vertices[In-Degree],"&gt;= "&amp;F21)-COUNTIF(Vertices[In-Degree],"&gt;="&amp;F22)</f>
        <v>0</v>
      </c>
      <c r="H21" s="40">
        <f t="shared" si="3"/>
        <v>14.411764705882348</v>
      </c>
      <c r="I21" s="41">
        <f>COUNTIF(Vertices[Out-Degree],"&gt;= "&amp;H21)-COUNTIF(Vertices[Out-Degree],"&gt;="&amp;H22)</f>
        <v>0</v>
      </c>
      <c r="J21" s="40">
        <f t="shared" si="4"/>
        <v>7747.622549205878</v>
      </c>
      <c r="K21" s="41">
        <f>COUNTIF(Vertices[Betweenness Centrality],"&gt;= "&amp;J21)-COUNTIF(Vertices[Betweenness Centrality],"&gt;="&amp;J22)</f>
        <v>0</v>
      </c>
      <c r="L21" s="40">
        <f t="shared" si="5"/>
        <v>0.15736302941176472</v>
      </c>
      <c r="M21" s="41">
        <f>COUNTIF(Vertices[Closeness Centrality],"&gt;= "&amp;L21)-COUNTIF(Vertices[Closeness Centrality],"&gt;="&amp;L22)</f>
        <v>8</v>
      </c>
      <c r="N21" s="40">
        <f t="shared" si="6"/>
        <v>0.40194164705882357</v>
      </c>
      <c r="O21" s="41">
        <f>COUNTIF(Vertices[Eigenvector Centrality],"&gt;= "&amp;N21)-COUNTIF(Vertices[Eigenvector Centrality],"&gt;="&amp;N22)</f>
        <v>0</v>
      </c>
      <c r="P21" s="40">
        <f t="shared" si="7"/>
        <v>0.022161500000000008</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40.588235294117666</v>
      </c>
      <c r="G22" s="39">
        <f>COUNTIF(Vertices[In-Degree],"&gt;= "&amp;F22)-COUNTIF(Vertices[In-Degree],"&gt;="&amp;F23)</f>
        <v>0</v>
      </c>
      <c r="H22" s="38">
        <f t="shared" si="3"/>
        <v>15.117647058823524</v>
      </c>
      <c r="I22" s="39">
        <f>COUNTIF(Vertices[Out-Degree],"&gt;= "&amp;H22)-COUNTIF(Vertices[Out-Degree],"&gt;="&amp;H23)</f>
        <v>0</v>
      </c>
      <c r="J22" s="38">
        <f t="shared" si="4"/>
        <v>8155.392157058819</v>
      </c>
      <c r="K22" s="39">
        <f>COUNTIF(Vertices[Betweenness Centrality],"&gt;= "&amp;J22)-COUNTIF(Vertices[Betweenness Centrality],"&gt;="&amp;J23)</f>
        <v>0</v>
      </c>
      <c r="L22" s="38">
        <f t="shared" si="5"/>
        <v>0.16564529411764708</v>
      </c>
      <c r="M22" s="39">
        <f>COUNTIF(Vertices[Closeness Centrality],"&gt;= "&amp;L22)-COUNTIF(Vertices[Closeness Centrality],"&gt;="&amp;L23)</f>
        <v>1</v>
      </c>
      <c r="N22" s="38">
        <f t="shared" si="6"/>
        <v>0.42309647058823535</v>
      </c>
      <c r="O22" s="39">
        <f>COUNTIF(Vertices[Eigenvector Centrality],"&gt;= "&amp;N22)-COUNTIF(Vertices[Eigenvector Centrality],"&gt;="&amp;N23)</f>
        <v>0</v>
      </c>
      <c r="P22" s="38">
        <f t="shared" si="7"/>
        <v>0.02312400000000001</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158</v>
      </c>
      <c r="B23" s="35">
        <v>0.0046444586803331194</v>
      </c>
      <c r="D23" s="33">
        <f t="shared" si="1"/>
        <v>0</v>
      </c>
      <c r="E23" s="3">
        <f>COUNTIF(Vertices[Degree],"&gt;= "&amp;D23)-COUNTIF(Vertices[Degree],"&gt;="&amp;D24)</f>
        <v>0</v>
      </c>
      <c r="F23" s="40">
        <f t="shared" si="2"/>
        <v>42.61764705882355</v>
      </c>
      <c r="G23" s="41">
        <f>COUNTIF(Vertices[In-Degree],"&gt;= "&amp;F23)-COUNTIF(Vertices[In-Degree],"&gt;="&amp;F24)</f>
        <v>0</v>
      </c>
      <c r="H23" s="40">
        <f t="shared" si="3"/>
        <v>15.8235294117647</v>
      </c>
      <c r="I23" s="41">
        <f>COUNTIF(Vertices[Out-Degree],"&gt;= "&amp;H23)-COUNTIF(Vertices[Out-Degree],"&gt;="&amp;H24)</f>
        <v>0</v>
      </c>
      <c r="J23" s="40">
        <f t="shared" si="4"/>
        <v>8563.16176491176</v>
      </c>
      <c r="K23" s="41">
        <f>COUNTIF(Vertices[Betweenness Centrality],"&gt;= "&amp;J23)-COUNTIF(Vertices[Betweenness Centrality],"&gt;="&amp;J24)</f>
        <v>0</v>
      </c>
      <c r="L23" s="40">
        <f t="shared" si="5"/>
        <v>0.17392755882352945</v>
      </c>
      <c r="M23" s="41">
        <f>COUNTIF(Vertices[Closeness Centrality],"&gt;= "&amp;L23)-COUNTIF(Vertices[Closeness Centrality],"&gt;="&amp;L24)</f>
        <v>0</v>
      </c>
      <c r="N23" s="40">
        <f t="shared" si="6"/>
        <v>0.44425129411764713</v>
      </c>
      <c r="O23" s="41">
        <f>COUNTIF(Vertices[Eigenvector Centrality],"&gt;= "&amp;N23)-COUNTIF(Vertices[Eigenvector Centrality],"&gt;="&amp;N24)</f>
        <v>0</v>
      </c>
      <c r="P23" s="40">
        <f t="shared" si="7"/>
        <v>0.02408650000000001</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2087</v>
      </c>
      <c r="B24" s="35">
        <v>0.515007</v>
      </c>
      <c r="D24" s="33">
        <f t="shared" si="1"/>
        <v>0</v>
      </c>
      <c r="E24" s="3">
        <f>COUNTIF(Vertices[Degree],"&gt;= "&amp;D24)-COUNTIF(Vertices[Degree],"&gt;="&amp;D25)</f>
        <v>0</v>
      </c>
      <c r="F24" s="38">
        <f t="shared" si="2"/>
        <v>44.647058823529434</v>
      </c>
      <c r="G24" s="39">
        <f>COUNTIF(Vertices[In-Degree],"&gt;= "&amp;F24)-COUNTIF(Vertices[In-Degree],"&gt;="&amp;F25)</f>
        <v>0</v>
      </c>
      <c r="H24" s="38">
        <f t="shared" si="3"/>
        <v>16.529411764705877</v>
      </c>
      <c r="I24" s="39">
        <f>COUNTIF(Vertices[Out-Degree],"&gt;= "&amp;H24)-COUNTIF(Vertices[Out-Degree],"&gt;="&amp;H25)</f>
        <v>0</v>
      </c>
      <c r="J24" s="38">
        <f t="shared" si="4"/>
        <v>8970.9313727647</v>
      </c>
      <c r="K24" s="39">
        <f>COUNTIF(Vertices[Betweenness Centrality],"&gt;= "&amp;J24)-COUNTIF(Vertices[Betweenness Centrality],"&gt;="&amp;J25)</f>
        <v>0</v>
      </c>
      <c r="L24" s="38">
        <f t="shared" si="5"/>
        <v>0.1822098235294118</v>
      </c>
      <c r="M24" s="39">
        <f>COUNTIF(Vertices[Closeness Centrality],"&gt;= "&amp;L24)-COUNTIF(Vertices[Closeness Centrality],"&gt;="&amp;L25)</f>
        <v>58</v>
      </c>
      <c r="N24" s="38">
        <f t="shared" si="6"/>
        <v>0.4654061176470589</v>
      </c>
      <c r="O24" s="39">
        <f>COUNTIF(Vertices[Eigenvector Centrality],"&gt;= "&amp;N24)-COUNTIF(Vertices[Eigenvector Centrality],"&gt;="&amp;N25)</f>
        <v>0</v>
      </c>
      <c r="P24" s="38">
        <f t="shared" si="7"/>
        <v>0.025049000000000012</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116"/>
      <c r="B25" s="116"/>
      <c r="D25" s="33">
        <f t="shared" si="1"/>
        <v>0</v>
      </c>
      <c r="E25" s="3">
        <f>COUNTIF(Vertices[Degree],"&gt;= "&amp;D25)-COUNTIF(Vertices[Degree],"&gt;="&amp;D26)</f>
        <v>0</v>
      </c>
      <c r="F25" s="40">
        <f t="shared" si="2"/>
        <v>46.67647058823532</v>
      </c>
      <c r="G25" s="41">
        <f>COUNTIF(Vertices[In-Degree],"&gt;= "&amp;F25)-COUNTIF(Vertices[In-Degree],"&gt;="&amp;F26)</f>
        <v>0</v>
      </c>
      <c r="H25" s="40">
        <f t="shared" si="3"/>
        <v>17.235294117647054</v>
      </c>
      <c r="I25" s="41">
        <f>COUNTIF(Vertices[Out-Degree],"&gt;= "&amp;H25)-COUNTIF(Vertices[Out-Degree],"&gt;="&amp;H26)</f>
        <v>0</v>
      </c>
      <c r="J25" s="40">
        <f t="shared" si="4"/>
        <v>9378.700980617641</v>
      </c>
      <c r="K25" s="41">
        <f>COUNTIF(Vertices[Betweenness Centrality],"&gt;= "&amp;J25)-COUNTIF(Vertices[Betweenness Centrality],"&gt;="&amp;J26)</f>
        <v>0</v>
      </c>
      <c r="L25" s="40">
        <f t="shared" si="5"/>
        <v>0.19049208823529418</v>
      </c>
      <c r="M25" s="41">
        <f>COUNTIF(Vertices[Closeness Centrality],"&gt;= "&amp;L25)-COUNTIF(Vertices[Closeness Centrality],"&gt;="&amp;L26)</f>
        <v>6</v>
      </c>
      <c r="N25" s="40">
        <f t="shared" si="6"/>
        <v>0.4865609411764707</v>
      </c>
      <c r="O25" s="41">
        <f>COUNTIF(Vertices[Eigenvector Centrality],"&gt;= "&amp;N25)-COUNTIF(Vertices[Eigenvector Centrality],"&gt;="&amp;N26)</f>
        <v>0</v>
      </c>
      <c r="P25" s="40">
        <f t="shared" si="7"/>
        <v>0.026011500000000014</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2088</v>
      </c>
      <c r="B26" s="35" t="s">
        <v>2103</v>
      </c>
      <c r="D26" s="33">
        <f t="shared" si="1"/>
        <v>0</v>
      </c>
      <c r="E26" s="3">
        <f>COUNTIF(Vertices[Degree],"&gt;= "&amp;D26)-COUNTIF(Vertices[Degree],"&gt;="&amp;D27)</f>
        <v>0</v>
      </c>
      <c r="F26" s="38">
        <f t="shared" si="2"/>
        <v>48.7058823529412</v>
      </c>
      <c r="G26" s="39">
        <f>COUNTIF(Vertices[In-Degree],"&gt;= "&amp;F26)-COUNTIF(Vertices[In-Degree],"&gt;="&amp;F27)</f>
        <v>0</v>
      </c>
      <c r="H26" s="38">
        <f t="shared" si="3"/>
        <v>17.941176470588232</v>
      </c>
      <c r="I26" s="39">
        <f>COUNTIF(Vertices[Out-Degree],"&gt;= "&amp;H26)-COUNTIF(Vertices[Out-Degree],"&gt;="&amp;H27)</f>
        <v>0</v>
      </c>
      <c r="J26" s="38">
        <f t="shared" si="4"/>
        <v>9786.470588470582</v>
      </c>
      <c r="K26" s="39">
        <f>COUNTIF(Vertices[Betweenness Centrality],"&gt;= "&amp;J26)-COUNTIF(Vertices[Betweenness Centrality],"&gt;="&amp;J27)</f>
        <v>0</v>
      </c>
      <c r="L26" s="38">
        <f t="shared" si="5"/>
        <v>0.19877435294117654</v>
      </c>
      <c r="M26" s="39">
        <f>COUNTIF(Vertices[Closeness Centrality],"&gt;= "&amp;L26)-COUNTIF(Vertices[Closeness Centrality],"&gt;="&amp;L27)</f>
        <v>2</v>
      </c>
      <c r="N26" s="38">
        <f t="shared" si="6"/>
        <v>0.5077157647058824</v>
      </c>
      <c r="O26" s="39">
        <f>COUNTIF(Vertices[Eigenvector Centrality],"&gt;= "&amp;N26)-COUNTIF(Vertices[Eigenvector Centrality],"&gt;="&amp;N27)</f>
        <v>0</v>
      </c>
      <c r="P26" s="38">
        <f t="shared" si="7"/>
        <v>0.026974000000000015</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50.735294117647086</v>
      </c>
      <c r="G27" s="41">
        <f>COUNTIF(Vertices[In-Degree],"&gt;= "&amp;F27)-COUNTIF(Vertices[In-Degree],"&gt;="&amp;F28)</f>
        <v>0</v>
      </c>
      <c r="H27" s="40">
        <f t="shared" si="3"/>
        <v>18.64705882352941</v>
      </c>
      <c r="I27" s="41">
        <f>COUNTIF(Vertices[Out-Degree],"&gt;= "&amp;H27)-COUNTIF(Vertices[Out-Degree],"&gt;="&amp;H28)</f>
        <v>0</v>
      </c>
      <c r="J27" s="40">
        <f t="shared" si="4"/>
        <v>10194.240196323522</v>
      </c>
      <c r="K27" s="41">
        <f>COUNTIF(Vertices[Betweenness Centrality],"&gt;= "&amp;J27)-COUNTIF(Vertices[Betweenness Centrality],"&gt;="&amp;J28)</f>
        <v>0</v>
      </c>
      <c r="L27" s="40">
        <f t="shared" si="5"/>
        <v>0.2070566176470589</v>
      </c>
      <c r="M27" s="41">
        <f>COUNTIF(Vertices[Closeness Centrality],"&gt;= "&amp;L27)-COUNTIF(Vertices[Closeness Centrality],"&gt;="&amp;L28)</f>
        <v>0</v>
      </c>
      <c r="N27" s="40">
        <f t="shared" si="6"/>
        <v>0.5288705882352942</v>
      </c>
      <c r="O27" s="41">
        <f>COUNTIF(Vertices[Eigenvector Centrality],"&gt;= "&amp;N27)-COUNTIF(Vertices[Eigenvector Centrality],"&gt;="&amp;N28)</f>
        <v>0</v>
      </c>
      <c r="P27" s="40">
        <f t="shared" si="7"/>
        <v>0.027936500000000017</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2089</v>
      </c>
      <c r="B28" s="35" t="s">
        <v>2977</v>
      </c>
      <c r="D28" s="33">
        <f t="shared" si="1"/>
        <v>0</v>
      </c>
      <c r="E28" s="3">
        <f>COUNTIF(Vertices[Degree],"&gt;= "&amp;D28)-COUNTIF(Vertices[Degree],"&gt;="&amp;D29)</f>
        <v>0</v>
      </c>
      <c r="F28" s="38">
        <f t="shared" si="2"/>
        <v>52.76470588235297</v>
      </c>
      <c r="G28" s="39">
        <f>COUNTIF(Vertices[In-Degree],"&gt;= "&amp;F28)-COUNTIF(Vertices[In-Degree],"&gt;="&amp;F29)</f>
        <v>0</v>
      </c>
      <c r="H28" s="38">
        <f t="shared" si="3"/>
        <v>19.352941176470587</v>
      </c>
      <c r="I28" s="39">
        <f>COUNTIF(Vertices[Out-Degree],"&gt;= "&amp;H28)-COUNTIF(Vertices[Out-Degree],"&gt;="&amp;H29)</f>
        <v>0</v>
      </c>
      <c r="J28" s="38">
        <f t="shared" si="4"/>
        <v>10602.009804176463</v>
      </c>
      <c r="K28" s="39">
        <f>COUNTIF(Vertices[Betweenness Centrality],"&gt;= "&amp;J28)-COUNTIF(Vertices[Betweenness Centrality],"&gt;="&amp;J29)</f>
        <v>0</v>
      </c>
      <c r="L28" s="38">
        <f t="shared" si="5"/>
        <v>0.21533888235294127</v>
      </c>
      <c r="M28" s="39">
        <f>COUNTIF(Vertices[Closeness Centrality],"&gt;= "&amp;L28)-COUNTIF(Vertices[Closeness Centrality],"&gt;="&amp;L29)</f>
        <v>2</v>
      </c>
      <c r="N28" s="38">
        <f t="shared" si="6"/>
        <v>0.550025411764706</v>
      </c>
      <c r="O28" s="39">
        <f>COUNTIF(Vertices[Eigenvector Centrality],"&gt;= "&amp;N28)-COUNTIF(Vertices[Eigenvector Centrality],"&gt;="&amp;N29)</f>
        <v>0</v>
      </c>
      <c r="P28" s="38">
        <f t="shared" si="7"/>
        <v>0.02889900000000002</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2090</v>
      </c>
      <c r="B29" s="35" t="s">
        <v>2978</v>
      </c>
      <c r="D29" s="33">
        <f t="shared" si="1"/>
        <v>0</v>
      </c>
      <c r="E29" s="3">
        <f>COUNTIF(Vertices[Degree],"&gt;= "&amp;D29)-COUNTIF(Vertices[Degree],"&gt;="&amp;D30)</f>
        <v>0</v>
      </c>
      <c r="F29" s="40">
        <f t="shared" si="2"/>
        <v>54.794117647058854</v>
      </c>
      <c r="G29" s="41">
        <f>COUNTIF(Vertices[In-Degree],"&gt;= "&amp;F29)-COUNTIF(Vertices[In-Degree],"&gt;="&amp;F30)</f>
        <v>0</v>
      </c>
      <c r="H29" s="40">
        <f t="shared" si="3"/>
        <v>20.058823529411764</v>
      </c>
      <c r="I29" s="41">
        <f>COUNTIF(Vertices[Out-Degree],"&gt;= "&amp;H29)-COUNTIF(Vertices[Out-Degree],"&gt;="&amp;H30)</f>
        <v>0</v>
      </c>
      <c r="J29" s="40">
        <f t="shared" si="4"/>
        <v>11009.779412029404</v>
      </c>
      <c r="K29" s="41">
        <f>COUNTIF(Vertices[Betweenness Centrality],"&gt;= "&amp;J29)-COUNTIF(Vertices[Betweenness Centrality],"&gt;="&amp;J30)</f>
        <v>0</v>
      </c>
      <c r="L29" s="40">
        <f t="shared" si="5"/>
        <v>0.22362114705882363</v>
      </c>
      <c r="M29" s="41">
        <f>COUNTIF(Vertices[Closeness Centrality],"&gt;= "&amp;L29)-COUNTIF(Vertices[Closeness Centrality],"&gt;="&amp;L30)</f>
        <v>2</v>
      </c>
      <c r="N29" s="40">
        <f t="shared" si="6"/>
        <v>0.5711802352941178</v>
      </c>
      <c r="O29" s="41">
        <f>COUNTIF(Vertices[Eigenvector Centrality],"&gt;= "&amp;N29)-COUNTIF(Vertices[Eigenvector Centrality],"&gt;="&amp;N30)</f>
        <v>0</v>
      </c>
      <c r="P29" s="40">
        <f t="shared" si="7"/>
        <v>0.02986150000000002</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56.82352941176474</v>
      </c>
      <c r="G30" s="39">
        <f>COUNTIF(Vertices[In-Degree],"&gt;= "&amp;F30)-COUNTIF(Vertices[In-Degree],"&gt;="&amp;F31)</f>
        <v>0</v>
      </c>
      <c r="H30" s="38">
        <f t="shared" si="3"/>
        <v>20.764705882352942</v>
      </c>
      <c r="I30" s="39">
        <f>COUNTIF(Vertices[Out-Degree],"&gt;= "&amp;H30)-COUNTIF(Vertices[Out-Degree],"&gt;="&amp;H31)</f>
        <v>0</v>
      </c>
      <c r="J30" s="38">
        <f t="shared" si="4"/>
        <v>11417.549019882345</v>
      </c>
      <c r="K30" s="39">
        <f>COUNTIF(Vertices[Betweenness Centrality],"&gt;= "&amp;J30)-COUNTIF(Vertices[Betweenness Centrality],"&gt;="&amp;J31)</f>
        <v>0</v>
      </c>
      <c r="L30" s="38">
        <f t="shared" si="5"/>
        <v>0.231903411764706</v>
      </c>
      <c r="M30" s="39">
        <f>COUNTIF(Vertices[Closeness Centrality],"&gt;= "&amp;L30)-COUNTIF(Vertices[Closeness Centrality],"&gt;="&amp;L31)</f>
        <v>0</v>
      </c>
      <c r="N30" s="38">
        <f t="shared" si="6"/>
        <v>0.5923350588235295</v>
      </c>
      <c r="O30" s="39">
        <f>COUNTIF(Vertices[Eigenvector Centrality],"&gt;= "&amp;N30)-COUNTIF(Vertices[Eigenvector Centrality],"&gt;="&amp;N31)</f>
        <v>0</v>
      </c>
      <c r="P30" s="38">
        <f t="shared" si="7"/>
        <v>0.03082400000000002</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2091</v>
      </c>
      <c r="B31" s="35" t="s">
        <v>2973</v>
      </c>
      <c r="D31" s="33">
        <f t="shared" si="1"/>
        <v>0</v>
      </c>
      <c r="E31" s="3">
        <f>COUNTIF(Vertices[Degree],"&gt;= "&amp;D31)-COUNTIF(Vertices[Degree],"&gt;="&amp;D32)</f>
        <v>0</v>
      </c>
      <c r="F31" s="40">
        <f t="shared" si="2"/>
        <v>58.85294117647062</v>
      </c>
      <c r="G31" s="41">
        <f>COUNTIF(Vertices[In-Degree],"&gt;= "&amp;F31)-COUNTIF(Vertices[In-Degree],"&gt;="&amp;F32)</f>
        <v>0</v>
      </c>
      <c r="H31" s="40">
        <f t="shared" si="3"/>
        <v>21.47058823529412</v>
      </c>
      <c r="I31" s="41">
        <f>COUNTIF(Vertices[Out-Degree],"&gt;= "&amp;H31)-COUNTIF(Vertices[Out-Degree],"&gt;="&amp;H32)</f>
        <v>0</v>
      </c>
      <c r="J31" s="40">
        <f t="shared" si="4"/>
        <v>11825.318627735285</v>
      </c>
      <c r="K31" s="41">
        <f>COUNTIF(Vertices[Betweenness Centrality],"&gt;= "&amp;J31)-COUNTIF(Vertices[Betweenness Centrality],"&gt;="&amp;J32)</f>
        <v>0</v>
      </c>
      <c r="L31" s="40">
        <f t="shared" si="5"/>
        <v>0.24018567647058836</v>
      </c>
      <c r="M31" s="41">
        <f>COUNTIF(Vertices[Closeness Centrality],"&gt;= "&amp;L31)-COUNTIF(Vertices[Closeness Centrality],"&gt;="&amp;L32)</f>
        <v>0</v>
      </c>
      <c r="N31" s="40">
        <f t="shared" si="6"/>
        <v>0.6134898823529413</v>
      </c>
      <c r="O31" s="41">
        <f>COUNTIF(Vertices[Eigenvector Centrality],"&gt;= "&amp;N31)-COUNTIF(Vertices[Eigenvector Centrality],"&gt;="&amp;N32)</f>
        <v>0</v>
      </c>
      <c r="P31" s="40">
        <f t="shared" si="7"/>
        <v>0.03178650000000002</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2092</v>
      </c>
      <c r="B32" s="35" t="s">
        <v>1267</v>
      </c>
      <c r="D32" s="33">
        <f t="shared" si="1"/>
        <v>0</v>
      </c>
      <c r="E32" s="3">
        <f>COUNTIF(Vertices[Degree],"&gt;= "&amp;D32)-COUNTIF(Vertices[Degree],"&gt;="&amp;D33)</f>
        <v>0</v>
      </c>
      <c r="F32" s="38">
        <f t="shared" si="2"/>
        <v>60.88235294117651</v>
      </c>
      <c r="G32" s="39">
        <f>COUNTIF(Vertices[In-Degree],"&gt;= "&amp;F32)-COUNTIF(Vertices[In-Degree],"&gt;="&amp;F33)</f>
        <v>0</v>
      </c>
      <c r="H32" s="38">
        <f t="shared" si="3"/>
        <v>22.176470588235297</v>
      </c>
      <c r="I32" s="39">
        <f>COUNTIF(Vertices[Out-Degree],"&gt;= "&amp;H32)-COUNTIF(Vertices[Out-Degree],"&gt;="&amp;H33)</f>
        <v>0</v>
      </c>
      <c r="J32" s="38">
        <f t="shared" si="4"/>
        <v>12233.088235588226</v>
      </c>
      <c r="K32" s="39">
        <f>COUNTIF(Vertices[Betweenness Centrality],"&gt;= "&amp;J32)-COUNTIF(Vertices[Betweenness Centrality],"&gt;="&amp;J33)</f>
        <v>0</v>
      </c>
      <c r="L32" s="38">
        <f t="shared" si="5"/>
        <v>0.24846794117647072</v>
      </c>
      <c r="M32" s="39">
        <f>COUNTIF(Vertices[Closeness Centrality],"&gt;= "&amp;L32)-COUNTIF(Vertices[Closeness Centrality],"&gt;="&amp;L33)</f>
        <v>0</v>
      </c>
      <c r="N32" s="38">
        <f t="shared" si="6"/>
        <v>0.6346447058823531</v>
      </c>
      <c r="O32" s="39">
        <f>COUNTIF(Vertices[Eigenvector Centrality],"&gt;= "&amp;N32)-COUNTIF(Vertices[Eigenvector Centrality],"&gt;="&amp;N33)</f>
        <v>0</v>
      </c>
      <c r="P32" s="38">
        <f t="shared" si="7"/>
        <v>0.03274900000000002</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409.5">
      <c r="A33" s="35" t="s">
        <v>2093</v>
      </c>
      <c r="B33" s="54" t="s">
        <v>2974</v>
      </c>
      <c r="D33" s="33">
        <f t="shared" si="1"/>
        <v>0</v>
      </c>
      <c r="E33" s="3">
        <f>COUNTIF(Vertices[Degree],"&gt;= "&amp;D33)-COUNTIF(Vertices[Degree],"&gt;="&amp;D34)</f>
        <v>0</v>
      </c>
      <c r="F33" s="40">
        <f t="shared" si="2"/>
        <v>62.91176470588239</v>
      </c>
      <c r="G33" s="41">
        <f>COUNTIF(Vertices[In-Degree],"&gt;= "&amp;F33)-COUNTIF(Vertices[In-Degree],"&gt;="&amp;F34)</f>
        <v>0</v>
      </c>
      <c r="H33" s="40">
        <f t="shared" si="3"/>
        <v>22.882352941176475</v>
      </c>
      <c r="I33" s="41">
        <f>COUNTIF(Vertices[Out-Degree],"&gt;= "&amp;H33)-COUNTIF(Vertices[Out-Degree],"&gt;="&amp;H34)</f>
        <v>0</v>
      </c>
      <c r="J33" s="40">
        <f t="shared" si="4"/>
        <v>12640.857843441167</v>
      </c>
      <c r="K33" s="41">
        <f>COUNTIF(Vertices[Betweenness Centrality],"&gt;= "&amp;J33)-COUNTIF(Vertices[Betweenness Centrality],"&gt;="&amp;J34)</f>
        <v>0</v>
      </c>
      <c r="L33" s="40">
        <f t="shared" si="5"/>
        <v>0.2567502058823531</v>
      </c>
      <c r="M33" s="41">
        <f>COUNTIF(Vertices[Closeness Centrality],"&gt;= "&amp;L33)-COUNTIF(Vertices[Closeness Centrality],"&gt;="&amp;L34)</f>
        <v>0</v>
      </c>
      <c r="N33" s="40">
        <f t="shared" si="6"/>
        <v>0.6557995294117649</v>
      </c>
      <c r="O33" s="41">
        <f>COUNTIF(Vertices[Eigenvector Centrality],"&gt;= "&amp;N33)-COUNTIF(Vertices[Eigenvector Centrality],"&gt;="&amp;N34)</f>
        <v>0</v>
      </c>
      <c r="P33" s="40">
        <f t="shared" si="7"/>
        <v>0.03371150000000002</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2094</v>
      </c>
      <c r="B34" s="35" t="s">
        <v>2975</v>
      </c>
      <c r="D34" s="33">
        <f t="shared" si="1"/>
        <v>0</v>
      </c>
      <c r="E34" s="3">
        <f>COUNTIF(Vertices[Degree],"&gt;= "&amp;D34)-COUNTIF(Vertices[Degree],"&gt;="&amp;D35)</f>
        <v>0</v>
      </c>
      <c r="F34" s="38">
        <f t="shared" si="2"/>
        <v>64.94117647058827</v>
      </c>
      <c r="G34" s="39">
        <f>COUNTIF(Vertices[In-Degree],"&gt;= "&amp;F34)-COUNTIF(Vertices[In-Degree],"&gt;="&amp;F35)</f>
        <v>0</v>
      </c>
      <c r="H34" s="38">
        <f t="shared" si="3"/>
        <v>23.588235294117652</v>
      </c>
      <c r="I34" s="39">
        <f>COUNTIF(Vertices[Out-Degree],"&gt;= "&amp;H34)-COUNTIF(Vertices[Out-Degree],"&gt;="&amp;H35)</f>
        <v>0</v>
      </c>
      <c r="J34" s="38">
        <f t="shared" si="4"/>
        <v>13048.627451294107</v>
      </c>
      <c r="K34" s="39">
        <f>COUNTIF(Vertices[Betweenness Centrality],"&gt;= "&amp;J34)-COUNTIF(Vertices[Betweenness Centrality],"&gt;="&amp;J35)</f>
        <v>0</v>
      </c>
      <c r="L34" s="38">
        <f t="shared" si="5"/>
        <v>0.2650324705882354</v>
      </c>
      <c r="M34" s="39">
        <f>COUNTIF(Vertices[Closeness Centrality],"&gt;= "&amp;L34)-COUNTIF(Vertices[Closeness Centrality],"&gt;="&amp;L35)</f>
        <v>0</v>
      </c>
      <c r="N34" s="38">
        <f t="shared" si="6"/>
        <v>0.6769543529411767</v>
      </c>
      <c r="O34" s="39">
        <f>COUNTIF(Vertices[Eigenvector Centrality],"&gt;= "&amp;N34)-COUNTIF(Vertices[Eigenvector Centrality],"&gt;="&amp;N35)</f>
        <v>0</v>
      </c>
      <c r="P34" s="38">
        <f t="shared" si="7"/>
        <v>0.03467400000000002</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35" t="s">
        <v>2095</v>
      </c>
      <c r="B35" s="35" t="s">
        <v>2976</v>
      </c>
      <c r="D35" s="33">
        <f t="shared" si="1"/>
        <v>0</v>
      </c>
      <c r="E35" s="3">
        <f>COUNTIF(Vertices[Degree],"&gt;= "&amp;D35)-COUNTIF(Vertices[Degree],"&gt;="&amp;D36)</f>
        <v>0</v>
      </c>
      <c r="F35" s="40">
        <f t="shared" si="2"/>
        <v>66.97058823529416</v>
      </c>
      <c r="G35" s="41">
        <f>COUNTIF(Vertices[In-Degree],"&gt;= "&amp;F35)-COUNTIF(Vertices[In-Degree],"&gt;="&amp;F36)</f>
        <v>0</v>
      </c>
      <c r="H35" s="40">
        <f t="shared" si="3"/>
        <v>24.29411764705883</v>
      </c>
      <c r="I35" s="41">
        <f>COUNTIF(Vertices[Out-Degree],"&gt;= "&amp;H35)-COUNTIF(Vertices[Out-Degree],"&gt;="&amp;H36)</f>
        <v>0</v>
      </c>
      <c r="J35" s="40">
        <f t="shared" si="4"/>
        <v>13456.397059147048</v>
      </c>
      <c r="K35" s="41">
        <f>COUNTIF(Vertices[Betweenness Centrality],"&gt;= "&amp;J35)-COUNTIF(Vertices[Betweenness Centrality],"&gt;="&amp;J36)</f>
        <v>0</v>
      </c>
      <c r="L35" s="40">
        <f t="shared" si="5"/>
        <v>0.27331473529411776</v>
      </c>
      <c r="M35" s="41">
        <f>COUNTIF(Vertices[Closeness Centrality],"&gt;= "&amp;L35)-COUNTIF(Vertices[Closeness Centrality],"&gt;="&amp;L36)</f>
        <v>0</v>
      </c>
      <c r="N35" s="40">
        <f t="shared" si="6"/>
        <v>0.6981091764705885</v>
      </c>
      <c r="O35" s="41">
        <f>COUNTIF(Vertices[Eigenvector Centrality],"&gt;= "&amp;N35)-COUNTIF(Vertices[Eigenvector Centrality],"&gt;="&amp;N36)</f>
        <v>0</v>
      </c>
      <c r="P35" s="40">
        <f t="shared" si="7"/>
        <v>0.035636500000000015</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2096</v>
      </c>
      <c r="B36" s="35" t="s">
        <v>1377</v>
      </c>
      <c r="D36" s="33">
        <f>MAX(Vertices[Degree])</f>
        <v>0</v>
      </c>
      <c r="E36" s="3">
        <f>COUNTIF(Vertices[Degree],"&gt;= "&amp;D36)-COUNTIF(Vertices[Degree],"&gt;="&amp;#REF!)</f>
        <v>0</v>
      </c>
      <c r="F36" s="42">
        <f>MAX(Vertices[In-Degree])</f>
        <v>69</v>
      </c>
      <c r="G36" s="43">
        <f>COUNTIF(Vertices[In-Degree],"&gt;= "&amp;F36)-COUNTIF(Vertices[In-Degree],"&gt;="&amp;#REF!)</f>
        <v>1</v>
      </c>
      <c r="H36" s="42">
        <f>MAX(Vertices[Out-Degree])</f>
        <v>25</v>
      </c>
      <c r="I36" s="43">
        <f>COUNTIF(Vertices[Out-Degree],"&gt;= "&amp;H36)-COUNTIF(Vertices[Out-Degree],"&gt;="&amp;#REF!)</f>
        <v>1</v>
      </c>
      <c r="J36" s="42">
        <f>MAX(Vertices[Betweenness Centrality])</f>
        <v>13864.166667</v>
      </c>
      <c r="K36" s="43">
        <f>COUNTIF(Vertices[Betweenness Centrality],"&gt;= "&amp;J36)-COUNTIF(Vertices[Betweenness Centrality],"&gt;="&amp;#REF!)</f>
        <v>1</v>
      </c>
      <c r="L36" s="42">
        <f>MAX(Vertices[Closeness Centrality])</f>
        <v>0.281597</v>
      </c>
      <c r="M36" s="43">
        <f>COUNTIF(Vertices[Closeness Centrality],"&gt;= "&amp;L36)-COUNTIF(Vertices[Closeness Centrality],"&gt;="&amp;#REF!)</f>
        <v>1</v>
      </c>
      <c r="N36" s="42">
        <f>MAX(Vertices[Eigenvector Centrality])</f>
        <v>0.719264</v>
      </c>
      <c r="O36" s="43">
        <f>COUNTIF(Vertices[Eigenvector Centrality],"&gt;= "&amp;N36)-COUNTIF(Vertices[Eigenvector Centrality],"&gt;="&amp;#REF!)</f>
        <v>1</v>
      </c>
      <c r="P36" s="42">
        <f>MAX(Vertices[PageRank])</f>
        <v>0.036599</v>
      </c>
      <c r="Q36" s="43">
        <f>COUNTIF(Vertices[PageRank],"&gt;= "&amp;P36)-COUNTIF(Vertices[PageRank],"&gt;="&amp;#REF!)</f>
        <v>1</v>
      </c>
      <c r="R36" s="42">
        <f>MAX(Vertices[Clustering Coefficient])</f>
        <v>0.5</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35" t="s">
        <v>2097</v>
      </c>
      <c r="B37" s="35" t="s">
        <v>1377</v>
      </c>
    </row>
    <row r="38" spans="1:2" ht="15">
      <c r="A38" s="35" t="s">
        <v>2098</v>
      </c>
      <c r="B38" s="35" t="s">
        <v>1377</v>
      </c>
    </row>
    <row r="39" spans="1:2" ht="15">
      <c r="A39" s="35" t="s">
        <v>2099</v>
      </c>
      <c r="B39" s="35"/>
    </row>
    <row r="40" spans="1:2" ht="15">
      <c r="A40" s="35" t="s">
        <v>21</v>
      </c>
      <c r="B40" s="35"/>
    </row>
    <row r="41" spans="1:2" ht="15">
      <c r="A41" s="35" t="s">
        <v>2100</v>
      </c>
      <c r="B41" s="35" t="s">
        <v>34</v>
      </c>
    </row>
    <row r="42" spans="1:2" ht="15">
      <c r="A42" s="35" t="s">
        <v>2101</v>
      </c>
      <c r="B42" s="35"/>
    </row>
    <row r="43" spans="1:2" ht="15">
      <c r="A43" s="35" t="s">
        <v>2102</v>
      </c>
      <c r="B43"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69</v>
      </c>
    </row>
    <row r="83" spans="1:2" ht="15">
      <c r="A83" s="34" t="s">
        <v>90</v>
      </c>
      <c r="B83" s="48">
        <f>_xlfn.IFERROR(AVERAGE(Vertices[In-Degree]),NoMetricMessage)</f>
        <v>1.3258928571428572</v>
      </c>
    </row>
    <row r="84" spans="1:2" ht="15">
      <c r="A84" s="34" t="s">
        <v>91</v>
      </c>
      <c r="B84" s="48">
        <f>_xlfn.IFERROR(MEDIAN(Vertices[In-Degree]),NoMetricMessage)</f>
        <v>0</v>
      </c>
    </row>
    <row r="95" spans="1:2" ht="15">
      <c r="A95" s="34" t="s">
        <v>94</v>
      </c>
      <c r="B95" s="47">
        <f>IF(COUNT(Vertices[Out-Degree])&gt;0,H2,NoMetricMessage)</f>
        <v>1</v>
      </c>
    </row>
    <row r="96" spans="1:2" ht="15">
      <c r="A96" s="34" t="s">
        <v>95</v>
      </c>
      <c r="B96" s="47">
        <f>IF(COUNT(Vertices[Out-Degree])&gt;0,H36,NoMetricMessage)</f>
        <v>25</v>
      </c>
    </row>
    <row r="97" spans="1:2" ht="15">
      <c r="A97" s="34" t="s">
        <v>96</v>
      </c>
      <c r="B97" s="48">
        <f>_xlfn.IFERROR(AVERAGE(Vertices[Out-Degree]),NoMetricMessage)</f>
        <v>1.3258928571428572</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13864.166667</v>
      </c>
    </row>
    <row r="111" spans="1:2" ht="15">
      <c r="A111" s="34" t="s">
        <v>102</v>
      </c>
      <c r="B111" s="48">
        <f>_xlfn.IFERROR(AVERAGE(Vertices[Betweenness Centrality]),NoMetricMessage)</f>
        <v>202.58035714285714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0.281597</v>
      </c>
    </row>
    <row r="125" spans="1:2" ht="15">
      <c r="A125" s="34" t="s">
        <v>108</v>
      </c>
      <c r="B125" s="48">
        <f>_xlfn.IFERROR(AVERAGE(Vertices[Closeness Centrality]),NoMetricMessage)</f>
        <v>0.10077602232142857</v>
      </c>
    </row>
    <row r="126" spans="1:2" ht="15">
      <c r="A126" s="34" t="s">
        <v>109</v>
      </c>
      <c r="B126" s="48">
        <f>_xlfn.IFERROR(MEDIAN(Vertices[Closeness Centrality]),NoMetricMessage)</f>
        <v>0.121339</v>
      </c>
    </row>
    <row r="137" spans="1:2" ht="15">
      <c r="A137" s="34" t="s">
        <v>112</v>
      </c>
      <c r="B137" s="48">
        <f>IF(COUNT(Vertices[Eigenvector Centrality])&gt;0,N2,NoMetricMessage)</f>
        <v>0</v>
      </c>
    </row>
    <row r="138" spans="1:2" ht="15">
      <c r="A138" s="34" t="s">
        <v>113</v>
      </c>
      <c r="B138" s="48">
        <f>IF(COUNT(Vertices[Eigenvector Centrality])&gt;0,N36,NoMetricMessage)</f>
        <v>0.719264</v>
      </c>
    </row>
    <row r="139" spans="1:2" ht="15">
      <c r="A139" s="34" t="s">
        <v>114</v>
      </c>
      <c r="B139" s="48">
        <f>_xlfn.IFERROR(AVERAGE(Vertices[Eigenvector Centrality]),NoMetricMessage)</f>
        <v>0.030103973214285745</v>
      </c>
    </row>
    <row r="140" spans="1:2" ht="15">
      <c r="A140" s="34" t="s">
        <v>115</v>
      </c>
      <c r="B140" s="48">
        <f>_xlfn.IFERROR(MEDIAN(Vertices[Eigenvector Centrality]),NoMetricMessage)</f>
        <v>0.0009935</v>
      </c>
    </row>
    <row r="151" spans="1:2" ht="15">
      <c r="A151" s="34" t="s">
        <v>140</v>
      </c>
      <c r="B151" s="48">
        <f>IF(COUNT(Vertices[PageRank])&gt;0,P2,NoMetricMessage)</f>
        <v>0.003874</v>
      </c>
    </row>
    <row r="152" spans="1:2" ht="15">
      <c r="A152" s="34" t="s">
        <v>141</v>
      </c>
      <c r="B152" s="48">
        <f>IF(COUNT(Vertices[PageRank])&gt;0,P36,NoMetricMessage)</f>
        <v>0.036599</v>
      </c>
    </row>
    <row r="153" spans="1:2" ht="15">
      <c r="A153" s="34" t="s">
        <v>142</v>
      </c>
      <c r="B153" s="48">
        <f>_xlfn.IFERROR(AVERAGE(Vertices[PageRank]),NoMetricMessage)</f>
        <v>0.004464285714285722</v>
      </c>
    </row>
    <row r="154" spans="1:2" ht="15">
      <c r="A154" s="34" t="s">
        <v>143</v>
      </c>
      <c r="B154" s="48">
        <f>_xlfn.IFERROR(MEDIAN(Vertices[PageRank]),NoMetricMessage)</f>
        <v>0.004018</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0.01748609891717881</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81"/>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303</v>
      </c>
    </row>
    <row r="6" spans="1:18" ht="409.5">
      <c r="A6">
        <v>0</v>
      </c>
      <c r="B6" s="1" t="s">
        <v>136</v>
      </c>
      <c r="C6">
        <v>1</v>
      </c>
      <c r="D6" t="s">
        <v>59</v>
      </c>
      <c r="E6" t="s">
        <v>59</v>
      </c>
      <c r="F6">
        <v>0</v>
      </c>
      <c r="H6" t="s">
        <v>71</v>
      </c>
      <c r="J6" t="s">
        <v>173</v>
      </c>
      <c r="K6" s="13" t="s">
        <v>304</v>
      </c>
      <c r="R6" t="s">
        <v>129</v>
      </c>
    </row>
    <row r="7" spans="1:11" ht="409.5">
      <c r="A7">
        <v>2</v>
      </c>
      <c r="B7">
        <v>1</v>
      </c>
      <c r="C7">
        <v>0</v>
      </c>
      <c r="D7" t="s">
        <v>60</v>
      </c>
      <c r="E7" t="s">
        <v>60</v>
      </c>
      <c r="F7">
        <v>2</v>
      </c>
      <c r="H7" t="s">
        <v>72</v>
      </c>
      <c r="J7" t="s">
        <v>174</v>
      </c>
      <c r="K7" s="13" t="s">
        <v>305</v>
      </c>
    </row>
    <row r="8" spans="1:11" ht="409.5">
      <c r="A8"/>
      <c r="B8">
        <v>2</v>
      </c>
      <c r="C8">
        <v>2</v>
      </c>
      <c r="D8" t="s">
        <v>61</v>
      </c>
      <c r="E8" t="s">
        <v>61</v>
      </c>
      <c r="H8" t="s">
        <v>73</v>
      </c>
      <c r="J8" t="s">
        <v>175</v>
      </c>
      <c r="K8" s="13" t="s">
        <v>306</v>
      </c>
    </row>
    <row r="9" spans="1:11" ht="409.5">
      <c r="A9"/>
      <c r="B9">
        <v>3</v>
      </c>
      <c r="C9">
        <v>4</v>
      </c>
      <c r="D9" t="s">
        <v>62</v>
      </c>
      <c r="E9" t="s">
        <v>62</v>
      </c>
      <c r="H9" t="s">
        <v>74</v>
      </c>
      <c r="J9" t="s">
        <v>176</v>
      </c>
      <c r="K9" s="13" t="s">
        <v>307</v>
      </c>
    </row>
    <row r="10" spans="1:11" ht="15">
      <c r="A10"/>
      <c r="B10">
        <v>4</v>
      </c>
      <c r="D10" t="s">
        <v>63</v>
      </c>
      <c r="E10" t="s">
        <v>63</v>
      </c>
      <c r="H10" t="s">
        <v>75</v>
      </c>
      <c r="J10" t="s">
        <v>177</v>
      </c>
      <c r="K10" t="s">
        <v>308</v>
      </c>
    </row>
    <row r="11" spans="1:11" ht="15">
      <c r="A11"/>
      <c r="B11">
        <v>5</v>
      </c>
      <c r="D11" t="s">
        <v>46</v>
      </c>
      <c r="E11">
        <v>1</v>
      </c>
      <c r="H11" t="s">
        <v>76</v>
      </c>
      <c r="J11" t="s">
        <v>178</v>
      </c>
      <c r="K11" t="s">
        <v>309</v>
      </c>
    </row>
    <row r="12" spans="1:11" ht="15">
      <c r="A12"/>
      <c r="B12"/>
      <c r="D12" t="s">
        <v>64</v>
      </c>
      <c r="E12">
        <v>2</v>
      </c>
      <c r="H12">
        <v>0</v>
      </c>
      <c r="J12" t="s">
        <v>179</v>
      </c>
      <c r="K12" t="s">
        <v>310</v>
      </c>
    </row>
    <row r="13" spans="1:11" ht="15">
      <c r="A13"/>
      <c r="B13"/>
      <c r="D13">
        <v>1</v>
      </c>
      <c r="E13">
        <v>3</v>
      </c>
      <c r="H13">
        <v>1</v>
      </c>
      <c r="J13" t="s">
        <v>180</v>
      </c>
      <c r="K13" t="s">
        <v>311</v>
      </c>
    </row>
    <row r="14" spans="4:11" ht="15">
      <c r="D14">
        <v>2</v>
      </c>
      <c r="E14">
        <v>4</v>
      </c>
      <c r="H14">
        <v>2</v>
      </c>
      <c r="J14" t="s">
        <v>181</v>
      </c>
      <c r="K14" t="s">
        <v>312</v>
      </c>
    </row>
    <row r="15" spans="4:11" ht="15">
      <c r="D15">
        <v>3</v>
      </c>
      <c r="E15">
        <v>5</v>
      </c>
      <c r="H15">
        <v>3</v>
      </c>
      <c r="J15" t="s">
        <v>182</v>
      </c>
      <c r="K15" t="s">
        <v>313</v>
      </c>
    </row>
    <row r="16" spans="4:11" ht="15">
      <c r="D16">
        <v>4</v>
      </c>
      <c r="E16">
        <v>6</v>
      </c>
      <c r="H16">
        <v>4</v>
      </c>
      <c r="J16" t="s">
        <v>183</v>
      </c>
      <c r="K16" t="s">
        <v>314</v>
      </c>
    </row>
    <row r="17" spans="4:11" ht="15">
      <c r="D17">
        <v>5</v>
      </c>
      <c r="E17">
        <v>7</v>
      </c>
      <c r="H17">
        <v>5</v>
      </c>
      <c r="J17" t="s">
        <v>184</v>
      </c>
      <c r="K17" t="s">
        <v>315</v>
      </c>
    </row>
    <row r="18" spans="4:11" ht="15">
      <c r="D18">
        <v>6</v>
      </c>
      <c r="E18">
        <v>8</v>
      </c>
      <c r="H18">
        <v>6</v>
      </c>
      <c r="J18" t="s">
        <v>185</v>
      </c>
      <c r="K18" t="s">
        <v>316</v>
      </c>
    </row>
    <row r="19" spans="4:11" ht="15">
      <c r="D19">
        <v>7</v>
      </c>
      <c r="E19">
        <v>9</v>
      </c>
      <c r="H19">
        <v>7</v>
      </c>
      <c r="J19" t="s">
        <v>186</v>
      </c>
      <c r="K19" t="s">
        <v>317</v>
      </c>
    </row>
    <row r="20" spans="4:11" ht="409.5">
      <c r="D20">
        <v>8</v>
      </c>
      <c r="H20">
        <v>8</v>
      </c>
      <c r="J20" t="s">
        <v>187</v>
      </c>
      <c r="K20" s="13" t="s">
        <v>318</v>
      </c>
    </row>
    <row r="21" spans="4:11" ht="409.5">
      <c r="D21">
        <v>9</v>
      </c>
      <c r="H21">
        <v>9</v>
      </c>
      <c r="J21" t="s">
        <v>188</v>
      </c>
      <c r="K21" s="13" t="s">
        <v>319</v>
      </c>
    </row>
    <row r="22" spans="4:11" ht="409.5">
      <c r="D22">
        <v>10</v>
      </c>
      <c r="J22" t="s">
        <v>189</v>
      </c>
      <c r="K22" s="13" t="s">
        <v>320</v>
      </c>
    </row>
    <row r="23" spans="4:11" ht="409.5">
      <c r="D23">
        <v>11</v>
      </c>
      <c r="J23" t="s">
        <v>190</v>
      </c>
      <c r="K23" s="13" t="s">
        <v>2979</v>
      </c>
    </row>
    <row r="24" spans="10:11" ht="15">
      <c r="J24" t="s">
        <v>191</v>
      </c>
      <c r="K24" t="s">
        <v>192</v>
      </c>
    </row>
    <row r="25" spans="10:11" ht="15">
      <c r="J25" t="s">
        <v>193</v>
      </c>
      <c r="K25" t="s">
        <v>194</v>
      </c>
    </row>
    <row r="26" spans="10:11" ht="15">
      <c r="J26" t="s">
        <v>195</v>
      </c>
      <c r="K26" t="s">
        <v>196</v>
      </c>
    </row>
    <row r="27" spans="10:11" ht="15">
      <c r="J27" t="s">
        <v>197</v>
      </c>
      <c r="K27" t="s">
        <v>198</v>
      </c>
    </row>
    <row r="28" spans="10:11" ht="15">
      <c r="J28" t="s">
        <v>199</v>
      </c>
      <c r="K28" t="s">
        <v>200</v>
      </c>
    </row>
    <row r="29" spans="10:11" ht="15">
      <c r="J29" t="s">
        <v>201</v>
      </c>
      <c r="K29" t="s">
        <v>202</v>
      </c>
    </row>
    <row r="30" spans="10:11" ht="15">
      <c r="J30" t="s">
        <v>203</v>
      </c>
      <c r="K30" t="s">
        <v>204</v>
      </c>
    </row>
    <row r="31" spans="10:11" ht="15">
      <c r="J31" t="s">
        <v>205</v>
      </c>
      <c r="K31" t="s">
        <v>206</v>
      </c>
    </row>
    <row r="32" spans="10:11" ht="15">
      <c r="J32" t="s">
        <v>207</v>
      </c>
      <c r="K32" t="s">
        <v>208</v>
      </c>
    </row>
    <row r="33" spans="10:11" ht="15">
      <c r="J33" t="s">
        <v>209</v>
      </c>
      <c r="K33" t="s">
        <v>210</v>
      </c>
    </row>
    <row r="34" spans="10:11" ht="15">
      <c r="J34" t="s">
        <v>211</v>
      </c>
      <c r="K34" t="s">
        <v>212</v>
      </c>
    </row>
    <row r="35" spans="10:11" ht="15">
      <c r="J35" t="s">
        <v>213</v>
      </c>
      <c r="K35" t="s">
        <v>214</v>
      </c>
    </row>
    <row r="36" spans="10:11" ht="15">
      <c r="J36" t="s">
        <v>215</v>
      </c>
      <c r="K36" t="s">
        <v>216</v>
      </c>
    </row>
    <row r="37" spans="10:11" ht="15">
      <c r="J37" t="s">
        <v>217</v>
      </c>
      <c r="K37" t="s">
        <v>218</v>
      </c>
    </row>
    <row r="38" spans="10:11" ht="15">
      <c r="J38" t="s">
        <v>219</v>
      </c>
      <c r="K38" t="s">
        <v>220</v>
      </c>
    </row>
    <row r="39" spans="10:11" ht="15">
      <c r="J39" t="s">
        <v>221</v>
      </c>
      <c r="K39" t="s">
        <v>222</v>
      </c>
    </row>
    <row r="40" spans="10:11" ht="15">
      <c r="J40" t="s">
        <v>223</v>
      </c>
      <c r="K40" t="s">
        <v>224</v>
      </c>
    </row>
    <row r="41" spans="10:11" ht="15">
      <c r="J41" t="s">
        <v>225</v>
      </c>
      <c r="K41" t="s">
        <v>226</v>
      </c>
    </row>
    <row r="42" spans="10:11" ht="15">
      <c r="J42" t="s">
        <v>227</v>
      </c>
      <c r="K42" t="s">
        <v>228</v>
      </c>
    </row>
    <row r="43" spans="10:11" ht="15">
      <c r="J43" t="s">
        <v>229</v>
      </c>
      <c r="K43" t="s">
        <v>230</v>
      </c>
    </row>
    <row r="44" spans="10:11" ht="15">
      <c r="J44" t="s">
        <v>231</v>
      </c>
      <c r="K44" t="s">
        <v>232</v>
      </c>
    </row>
    <row r="45" spans="10:11" ht="15">
      <c r="J45" t="s">
        <v>233</v>
      </c>
      <c r="K45" t="s">
        <v>234</v>
      </c>
    </row>
    <row r="46" spans="10:11" ht="15">
      <c r="J46" t="s">
        <v>235</v>
      </c>
      <c r="K46" t="s">
        <v>236</v>
      </c>
    </row>
    <row r="47" spans="10:11" ht="15">
      <c r="J47" t="s">
        <v>237</v>
      </c>
      <c r="K47" t="s">
        <v>238</v>
      </c>
    </row>
    <row r="48" spans="10:11" ht="15">
      <c r="J48" t="s">
        <v>239</v>
      </c>
      <c r="K48" t="s">
        <v>240</v>
      </c>
    </row>
    <row r="49" spans="10:11" ht="15">
      <c r="J49" t="s">
        <v>241</v>
      </c>
      <c r="K49" t="s">
        <v>242</v>
      </c>
    </row>
    <row r="50" spans="10:11" ht="15">
      <c r="J50" t="s">
        <v>243</v>
      </c>
      <c r="K50" t="s">
        <v>244</v>
      </c>
    </row>
    <row r="51" spans="10:11" ht="15">
      <c r="J51" t="s">
        <v>245</v>
      </c>
      <c r="K51" t="s">
        <v>246</v>
      </c>
    </row>
    <row r="52" spans="10:11" ht="15">
      <c r="J52" t="s">
        <v>247</v>
      </c>
      <c r="K52" t="s">
        <v>248</v>
      </c>
    </row>
    <row r="53" spans="10:11" ht="15">
      <c r="J53" t="s">
        <v>249</v>
      </c>
      <c r="K53" t="s">
        <v>250</v>
      </c>
    </row>
    <row r="54" spans="10:11" ht="15">
      <c r="J54" t="s">
        <v>251</v>
      </c>
      <c r="K54" t="s">
        <v>252</v>
      </c>
    </row>
    <row r="55" spans="10:11" ht="15">
      <c r="J55" t="s">
        <v>253</v>
      </c>
      <c r="K55" t="s">
        <v>254</v>
      </c>
    </row>
    <row r="56" spans="10:11" ht="15">
      <c r="J56" t="s">
        <v>255</v>
      </c>
      <c r="K56" t="s">
        <v>256</v>
      </c>
    </row>
    <row r="57" spans="10:11" ht="15">
      <c r="J57" t="s">
        <v>257</v>
      </c>
      <c r="K57" t="s">
        <v>258</v>
      </c>
    </row>
    <row r="58" spans="10:11" ht="15">
      <c r="J58" t="s">
        <v>259</v>
      </c>
      <c r="K58" t="s">
        <v>260</v>
      </c>
    </row>
    <row r="59" spans="10:11" ht="15">
      <c r="J59" t="s">
        <v>261</v>
      </c>
      <c r="K59" t="s">
        <v>262</v>
      </c>
    </row>
    <row r="60" spans="10:11" ht="15">
      <c r="J60" t="s">
        <v>263</v>
      </c>
      <c r="K60" t="s">
        <v>264</v>
      </c>
    </row>
    <row r="61" spans="10:11" ht="15">
      <c r="J61" t="s">
        <v>265</v>
      </c>
      <c r="K61" t="s">
        <v>266</v>
      </c>
    </row>
    <row r="62" spans="10:11" ht="15">
      <c r="J62" t="s">
        <v>267</v>
      </c>
      <c r="K62" t="s">
        <v>268</v>
      </c>
    </row>
    <row r="63" spans="10:11" ht="15">
      <c r="J63" t="s">
        <v>269</v>
      </c>
      <c r="K63" t="s">
        <v>270</v>
      </c>
    </row>
    <row r="64" spans="10:11" ht="15">
      <c r="J64" t="s">
        <v>271</v>
      </c>
      <c r="K64" t="s">
        <v>272</v>
      </c>
    </row>
    <row r="65" spans="10:11" ht="15">
      <c r="J65" t="s">
        <v>273</v>
      </c>
      <c r="K65" t="s">
        <v>274</v>
      </c>
    </row>
    <row r="66" spans="10:11" ht="15">
      <c r="J66" t="s">
        <v>275</v>
      </c>
      <c r="K66" t="s">
        <v>276</v>
      </c>
    </row>
    <row r="67" spans="10:11" ht="15">
      <c r="J67" t="s">
        <v>277</v>
      </c>
      <c r="K67" t="s">
        <v>278</v>
      </c>
    </row>
    <row r="68" spans="10:11" ht="15">
      <c r="J68" t="s">
        <v>279</v>
      </c>
      <c r="K68" t="s">
        <v>280</v>
      </c>
    </row>
    <row r="69" spans="10:11" ht="15">
      <c r="J69" t="s">
        <v>281</v>
      </c>
      <c r="K69" t="s">
        <v>282</v>
      </c>
    </row>
    <row r="70" spans="10:11" ht="15">
      <c r="J70" t="s">
        <v>283</v>
      </c>
      <c r="K70" t="s">
        <v>284</v>
      </c>
    </row>
    <row r="71" spans="10:11" ht="15">
      <c r="J71" t="s">
        <v>285</v>
      </c>
      <c r="K71" t="s">
        <v>286</v>
      </c>
    </row>
    <row r="72" spans="10:11" ht="15">
      <c r="J72" t="s">
        <v>287</v>
      </c>
      <c r="K72" t="s">
        <v>288</v>
      </c>
    </row>
    <row r="73" spans="10:11" ht="15">
      <c r="J73" t="s">
        <v>289</v>
      </c>
      <c r="K73" t="s">
        <v>290</v>
      </c>
    </row>
    <row r="74" spans="10:11" ht="15">
      <c r="J74" t="s">
        <v>291</v>
      </c>
      <c r="K74" t="s">
        <v>292</v>
      </c>
    </row>
    <row r="75" spans="10:11" ht="409.5">
      <c r="J75" t="s">
        <v>293</v>
      </c>
      <c r="K75" s="13" t="s">
        <v>294</v>
      </c>
    </row>
    <row r="76" spans="10:11" ht="409.5">
      <c r="J76" t="s">
        <v>295</v>
      </c>
      <c r="K76" s="13" t="s">
        <v>296</v>
      </c>
    </row>
    <row r="77" spans="10:11" ht="409.5">
      <c r="J77" t="s">
        <v>297</v>
      </c>
      <c r="K77" s="13" t="s">
        <v>298</v>
      </c>
    </row>
    <row r="78" spans="10:11" ht="409.5">
      <c r="J78" t="s">
        <v>299</v>
      </c>
      <c r="K78" s="13" t="s">
        <v>300</v>
      </c>
    </row>
    <row r="79" spans="10:11" ht="15">
      <c r="J79" t="s">
        <v>301</v>
      </c>
      <c r="K79">
        <v>19</v>
      </c>
    </row>
    <row r="80" spans="10:11" ht="15">
      <c r="J80" t="s">
        <v>321</v>
      </c>
      <c r="K80" t="s">
        <v>2971</v>
      </c>
    </row>
    <row r="81" spans="10:11" ht="409.5">
      <c r="J81" t="s">
        <v>322</v>
      </c>
      <c r="K81" s="13" t="s">
        <v>2972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76816-EBED-47CC-9E60-3BB69E9F0ED1}">
  <dimension ref="A1:G131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1419</v>
      </c>
      <c r="B1" s="13" t="s">
        <v>2054</v>
      </c>
      <c r="C1" s="13" t="s">
        <v>2058</v>
      </c>
      <c r="D1" s="13" t="s">
        <v>144</v>
      </c>
      <c r="E1" s="13" t="s">
        <v>2060</v>
      </c>
      <c r="F1" s="13" t="s">
        <v>2061</v>
      </c>
      <c r="G1" s="13" t="s">
        <v>2062</v>
      </c>
    </row>
    <row r="2" spans="1:7" ht="15">
      <c r="A2" s="80" t="s">
        <v>1420</v>
      </c>
      <c r="B2" s="80" t="s">
        <v>2055</v>
      </c>
      <c r="C2" s="109"/>
      <c r="D2" s="80"/>
      <c r="E2" s="80"/>
      <c r="F2" s="80"/>
      <c r="G2" s="80"/>
    </row>
    <row r="3" spans="1:7" ht="15">
      <c r="A3" s="81" t="s">
        <v>1421</v>
      </c>
      <c r="B3" s="80" t="s">
        <v>2056</v>
      </c>
      <c r="C3" s="109"/>
      <c r="D3" s="80"/>
      <c r="E3" s="80"/>
      <c r="F3" s="80"/>
      <c r="G3" s="80"/>
    </row>
    <row r="4" spans="1:7" ht="15">
      <c r="A4" s="81" t="s">
        <v>1422</v>
      </c>
      <c r="B4" s="80" t="s">
        <v>2057</v>
      </c>
      <c r="C4" s="109"/>
      <c r="D4" s="80"/>
      <c r="E4" s="80"/>
      <c r="F4" s="80"/>
      <c r="G4" s="80"/>
    </row>
    <row r="5" spans="1:7" ht="15">
      <c r="A5" s="81" t="s">
        <v>1423</v>
      </c>
      <c r="B5" s="80">
        <v>358</v>
      </c>
      <c r="C5" s="109">
        <v>0.03622748431491601</v>
      </c>
      <c r="D5" s="80"/>
      <c r="E5" s="80"/>
      <c r="F5" s="80"/>
      <c r="G5" s="80"/>
    </row>
    <row r="6" spans="1:7" ht="15">
      <c r="A6" s="81" t="s">
        <v>1424</v>
      </c>
      <c r="B6" s="80">
        <v>86</v>
      </c>
      <c r="C6" s="109">
        <v>0.008702691762801052</v>
      </c>
      <c r="D6" s="80"/>
      <c r="E6" s="80"/>
      <c r="F6" s="80"/>
      <c r="G6" s="80"/>
    </row>
    <row r="7" spans="1:7" ht="15">
      <c r="A7" s="81" t="s">
        <v>1425</v>
      </c>
      <c r="B7" s="80">
        <v>0</v>
      </c>
      <c r="C7" s="109">
        <v>0</v>
      </c>
      <c r="D7" s="80"/>
      <c r="E7" s="80"/>
      <c r="F7" s="80"/>
      <c r="G7" s="80"/>
    </row>
    <row r="8" spans="1:7" ht="15">
      <c r="A8" s="81" t="s">
        <v>1426</v>
      </c>
      <c r="B8" s="80">
        <v>9438</v>
      </c>
      <c r="C8" s="109">
        <v>0.9550698239222829</v>
      </c>
      <c r="D8" s="80"/>
      <c r="E8" s="80"/>
      <c r="F8" s="80"/>
      <c r="G8" s="80"/>
    </row>
    <row r="9" spans="1:7" ht="15">
      <c r="A9" s="81" t="s">
        <v>1427</v>
      </c>
      <c r="B9" s="80">
        <v>9882</v>
      </c>
      <c r="C9" s="109">
        <v>1</v>
      </c>
      <c r="D9" s="80"/>
      <c r="E9" s="80"/>
      <c r="F9" s="80"/>
      <c r="G9" s="80"/>
    </row>
    <row r="10" spans="1:7" ht="15">
      <c r="A10" s="84" t="s">
        <v>1428</v>
      </c>
      <c r="B10" s="83">
        <v>121</v>
      </c>
      <c r="C10" s="110">
        <v>0.01790661364666384</v>
      </c>
      <c r="D10" s="83" t="s">
        <v>2059</v>
      </c>
      <c r="E10" s="83" t="b">
        <v>0</v>
      </c>
      <c r="F10" s="83" t="b">
        <v>0</v>
      </c>
      <c r="G10" s="83" t="b">
        <v>0</v>
      </c>
    </row>
    <row r="11" spans="1:7" ht="15">
      <c r="A11" s="84" t="s">
        <v>1429</v>
      </c>
      <c r="B11" s="83">
        <v>60</v>
      </c>
      <c r="C11" s="110">
        <v>0.01329853430474453</v>
      </c>
      <c r="D11" s="83" t="s">
        <v>2059</v>
      </c>
      <c r="E11" s="83" t="b">
        <v>0</v>
      </c>
      <c r="F11" s="83" t="b">
        <v>0</v>
      </c>
      <c r="G11" s="83" t="b">
        <v>0</v>
      </c>
    </row>
    <row r="12" spans="1:7" ht="15">
      <c r="A12" s="84" t="s">
        <v>1430</v>
      </c>
      <c r="B12" s="83">
        <v>58</v>
      </c>
      <c r="C12" s="110">
        <v>0.01319496136677537</v>
      </c>
      <c r="D12" s="83" t="s">
        <v>2059</v>
      </c>
      <c r="E12" s="83" t="b">
        <v>0</v>
      </c>
      <c r="F12" s="83" t="b">
        <v>0</v>
      </c>
      <c r="G12" s="83" t="b">
        <v>0</v>
      </c>
    </row>
    <row r="13" spans="1:7" ht="15">
      <c r="A13" s="84" t="s">
        <v>1431</v>
      </c>
      <c r="B13" s="83">
        <v>44</v>
      </c>
      <c r="C13" s="110">
        <v>0.011040601304709617</v>
      </c>
      <c r="D13" s="83" t="s">
        <v>2059</v>
      </c>
      <c r="E13" s="83" t="b">
        <v>0</v>
      </c>
      <c r="F13" s="83" t="b">
        <v>0</v>
      </c>
      <c r="G13" s="83" t="b">
        <v>0</v>
      </c>
    </row>
    <row r="14" spans="1:7" ht="15">
      <c r="A14" s="84" t="s">
        <v>1432</v>
      </c>
      <c r="B14" s="83">
        <v>33</v>
      </c>
      <c r="C14" s="110">
        <v>0.0096087483279346</v>
      </c>
      <c r="D14" s="83" t="s">
        <v>2059</v>
      </c>
      <c r="E14" s="83" t="b">
        <v>0</v>
      </c>
      <c r="F14" s="83" t="b">
        <v>0</v>
      </c>
      <c r="G14" s="83" t="b">
        <v>0</v>
      </c>
    </row>
    <row r="15" spans="1:7" ht="15">
      <c r="A15" s="84" t="s">
        <v>1433</v>
      </c>
      <c r="B15" s="83">
        <v>30</v>
      </c>
      <c r="C15" s="110">
        <v>0.00741750617879143</v>
      </c>
      <c r="D15" s="83" t="s">
        <v>2059</v>
      </c>
      <c r="E15" s="83" t="b">
        <v>0</v>
      </c>
      <c r="F15" s="83" t="b">
        <v>0</v>
      </c>
      <c r="G15" s="83" t="b">
        <v>0</v>
      </c>
    </row>
    <row r="16" spans="1:7" ht="15">
      <c r="A16" s="84" t="s">
        <v>1434</v>
      </c>
      <c r="B16" s="83">
        <v>28</v>
      </c>
      <c r="C16" s="110">
        <v>0.008308462066565526</v>
      </c>
      <c r="D16" s="83" t="s">
        <v>2059</v>
      </c>
      <c r="E16" s="83" t="b">
        <v>0</v>
      </c>
      <c r="F16" s="83" t="b">
        <v>0</v>
      </c>
      <c r="G16" s="83" t="b">
        <v>0</v>
      </c>
    </row>
    <row r="17" spans="1:7" ht="15">
      <c r="A17" s="84" t="s">
        <v>1435</v>
      </c>
      <c r="B17" s="83">
        <v>28</v>
      </c>
      <c r="C17" s="110">
        <v>0.007242589138211214</v>
      </c>
      <c r="D17" s="83" t="s">
        <v>2059</v>
      </c>
      <c r="E17" s="83" t="b">
        <v>0</v>
      </c>
      <c r="F17" s="83" t="b">
        <v>0</v>
      </c>
      <c r="G17" s="83" t="b">
        <v>0</v>
      </c>
    </row>
    <row r="18" spans="1:7" ht="15">
      <c r="A18" s="84" t="s">
        <v>1436</v>
      </c>
      <c r="B18" s="83">
        <v>28</v>
      </c>
      <c r="C18" s="110">
        <v>0.00902548515789008</v>
      </c>
      <c r="D18" s="83" t="s">
        <v>2059</v>
      </c>
      <c r="E18" s="83" t="b">
        <v>0</v>
      </c>
      <c r="F18" s="83" t="b">
        <v>0</v>
      </c>
      <c r="G18" s="83" t="b">
        <v>0</v>
      </c>
    </row>
    <row r="19" spans="1:7" ht="15">
      <c r="A19" s="84" t="s">
        <v>1437</v>
      </c>
      <c r="B19" s="83">
        <v>26</v>
      </c>
      <c r="C19" s="110">
        <v>0.008028276037635562</v>
      </c>
      <c r="D19" s="83" t="s">
        <v>2059</v>
      </c>
      <c r="E19" s="83" t="b">
        <v>0</v>
      </c>
      <c r="F19" s="83" t="b">
        <v>0</v>
      </c>
      <c r="G19" s="83" t="b">
        <v>0</v>
      </c>
    </row>
    <row r="20" spans="1:7" ht="15">
      <c r="A20" s="84" t="s">
        <v>1438</v>
      </c>
      <c r="B20" s="83">
        <v>23</v>
      </c>
      <c r="C20" s="110">
        <v>0.006348777343745318</v>
      </c>
      <c r="D20" s="83" t="s">
        <v>2059</v>
      </c>
      <c r="E20" s="83" t="b">
        <v>1</v>
      </c>
      <c r="F20" s="83" t="b">
        <v>0</v>
      </c>
      <c r="G20" s="83" t="b">
        <v>0</v>
      </c>
    </row>
    <row r="21" spans="1:7" ht="15">
      <c r="A21" s="84" t="s">
        <v>1439</v>
      </c>
      <c r="B21" s="83">
        <v>20</v>
      </c>
      <c r="C21" s="110">
        <v>0.006756817052159245</v>
      </c>
      <c r="D21" s="83" t="s">
        <v>2059</v>
      </c>
      <c r="E21" s="83" t="b">
        <v>1</v>
      </c>
      <c r="F21" s="83" t="b">
        <v>0</v>
      </c>
      <c r="G21" s="83" t="b">
        <v>0</v>
      </c>
    </row>
    <row r="22" spans="1:7" ht="15">
      <c r="A22" s="84" t="s">
        <v>1440</v>
      </c>
      <c r="B22" s="83">
        <v>20</v>
      </c>
      <c r="C22" s="110">
        <v>0.006051757671782745</v>
      </c>
      <c r="D22" s="83" t="s">
        <v>2059</v>
      </c>
      <c r="E22" s="83" t="b">
        <v>1</v>
      </c>
      <c r="F22" s="83" t="b">
        <v>0</v>
      </c>
      <c r="G22" s="83" t="b">
        <v>0</v>
      </c>
    </row>
    <row r="23" spans="1:7" ht="15">
      <c r="A23" s="84" t="s">
        <v>1441</v>
      </c>
      <c r="B23" s="83">
        <v>19</v>
      </c>
      <c r="C23" s="110">
        <v>0.00658372551831532</v>
      </c>
      <c r="D23" s="83" t="s">
        <v>2059</v>
      </c>
      <c r="E23" s="83" t="b">
        <v>0</v>
      </c>
      <c r="F23" s="83" t="b">
        <v>0</v>
      </c>
      <c r="G23" s="83" t="b">
        <v>0</v>
      </c>
    </row>
    <row r="24" spans="1:7" ht="15">
      <c r="A24" s="84" t="s">
        <v>1442</v>
      </c>
      <c r="B24" s="83">
        <v>18</v>
      </c>
      <c r="C24" s="110">
        <v>0.005936629410129846</v>
      </c>
      <c r="D24" s="83" t="s">
        <v>2059</v>
      </c>
      <c r="E24" s="83" t="b">
        <v>0</v>
      </c>
      <c r="F24" s="83" t="b">
        <v>0</v>
      </c>
      <c r="G24" s="83" t="b">
        <v>0</v>
      </c>
    </row>
    <row r="25" spans="1:7" ht="15">
      <c r="A25" s="84" t="s">
        <v>1443</v>
      </c>
      <c r="B25" s="83">
        <v>18</v>
      </c>
      <c r="C25" s="110">
        <v>0.0065927293458265986</v>
      </c>
      <c r="D25" s="83" t="s">
        <v>2059</v>
      </c>
      <c r="E25" s="83" t="b">
        <v>0</v>
      </c>
      <c r="F25" s="83" t="b">
        <v>0</v>
      </c>
      <c r="G25" s="83" t="b">
        <v>0</v>
      </c>
    </row>
    <row r="26" spans="1:7" ht="15">
      <c r="A26" s="84" t="s">
        <v>1444</v>
      </c>
      <c r="B26" s="83">
        <v>18</v>
      </c>
      <c r="C26" s="110">
        <v>0.006237213648930303</v>
      </c>
      <c r="D26" s="83" t="s">
        <v>2059</v>
      </c>
      <c r="E26" s="83" t="b">
        <v>0</v>
      </c>
      <c r="F26" s="83" t="b">
        <v>0</v>
      </c>
      <c r="G26" s="83" t="b">
        <v>0</v>
      </c>
    </row>
    <row r="27" spans="1:7" ht="15">
      <c r="A27" s="84" t="s">
        <v>1445</v>
      </c>
      <c r="B27" s="83">
        <v>18</v>
      </c>
      <c r="C27" s="110">
        <v>0.005802097601500767</v>
      </c>
      <c r="D27" s="83" t="s">
        <v>2059</v>
      </c>
      <c r="E27" s="83" t="b">
        <v>0</v>
      </c>
      <c r="F27" s="83" t="b">
        <v>0</v>
      </c>
      <c r="G27" s="83" t="b">
        <v>0</v>
      </c>
    </row>
    <row r="28" spans="1:7" ht="15">
      <c r="A28" s="84" t="s">
        <v>1446</v>
      </c>
      <c r="B28" s="83">
        <v>18</v>
      </c>
      <c r="C28" s="110">
        <v>0.007027845393256136</v>
      </c>
      <c r="D28" s="83" t="s">
        <v>2059</v>
      </c>
      <c r="E28" s="83" t="b">
        <v>0</v>
      </c>
      <c r="F28" s="83" t="b">
        <v>0</v>
      </c>
      <c r="G28" s="83" t="b">
        <v>0</v>
      </c>
    </row>
    <row r="29" spans="1:7" ht="15">
      <c r="A29" s="84" t="s">
        <v>1447</v>
      </c>
      <c r="B29" s="83">
        <v>17</v>
      </c>
      <c r="C29" s="110">
        <v>0.005479758845861835</v>
      </c>
      <c r="D29" s="83" t="s">
        <v>2059</v>
      </c>
      <c r="E29" s="83" t="b">
        <v>0</v>
      </c>
      <c r="F29" s="83" t="b">
        <v>0</v>
      </c>
      <c r="G29" s="83" t="b">
        <v>0</v>
      </c>
    </row>
    <row r="30" spans="1:7" ht="15">
      <c r="A30" s="84" t="s">
        <v>1448</v>
      </c>
      <c r="B30" s="83">
        <v>17</v>
      </c>
      <c r="C30" s="110">
        <v>0.006226466604391787</v>
      </c>
      <c r="D30" s="83" t="s">
        <v>2059</v>
      </c>
      <c r="E30" s="83" t="b">
        <v>0</v>
      </c>
      <c r="F30" s="83" t="b">
        <v>0</v>
      </c>
      <c r="G30" s="83" t="b">
        <v>0</v>
      </c>
    </row>
    <row r="31" spans="1:7" ht="15">
      <c r="A31" s="84" t="s">
        <v>1449</v>
      </c>
      <c r="B31" s="83">
        <v>16</v>
      </c>
      <c r="C31" s="110">
        <v>0.005405453641727396</v>
      </c>
      <c r="D31" s="83" t="s">
        <v>2059</v>
      </c>
      <c r="E31" s="83" t="b">
        <v>0</v>
      </c>
      <c r="F31" s="83" t="b">
        <v>0</v>
      </c>
      <c r="G31" s="83" t="b">
        <v>0</v>
      </c>
    </row>
    <row r="32" spans="1:7" ht="15">
      <c r="A32" s="84" t="s">
        <v>1450</v>
      </c>
      <c r="B32" s="83">
        <v>16</v>
      </c>
      <c r="C32" s="110">
        <v>0.005277003920115418</v>
      </c>
      <c r="D32" s="83" t="s">
        <v>2059</v>
      </c>
      <c r="E32" s="83" t="b">
        <v>0</v>
      </c>
      <c r="F32" s="83" t="b">
        <v>0</v>
      </c>
      <c r="G32" s="83" t="b">
        <v>0</v>
      </c>
    </row>
    <row r="33" spans="1:7" ht="15">
      <c r="A33" s="84" t="s">
        <v>1451</v>
      </c>
      <c r="B33" s="83">
        <v>16</v>
      </c>
      <c r="C33" s="110">
        <v>0.005860203862956976</v>
      </c>
      <c r="D33" s="83" t="s">
        <v>2059</v>
      </c>
      <c r="E33" s="83" t="b">
        <v>0</v>
      </c>
      <c r="F33" s="83" t="b">
        <v>0</v>
      </c>
      <c r="G33" s="83" t="b">
        <v>0</v>
      </c>
    </row>
    <row r="34" spans="1:7" ht="15">
      <c r="A34" s="84" t="s">
        <v>1452</v>
      </c>
      <c r="B34" s="83">
        <v>15</v>
      </c>
      <c r="C34" s="110">
        <v>0.005067612789119433</v>
      </c>
      <c r="D34" s="83" t="s">
        <v>2059</v>
      </c>
      <c r="E34" s="83" t="b">
        <v>0</v>
      </c>
      <c r="F34" s="83" t="b">
        <v>0</v>
      </c>
      <c r="G34" s="83" t="b">
        <v>0</v>
      </c>
    </row>
    <row r="35" spans="1:7" ht="15">
      <c r="A35" s="84" t="s">
        <v>1453</v>
      </c>
      <c r="B35" s="83">
        <v>15</v>
      </c>
      <c r="C35" s="110">
        <v>0.0056651464990253135</v>
      </c>
      <c r="D35" s="83" t="s">
        <v>2059</v>
      </c>
      <c r="E35" s="83" t="b">
        <v>0</v>
      </c>
      <c r="F35" s="83" t="b">
        <v>0</v>
      </c>
      <c r="G35" s="83" t="b">
        <v>0</v>
      </c>
    </row>
    <row r="36" spans="1:7" ht="15">
      <c r="A36" s="84" t="s">
        <v>1454</v>
      </c>
      <c r="B36" s="83">
        <v>15</v>
      </c>
      <c r="C36" s="110">
        <v>0.004835081334583971</v>
      </c>
      <c r="D36" s="83" t="s">
        <v>2059</v>
      </c>
      <c r="E36" s="83" t="b">
        <v>1</v>
      </c>
      <c r="F36" s="83" t="b">
        <v>0</v>
      </c>
      <c r="G36" s="83" t="b">
        <v>0</v>
      </c>
    </row>
    <row r="37" spans="1:7" ht="15">
      <c r="A37" s="84" t="s">
        <v>1455</v>
      </c>
      <c r="B37" s="83">
        <v>14</v>
      </c>
      <c r="C37" s="110">
        <v>0.00528747006575696</v>
      </c>
      <c r="D37" s="83" t="s">
        <v>2059</v>
      </c>
      <c r="E37" s="83" t="b">
        <v>0</v>
      </c>
      <c r="F37" s="83" t="b">
        <v>0</v>
      </c>
      <c r="G37" s="83" t="b">
        <v>0</v>
      </c>
    </row>
    <row r="38" spans="1:7" ht="15">
      <c r="A38" s="84" t="s">
        <v>1456</v>
      </c>
      <c r="B38" s="83">
        <v>14</v>
      </c>
      <c r="C38" s="110">
        <v>0.004729771936511471</v>
      </c>
      <c r="D38" s="83" t="s">
        <v>2059</v>
      </c>
      <c r="E38" s="83" t="b">
        <v>1</v>
      </c>
      <c r="F38" s="83" t="b">
        <v>0</v>
      </c>
      <c r="G38" s="83" t="b">
        <v>0</v>
      </c>
    </row>
    <row r="39" spans="1:7" ht="15">
      <c r="A39" s="84" t="s">
        <v>1457</v>
      </c>
      <c r="B39" s="83">
        <v>14</v>
      </c>
      <c r="C39" s="110">
        <v>0.004983129217649053</v>
      </c>
      <c r="D39" s="83" t="s">
        <v>2059</v>
      </c>
      <c r="E39" s="83" t="b">
        <v>0</v>
      </c>
      <c r="F39" s="83" t="b">
        <v>0</v>
      </c>
      <c r="G39" s="83" t="b">
        <v>0</v>
      </c>
    </row>
    <row r="40" spans="1:7" ht="15">
      <c r="A40" s="84" t="s">
        <v>1458</v>
      </c>
      <c r="B40" s="83">
        <v>14</v>
      </c>
      <c r="C40" s="110">
        <v>0.004729771936511471</v>
      </c>
      <c r="D40" s="83" t="s">
        <v>2059</v>
      </c>
      <c r="E40" s="83" t="b">
        <v>1</v>
      </c>
      <c r="F40" s="83" t="b">
        <v>0</v>
      </c>
      <c r="G40" s="83" t="b">
        <v>0</v>
      </c>
    </row>
    <row r="41" spans="1:7" ht="15">
      <c r="A41" s="84" t="s">
        <v>1459</v>
      </c>
      <c r="B41" s="83">
        <v>14</v>
      </c>
      <c r="C41" s="110">
        <v>0.004729771936511471</v>
      </c>
      <c r="D41" s="83" t="s">
        <v>2059</v>
      </c>
      <c r="E41" s="83" t="b">
        <v>0</v>
      </c>
      <c r="F41" s="83" t="b">
        <v>0</v>
      </c>
      <c r="G41" s="83" t="b">
        <v>0</v>
      </c>
    </row>
    <row r="42" spans="1:7" ht="15">
      <c r="A42" s="84" t="s">
        <v>1460</v>
      </c>
      <c r="B42" s="83">
        <v>13</v>
      </c>
      <c r="C42" s="110">
        <v>0.005263716830923598</v>
      </c>
      <c r="D42" s="83" t="s">
        <v>2059</v>
      </c>
      <c r="E42" s="83" t="b">
        <v>0</v>
      </c>
      <c r="F42" s="83" t="b">
        <v>0</v>
      </c>
      <c r="G42" s="83" t="b">
        <v>0</v>
      </c>
    </row>
    <row r="43" spans="1:7" ht="15">
      <c r="A43" s="84" t="s">
        <v>1461</v>
      </c>
      <c r="B43" s="83">
        <v>12</v>
      </c>
      <c r="C43" s="110">
        <v>0.004158142432620201</v>
      </c>
      <c r="D43" s="83" t="s">
        <v>2059</v>
      </c>
      <c r="E43" s="83" t="b">
        <v>1</v>
      </c>
      <c r="F43" s="83" t="b">
        <v>0</v>
      </c>
      <c r="G43" s="83" t="b">
        <v>0</v>
      </c>
    </row>
    <row r="44" spans="1:7" ht="15">
      <c r="A44" s="84" t="s">
        <v>1462</v>
      </c>
      <c r="B44" s="83">
        <v>12</v>
      </c>
      <c r="C44" s="110">
        <v>0.004395152897217732</v>
      </c>
      <c r="D44" s="83" t="s">
        <v>2059</v>
      </c>
      <c r="E44" s="83" t="b">
        <v>0</v>
      </c>
      <c r="F44" s="83" t="b">
        <v>0</v>
      </c>
      <c r="G44" s="83" t="b">
        <v>0</v>
      </c>
    </row>
    <row r="45" spans="1:7" ht="15">
      <c r="A45" s="84" t="s">
        <v>1463</v>
      </c>
      <c r="B45" s="83">
        <v>12</v>
      </c>
      <c r="C45" s="110">
        <v>0.004395152897217732</v>
      </c>
      <c r="D45" s="83" t="s">
        <v>2059</v>
      </c>
      <c r="E45" s="83" t="b">
        <v>0</v>
      </c>
      <c r="F45" s="83" t="b">
        <v>0</v>
      </c>
      <c r="G45" s="83" t="b">
        <v>0</v>
      </c>
    </row>
    <row r="46" spans="1:7" ht="15">
      <c r="A46" s="84" t="s">
        <v>1464</v>
      </c>
      <c r="B46" s="83">
        <v>12</v>
      </c>
      <c r="C46" s="110">
        <v>0.004858815536237167</v>
      </c>
      <c r="D46" s="83" t="s">
        <v>2059</v>
      </c>
      <c r="E46" s="83" t="b">
        <v>0</v>
      </c>
      <c r="F46" s="83" t="b">
        <v>0</v>
      </c>
      <c r="G46" s="83" t="b">
        <v>0</v>
      </c>
    </row>
    <row r="47" spans="1:7" ht="15">
      <c r="A47" s="84" t="s">
        <v>1465</v>
      </c>
      <c r="B47" s="83">
        <v>12</v>
      </c>
      <c r="C47" s="110">
        <v>0.004685230262170757</v>
      </c>
      <c r="D47" s="83" t="s">
        <v>2059</v>
      </c>
      <c r="E47" s="83" t="b">
        <v>0</v>
      </c>
      <c r="F47" s="83" t="b">
        <v>0</v>
      </c>
      <c r="G47" s="83" t="b">
        <v>0</v>
      </c>
    </row>
    <row r="48" spans="1:7" ht="15">
      <c r="A48" s="84" t="s">
        <v>1466</v>
      </c>
      <c r="B48" s="83">
        <v>12</v>
      </c>
      <c r="C48" s="110">
        <v>0.0042712536151277595</v>
      </c>
      <c r="D48" s="83" t="s">
        <v>2059</v>
      </c>
      <c r="E48" s="83" t="b">
        <v>0</v>
      </c>
      <c r="F48" s="83" t="b">
        <v>0</v>
      </c>
      <c r="G48" s="83" t="b">
        <v>0</v>
      </c>
    </row>
    <row r="49" spans="1:7" ht="15">
      <c r="A49" s="84" t="s">
        <v>1467</v>
      </c>
      <c r="B49" s="83">
        <v>12</v>
      </c>
      <c r="C49" s="110">
        <v>0.004158142432620201</v>
      </c>
      <c r="D49" s="83" t="s">
        <v>2059</v>
      </c>
      <c r="E49" s="83" t="b">
        <v>0</v>
      </c>
      <c r="F49" s="83" t="b">
        <v>0</v>
      </c>
      <c r="G49" s="83" t="b">
        <v>0</v>
      </c>
    </row>
    <row r="50" spans="1:7" ht="15">
      <c r="A50" s="84" t="s">
        <v>1468</v>
      </c>
      <c r="B50" s="83">
        <v>11</v>
      </c>
      <c r="C50" s="110">
        <v>0.003915315813867113</v>
      </c>
      <c r="D50" s="83" t="s">
        <v>2059</v>
      </c>
      <c r="E50" s="83" t="b">
        <v>0</v>
      </c>
      <c r="F50" s="83" t="b">
        <v>0</v>
      </c>
      <c r="G50" s="83" t="b">
        <v>0</v>
      </c>
    </row>
    <row r="51" spans="1:7" ht="15">
      <c r="A51" s="84" t="s">
        <v>1469</v>
      </c>
      <c r="B51" s="83">
        <v>11</v>
      </c>
      <c r="C51" s="110">
        <v>0.0040288901557829215</v>
      </c>
      <c r="D51" s="83" t="s">
        <v>2059</v>
      </c>
      <c r="E51" s="83" t="b">
        <v>0</v>
      </c>
      <c r="F51" s="83" t="b">
        <v>0</v>
      </c>
      <c r="G51" s="83" t="b">
        <v>0</v>
      </c>
    </row>
    <row r="52" spans="1:7" ht="15">
      <c r="A52" s="84" t="s">
        <v>1470</v>
      </c>
      <c r="B52" s="83">
        <v>11</v>
      </c>
      <c r="C52" s="110">
        <v>0.003915315813867113</v>
      </c>
      <c r="D52" s="83" t="s">
        <v>2059</v>
      </c>
      <c r="E52" s="83" t="b">
        <v>0</v>
      </c>
      <c r="F52" s="83" t="b">
        <v>0</v>
      </c>
      <c r="G52" s="83" t="b">
        <v>0</v>
      </c>
    </row>
    <row r="53" spans="1:7" ht="15">
      <c r="A53" s="84" t="s">
        <v>1471</v>
      </c>
      <c r="B53" s="83">
        <v>11</v>
      </c>
      <c r="C53" s="110">
        <v>0.004154440765951897</v>
      </c>
      <c r="D53" s="83" t="s">
        <v>2059</v>
      </c>
      <c r="E53" s="83" t="b">
        <v>0</v>
      </c>
      <c r="F53" s="83" t="b">
        <v>0</v>
      </c>
      <c r="G53" s="83" t="b">
        <v>0</v>
      </c>
    </row>
    <row r="54" spans="1:7" ht="15">
      <c r="A54" s="84" t="s">
        <v>1472</v>
      </c>
      <c r="B54" s="83">
        <v>11</v>
      </c>
      <c r="C54" s="110">
        <v>0.0044539142415507375</v>
      </c>
      <c r="D54" s="83" t="s">
        <v>2059</v>
      </c>
      <c r="E54" s="83" t="b">
        <v>0</v>
      </c>
      <c r="F54" s="83" t="b">
        <v>0</v>
      </c>
      <c r="G54" s="83" t="b">
        <v>0</v>
      </c>
    </row>
    <row r="55" spans="1:7" ht="15">
      <c r="A55" s="84" t="s">
        <v>1473</v>
      </c>
      <c r="B55" s="83">
        <v>11</v>
      </c>
      <c r="C55" s="110">
        <v>0.004294794406989861</v>
      </c>
      <c r="D55" s="83" t="s">
        <v>2059</v>
      </c>
      <c r="E55" s="83" t="b">
        <v>0</v>
      </c>
      <c r="F55" s="83" t="b">
        <v>0</v>
      </c>
      <c r="G55" s="83" t="b">
        <v>0</v>
      </c>
    </row>
    <row r="56" spans="1:7" ht="15">
      <c r="A56" s="84" t="s">
        <v>1474</v>
      </c>
      <c r="B56" s="83">
        <v>11</v>
      </c>
      <c r="C56" s="110">
        <v>0.0046376046097065735</v>
      </c>
      <c r="D56" s="83" t="s">
        <v>2059</v>
      </c>
      <c r="E56" s="83" t="b">
        <v>0</v>
      </c>
      <c r="F56" s="83" t="b">
        <v>0</v>
      </c>
      <c r="G56" s="83" t="b">
        <v>0</v>
      </c>
    </row>
    <row r="57" spans="1:7" ht="15">
      <c r="A57" s="84" t="s">
        <v>1475</v>
      </c>
      <c r="B57" s="83">
        <v>10</v>
      </c>
      <c r="C57" s="110">
        <v>0.00366262741434811</v>
      </c>
      <c r="D57" s="83" t="s">
        <v>2059</v>
      </c>
      <c r="E57" s="83" t="b">
        <v>0</v>
      </c>
      <c r="F57" s="83" t="b">
        <v>0</v>
      </c>
      <c r="G57" s="83" t="b">
        <v>0</v>
      </c>
    </row>
    <row r="58" spans="1:7" ht="15">
      <c r="A58" s="84" t="s">
        <v>1476</v>
      </c>
      <c r="B58" s="83">
        <v>10</v>
      </c>
      <c r="C58" s="110">
        <v>0.004049012946864307</v>
      </c>
      <c r="D58" s="83" t="s">
        <v>2059</v>
      </c>
      <c r="E58" s="83" t="b">
        <v>0</v>
      </c>
      <c r="F58" s="83" t="b">
        <v>0</v>
      </c>
      <c r="G58" s="83" t="b">
        <v>0</v>
      </c>
    </row>
    <row r="59" spans="1:7" ht="15">
      <c r="A59" s="84" t="s">
        <v>1477</v>
      </c>
      <c r="B59" s="83">
        <v>10</v>
      </c>
      <c r="C59" s="110">
        <v>0.003776764332683543</v>
      </c>
      <c r="D59" s="83" t="s">
        <v>2059</v>
      </c>
      <c r="E59" s="83" t="b">
        <v>0</v>
      </c>
      <c r="F59" s="83" t="b">
        <v>0</v>
      </c>
      <c r="G59" s="83" t="b">
        <v>0</v>
      </c>
    </row>
    <row r="60" spans="1:7" ht="15">
      <c r="A60" s="84" t="s">
        <v>1478</v>
      </c>
      <c r="B60" s="83">
        <v>10</v>
      </c>
      <c r="C60" s="110">
        <v>0.003776764332683543</v>
      </c>
      <c r="D60" s="83" t="s">
        <v>2059</v>
      </c>
      <c r="E60" s="83" t="b">
        <v>0</v>
      </c>
      <c r="F60" s="83" t="b">
        <v>0</v>
      </c>
      <c r="G60" s="83" t="b">
        <v>0</v>
      </c>
    </row>
    <row r="61" spans="1:7" ht="15">
      <c r="A61" s="84" t="s">
        <v>1479</v>
      </c>
      <c r="B61" s="83">
        <v>10</v>
      </c>
      <c r="C61" s="110">
        <v>0.004413512911140281</v>
      </c>
      <c r="D61" s="83" t="s">
        <v>2059</v>
      </c>
      <c r="E61" s="83" t="b">
        <v>0</v>
      </c>
      <c r="F61" s="83" t="b">
        <v>0</v>
      </c>
      <c r="G61" s="83" t="b">
        <v>0</v>
      </c>
    </row>
    <row r="62" spans="1:7" ht="15">
      <c r="A62" s="84" t="s">
        <v>1480</v>
      </c>
      <c r="B62" s="83">
        <v>10</v>
      </c>
      <c r="C62" s="110">
        <v>0.004413512911140281</v>
      </c>
      <c r="D62" s="83" t="s">
        <v>2059</v>
      </c>
      <c r="E62" s="83" t="b">
        <v>0</v>
      </c>
      <c r="F62" s="83" t="b">
        <v>0</v>
      </c>
      <c r="G62" s="83" t="b">
        <v>0</v>
      </c>
    </row>
    <row r="63" spans="1:7" ht="15">
      <c r="A63" s="84" t="s">
        <v>1481</v>
      </c>
      <c r="B63" s="83">
        <v>10</v>
      </c>
      <c r="C63" s="110">
        <v>0.004413512911140281</v>
      </c>
      <c r="D63" s="83" t="s">
        <v>2059</v>
      </c>
      <c r="E63" s="83" t="b">
        <v>0</v>
      </c>
      <c r="F63" s="83" t="b">
        <v>0</v>
      </c>
      <c r="G63" s="83" t="b">
        <v>0</v>
      </c>
    </row>
    <row r="64" spans="1:7" ht="15">
      <c r="A64" s="84" t="s">
        <v>1482</v>
      </c>
      <c r="B64" s="83">
        <v>9</v>
      </c>
      <c r="C64" s="110">
        <v>0.003513922696628068</v>
      </c>
      <c r="D64" s="83" t="s">
        <v>2059</v>
      </c>
      <c r="E64" s="83" t="b">
        <v>0</v>
      </c>
      <c r="F64" s="83" t="b">
        <v>0</v>
      </c>
      <c r="G64" s="83" t="b">
        <v>0</v>
      </c>
    </row>
    <row r="65" spans="1:7" ht="15">
      <c r="A65" s="84" t="s">
        <v>1483</v>
      </c>
      <c r="B65" s="83">
        <v>9</v>
      </c>
      <c r="C65" s="110">
        <v>0.003399087899415189</v>
      </c>
      <c r="D65" s="83" t="s">
        <v>2059</v>
      </c>
      <c r="E65" s="83" t="b">
        <v>0</v>
      </c>
      <c r="F65" s="83" t="b">
        <v>0</v>
      </c>
      <c r="G65" s="83" t="b">
        <v>0</v>
      </c>
    </row>
    <row r="66" spans="1:7" ht="15">
      <c r="A66" s="84" t="s">
        <v>1484</v>
      </c>
      <c r="B66" s="83">
        <v>9</v>
      </c>
      <c r="C66" s="110">
        <v>0.003399087899415189</v>
      </c>
      <c r="D66" s="83" t="s">
        <v>2059</v>
      </c>
      <c r="E66" s="83" t="b">
        <v>1</v>
      </c>
      <c r="F66" s="83" t="b">
        <v>0</v>
      </c>
      <c r="G66" s="83" t="b">
        <v>0</v>
      </c>
    </row>
    <row r="67" spans="1:7" ht="15">
      <c r="A67" s="84" t="s">
        <v>1485</v>
      </c>
      <c r="B67" s="83">
        <v>9</v>
      </c>
      <c r="C67" s="110">
        <v>0.003399087899415189</v>
      </c>
      <c r="D67" s="83" t="s">
        <v>2059</v>
      </c>
      <c r="E67" s="83" t="b">
        <v>0</v>
      </c>
      <c r="F67" s="83" t="b">
        <v>0</v>
      </c>
      <c r="G67" s="83" t="b">
        <v>0</v>
      </c>
    </row>
    <row r="68" spans="1:7" ht="15">
      <c r="A68" s="84" t="s">
        <v>1486</v>
      </c>
      <c r="B68" s="83">
        <v>9</v>
      </c>
      <c r="C68" s="110">
        <v>0.003513922696628068</v>
      </c>
      <c r="D68" s="83" t="s">
        <v>2059</v>
      </c>
      <c r="E68" s="83" t="b">
        <v>0</v>
      </c>
      <c r="F68" s="83" t="b">
        <v>0</v>
      </c>
      <c r="G68" s="83" t="b">
        <v>0</v>
      </c>
    </row>
    <row r="69" spans="1:7" ht="15">
      <c r="A69" s="84" t="s">
        <v>1487</v>
      </c>
      <c r="B69" s="83">
        <v>9</v>
      </c>
      <c r="C69" s="110">
        <v>0.003644111652177876</v>
      </c>
      <c r="D69" s="83" t="s">
        <v>2059</v>
      </c>
      <c r="E69" s="83" t="b">
        <v>0</v>
      </c>
      <c r="F69" s="83" t="b">
        <v>0</v>
      </c>
      <c r="G69" s="83" t="b">
        <v>0</v>
      </c>
    </row>
    <row r="70" spans="1:7" ht="15">
      <c r="A70" s="84" t="s">
        <v>1488</v>
      </c>
      <c r="B70" s="83">
        <v>9</v>
      </c>
      <c r="C70" s="110">
        <v>0.004189719643741022</v>
      </c>
      <c r="D70" s="83" t="s">
        <v>2059</v>
      </c>
      <c r="E70" s="83" t="b">
        <v>0</v>
      </c>
      <c r="F70" s="83" t="b">
        <v>0</v>
      </c>
      <c r="G70" s="83" t="b">
        <v>0</v>
      </c>
    </row>
    <row r="71" spans="1:7" ht="15">
      <c r="A71" s="84" t="s">
        <v>1489</v>
      </c>
      <c r="B71" s="83">
        <v>9</v>
      </c>
      <c r="C71" s="110">
        <v>0.003513922696628068</v>
      </c>
      <c r="D71" s="83" t="s">
        <v>2059</v>
      </c>
      <c r="E71" s="83" t="b">
        <v>0</v>
      </c>
      <c r="F71" s="83" t="b">
        <v>0</v>
      </c>
      <c r="G71" s="83" t="b">
        <v>0</v>
      </c>
    </row>
    <row r="72" spans="1:7" ht="15">
      <c r="A72" s="84" t="s">
        <v>1490</v>
      </c>
      <c r="B72" s="83">
        <v>9</v>
      </c>
      <c r="C72" s="110">
        <v>0.003644111652177876</v>
      </c>
      <c r="D72" s="83" t="s">
        <v>2059</v>
      </c>
      <c r="E72" s="83" t="b">
        <v>0</v>
      </c>
      <c r="F72" s="83" t="b">
        <v>0</v>
      </c>
      <c r="G72" s="83" t="b">
        <v>0</v>
      </c>
    </row>
    <row r="73" spans="1:7" ht="15">
      <c r="A73" s="84" t="s">
        <v>1491</v>
      </c>
      <c r="B73" s="83">
        <v>8</v>
      </c>
      <c r="C73" s="110">
        <v>0.0031234868414471715</v>
      </c>
      <c r="D73" s="83" t="s">
        <v>2059</v>
      </c>
      <c r="E73" s="83" t="b">
        <v>0</v>
      </c>
      <c r="F73" s="83" t="b">
        <v>0</v>
      </c>
      <c r="G73" s="83" t="b">
        <v>0</v>
      </c>
    </row>
    <row r="74" spans="1:7" ht="15">
      <c r="A74" s="84" t="s">
        <v>1492</v>
      </c>
      <c r="B74" s="83">
        <v>8</v>
      </c>
      <c r="C74" s="110">
        <v>0.0031234868414471715</v>
      </c>
      <c r="D74" s="83" t="s">
        <v>2059</v>
      </c>
      <c r="E74" s="83" t="b">
        <v>0</v>
      </c>
      <c r="F74" s="83" t="b">
        <v>1</v>
      </c>
      <c r="G74" s="83" t="b">
        <v>0</v>
      </c>
    </row>
    <row r="75" spans="1:7" ht="15">
      <c r="A75" s="84" t="s">
        <v>1493</v>
      </c>
      <c r="B75" s="83">
        <v>8</v>
      </c>
      <c r="C75" s="110">
        <v>0.0031234868414471715</v>
      </c>
      <c r="D75" s="83" t="s">
        <v>2059</v>
      </c>
      <c r="E75" s="83" t="b">
        <v>1</v>
      </c>
      <c r="F75" s="83" t="b">
        <v>0</v>
      </c>
      <c r="G75" s="83" t="b">
        <v>0</v>
      </c>
    </row>
    <row r="76" spans="1:7" ht="15">
      <c r="A76" s="84" t="s">
        <v>1494</v>
      </c>
      <c r="B76" s="83">
        <v>8</v>
      </c>
      <c r="C76" s="110">
        <v>0.003372803352513871</v>
      </c>
      <c r="D76" s="83" t="s">
        <v>2059</v>
      </c>
      <c r="E76" s="83" t="b">
        <v>0</v>
      </c>
      <c r="F76" s="83" t="b">
        <v>0</v>
      </c>
      <c r="G76" s="83" t="b">
        <v>0</v>
      </c>
    </row>
    <row r="77" spans="1:7" ht="15">
      <c r="A77" s="84" t="s">
        <v>1495</v>
      </c>
      <c r="B77" s="83">
        <v>8</v>
      </c>
      <c r="C77" s="110">
        <v>0.003724195238880908</v>
      </c>
      <c r="D77" s="83" t="s">
        <v>2059</v>
      </c>
      <c r="E77" s="83" t="b">
        <v>0</v>
      </c>
      <c r="F77" s="83" t="b">
        <v>0</v>
      </c>
      <c r="G77" s="83" t="b">
        <v>0</v>
      </c>
    </row>
    <row r="78" spans="1:7" ht="15">
      <c r="A78" s="84" t="s">
        <v>1496</v>
      </c>
      <c r="B78" s="83">
        <v>8</v>
      </c>
      <c r="C78" s="110">
        <v>0.003372803352513871</v>
      </c>
      <c r="D78" s="83" t="s">
        <v>2059</v>
      </c>
      <c r="E78" s="83" t="b">
        <v>0</v>
      </c>
      <c r="F78" s="83" t="b">
        <v>0</v>
      </c>
      <c r="G78" s="83" t="b">
        <v>0</v>
      </c>
    </row>
    <row r="79" spans="1:7" ht="15">
      <c r="A79" s="84" t="s">
        <v>1497</v>
      </c>
      <c r="B79" s="83">
        <v>8</v>
      </c>
      <c r="C79" s="110">
        <v>0.0032392103574914455</v>
      </c>
      <c r="D79" s="83" t="s">
        <v>2059</v>
      </c>
      <c r="E79" s="83" t="b">
        <v>0</v>
      </c>
      <c r="F79" s="83" t="b">
        <v>0</v>
      </c>
      <c r="G79" s="83" t="b">
        <v>0</v>
      </c>
    </row>
    <row r="80" spans="1:7" ht="15">
      <c r="A80" s="84" t="s">
        <v>1498</v>
      </c>
      <c r="B80" s="83">
        <v>8</v>
      </c>
      <c r="C80" s="110">
        <v>0.003724195238880908</v>
      </c>
      <c r="D80" s="83" t="s">
        <v>2059</v>
      </c>
      <c r="E80" s="83" t="b">
        <v>0</v>
      </c>
      <c r="F80" s="83" t="b">
        <v>0</v>
      </c>
      <c r="G80" s="83" t="b">
        <v>0</v>
      </c>
    </row>
    <row r="81" spans="1:7" ht="15">
      <c r="A81" s="84" t="s">
        <v>1499</v>
      </c>
      <c r="B81" s="83">
        <v>8</v>
      </c>
      <c r="C81" s="110">
        <v>0.0031234868414471715</v>
      </c>
      <c r="D81" s="83" t="s">
        <v>2059</v>
      </c>
      <c r="E81" s="83" t="b">
        <v>0</v>
      </c>
      <c r="F81" s="83" t="b">
        <v>0</v>
      </c>
      <c r="G81" s="83" t="b">
        <v>0</v>
      </c>
    </row>
    <row r="82" spans="1:7" ht="15">
      <c r="A82" s="84" t="s">
        <v>1500</v>
      </c>
      <c r="B82" s="83">
        <v>8</v>
      </c>
      <c r="C82" s="110">
        <v>0.0032392103574914455</v>
      </c>
      <c r="D82" s="83" t="s">
        <v>2059</v>
      </c>
      <c r="E82" s="83" t="b">
        <v>0</v>
      </c>
      <c r="F82" s="83" t="b">
        <v>0</v>
      </c>
      <c r="G82" s="83" t="b">
        <v>0</v>
      </c>
    </row>
    <row r="83" spans="1:7" ht="15">
      <c r="A83" s="84" t="s">
        <v>1501</v>
      </c>
      <c r="B83" s="83">
        <v>8</v>
      </c>
      <c r="C83" s="110">
        <v>0.0032392103574914455</v>
      </c>
      <c r="D83" s="83" t="s">
        <v>2059</v>
      </c>
      <c r="E83" s="83" t="b">
        <v>0</v>
      </c>
      <c r="F83" s="83" t="b">
        <v>0</v>
      </c>
      <c r="G83" s="83" t="b">
        <v>0</v>
      </c>
    </row>
    <row r="84" spans="1:7" ht="15">
      <c r="A84" s="84" t="s">
        <v>1502</v>
      </c>
      <c r="B84" s="83">
        <v>8</v>
      </c>
      <c r="C84" s="110">
        <v>0.003372803352513871</v>
      </c>
      <c r="D84" s="83" t="s">
        <v>2059</v>
      </c>
      <c r="E84" s="83" t="b">
        <v>0</v>
      </c>
      <c r="F84" s="83" t="b">
        <v>0</v>
      </c>
      <c r="G84" s="83" t="b">
        <v>0</v>
      </c>
    </row>
    <row r="85" spans="1:7" ht="15">
      <c r="A85" s="84" t="s">
        <v>1503</v>
      </c>
      <c r="B85" s="83">
        <v>8</v>
      </c>
      <c r="C85" s="110">
        <v>0.003724195238880908</v>
      </c>
      <c r="D85" s="83" t="s">
        <v>2059</v>
      </c>
      <c r="E85" s="83" t="b">
        <v>0</v>
      </c>
      <c r="F85" s="83" t="b">
        <v>0</v>
      </c>
      <c r="G85" s="83" t="b">
        <v>0</v>
      </c>
    </row>
    <row r="86" spans="1:7" ht="15">
      <c r="A86" s="84" t="s">
        <v>1504</v>
      </c>
      <c r="B86" s="83">
        <v>8</v>
      </c>
      <c r="C86" s="110">
        <v>0.003724195238880908</v>
      </c>
      <c r="D86" s="83" t="s">
        <v>2059</v>
      </c>
      <c r="E86" s="83" t="b">
        <v>0</v>
      </c>
      <c r="F86" s="83" t="b">
        <v>0</v>
      </c>
      <c r="G86" s="83" t="b">
        <v>0</v>
      </c>
    </row>
    <row r="87" spans="1:7" ht="15">
      <c r="A87" s="84" t="s">
        <v>1505</v>
      </c>
      <c r="B87" s="83">
        <v>8</v>
      </c>
      <c r="C87" s="110">
        <v>0.003372803352513871</v>
      </c>
      <c r="D87" s="83" t="s">
        <v>2059</v>
      </c>
      <c r="E87" s="83" t="b">
        <v>0</v>
      </c>
      <c r="F87" s="83" t="b">
        <v>0</v>
      </c>
      <c r="G87" s="83" t="b">
        <v>0</v>
      </c>
    </row>
    <row r="88" spans="1:7" ht="15">
      <c r="A88" s="84" t="s">
        <v>1506</v>
      </c>
      <c r="B88" s="83">
        <v>8</v>
      </c>
      <c r="C88" s="110">
        <v>0.003724195238880908</v>
      </c>
      <c r="D88" s="83" t="s">
        <v>2059</v>
      </c>
      <c r="E88" s="83" t="b">
        <v>0</v>
      </c>
      <c r="F88" s="83" t="b">
        <v>0</v>
      </c>
      <c r="G88" s="83" t="b">
        <v>0</v>
      </c>
    </row>
    <row r="89" spans="1:7" ht="15">
      <c r="A89" s="84" t="s">
        <v>1507</v>
      </c>
      <c r="B89" s="83">
        <v>8</v>
      </c>
      <c r="C89" s="110">
        <v>0.003724195238880908</v>
      </c>
      <c r="D89" s="83" t="s">
        <v>2059</v>
      </c>
      <c r="E89" s="83" t="b">
        <v>0</v>
      </c>
      <c r="F89" s="83" t="b">
        <v>0</v>
      </c>
      <c r="G89" s="83" t="b">
        <v>0</v>
      </c>
    </row>
    <row r="90" spans="1:7" ht="15">
      <c r="A90" s="84" t="s">
        <v>1508</v>
      </c>
      <c r="B90" s="83">
        <v>7</v>
      </c>
      <c r="C90" s="110">
        <v>0.003089459037798196</v>
      </c>
      <c r="D90" s="83" t="s">
        <v>2059</v>
      </c>
      <c r="E90" s="83" t="b">
        <v>0</v>
      </c>
      <c r="F90" s="83" t="b">
        <v>0</v>
      </c>
      <c r="G90" s="83" t="b">
        <v>0</v>
      </c>
    </row>
    <row r="91" spans="1:7" ht="15">
      <c r="A91" s="84" t="s">
        <v>1509</v>
      </c>
      <c r="B91" s="83">
        <v>7</v>
      </c>
      <c r="C91" s="110">
        <v>0.0028343090628050144</v>
      </c>
      <c r="D91" s="83" t="s">
        <v>2059</v>
      </c>
      <c r="E91" s="83" t="b">
        <v>1</v>
      </c>
      <c r="F91" s="83" t="b">
        <v>0</v>
      </c>
      <c r="G91" s="83" t="b">
        <v>0</v>
      </c>
    </row>
    <row r="92" spans="1:7" ht="15">
      <c r="A92" s="84" t="s">
        <v>1510</v>
      </c>
      <c r="B92" s="83">
        <v>7</v>
      </c>
      <c r="C92" s="110">
        <v>0.0028343090628050144</v>
      </c>
      <c r="D92" s="83" t="s">
        <v>2059</v>
      </c>
      <c r="E92" s="83" t="b">
        <v>0</v>
      </c>
      <c r="F92" s="83" t="b">
        <v>0</v>
      </c>
      <c r="G92" s="83" t="b">
        <v>0</v>
      </c>
    </row>
    <row r="93" spans="1:7" ht="15">
      <c r="A93" s="84" t="s">
        <v>1511</v>
      </c>
      <c r="B93" s="83">
        <v>7</v>
      </c>
      <c r="C93" s="110">
        <v>0.002951202933449637</v>
      </c>
      <c r="D93" s="83" t="s">
        <v>2059</v>
      </c>
      <c r="E93" s="83" t="b">
        <v>0</v>
      </c>
      <c r="F93" s="83" t="b">
        <v>0</v>
      </c>
      <c r="G93" s="83" t="b">
        <v>0</v>
      </c>
    </row>
    <row r="94" spans="1:7" ht="15">
      <c r="A94" s="84" t="s">
        <v>1512</v>
      </c>
      <c r="B94" s="83">
        <v>7</v>
      </c>
      <c r="C94" s="110">
        <v>0.0028343090628050144</v>
      </c>
      <c r="D94" s="83" t="s">
        <v>2059</v>
      </c>
      <c r="E94" s="83" t="b">
        <v>0</v>
      </c>
      <c r="F94" s="83" t="b">
        <v>0</v>
      </c>
      <c r="G94" s="83" t="b">
        <v>0</v>
      </c>
    </row>
    <row r="95" spans="1:7" ht="15">
      <c r="A95" s="84" t="s">
        <v>1513</v>
      </c>
      <c r="B95" s="83">
        <v>7</v>
      </c>
      <c r="C95" s="110">
        <v>0.0028343090628050144</v>
      </c>
      <c r="D95" s="83" t="s">
        <v>2059</v>
      </c>
      <c r="E95" s="83" t="b">
        <v>0</v>
      </c>
      <c r="F95" s="83" t="b">
        <v>0</v>
      </c>
      <c r="G95" s="83" t="b">
        <v>0</v>
      </c>
    </row>
    <row r="96" spans="1:7" ht="15">
      <c r="A96" s="84" t="s">
        <v>1514</v>
      </c>
      <c r="B96" s="83">
        <v>7</v>
      </c>
      <c r="C96" s="110">
        <v>0.0028343090628050144</v>
      </c>
      <c r="D96" s="83" t="s">
        <v>2059</v>
      </c>
      <c r="E96" s="83" t="b">
        <v>0</v>
      </c>
      <c r="F96" s="83" t="b">
        <v>0</v>
      </c>
      <c r="G96" s="83" t="b">
        <v>0</v>
      </c>
    </row>
    <row r="97" spans="1:7" ht="15">
      <c r="A97" s="84" t="s">
        <v>1515</v>
      </c>
      <c r="B97" s="83">
        <v>7</v>
      </c>
      <c r="C97" s="110">
        <v>0.003089459037798196</v>
      </c>
      <c r="D97" s="83" t="s">
        <v>2059</v>
      </c>
      <c r="E97" s="83" t="b">
        <v>0</v>
      </c>
      <c r="F97" s="83" t="b">
        <v>0</v>
      </c>
      <c r="G97" s="83" t="b">
        <v>0</v>
      </c>
    </row>
    <row r="98" spans="1:7" ht="15">
      <c r="A98" s="84" t="s">
        <v>1516</v>
      </c>
      <c r="B98" s="83">
        <v>7</v>
      </c>
      <c r="C98" s="110">
        <v>0.0032586708340207942</v>
      </c>
      <c r="D98" s="83" t="s">
        <v>2059</v>
      </c>
      <c r="E98" s="83" t="b">
        <v>0</v>
      </c>
      <c r="F98" s="83" t="b">
        <v>0</v>
      </c>
      <c r="G98" s="83" t="b">
        <v>0</v>
      </c>
    </row>
    <row r="99" spans="1:7" ht="15">
      <c r="A99" s="84" t="s">
        <v>1517</v>
      </c>
      <c r="B99" s="83">
        <v>7</v>
      </c>
      <c r="C99" s="110">
        <v>0.0034768227812041566</v>
      </c>
      <c r="D99" s="83" t="s">
        <v>2059</v>
      </c>
      <c r="E99" s="83" t="b">
        <v>1</v>
      </c>
      <c r="F99" s="83" t="b">
        <v>0</v>
      </c>
      <c r="G99" s="83" t="b">
        <v>0</v>
      </c>
    </row>
    <row r="100" spans="1:7" ht="15">
      <c r="A100" s="84" t="s">
        <v>1518</v>
      </c>
      <c r="B100" s="83">
        <v>7</v>
      </c>
      <c r="C100" s="110">
        <v>0.0028343090628050144</v>
      </c>
      <c r="D100" s="83" t="s">
        <v>2059</v>
      </c>
      <c r="E100" s="83" t="b">
        <v>0</v>
      </c>
      <c r="F100" s="83" t="b">
        <v>0</v>
      </c>
      <c r="G100" s="83" t="b">
        <v>0</v>
      </c>
    </row>
    <row r="101" spans="1:7" ht="15">
      <c r="A101" s="84" t="s">
        <v>1519</v>
      </c>
      <c r="B101" s="83">
        <v>7</v>
      </c>
      <c r="C101" s="110">
        <v>0.0028343090628050144</v>
      </c>
      <c r="D101" s="83" t="s">
        <v>2059</v>
      </c>
      <c r="E101" s="83" t="b">
        <v>0</v>
      </c>
      <c r="F101" s="83" t="b">
        <v>1</v>
      </c>
      <c r="G101" s="83" t="b">
        <v>0</v>
      </c>
    </row>
    <row r="102" spans="1:7" ht="15">
      <c r="A102" s="84" t="s">
        <v>1520</v>
      </c>
      <c r="B102" s="83">
        <v>7</v>
      </c>
      <c r="C102" s="110">
        <v>0.0028343090628050144</v>
      </c>
      <c r="D102" s="83" t="s">
        <v>2059</v>
      </c>
      <c r="E102" s="83" t="b">
        <v>0</v>
      </c>
      <c r="F102" s="83" t="b">
        <v>1</v>
      </c>
      <c r="G102" s="83" t="b">
        <v>0</v>
      </c>
    </row>
    <row r="103" spans="1:7" ht="15">
      <c r="A103" s="84" t="s">
        <v>1521</v>
      </c>
      <c r="B103" s="83">
        <v>7</v>
      </c>
      <c r="C103" s="110">
        <v>0.002951202933449637</v>
      </c>
      <c r="D103" s="83" t="s">
        <v>2059</v>
      </c>
      <c r="E103" s="83" t="b">
        <v>0</v>
      </c>
      <c r="F103" s="83" t="b">
        <v>0</v>
      </c>
      <c r="G103" s="83" t="b">
        <v>0</v>
      </c>
    </row>
    <row r="104" spans="1:7" ht="15">
      <c r="A104" s="84" t="s">
        <v>1522</v>
      </c>
      <c r="B104" s="83">
        <v>7</v>
      </c>
      <c r="C104" s="110">
        <v>0.003089459037798196</v>
      </c>
      <c r="D104" s="83" t="s">
        <v>2059</v>
      </c>
      <c r="E104" s="83" t="b">
        <v>0</v>
      </c>
      <c r="F104" s="83" t="b">
        <v>0</v>
      </c>
      <c r="G104" s="83" t="b">
        <v>0</v>
      </c>
    </row>
    <row r="105" spans="1:7" ht="15">
      <c r="A105" s="84" t="s">
        <v>1523</v>
      </c>
      <c r="B105" s="83">
        <v>7</v>
      </c>
      <c r="C105" s="110">
        <v>0.0028343090628050144</v>
      </c>
      <c r="D105" s="83" t="s">
        <v>2059</v>
      </c>
      <c r="E105" s="83" t="b">
        <v>0</v>
      </c>
      <c r="F105" s="83" t="b">
        <v>0</v>
      </c>
      <c r="G105" s="83" t="b">
        <v>0</v>
      </c>
    </row>
    <row r="106" spans="1:7" ht="15">
      <c r="A106" s="84" t="s">
        <v>1524</v>
      </c>
      <c r="B106" s="83">
        <v>7</v>
      </c>
      <c r="C106" s="110">
        <v>0.0028343090628050144</v>
      </c>
      <c r="D106" s="83" t="s">
        <v>2059</v>
      </c>
      <c r="E106" s="83" t="b">
        <v>0</v>
      </c>
      <c r="F106" s="83" t="b">
        <v>0</v>
      </c>
      <c r="G106" s="83" t="b">
        <v>0</v>
      </c>
    </row>
    <row r="107" spans="1:7" ht="15">
      <c r="A107" s="84" t="s">
        <v>1525</v>
      </c>
      <c r="B107" s="83">
        <v>7</v>
      </c>
      <c r="C107" s="110">
        <v>0.003089459037798196</v>
      </c>
      <c r="D107" s="83" t="s">
        <v>2059</v>
      </c>
      <c r="E107" s="83" t="b">
        <v>0</v>
      </c>
      <c r="F107" s="83" t="b">
        <v>0</v>
      </c>
      <c r="G107" s="83" t="b">
        <v>0</v>
      </c>
    </row>
    <row r="108" spans="1:7" ht="15">
      <c r="A108" s="84" t="s">
        <v>1526</v>
      </c>
      <c r="B108" s="83">
        <v>7</v>
      </c>
      <c r="C108" s="110">
        <v>0.003089459037798196</v>
      </c>
      <c r="D108" s="83" t="s">
        <v>2059</v>
      </c>
      <c r="E108" s="83" t="b">
        <v>0</v>
      </c>
      <c r="F108" s="83" t="b">
        <v>0</v>
      </c>
      <c r="G108" s="83" t="b">
        <v>0</v>
      </c>
    </row>
    <row r="109" spans="1:7" ht="15">
      <c r="A109" s="84" t="s">
        <v>1527</v>
      </c>
      <c r="B109" s="83">
        <v>7</v>
      </c>
      <c r="C109" s="110">
        <v>0.0032586708340207942</v>
      </c>
      <c r="D109" s="83" t="s">
        <v>2059</v>
      </c>
      <c r="E109" s="83" t="b">
        <v>0</v>
      </c>
      <c r="F109" s="83" t="b">
        <v>0</v>
      </c>
      <c r="G109" s="83" t="b">
        <v>0</v>
      </c>
    </row>
    <row r="110" spans="1:7" ht="15">
      <c r="A110" s="84" t="s">
        <v>1528</v>
      </c>
      <c r="B110" s="83">
        <v>6</v>
      </c>
      <c r="C110" s="110">
        <v>0.002529602514385403</v>
      </c>
      <c r="D110" s="83" t="s">
        <v>2059</v>
      </c>
      <c r="E110" s="83" t="b">
        <v>0</v>
      </c>
      <c r="F110" s="83" t="b">
        <v>0</v>
      </c>
      <c r="G110" s="83" t="b">
        <v>0</v>
      </c>
    </row>
    <row r="111" spans="1:7" ht="15">
      <c r="A111" s="84" t="s">
        <v>1529</v>
      </c>
      <c r="B111" s="83">
        <v>6</v>
      </c>
      <c r="C111" s="110">
        <v>0.002529602514385403</v>
      </c>
      <c r="D111" s="83" t="s">
        <v>2059</v>
      </c>
      <c r="E111" s="83" t="b">
        <v>1</v>
      </c>
      <c r="F111" s="83" t="b">
        <v>0</v>
      </c>
      <c r="G111" s="83" t="b">
        <v>0</v>
      </c>
    </row>
    <row r="112" spans="1:7" ht="15">
      <c r="A112" s="84" t="s">
        <v>1530</v>
      </c>
      <c r="B112" s="83">
        <v>6</v>
      </c>
      <c r="C112" s="110">
        <v>0.002529602514385403</v>
      </c>
      <c r="D112" s="83" t="s">
        <v>2059</v>
      </c>
      <c r="E112" s="83" t="b">
        <v>1</v>
      </c>
      <c r="F112" s="83" t="b">
        <v>0</v>
      </c>
      <c r="G112" s="83" t="b">
        <v>0</v>
      </c>
    </row>
    <row r="113" spans="1:7" ht="15">
      <c r="A113" s="84" t="s">
        <v>1531</v>
      </c>
      <c r="B113" s="83">
        <v>6</v>
      </c>
      <c r="C113" s="110">
        <v>0.0026481077466841683</v>
      </c>
      <c r="D113" s="83" t="s">
        <v>2059</v>
      </c>
      <c r="E113" s="83" t="b">
        <v>0</v>
      </c>
      <c r="F113" s="83" t="b">
        <v>1</v>
      </c>
      <c r="G113" s="83" t="b">
        <v>0</v>
      </c>
    </row>
    <row r="114" spans="1:7" ht="15">
      <c r="A114" s="84" t="s">
        <v>1532</v>
      </c>
      <c r="B114" s="83">
        <v>6</v>
      </c>
      <c r="C114" s="110">
        <v>0.002529602514385403</v>
      </c>
      <c r="D114" s="83" t="s">
        <v>2059</v>
      </c>
      <c r="E114" s="83" t="b">
        <v>0</v>
      </c>
      <c r="F114" s="83" t="b">
        <v>0</v>
      </c>
      <c r="G114" s="83" t="b">
        <v>0</v>
      </c>
    </row>
    <row r="115" spans="1:7" ht="15">
      <c r="A115" s="84" t="s">
        <v>1533</v>
      </c>
      <c r="B115" s="83">
        <v>6</v>
      </c>
      <c r="C115" s="110">
        <v>0.002529602514385403</v>
      </c>
      <c r="D115" s="83" t="s">
        <v>2059</v>
      </c>
      <c r="E115" s="83" t="b">
        <v>0</v>
      </c>
      <c r="F115" s="83" t="b">
        <v>1</v>
      </c>
      <c r="G115" s="83" t="b">
        <v>0</v>
      </c>
    </row>
    <row r="116" spans="1:7" ht="15">
      <c r="A116" s="84" t="s">
        <v>1534</v>
      </c>
      <c r="B116" s="83">
        <v>6</v>
      </c>
      <c r="C116" s="110">
        <v>0.0026481077466841683</v>
      </c>
      <c r="D116" s="83" t="s">
        <v>2059</v>
      </c>
      <c r="E116" s="83" t="b">
        <v>0</v>
      </c>
      <c r="F116" s="83" t="b">
        <v>0</v>
      </c>
      <c r="G116" s="83" t="b">
        <v>0</v>
      </c>
    </row>
    <row r="117" spans="1:7" ht="15">
      <c r="A117" s="84" t="s">
        <v>1535</v>
      </c>
      <c r="B117" s="83">
        <v>6</v>
      </c>
      <c r="C117" s="110">
        <v>0.0026481077466841683</v>
      </c>
      <c r="D117" s="83" t="s">
        <v>2059</v>
      </c>
      <c r="E117" s="83" t="b">
        <v>0</v>
      </c>
      <c r="F117" s="83" t="b">
        <v>0</v>
      </c>
      <c r="G117" s="83" t="b">
        <v>0</v>
      </c>
    </row>
    <row r="118" spans="1:7" ht="15">
      <c r="A118" s="84" t="s">
        <v>1536</v>
      </c>
      <c r="B118" s="83">
        <v>6</v>
      </c>
      <c r="C118" s="110">
        <v>0.002529602514385403</v>
      </c>
      <c r="D118" s="83" t="s">
        <v>2059</v>
      </c>
      <c r="E118" s="83" t="b">
        <v>0</v>
      </c>
      <c r="F118" s="83" t="b">
        <v>0</v>
      </c>
      <c r="G118" s="83" t="b">
        <v>0</v>
      </c>
    </row>
    <row r="119" spans="1:7" ht="15">
      <c r="A119" s="84" t="s">
        <v>1537</v>
      </c>
      <c r="B119" s="83">
        <v>6</v>
      </c>
      <c r="C119" s="110">
        <v>0.0026481077466841683</v>
      </c>
      <c r="D119" s="83" t="s">
        <v>2059</v>
      </c>
      <c r="E119" s="83" t="b">
        <v>0</v>
      </c>
      <c r="F119" s="83" t="b">
        <v>0</v>
      </c>
      <c r="G119" s="83" t="b">
        <v>0</v>
      </c>
    </row>
    <row r="120" spans="1:7" ht="15">
      <c r="A120" s="84" t="s">
        <v>1538</v>
      </c>
      <c r="B120" s="83">
        <v>6</v>
      </c>
      <c r="C120" s="110">
        <v>0.0029801338124607053</v>
      </c>
      <c r="D120" s="83" t="s">
        <v>2059</v>
      </c>
      <c r="E120" s="83" t="b">
        <v>0</v>
      </c>
      <c r="F120" s="83" t="b">
        <v>0</v>
      </c>
      <c r="G120" s="83" t="b">
        <v>0</v>
      </c>
    </row>
    <row r="121" spans="1:7" ht="15">
      <c r="A121" s="84" t="s">
        <v>1539</v>
      </c>
      <c r="B121" s="83">
        <v>6</v>
      </c>
      <c r="C121" s="110">
        <v>0.0027931464291606808</v>
      </c>
      <c r="D121" s="83" t="s">
        <v>2059</v>
      </c>
      <c r="E121" s="83" t="b">
        <v>0</v>
      </c>
      <c r="F121" s="83" t="b">
        <v>0</v>
      </c>
      <c r="G121" s="83" t="b">
        <v>0</v>
      </c>
    </row>
    <row r="122" spans="1:7" ht="15">
      <c r="A122" s="84" t="s">
        <v>1540</v>
      </c>
      <c r="B122" s="83">
        <v>6</v>
      </c>
      <c r="C122" s="110">
        <v>0.002529602514385403</v>
      </c>
      <c r="D122" s="83" t="s">
        <v>2059</v>
      </c>
      <c r="E122" s="83" t="b">
        <v>0</v>
      </c>
      <c r="F122" s="83" t="b">
        <v>0</v>
      </c>
      <c r="G122" s="83" t="b">
        <v>0</v>
      </c>
    </row>
    <row r="123" spans="1:7" ht="15">
      <c r="A123" s="84" t="s">
        <v>1541</v>
      </c>
      <c r="B123" s="83">
        <v>6</v>
      </c>
      <c r="C123" s="110">
        <v>0.002529602514385403</v>
      </c>
      <c r="D123" s="83" t="s">
        <v>2059</v>
      </c>
      <c r="E123" s="83" t="b">
        <v>0</v>
      </c>
      <c r="F123" s="83" t="b">
        <v>0</v>
      </c>
      <c r="G123" s="83" t="b">
        <v>0</v>
      </c>
    </row>
    <row r="124" spans="1:7" ht="15">
      <c r="A124" s="84" t="s">
        <v>1542</v>
      </c>
      <c r="B124" s="83">
        <v>6</v>
      </c>
      <c r="C124" s="110">
        <v>0.002529602514385403</v>
      </c>
      <c r="D124" s="83" t="s">
        <v>2059</v>
      </c>
      <c r="E124" s="83" t="b">
        <v>1</v>
      </c>
      <c r="F124" s="83" t="b">
        <v>0</v>
      </c>
      <c r="G124" s="83" t="b">
        <v>0</v>
      </c>
    </row>
    <row r="125" spans="1:7" ht="15">
      <c r="A125" s="84" t="s">
        <v>1543</v>
      </c>
      <c r="B125" s="83">
        <v>6</v>
      </c>
      <c r="C125" s="110">
        <v>0.002529602514385403</v>
      </c>
      <c r="D125" s="83" t="s">
        <v>2059</v>
      </c>
      <c r="E125" s="83" t="b">
        <v>0</v>
      </c>
      <c r="F125" s="83" t="b">
        <v>0</v>
      </c>
      <c r="G125" s="83" t="b">
        <v>0</v>
      </c>
    </row>
    <row r="126" spans="1:7" ht="15">
      <c r="A126" s="84" t="s">
        <v>1544</v>
      </c>
      <c r="B126" s="83">
        <v>6</v>
      </c>
      <c r="C126" s="110">
        <v>0.0029801338124607053</v>
      </c>
      <c r="D126" s="83" t="s">
        <v>2059</v>
      </c>
      <c r="E126" s="83" t="b">
        <v>0</v>
      </c>
      <c r="F126" s="83" t="b">
        <v>0</v>
      </c>
      <c r="G126" s="83" t="b">
        <v>0</v>
      </c>
    </row>
    <row r="127" spans="1:7" ht="15">
      <c r="A127" s="84" t="s">
        <v>1545</v>
      </c>
      <c r="B127" s="83">
        <v>6</v>
      </c>
      <c r="C127" s="110">
        <v>0.0027931464291606808</v>
      </c>
      <c r="D127" s="83" t="s">
        <v>2059</v>
      </c>
      <c r="E127" s="83" t="b">
        <v>0</v>
      </c>
      <c r="F127" s="83" t="b">
        <v>0</v>
      </c>
      <c r="G127" s="83" t="b">
        <v>0</v>
      </c>
    </row>
    <row r="128" spans="1:7" ht="15">
      <c r="A128" s="84" t="s">
        <v>1546</v>
      </c>
      <c r="B128" s="83">
        <v>6</v>
      </c>
      <c r="C128" s="110">
        <v>0.0032436777272359827</v>
      </c>
      <c r="D128" s="83" t="s">
        <v>2059</v>
      </c>
      <c r="E128" s="83" t="b">
        <v>0</v>
      </c>
      <c r="F128" s="83" t="b">
        <v>0</v>
      </c>
      <c r="G128" s="83" t="b">
        <v>0</v>
      </c>
    </row>
    <row r="129" spans="1:7" ht="15">
      <c r="A129" s="84" t="s">
        <v>1547</v>
      </c>
      <c r="B129" s="83">
        <v>6</v>
      </c>
      <c r="C129" s="110">
        <v>0.002529602514385403</v>
      </c>
      <c r="D129" s="83" t="s">
        <v>2059</v>
      </c>
      <c r="E129" s="83" t="b">
        <v>0</v>
      </c>
      <c r="F129" s="83" t="b">
        <v>0</v>
      </c>
      <c r="G129" s="83" t="b">
        <v>0</v>
      </c>
    </row>
    <row r="130" spans="1:7" ht="15">
      <c r="A130" s="84" t="s">
        <v>1548</v>
      </c>
      <c r="B130" s="83">
        <v>6</v>
      </c>
      <c r="C130" s="110">
        <v>0.0032436777272359827</v>
      </c>
      <c r="D130" s="83" t="s">
        <v>2059</v>
      </c>
      <c r="E130" s="83" t="b">
        <v>0</v>
      </c>
      <c r="F130" s="83" t="b">
        <v>0</v>
      </c>
      <c r="G130" s="83" t="b">
        <v>0</v>
      </c>
    </row>
    <row r="131" spans="1:7" ht="15">
      <c r="A131" s="84" t="s">
        <v>1549</v>
      </c>
      <c r="B131" s="83">
        <v>6</v>
      </c>
      <c r="C131" s="110">
        <v>0.002529602514385403</v>
      </c>
      <c r="D131" s="83" t="s">
        <v>2059</v>
      </c>
      <c r="E131" s="83" t="b">
        <v>0</v>
      </c>
      <c r="F131" s="83" t="b">
        <v>0</v>
      </c>
      <c r="G131" s="83" t="b">
        <v>0</v>
      </c>
    </row>
    <row r="132" spans="1:7" ht="15">
      <c r="A132" s="84" t="s">
        <v>1550</v>
      </c>
      <c r="B132" s="83">
        <v>6</v>
      </c>
      <c r="C132" s="110">
        <v>0.0027931464291606808</v>
      </c>
      <c r="D132" s="83" t="s">
        <v>2059</v>
      </c>
      <c r="E132" s="83" t="b">
        <v>0</v>
      </c>
      <c r="F132" s="83" t="b">
        <v>0</v>
      </c>
      <c r="G132" s="83" t="b">
        <v>0</v>
      </c>
    </row>
    <row r="133" spans="1:7" ht="15">
      <c r="A133" s="84" t="s">
        <v>1551</v>
      </c>
      <c r="B133" s="83">
        <v>5</v>
      </c>
      <c r="C133" s="110">
        <v>0.0023276220243005677</v>
      </c>
      <c r="D133" s="83" t="s">
        <v>2059</v>
      </c>
      <c r="E133" s="83" t="b">
        <v>0</v>
      </c>
      <c r="F133" s="83" t="b">
        <v>0</v>
      </c>
      <c r="G133" s="83" t="b">
        <v>0</v>
      </c>
    </row>
    <row r="134" spans="1:7" ht="15">
      <c r="A134" s="84" t="s">
        <v>1552</v>
      </c>
      <c r="B134" s="83">
        <v>5</v>
      </c>
      <c r="C134" s="110">
        <v>0.0022067564555701405</v>
      </c>
      <c r="D134" s="83" t="s">
        <v>2059</v>
      </c>
      <c r="E134" s="83" t="b">
        <v>0</v>
      </c>
      <c r="F134" s="83" t="b">
        <v>0</v>
      </c>
      <c r="G134" s="83" t="b">
        <v>0</v>
      </c>
    </row>
    <row r="135" spans="1:7" ht="15">
      <c r="A135" s="84" t="s">
        <v>1553</v>
      </c>
      <c r="B135" s="83">
        <v>5</v>
      </c>
      <c r="C135" s="110">
        <v>0.0023276220243005677</v>
      </c>
      <c r="D135" s="83" t="s">
        <v>2059</v>
      </c>
      <c r="E135" s="83" t="b">
        <v>0</v>
      </c>
      <c r="F135" s="83" t="b">
        <v>0</v>
      </c>
      <c r="G135" s="83" t="b">
        <v>0</v>
      </c>
    </row>
    <row r="136" spans="1:7" ht="15">
      <c r="A136" s="84" t="s">
        <v>1554</v>
      </c>
      <c r="B136" s="83">
        <v>5</v>
      </c>
      <c r="C136" s="110">
        <v>0.0023276220243005677</v>
      </c>
      <c r="D136" s="83" t="s">
        <v>2059</v>
      </c>
      <c r="E136" s="83" t="b">
        <v>0</v>
      </c>
      <c r="F136" s="83" t="b">
        <v>0</v>
      </c>
      <c r="G136" s="83" t="b">
        <v>0</v>
      </c>
    </row>
    <row r="137" spans="1:7" ht="15">
      <c r="A137" s="84" t="s">
        <v>1555</v>
      </c>
      <c r="B137" s="83">
        <v>5</v>
      </c>
      <c r="C137" s="110">
        <v>0.002483444843717255</v>
      </c>
      <c r="D137" s="83" t="s">
        <v>2059</v>
      </c>
      <c r="E137" s="83" t="b">
        <v>0</v>
      </c>
      <c r="F137" s="83" t="b">
        <v>0</v>
      </c>
      <c r="G137" s="83" t="b">
        <v>0</v>
      </c>
    </row>
    <row r="138" spans="1:7" ht="15">
      <c r="A138" s="84" t="s">
        <v>1556</v>
      </c>
      <c r="B138" s="83">
        <v>5</v>
      </c>
      <c r="C138" s="110">
        <v>0.002483444843717255</v>
      </c>
      <c r="D138" s="83" t="s">
        <v>2059</v>
      </c>
      <c r="E138" s="83" t="b">
        <v>0</v>
      </c>
      <c r="F138" s="83" t="b">
        <v>0</v>
      </c>
      <c r="G138" s="83" t="b">
        <v>0</v>
      </c>
    </row>
    <row r="139" spans="1:7" ht="15">
      <c r="A139" s="84" t="s">
        <v>1557</v>
      </c>
      <c r="B139" s="83">
        <v>5</v>
      </c>
      <c r="C139" s="110">
        <v>0.002483444843717255</v>
      </c>
      <c r="D139" s="83" t="s">
        <v>2059</v>
      </c>
      <c r="E139" s="83" t="b">
        <v>0</v>
      </c>
      <c r="F139" s="83" t="b">
        <v>0</v>
      </c>
      <c r="G139" s="83" t="b">
        <v>0</v>
      </c>
    </row>
    <row r="140" spans="1:7" ht="15">
      <c r="A140" s="84" t="s">
        <v>1558</v>
      </c>
      <c r="B140" s="83">
        <v>5</v>
      </c>
      <c r="C140" s="110">
        <v>0.002483444843717255</v>
      </c>
      <c r="D140" s="83" t="s">
        <v>2059</v>
      </c>
      <c r="E140" s="83" t="b">
        <v>0</v>
      </c>
      <c r="F140" s="83" t="b">
        <v>0</v>
      </c>
      <c r="G140" s="83" t="b">
        <v>0</v>
      </c>
    </row>
    <row r="141" spans="1:7" ht="15">
      <c r="A141" s="84" t="s">
        <v>1559</v>
      </c>
      <c r="B141" s="83">
        <v>5</v>
      </c>
      <c r="C141" s="110">
        <v>0.0023276220243005677</v>
      </c>
      <c r="D141" s="83" t="s">
        <v>2059</v>
      </c>
      <c r="E141" s="83" t="b">
        <v>0</v>
      </c>
      <c r="F141" s="83" t="b">
        <v>0</v>
      </c>
      <c r="G141" s="83" t="b">
        <v>0</v>
      </c>
    </row>
    <row r="142" spans="1:7" ht="15">
      <c r="A142" s="84" t="s">
        <v>1560</v>
      </c>
      <c r="B142" s="83">
        <v>5</v>
      </c>
      <c r="C142" s="110">
        <v>0.0023276220243005677</v>
      </c>
      <c r="D142" s="83" t="s">
        <v>2059</v>
      </c>
      <c r="E142" s="83" t="b">
        <v>1</v>
      </c>
      <c r="F142" s="83" t="b">
        <v>0</v>
      </c>
      <c r="G142" s="83" t="b">
        <v>0</v>
      </c>
    </row>
    <row r="143" spans="1:7" ht="15">
      <c r="A143" s="84" t="s">
        <v>1561</v>
      </c>
      <c r="B143" s="83">
        <v>5</v>
      </c>
      <c r="C143" s="110">
        <v>0.0022067564555701405</v>
      </c>
      <c r="D143" s="83" t="s">
        <v>2059</v>
      </c>
      <c r="E143" s="83" t="b">
        <v>0</v>
      </c>
      <c r="F143" s="83" t="b">
        <v>0</v>
      </c>
      <c r="G143" s="83" t="b">
        <v>0</v>
      </c>
    </row>
    <row r="144" spans="1:7" ht="15">
      <c r="A144" s="84" t="s">
        <v>1562</v>
      </c>
      <c r="B144" s="83">
        <v>5</v>
      </c>
      <c r="C144" s="110">
        <v>0.0027030647726966526</v>
      </c>
      <c r="D144" s="83" t="s">
        <v>2059</v>
      </c>
      <c r="E144" s="83" t="b">
        <v>0</v>
      </c>
      <c r="F144" s="83" t="b">
        <v>0</v>
      </c>
      <c r="G144" s="83" t="b">
        <v>0</v>
      </c>
    </row>
    <row r="145" spans="1:7" ht="15">
      <c r="A145" s="84" t="s">
        <v>1563</v>
      </c>
      <c r="B145" s="83">
        <v>5</v>
      </c>
      <c r="C145" s="110">
        <v>0.0023276220243005677</v>
      </c>
      <c r="D145" s="83" t="s">
        <v>2059</v>
      </c>
      <c r="E145" s="83" t="b">
        <v>0</v>
      </c>
      <c r="F145" s="83" t="b">
        <v>0</v>
      </c>
      <c r="G145" s="83" t="b">
        <v>0</v>
      </c>
    </row>
    <row r="146" spans="1:7" ht="15">
      <c r="A146" s="84" t="s">
        <v>1564</v>
      </c>
      <c r="B146" s="83">
        <v>5</v>
      </c>
      <c r="C146" s="110">
        <v>0.0023276220243005677</v>
      </c>
      <c r="D146" s="83" t="s">
        <v>2059</v>
      </c>
      <c r="E146" s="83" t="b">
        <v>0</v>
      </c>
      <c r="F146" s="83" t="b">
        <v>0</v>
      </c>
      <c r="G146" s="83" t="b">
        <v>0</v>
      </c>
    </row>
    <row r="147" spans="1:7" ht="15">
      <c r="A147" s="84" t="s">
        <v>1565</v>
      </c>
      <c r="B147" s="83">
        <v>5</v>
      </c>
      <c r="C147" s="110">
        <v>0.0022067564555701405</v>
      </c>
      <c r="D147" s="83" t="s">
        <v>2059</v>
      </c>
      <c r="E147" s="83" t="b">
        <v>0</v>
      </c>
      <c r="F147" s="83" t="b">
        <v>0</v>
      </c>
      <c r="G147" s="83" t="b">
        <v>0</v>
      </c>
    </row>
    <row r="148" spans="1:7" ht="15">
      <c r="A148" s="84" t="s">
        <v>1566</v>
      </c>
      <c r="B148" s="83">
        <v>5</v>
      </c>
      <c r="C148" s="110">
        <v>0.0027030647726966526</v>
      </c>
      <c r="D148" s="83" t="s">
        <v>2059</v>
      </c>
      <c r="E148" s="83" t="b">
        <v>0</v>
      </c>
      <c r="F148" s="83" t="b">
        <v>0</v>
      </c>
      <c r="G148" s="83" t="b">
        <v>0</v>
      </c>
    </row>
    <row r="149" spans="1:7" ht="15">
      <c r="A149" s="84" t="s">
        <v>1567</v>
      </c>
      <c r="B149" s="83">
        <v>5</v>
      </c>
      <c r="C149" s="110">
        <v>0.0023276220243005677</v>
      </c>
      <c r="D149" s="83" t="s">
        <v>2059</v>
      </c>
      <c r="E149" s="83" t="b">
        <v>0</v>
      </c>
      <c r="F149" s="83" t="b">
        <v>0</v>
      </c>
      <c r="G149" s="83" t="b">
        <v>0</v>
      </c>
    </row>
    <row r="150" spans="1:7" ht="15">
      <c r="A150" s="84" t="s">
        <v>1568</v>
      </c>
      <c r="B150" s="83">
        <v>5</v>
      </c>
      <c r="C150" s="110">
        <v>0.0022067564555701405</v>
      </c>
      <c r="D150" s="83" t="s">
        <v>2059</v>
      </c>
      <c r="E150" s="83" t="b">
        <v>0</v>
      </c>
      <c r="F150" s="83" t="b">
        <v>0</v>
      </c>
      <c r="G150" s="83" t="b">
        <v>0</v>
      </c>
    </row>
    <row r="151" spans="1:7" ht="15">
      <c r="A151" s="84" t="s">
        <v>1569</v>
      </c>
      <c r="B151" s="83">
        <v>5</v>
      </c>
      <c r="C151" s="110">
        <v>0.0023276220243005677</v>
      </c>
      <c r="D151" s="83" t="s">
        <v>2059</v>
      </c>
      <c r="E151" s="83" t="b">
        <v>0</v>
      </c>
      <c r="F151" s="83" t="b">
        <v>0</v>
      </c>
      <c r="G151" s="83" t="b">
        <v>0</v>
      </c>
    </row>
    <row r="152" spans="1:7" ht="15">
      <c r="A152" s="84" t="s">
        <v>1570</v>
      </c>
      <c r="B152" s="83">
        <v>5</v>
      </c>
      <c r="C152" s="110">
        <v>0.0022067564555701405</v>
      </c>
      <c r="D152" s="83" t="s">
        <v>2059</v>
      </c>
      <c r="E152" s="83" t="b">
        <v>0</v>
      </c>
      <c r="F152" s="83" t="b">
        <v>0</v>
      </c>
      <c r="G152" s="83" t="b">
        <v>0</v>
      </c>
    </row>
    <row r="153" spans="1:7" ht="15">
      <c r="A153" s="84" t="s">
        <v>1571</v>
      </c>
      <c r="B153" s="83">
        <v>5</v>
      </c>
      <c r="C153" s="110">
        <v>0.002483444843717255</v>
      </c>
      <c r="D153" s="83" t="s">
        <v>2059</v>
      </c>
      <c r="E153" s="83" t="b">
        <v>0</v>
      </c>
      <c r="F153" s="83" t="b">
        <v>0</v>
      </c>
      <c r="G153" s="83" t="b">
        <v>0</v>
      </c>
    </row>
    <row r="154" spans="1:7" ht="15">
      <c r="A154" s="84" t="s">
        <v>1572</v>
      </c>
      <c r="B154" s="83">
        <v>5</v>
      </c>
      <c r="C154" s="110">
        <v>0.0023276220243005677</v>
      </c>
      <c r="D154" s="83" t="s">
        <v>2059</v>
      </c>
      <c r="E154" s="83" t="b">
        <v>0</v>
      </c>
      <c r="F154" s="83" t="b">
        <v>0</v>
      </c>
      <c r="G154" s="83" t="b">
        <v>0</v>
      </c>
    </row>
    <row r="155" spans="1:7" ht="15">
      <c r="A155" s="84" t="s">
        <v>1573</v>
      </c>
      <c r="B155" s="83">
        <v>5</v>
      </c>
      <c r="C155" s="110">
        <v>0.002483444843717255</v>
      </c>
      <c r="D155" s="83" t="s">
        <v>2059</v>
      </c>
      <c r="E155" s="83" t="b">
        <v>0</v>
      </c>
      <c r="F155" s="83" t="b">
        <v>0</v>
      </c>
      <c r="G155" s="83" t="b">
        <v>0</v>
      </c>
    </row>
    <row r="156" spans="1:7" ht="15">
      <c r="A156" s="84" t="s">
        <v>1574</v>
      </c>
      <c r="B156" s="83">
        <v>5</v>
      </c>
      <c r="C156" s="110">
        <v>0.002483444843717255</v>
      </c>
      <c r="D156" s="83" t="s">
        <v>2059</v>
      </c>
      <c r="E156" s="83" t="b">
        <v>0</v>
      </c>
      <c r="F156" s="83" t="b">
        <v>0</v>
      </c>
      <c r="G156" s="83" t="b">
        <v>0</v>
      </c>
    </row>
    <row r="157" spans="1:7" ht="15">
      <c r="A157" s="84" t="s">
        <v>1575</v>
      </c>
      <c r="B157" s="83">
        <v>5</v>
      </c>
      <c r="C157" s="110">
        <v>0.0022067564555701405</v>
      </c>
      <c r="D157" s="83" t="s">
        <v>2059</v>
      </c>
      <c r="E157" s="83" t="b">
        <v>0</v>
      </c>
      <c r="F157" s="83" t="b">
        <v>0</v>
      </c>
      <c r="G157" s="83" t="b">
        <v>0</v>
      </c>
    </row>
    <row r="158" spans="1:7" ht="15">
      <c r="A158" s="84" t="s">
        <v>1576</v>
      </c>
      <c r="B158" s="83">
        <v>5</v>
      </c>
      <c r="C158" s="110">
        <v>0.0022067564555701405</v>
      </c>
      <c r="D158" s="83" t="s">
        <v>2059</v>
      </c>
      <c r="E158" s="83" t="b">
        <v>0</v>
      </c>
      <c r="F158" s="83" t="b">
        <v>0</v>
      </c>
      <c r="G158" s="83" t="b">
        <v>0</v>
      </c>
    </row>
    <row r="159" spans="1:7" ht="15">
      <c r="A159" s="84" t="s">
        <v>1577</v>
      </c>
      <c r="B159" s="83">
        <v>5</v>
      </c>
      <c r="C159" s="110">
        <v>0.0027030647726966526</v>
      </c>
      <c r="D159" s="83" t="s">
        <v>2059</v>
      </c>
      <c r="E159" s="83" t="b">
        <v>0</v>
      </c>
      <c r="F159" s="83" t="b">
        <v>0</v>
      </c>
      <c r="G159" s="83" t="b">
        <v>0</v>
      </c>
    </row>
    <row r="160" spans="1:7" ht="15">
      <c r="A160" s="84" t="s">
        <v>1578</v>
      </c>
      <c r="B160" s="83">
        <v>5</v>
      </c>
      <c r="C160" s="110">
        <v>0.002483444843717255</v>
      </c>
      <c r="D160" s="83" t="s">
        <v>2059</v>
      </c>
      <c r="E160" s="83" t="b">
        <v>0</v>
      </c>
      <c r="F160" s="83" t="b">
        <v>0</v>
      </c>
      <c r="G160" s="83" t="b">
        <v>0</v>
      </c>
    </row>
    <row r="161" spans="1:7" ht="15">
      <c r="A161" s="84" t="s">
        <v>1579</v>
      </c>
      <c r="B161" s="83">
        <v>5</v>
      </c>
      <c r="C161" s="110">
        <v>0.0022067564555701405</v>
      </c>
      <c r="D161" s="83" t="s">
        <v>2059</v>
      </c>
      <c r="E161" s="83" t="b">
        <v>0</v>
      </c>
      <c r="F161" s="83" t="b">
        <v>0</v>
      </c>
      <c r="G161" s="83" t="b">
        <v>0</v>
      </c>
    </row>
    <row r="162" spans="1:7" ht="15">
      <c r="A162" s="84" t="s">
        <v>1580</v>
      </c>
      <c r="B162" s="83">
        <v>5</v>
      </c>
      <c r="C162" s="110">
        <v>0.002483444843717255</v>
      </c>
      <c r="D162" s="83" t="s">
        <v>2059</v>
      </c>
      <c r="E162" s="83" t="b">
        <v>0</v>
      </c>
      <c r="F162" s="83" t="b">
        <v>0</v>
      </c>
      <c r="G162" s="83" t="b">
        <v>0</v>
      </c>
    </row>
    <row r="163" spans="1:7" ht="15">
      <c r="A163" s="84" t="s">
        <v>1581</v>
      </c>
      <c r="B163" s="83">
        <v>5</v>
      </c>
      <c r="C163" s="110">
        <v>0.0027030647726966526</v>
      </c>
      <c r="D163" s="83" t="s">
        <v>2059</v>
      </c>
      <c r="E163" s="83" t="b">
        <v>0</v>
      </c>
      <c r="F163" s="83" t="b">
        <v>0</v>
      </c>
      <c r="G163" s="83" t="b">
        <v>0</v>
      </c>
    </row>
    <row r="164" spans="1:7" ht="15">
      <c r="A164" s="84" t="s">
        <v>1582</v>
      </c>
      <c r="B164" s="83">
        <v>5</v>
      </c>
      <c r="C164" s="110">
        <v>0.0027030647726966526</v>
      </c>
      <c r="D164" s="83" t="s">
        <v>2059</v>
      </c>
      <c r="E164" s="83" t="b">
        <v>0</v>
      </c>
      <c r="F164" s="83" t="b">
        <v>0</v>
      </c>
      <c r="G164" s="83" t="b">
        <v>0</v>
      </c>
    </row>
    <row r="165" spans="1:7" ht="15">
      <c r="A165" s="84" t="s">
        <v>1583</v>
      </c>
      <c r="B165" s="83">
        <v>5</v>
      </c>
      <c r="C165" s="110">
        <v>0.0022067564555701405</v>
      </c>
      <c r="D165" s="83" t="s">
        <v>2059</v>
      </c>
      <c r="E165" s="83" t="b">
        <v>0</v>
      </c>
      <c r="F165" s="83" t="b">
        <v>0</v>
      </c>
      <c r="G165" s="83" t="b">
        <v>0</v>
      </c>
    </row>
    <row r="166" spans="1:7" ht="15">
      <c r="A166" s="84" t="s">
        <v>1584</v>
      </c>
      <c r="B166" s="83">
        <v>5</v>
      </c>
      <c r="C166" s="110">
        <v>0.0022067564555701405</v>
      </c>
      <c r="D166" s="83" t="s">
        <v>2059</v>
      </c>
      <c r="E166" s="83" t="b">
        <v>0</v>
      </c>
      <c r="F166" s="83" t="b">
        <v>0</v>
      </c>
      <c r="G166" s="83" t="b">
        <v>0</v>
      </c>
    </row>
    <row r="167" spans="1:7" ht="15">
      <c r="A167" s="84" t="s">
        <v>1585</v>
      </c>
      <c r="B167" s="83">
        <v>5</v>
      </c>
      <c r="C167" s="110">
        <v>0.0027030647726966526</v>
      </c>
      <c r="D167" s="83" t="s">
        <v>2059</v>
      </c>
      <c r="E167" s="83" t="b">
        <v>0</v>
      </c>
      <c r="F167" s="83" t="b">
        <v>0</v>
      </c>
      <c r="G167" s="83" t="b">
        <v>0</v>
      </c>
    </row>
    <row r="168" spans="1:7" ht="15">
      <c r="A168" s="84" t="s">
        <v>1586</v>
      </c>
      <c r="B168" s="83">
        <v>5</v>
      </c>
      <c r="C168" s="110">
        <v>0.0023276220243005677</v>
      </c>
      <c r="D168" s="83" t="s">
        <v>2059</v>
      </c>
      <c r="E168" s="83" t="b">
        <v>0</v>
      </c>
      <c r="F168" s="83" t="b">
        <v>0</v>
      </c>
      <c r="G168" s="83" t="b">
        <v>0</v>
      </c>
    </row>
    <row r="169" spans="1:7" ht="15">
      <c r="A169" s="84" t="s">
        <v>1587</v>
      </c>
      <c r="B169" s="83">
        <v>4</v>
      </c>
      <c r="C169" s="110">
        <v>0.001986755874973804</v>
      </c>
      <c r="D169" s="83" t="s">
        <v>2059</v>
      </c>
      <c r="E169" s="83" t="b">
        <v>0</v>
      </c>
      <c r="F169" s="83" t="b">
        <v>0</v>
      </c>
      <c r="G169" s="83" t="b">
        <v>0</v>
      </c>
    </row>
    <row r="170" spans="1:7" ht="15">
      <c r="A170" s="84" t="s">
        <v>1588</v>
      </c>
      <c r="B170" s="83">
        <v>4</v>
      </c>
      <c r="C170" s="110">
        <v>0.001986755874973804</v>
      </c>
      <c r="D170" s="83" t="s">
        <v>2059</v>
      </c>
      <c r="E170" s="83" t="b">
        <v>0</v>
      </c>
      <c r="F170" s="83" t="b">
        <v>0</v>
      </c>
      <c r="G170" s="83" t="b">
        <v>0</v>
      </c>
    </row>
    <row r="171" spans="1:7" ht="15">
      <c r="A171" s="84" t="s">
        <v>1589</v>
      </c>
      <c r="B171" s="83">
        <v>4</v>
      </c>
      <c r="C171" s="110">
        <v>0.001862097619440454</v>
      </c>
      <c r="D171" s="83" t="s">
        <v>2059</v>
      </c>
      <c r="E171" s="83" t="b">
        <v>0</v>
      </c>
      <c r="F171" s="83" t="b">
        <v>0</v>
      </c>
      <c r="G171" s="83" t="b">
        <v>0</v>
      </c>
    </row>
    <row r="172" spans="1:7" ht="15">
      <c r="A172" s="84" t="s">
        <v>1590</v>
      </c>
      <c r="B172" s="83">
        <v>4</v>
      </c>
      <c r="C172" s="110">
        <v>0.001862097619440454</v>
      </c>
      <c r="D172" s="83" t="s">
        <v>2059</v>
      </c>
      <c r="E172" s="83" t="b">
        <v>0</v>
      </c>
      <c r="F172" s="83" t="b">
        <v>0</v>
      </c>
      <c r="G172" s="83" t="b">
        <v>0</v>
      </c>
    </row>
    <row r="173" spans="1:7" ht="15">
      <c r="A173" s="84" t="s">
        <v>1345</v>
      </c>
      <c r="B173" s="83">
        <v>4</v>
      </c>
      <c r="C173" s="110">
        <v>0.0021624518181573224</v>
      </c>
      <c r="D173" s="83" t="s">
        <v>2059</v>
      </c>
      <c r="E173" s="83" t="b">
        <v>0</v>
      </c>
      <c r="F173" s="83" t="b">
        <v>0</v>
      </c>
      <c r="G173" s="83" t="b">
        <v>0</v>
      </c>
    </row>
    <row r="174" spans="1:7" ht="15">
      <c r="A174" s="84" t="s">
        <v>1591</v>
      </c>
      <c r="B174" s="83">
        <v>4</v>
      </c>
      <c r="C174" s="110">
        <v>0.001986755874973804</v>
      </c>
      <c r="D174" s="83" t="s">
        <v>2059</v>
      </c>
      <c r="E174" s="83" t="b">
        <v>0</v>
      </c>
      <c r="F174" s="83" t="b">
        <v>0</v>
      </c>
      <c r="G174" s="83" t="b">
        <v>0</v>
      </c>
    </row>
    <row r="175" spans="1:7" ht="15">
      <c r="A175" s="84" t="s">
        <v>1592</v>
      </c>
      <c r="B175" s="83">
        <v>4</v>
      </c>
      <c r="C175" s="110">
        <v>0.0024628060168741905</v>
      </c>
      <c r="D175" s="83" t="s">
        <v>2059</v>
      </c>
      <c r="E175" s="83" t="b">
        <v>0</v>
      </c>
      <c r="F175" s="83" t="b">
        <v>0</v>
      </c>
      <c r="G175" s="83" t="b">
        <v>0</v>
      </c>
    </row>
    <row r="176" spans="1:7" ht="15">
      <c r="A176" s="84" t="s">
        <v>1593</v>
      </c>
      <c r="B176" s="83">
        <v>4</v>
      </c>
      <c r="C176" s="110">
        <v>0.0021624518181573224</v>
      </c>
      <c r="D176" s="83" t="s">
        <v>2059</v>
      </c>
      <c r="E176" s="83" t="b">
        <v>0</v>
      </c>
      <c r="F176" s="83" t="b">
        <v>0</v>
      </c>
      <c r="G176" s="83" t="b">
        <v>0</v>
      </c>
    </row>
    <row r="177" spans="1:7" ht="15">
      <c r="A177" s="84" t="s">
        <v>1594</v>
      </c>
      <c r="B177" s="83">
        <v>4</v>
      </c>
      <c r="C177" s="110">
        <v>0.001862097619440454</v>
      </c>
      <c r="D177" s="83" t="s">
        <v>2059</v>
      </c>
      <c r="E177" s="83" t="b">
        <v>1</v>
      </c>
      <c r="F177" s="83" t="b">
        <v>0</v>
      </c>
      <c r="G177" s="83" t="b">
        <v>0</v>
      </c>
    </row>
    <row r="178" spans="1:7" ht="15">
      <c r="A178" s="84" t="s">
        <v>1595</v>
      </c>
      <c r="B178" s="83">
        <v>4</v>
      </c>
      <c r="C178" s="110">
        <v>0.001862097619440454</v>
      </c>
      <c r="D178" s="83" t="s">
        <v>2059</v>
      </c>
      <c r="E178" s="83" t="b">
        <v>0</v>
      </c>
      <c r="F178" s="83" t="b">
        <v>0</v>
      </c>
      <c r="G178" s="83" t="b">
        <v>0</v>
      </c>
    </row>
    <row r="179" spans="1:7" ht="15">
      <c r="A179" s="84" t="s">
        <v>1596</v>
      </c>
      <c r="B179" s="83">
        <v>4</v>
      </c>
      <c r="C179" s="110">
        <v>0.0021624518181573224</v>
      </c>
      <c r="D179" s="83" t="s">
        <v>2059</v>
      </c>
      <c r="E179" s="83" t="b">
        <v>0</v>
      </c>
      <c r="F179" s="83" t="b">
        <v>0</v>
      </c>
      <c r="G179" s="83" t="b">
        <v>0</v>
      </c>
    </row>
    <row r="180" spans="1:7" ht="15">
      <c r="A180" s="84" t="s">
        <v>1597</v>
      </c>
      <c r="B180" s="83">
        <v>4</v>
      </c>
      <c r="C180" s="110">
        <v>0.001862097619440454</v>
      </c>
      <c r="D180" s="83" t="s">
        <v>2059</v>
      </c>
      <c r="E180" s="83" t="b">
        <v>0</v>
      </c>
      <c r="F180" s="83" t="b">
        <v>0</v>
      </c>
      <c r="G180" s="83" t="b">
        <v>0</v>
      </c>
    </row>
    <row r="181" spans="1:7" ht="15">
      <c r="A181" s="84" t="s">
        <v>1598</v>
      </c>
      <c r="B181" s="83">
        <v>4</v>
      </c>
      <c r="C181" s="110">
        <v>0.001862097619440454</v>
      </c>
      <c r="D181" s="83" t="s">
        <v>2059</v>
      </c>
      <c r="E181" s="83" t="b">
        <v>0</v>
      </c>
      <c r="F181" s="83" t="b">
        <v>0</v>
      </c>
      <c r="G181" s="83" t="b">
        <v>0</v>
      </c>
    </row>
    <row r="182" spans="1:7" ht="15">
      <c r="A182" s="84" t="s">
        <v>1599</v>
      </c>
      <c r="B182" s="83">
        <v>4</v>
      </c>
      <c r="C182" s="110">
        <v>0.001862097619440454</v>
      </c>
      <c r="D182" s="83" t="s">
        <v>2059</v>
      </c>
      <c r="E182" s="83" t="b">
        <v>0</v>
      </c>
      <c r="F182" s="83" t="b">
        <v>0</v>
      </c>
      <c r="G182" s="83" t="b">
        <v>0</v>
      </c>
    </row>
    <row r="183" spans="1:7" ht="15">
      <c r="A183" s="84" t="s">
        <v>1600</v>
      </c>
      <c r="B183" s="83">
        <v>4</v>
      </c>
      <c r="C183" s="110">
        <v>0.001986755874973804</v>
      </c>
      <c r="D183" s="83" t="s">
        <v>2059</v>
      </c>
      <c r="E183" s="83" t="b">
        <v>0</v>
      </c>
      <c r="F183" s="83" t="b">
        <v>0</v>
      </c>
      <c r="G183" s="83" t="b">
        <v>0</v>
      </c>
    </row>
    <row r="184" spans="1:7" ht="15">
      <c r="A184" s="84" t="s">
        <v>1601</v>
      </c>
      <c r="B184" s="83">
        <v>4</v>
      </c>
      <c r="C184" s="110">
        <v>0.001986755874973804</v>
      </c>
      <c r="D184" s="83" t="s">
        <v>2059</v>
      </c>
      <c r="E184" s="83" t="b">
        <v>0</v>
      </c>
      <c r="F184" s="83" t="b">
        <v>0</v>
      </c>
      <c r="G184" s="83" t="b">
        <v>0</v>
      </c>
    </row>
    <row r="185" spans="1:7" ht="15">
      <c r="A185" s="84" t="s">
        <v>1602</v>
      </c>
      <c r="B185" s="83">
        <v>4</v>
      </c>
      <c r="C185" s="110">
        <v>0.001862097619440454</v>
      </c>
      <c r="D185" s="83" t="s">
        <v>2059</v>
      </c>
      <c r="E185" s="83" t="b">
        <v>0</v>
      </c>
      <c r="F185" s="83" t="b">
        <v>0</v>
      </c>
      <c r="G185" s="83" t="b">
        <v>0</v>
      </c>
    </row>
    <row r="186" spans="1:7" ht="15">
      <c r="A186" s="84" t="s">
        <v>1603</v>
      </c>
      <c r="B186" s="83">
        <v>4</v>
      </c>
      <c r="C186" s="110">
        <v>0.001862097619440454</v>
      </c>
      <c r="D186" s="83" t="s">
        <v>2059</v>
      </c>
      <c r="E186" s="83" t="b">
        <v>0</v>
      </c>
      <c r="F186" s="83" t="b">
        <v>0</v>
      </c>
      <c r="G186" s="83" t="b">
        <v>0</v>
      </c>
    </row>
    <row r="187" spans="1:7" ht="15">
      <c r="A187" s="84" t="s">
        <v>1604</v>
      </c>
      <c r="B187" s="83">
        <v>4</v>
      </c>
      <c r="C187" s="110">
        <v>0.001862097619440454</v>
      </c>
      <c r="D187" s="83" t="s">
        <v>2059</v>
      </c>
      <c r="E187" s="83" t="b">
        <v>0</v>
      </c>
      <c r="F187" s="83" t="b">
        <v>0</v>
      </c>
      <c r="G187" s="83" t="b">
        <v>0</v>
      </c>
    </row>
    <row r="188" spans="1:7" ht="15">
      <c r="A188" s="84" t="s">
        <v>1605</v>
      </c>
      <c r="B188" s="83">
        <v>4</v>
      </c>
      <c r="C188" s="110">
        <v>0.001986755874973804</v>
      </c>
      <c r="D188" s="83" t="s">
        <v>2059</v>
      </c>
      <c r="E188" s="83" t="b">
        <v>0</v>
      </c>
      <c r="F188" s="83" t="b">
        <v>0</v>
      </c>
      <c r="G188" s="83" t="b">
        <v>0</v>
      </c>
    </row>
    <row r="189" spans="1:7" ht="15">
      <c r="A189" s="84" t="s">
        <v>1606</v>
      </c>
      <c r="B189" s="83">
        <v>4</v>
      </c>
      <c r="C189" s="110">
        <v>0.001862097619440454</v>
      </c>
      <c r="D189" s="83" t="s">
        <v>2059</v>
      </c>
      <c r="E189" s="83" t="b">
        <v>1</v>
      </c>
      <c r="F189" s="83" t="b">
        <v>0</v>
      </c>
      <c r="G189" s="83" t="b">
        <v>0</v>
      </c>
    </row>
    <row r="190" spans="1:7" ht="15">
      <c r="A190" s="84" t="s">
        <v>1607</v>
      </c>
      <c r="B190" s="83">
        <v>4</v>
      </c>
      <c r="C190" s="110">
        <v>0.001862097619440454</v>
      </c>
      <c r="D190" s="83" t="s">
        <v>2059</v>
      </c>
      <c r="E190" s="83" t="b">
        <v>0</v>
      </c>
      <c r="F190" s="83" t="b">
        <v>1</v>
      </c>
      <c r="G190" s="83" t="b">
        <v>0</v>
      </c>
    </row>
    <row r="191" spans="1:7" ht="15">
      <c r="A191" s="84" t="s">
        <v>1608</v>
      </c>
      <c r="B191" s="83">
        <v>4</v>
      </c>
      <c r="C191" s="110">
        <v>0.001986755874973804</v>
      </c>
      <c r="D191" s="83" t="s">
        <v>2059</v>
      </c>
      <c r="E191" s="83" t="b">
        <v>0</v>
      </c>
      <c r="F191" s="83" t="b">
        <v>0</v>
      </c>
      <c r="G191" s="83" t="b">
        <v>0</v>
      </c>
    </row>
    <row r="192" spans="1:7" ht="15">
      <c r="A192" s="84" t="s">
        <v>1609</v>
      </c>
      <c r="B192" s="83">
        <v>4</v>
      </c>
      <c r="C192" s="110">
        <v>0.001986755874973804</v>
      </c>
      <c r="D192" s="83" t="s">
        <v>2059</v>
      </c>
      <c r="E192" s="83" t="b">
        <v>0</v>
      </c>
      <c r="F192" s="83" t="b">
        <v>0</v>
      </c>
      <c r="G192" s="83" t="b">
        <v>0</v>
      </c>
    </row>
    <row r="193" spans="1:7" ht="15">
      <c r="A193" s="84" t="s">
        <v>1610</v>
      </c>
      <c r="B193" s="83">
        <v>4</v>
      </c>
      <c r="C193" s="110">
        <v>0.001862097619440454</v>
      </c>
      <c r="D193" s="83" t="s">
        <v>2059</v>
      </c>
      <c r="E193" s="83" t="b">
        <v>0</v>
      </c>
      <c r="F193" s="83" t="b">
        <v>0</v>
      </c>
      <c r="G193" s="83" t="b">
        <v>0</v>
      </c>
    </row>
    <row r="194" spans="1:7" ht="15">
      <c r="A194" s="84" t="s">
        <v>1611</v>
      </c>
      <c r="B194" s="83">
        <v>4</v>
      </c>
      <c r="C194" s="110">
        <v>0.0021624518181573224</v>
      </c>
      <c r="D194" s="83" t="s">
        <v>2059</v>
      </c>
      <c r="E194" s="83" t="b">
        <v>0</v>
      </c>
      <c r="F194" s="83" t="b">
        <v>0</v>
      </c>
      <c r="G194" s="83" t="b">
        <v>0</v>
      </c>
    </row>
    <row r="195" spans="1:7" ht="15">
      <c r="A195" s="84" t="s">
        <v>1612</v>
      </c>
      <c r="B195" s="83">
        <v>4</v>
      </c>
      <c r="C195" s="110">
        <v>0.001986755874973804</v>
      </c>
      <c r="D195" s="83" t="s">
        <v>2059</v>
      </c>
      <c r="E195" s="83" t="b">
        <v>0</v>
      </c>
      <c r="F195" s="83" t="b">
        <v>0</v>
      </c>
      <c r="G195" s="83" t="b">
        <v>0</v>
      </c>
    </row>
    <row r="196" spans="1:7" ht="15">
      <c r="A196" s="84" t="s">
        <v>1613</v>
      </c>
      <c r="B196" s="83">
        <v>4</v>
      </c>
      <c r="C196" s="110">
        <v>0.001862097619440454</v>
      </c>
      <c r="D196" s="83" t="s">
        <v>2059</v>
      </c>
      <c r="E196" s="83" t="b">
        <v>0</v>
      </c>
      <c r="F196" s="83" t="b">
        <v>0</v>
      </c>
      <c r="G196" s="83" t="b">
        <v>0</v>
      </c>
    </row>
    <row r="197" spans="1:7" ht="15">
      <c r="A197" s="84" t="s">
        <v>1614</v>
      </c>
      <c r="B197" s="83">
        <v>4</v>
      </c>
      <c r="C197" s="110">
        <v>0.001862097619440454</v>
      </c>
      <c r="D197" s="83" t="s">
        <v>2059</v>
      </c>
      <c r="E197" s="83" t="b">
        <v>0</v>
      </c>
      <c r="F197" s="83" t="b">
        <v>0</v>
      </c>
      <c r="G197" s="83" t="b">
        <v>0</v>
      </c>
    </row>
    <row r="198" spans="1:7" ht="15">
      <c r="A198" s="84" t="s">
        <v>1615</v>
      </c>
      <c r="B198" s="83">
        <v>4</v>
      </c>
      <c r="C198" s="110">
        <v>0.001862097619440454</v>
      </c>
      <c r="D198" s="83" t="s">
        <v>2059</v>
      </c>
      <c r="E198" s="83" t="b">
        <v>1</v>
      </c>
      <c r="F198" s="83" t="b">
        <v>0</v>
      </c>
      <c r="G198" s="83" t="b">
        <v>0</v>
      </c>
    </row>
    <row r="199" spans="1:7" ht="15">
      <c r="A199" s="84" t="s">
        <v>1616</v>
      </c>
      <c r="B199" s="83">
        <v>4</v>
      </c>
      <c r="C199" s="110">
        <v>0.001986755874973804</v>
      </c>
      <c r="D199" s="83" t="s">
        <v>2059</v>
      </c>
      <c r="E199" s="83" t="b">
        <v>0</v>
      </c>
      <c r="F199" s="83" t="b">
        <v>0</v>
      </c>
      <c r="G199" s="83" t="b">
        <v>0</v>
      </c>
    </row>
    <row r="200" spans="1:7" ht="15">
      <c r="A200" s="84" t="s">
        <v>1617</v>
      </c>
      <c r="B200" s="83">
        <v>4</v>
      </c>
      <c r="C200" s="110">
        <v>0.001862097619440454</v>
      </c>
      <c r="D200" s="83" t="s">
        <v>2059</v>
      </c>
      <c r="E200" s="83" t="b">
        <v>0</v>
      </c>
      <c r="F200" s="83" t="b">
        <v>0</v>
      </c>
      <c r="G200" s="83" t="b">
        <v>0</v>
      </c>
    </row>
    <row r="201" spans="1:7" ht="15">
      <c r="A201" s="84" t="s">
        <v>1618</v>
      </c>
      <c r="B201" s="83">
        <v>4</v>
      </c>
      <c r="C201" s="110">
        <v>0.001862097619440454</v>
      </c>
      <c r="D201" s="83" t="s">
        <v>2059</v>
      </c>
      <c r="E201" s="83" t="b">
        <v>0</v>
      </c>
      <c r="F201" s="83" t="b">
        <v>0</v>
      </c>
      <c r="G201" s="83" t="b">
        <v>0</v>
      </c>
    </row>
    <row r="202" spans="1:7" ht="15">
      <c r="A202" s="84" t="s">
        <v>1619</v>
      </c>
      <c r="B202" s="83">
        <v>4</v>
      </c>
      <c r="C202" s="110">
        <v>0.001862097619440454</v>
      </c>
      <c r="D202" s="83" t="s">
        <v>2059</v>
      </c>
      <c r="E202" s="83" t="b">
        <v>1</v>
      </c>
      <c r="F202" s="83" t="b">
        <v>0</v>
      </c>
      <c r="G202" s="83" t="b">
        <v>0</v>
      </c>
    </row>
    <row r="203" spans="1:7" ht="15">
      <c r="A203" s="84" t="s">
        <v>1620</v>
      </c>
      <c r="B203" s="83">
        <v>4</v>
      </c>
      <c r="C203" s="110">
        <v>0.001862097619440454</v>
      </c>
      <c r="D203" s="83" t="s">
        <v>2059</v>
      </c>
      <c r="E203" s="83" t="b">
        <v>0</v>
      </c>
      <c r="F203" s="83" t="b">
        <v>0</v>
      </c>
      <c r="G203" s="83" t="b">
        <v>0</v>
      </c>
    </row>
    <row r="204" spans="1:7" ht="15">
      <c r="A204" s="84" t="s">
        <v>1621</v>
      </c>
      <c r="B204" s="83">
        <v>4</v>
      </c>
      <c r="C204" s="110">
        <v>0.001862097619440454</v>
      </c>
      <c r="D204" s="83" t="s">
        <v>2059</v>
      </c>
      <c r="E204" s="83" t="b">
        <v>1</v>
      </c>
      <c r="F204" s="83" t="b">
        <v>0</v>
      </c>
      <c r="G204" s="83" t="b">
        <v>0</v>
      </c>
    </row>
    <row r="205" spans="1:7" ht="15">
      <c r="A205" s="84" t="s">
        <v>1622</v>
      </c>
      <c r="B205" s="83">
        <v>4</v>
      </c>
      <c r="C205" s="110">
        <v>0.001986755874973804</v>
      </c>
      <c r="D205" s="83" t="s">
        <v>2059</v>
      </c>
      <c r="E205" s="83" t="b">
        <v>0</v>
      </c>
      <c r="F205" s="83" t="b">
        <v>0</v>
      </c>
      <c r="G205" s="83" t="b">
        <v>0</v>
      </c>
    </row>
    <row r="206" spans="1:7" ht="15">
      <c r="A206" s="84" t="s">
        <v>1623</v>
      </c>
      <c r="B206" s="83">
        <v>4</v>
      </c>
      <c r="C206" s="110">
        <v>0.001862097619440454</v>
      </c>
      <c r="D206" s="83" t="s">
        <v>2059</v>
      </c>
      <c r="E206" s="83" t="b">
        <v>0</v>
      </c>
      <c r="F206" s="83" t="b">
        <v>0</v>
      </c>
      <c r="G206" s="83" t="b">
        <v>0</v>
      </c>
    </row>
    <row r="207" spans="1:7" ht="15">
      <c r="A207" s="84" t="s">
        <v>1624</v>
      </c>
      <c r="B207" s="83">
        <v>4</v>
      </c>
      <c r="C207" s="110">
        <v>0.0021624518181573224</v>
      </c>
      <c r="D207" s="83" t="s">
        <v>2059</v>
      </c>
      <c r="E207" s="83" t="b">
        <v>0</v>
      </c>
      <c r="F207" s="83" t="b">
        <v>0</v>
      </c>
      <c r="G207" s="83" t="b">
        <v>0</v>
      </c>
    </row>
    <row r="208" spans="1:7" ht="15">
      <c r="A208" s="84" t="s">
        <v>1625</v>
      </c>
      <c r="B208" s="83">
        <v>4</v>
      </c>
      <c r="C208" s="110">
        <v>0.001986755874973804</v>
      </c>
      <c r="D208" s="83" t="s">
        <v>2059</v>
      </c>
      <c r="E208" s="83" t="b">
        <v>0</v>
      </c>
      <c r="F208" s="83" t="b">
        <v>0</v>
      </c>
      <c r="G208" s="83" t="b">
        <v>0</v>
      </c>
    </row>
    <row r="209" spans="1:7" ht="15">
      <c r="A209" s="84" t="s">
        <v>1626</v>
      </c>
      <c r="B209" s="83">
        <v>4</v>
      </c>
      <c r="C209" s="110">
        <v>0.001862097619440454</v>
      </c>
      <c r="D209" s="83" t="s">
        <v>2059</v>
      </c>
      <c r="E209" s="83" t="b">
        <v>0</v>
      </c>
      <c r="F209" s="83" t="b">
        <v>0</v>
      </c>
      <c r="G209" s="83" t="b">
        <v>0</v>
      </c>
    </row>
    <row r="210" spans="1:7" ht="15">
      <c r="A210" s="84" t="s">
        <v>1627</v>
      </c>
      <c r="B210" s="83">
        <v>4</v>
      </c>
      <c r="C210" s="110">
        <v>0.001986755874973804</v>
      </c>
      <c r="D210" s="83" t="s">
        <v>2059</v>
      </c>
      <c r="E210" s="83" t="b">
        <v>0</v>
      </c>
      <c r="F210" s="83" t="b">
        <v>0</v>
      </c>
      <c r="G210" s="83" t="b">
        <v>0</v>
      </c>
    </row>
    <row r="211" spans="1:7" ht="15">
      <c r="A211" s="84" t="s">
        <v>1628</v>
      </c>
      <c r="B211" s="83">
        <v>4</v>
      </c>
      <c r="C211" s="110">
        <v>0.001862097619440454</v>
      </c>
      <c r="D211" s="83" t="s">
        <v>2059</v>
      </c>
      <c r="E211" s="83" t="b">
        <v>0</v>
      </c>
      <c r="F211" s="83" t="b">
        <v>0</v>
      </c>
      <c r="G211" s="83" t="b">
        <v>0</v>
      </c>
    </row>
    <row r="212" spans="1:7" ht="15">
      <c r="A212" s="84" t="s">
        <v>1629</v>
      </c>
      <c r="B212" s="83">
        <v>4</v>
      </c>
      <c r="C212" s="110">
        <v>0.0021624518181573224</v>
      </c>
      <c r="D212" s="83" t="s">
        <v>2059</v>
      </c>
      <c r="E212" s="83" t="b">
        <v>0</v>
      </c>
      <c r="F212" s="83" t="b">
        <v>0</v>
      </c>
      <c r="G212" s="83" t="b">
        <v>0</v>
      </c>
    </row>
    <row r="213" spans="1:7" ht="15">
      <c r="A213" s="84" t="s">
        <v>1630</v>
      </c>
      <c r="B213" s="83">
        <v>4</v>
      </c>
      <c r="C213" s="110">
        <v>0.001986755874973804</v>
      </c>
      <c r="D213" s="83" t="s">
        <v>2059</v>
      </c>
      <c r="E213" s="83" t="b">
        <v>0</v>
      </c>
      <c r="F213" s="83" t="b">
        <v>0</v>
      </c>
      <c r="G213" s="83" t="b">
        <v>0</v>
      </c>
    </row>
    <row r="214" spans="1:7" ht="15">
      <c r="A214" s="84" t="s">
        <v>1631</v>
      </c>
      <c r="B214" s="83">
        <v>4</v>
      </c>
      <c r="C214" s="110">
        <v>0.001862097619440454</v>
      </c>
      <c r="D214" s="83" t="s">
        <v>2059</v>
      </c>
      <c r="E214" s="83" t="b">
        <v>0</v>
      </c>
      <c r="F214" s="83" t="b">
        <v>0</v>
      </c>
      <c r="G214" s="83" t="b">
        <v>0</v>
      </c>
    </row>
    <row r="215" spans="1:7" ht="15">
      <c r="A215" s="84" t="s">
        <v>1632</v>
      </c>
      <c r="B215" s="83">
        <v>4</v>
      </c>
      <c r="C215" s="110">
        <v>0.0024628060168741905</v>
      </c>
      <c r="D215" s="83" t="s">
        <v>2059</v>
      </c>
      <c r="E215" s="83" t="b">
        <v>0</v>
      </c>
      <c r="F215" s="83" t="b">
        <v>0</v>
      </c>
      <c r="G215" s="83" t="b">
        <v>0</v>
      </c>
    </row>
    <row r="216" spans="1:7" ht="15">
      <c r="A216" s="84" t="s">
        <v>1633</v>
      </c>
      <c r="B216" s="83">
        <v>4</v>
      </c>
      <c r="C216" s="110">
        <v>0.001862097619440454</v>
      </c>
      <c r="D216" s="83" t="s">
        <v>2059</v>
      </c>
      <c r="E216" s="83" t="b">
        <v>0</v>
      </c>
      <c r="F216" s="83" t="b">
        <v>0</v>
      </c>
      <c r="G216" s="83" t="b">
        <v>0</v>
      </c>
    </row>
    <row r="217" spans="1:7" ht="15">
      <c r="A217" s="84" t="s">
        <v>1634</v>
      </c>
      <c r="B217" s="83">
        <v>4</v>
      </c>
      <c r="C217" s="110">
        <v>0.001986755874973804</v>
      </c>
      <c r="D217" s="83" t="s">
        <v>2059</v>
      </c>
      <c r="E217" s="83" t="b">
        <v>0</v>
      </c>
      <c r="F217" s="83" t="b">
        <v>0</v>
      </c>
      <c r="G217" s="83" t="b">
        <v>0</v>
      </c>
    </row>
    <row r="218" spans="1:7" ht="15">
      <c r="A218" s="84" t="s">
        <v>1635</v>
      </c>
      <c r="B218" s="83">
        <v>4</v>
      </c>
      <c r="C218" s="110">
        <v>0.001862097619440454</v>
      </c>
      <c r="D218" s="83" t="s">
        <v>2059</v>
      </c>
      <c r="E218" s="83" t="b">
        <v>0</v>
      </c>
      <c r="F218" s="83" t="b">
        <v>0</v>
      </c>
      <c r="G218" s="83" t="b">
        <v>0</v>
      </c>
    </row>
    <row r="219" spans="1:7" ht="15">
      <c r="A219" s="84" t="s">
        <v>1636</v>
      </c>
      <c r="B219" s="83">
        <v>4</v>
      </c>
      <c r="C219" s="110">
        <v>0.0021624518181573224</v>
      </c>
      <c r="D219" s="83" t="s">
        <v>2059</v>
      </c>
      <c r="E219" s="83" t="b">
        <v>0</v>
      </c>
      <c r="F219" s="83" t="b">
        <v>0</v>
      </c>
      <c r="G219" s="83" t="b">
        <v>0</v>
      </c>
    </row>
    <row r="220" spans="1:7" ht="15">
      <c r="A220" s="84" t="s">
        <v>1637</v>
      </c>
      <c r="B220" s="83">
        <v>4</v>
      </c>
      <c r="C220" s="110">
        <v>0.001862097619440454</v>
      </c>
      <c r="D220" s="83" t="s">
        <v>2059</v>
      </c>
      <c r="E220" s="83" t="b">
        <v>0</v>
      </c>
      <c r="F220" s="83" t="b">
        <v>0</v>
      </c>
      <c r="G220" s="83" t="b">
        <v>0</v>
      </c>
    </row>
    <row r="221" spans="1:7" ht="15">
      <c r="A221" s="84" t="s">
        <v>1638</v>
      </c>
      <c r="B221" s="83">
        <v>4</v>
      </c>
      <c r="C221" s="110">
        <v>0.0021624518181573224</v>
      </c>
      <c r="D221" s="83" t="s">
        <v>2059</v>
      </c>
      <c r="E221" s="83" t="b">
        <v>0</v>
      </c>
      <c r="F221" s="83" t="b">
        <v>0</v>
      </c>
      <c r="G221" s="83" t="b">
        <v>0</v>
      </c>
    </row>
    <row r="222" spans="1:7" ht="15">
      <c r="A222" s="84" t="s">
        <v>1639</v>
      </c>
      <c r="B222" s="83">
        <v>4</v>
      </c>
      <c r="C222" s="110">
        <v>0.0021624518181573224</v>
      </c>
      <c r="D222" s="83" t="s">
        <v>2059</v>
      </c>
      <c r="E222" s="83" t="b">
        <v>0</v>
      </c>
      <c r="F222" s="83" t="b">
        <v>0</v>
      </c>
      <c r="G222" s="83" t="b">
        <v>0</v>
      </c>
    </row>
    <row r="223" spans="1:7" ht="15">
      <c r="A223" s="84" t="s">
        <v>1640</v>
      </c>
      <c r="B223" s="83">
        <v>4</v>
      </c>
      <c r="C223" s="110">
        <v>0.001862097619440454</v>
      </c>
      <c r="D223" s="83" t="s">
        <v>2059</v>
      </c>
      <c r="E223" s="83" t="b">
        <v>0</v>
      </c>
      <c r="F223" s="83" t="b">
        <v>0</v>
      </c>
      <c r="G223" s="83" t="b">
        <v>0</v>
      </c>
    </row>
    <row r="224" spans="1:7" ht="15">
      <c r="A224" s="84" t="s">
        <v>1641</v>
      </c>
      <c r="B224" s="83">
        <v>4</v>
      </c>
      <c r="C224" s="110">
        <v>0.001862097619440454</v>
      </c>
      <c r="D224" s="83" t="s">
        <v>2059</v>
      </c>
      <c r="E224" s="83" t="b">
        <v>0</v>
      </c>
      <c r="F224" s="83" t="b">
        <v>0</v>
      </c>
      <c r="G224" s="83" t="b">
        <v>0</v>
      </c>
    </row>
    <row r="225" spans="1:7" ht="15">
      <c r="A225" s="84" t="s">
        <v>1642</v>
      </c>
      <c r="B225" s="83">
        <v>4</v>
      </c>
      <c r="C225" s="110">
        <v>0.0021624518181573224</v>
      </c>
      <c r="D225" s="83" t="s">
        <v>2059</v>
      </c>
      <c r="E225" s="83" t="b">
        <v>0</v>
      </c>
      <c r="F225" s="83" t="b">
        <v>0</v>
      </c>
      <c r="G225" s="83" t="b">
        <v>0</v>
      </c>
    </row>
    <row r="226" spans="1:7" ht="15">
      <c r="A226" s="84" t="s">
        <v>1643</v>
      </c>
      <c r="B226" s="83">
        <v>4</v>
      </c>
      <c r="C226" s="110">
        <v>0.001986755874973804</v>
      </c>
      <c r="D226" s="83" t="s">
        <v>2059</v>
      </c>
      <c r="E226" s="83" t="b">
        <v>0</v>
      </c>
      <c r="F226" s="83" t="b">
        <v>0</v>
      </c>
      <c r="G226" s="83" t="b">
        <v>0</v>
      </c>
    </row>
    <row r="227" spans="1:7" ht="15">
      <c r="A227" s="84" t="s">
        <v>1644</v>
      </c>
      <c r="B227" s="83">
        <v>4</v>
      </c>
      <c r="C227" s="110">
        <v>0.0021624518181573224</v>
      </c>
      <c r="D227" s="83" t="s">
        <v>2059</v>
      </c>
      <c r="E227" s="83" t="b">
        <v>0</v>
      </c>
      <c r="F227" s="83" t="b">
        <v>0</v>
      </c>
      <c r="G227" s="83" t="b">
        <v>0</v>
      </c>
    </row>
    <row r="228" spans="1:7" ht="15">
      <c r="A228" s="84" t="s">
        <v>1645</v>
      </c>
      <c r="B228" s="83">
        <v>4</v>
      </c>
      <c r="C228" s="110">
        <v>0.0021624518181573224</v>
      </c>
      <c r="D228" s="83" t="s">
        <v>2059</v>
      </c>
      <c r="E228" s="83" t="b">
        <v>0</v>
      </c>
      <c r="F228" s="83" t="b">
        <v>0</v>
      </c>
      <c r="G228" s="83" t="b">
        <v>0</v>
      </c>
    </row>
    <row r="229" spans="1:7" ht="15">
      <c r="A229" s="84" t="s">
        <v>1646</v>
      </c>
      <c r="B229" s="83">
        <v>4</v>
      </c>
      <c r="C229" s="110">
        <v>0.0021624518181573224</v>
      </c>
      <c r="D229" s="83" t="s">
        <v>2059</v>
      </c>
      <c r="E229" s="83" t="b">
        <v>0</v>
      </c>
      <c r="F229" s="83" t="b">
        <v>0</v>
      </c>
      <c r="G229" s="83" t="b">
        <v>0</v>
      </c>
    </row>
    <row r="230" spans="1:7" ht="15">
      <c r="A230" s="84" t="s">
        <v>1647</v>
      </c>
      <c r="B230" s="83">
        <v>3</v>
      </c>
      <c r="C230" s="110">
        <v>0.0014900669062303527</v>
      </c>
      <c r="D230" s="83" t="s">
        <v>2059</v>
      </c>
      <c r="E230" s="83" t="b">
        <v>0</v>
      </c>
      <c r="F230" s="83" t="b">
        <v>0</v>
      </c>
      <c r="G230" s="83" t="b">
        <v>0</v>
      </c>
    </row>
    <row r="231" spans="1:7" ht="15">
      <c r="A231" s="84" t="s">
        <v>1648</v>
      </c>
      <c r="B231" s="83">
        <v>3</v>
      </c>
      <c r="C231" s="110">
        <v>0.0014900669062303527</v>
      </c>
      <c r="D231" s="83" t="s">
        <v>2059</v>
      </c>
      <c r="E231" s="83" t="b">
        <v>0</v>
      </c>
      <c r="F231" s="83" t="b">
        <v>0</v>
      </c>
      <c r="G231" s="83" t="b">
        <v>0</v>
      </c>
    </row>
    <row r="232" spans="1:7" ht="15">
      <c r="A232" s="84" t="s">
        <v>1649</v>
      </c>
      <c r="B232" s="83">
        <v>3</v>
      </c>
      <c r="C232" s="110">
        <v>0.0016218388636179914</v>
      </c>
      <c r="D232" s="83" t="s">
        <v>2059</v>
      </c>
      <c r="E232" s="83" t="b">
        <v>0</v>
      </c>
      <c r="F232" s="83" t="b">
        <v>0</v>
      </c>
      <c r="G232" s="83" t="b">
        <v>0</v>
      </c>
    </row>
    <row r="233" spans="1:7" ht="15">
      <c r="A233" s="84" t="s">
        <v>1650</v>
      </c>
      <c r="B233" s="83">
        <v>3</v>
      </c>
      <c r="C233" s="110">
        <v>0.0014900669062303527</v>
      </c>
      <c r="D233" s="83" t="s">
        <v>2059</v>
      </c>
      <c r="E233" s="83" t="b">
        <v>0</v>
      </c>
      <c r="F233" s="83" t="b">
        <v>0</v>
      </c>
      <c r="G233" s="83" t="b">
        <v>0</v>
      </c>
    </row>
    <row r="234" spans="1:7" ht="15">
      <c r="A234" s="84" t="s">
        <v>1651</v>
      </c>
      <c r="B234" s="83">
        <v>3</v>
      </c>
      <c r="C234" s="110">
        <v>0.0014900669062303527</v>
      </c>
      <c r="D234" s="83" t="s">
        <v>2059</v>
      </c>
      <c r="E234" s="83" t="b">
        <v>0</v>
      </c>
      <c r="F234" s="83" t="b">
        <v>0</v>
      </c>
      <c r="G234" s="83" t="b">
        <v>0</v>
      </c>
    </row>
    <row r="235" spans="1:7" ht="15">
      <c r="A235" s="84" t="s">
        <v>1652</v>
      </c>
      <c r="B235" s="83">
        <v>3</v>
      </c>
      <c r="C235" s="110">
        <v>0.0016218388636179914</v>
      </c>
      <c r="D235" s="83" t="s">
        <v>2059</v>
      </c>
      <c r="E235" s="83" t="b">
        <v>0</v>
      </c>
      <c r="F235" s="83" t="b">
        <v>0</v>
      </c>
      <c r="G235" s="83" t="b">
        <v>0</v>
      </c>
    </row>
    <row r="236" spans="1:7" ht="15">
      <c r="A236" s="84" t="s">
        <v>1653</v>
      </c>
      <c r="B236" s="83">
        <v>3</v>
      </c>
      <c r="C236" s="110">
        <v>0.0014900669062303527</v>
      </c>
      <c r="D236" s="83" t="s">
        <v>2059</v>
      </c>
      <c r="E236" s="83" t="b">
        <v>0</v>
      </c>
      <c r="F236" s="83" t="b">
        <v>0</v>
      </c>
      <c r="G236" s="83" t="b">
        <v>0</v>
      </c>
    </row>
    <row r="237" spans="1:7" ht="15">
      <c r="A237" s="84" t="s">
        <v>1654</v>
      </c>
      <c r="B237" s="83">
        <v>3</v>
      </c>
      <c r="C237" s="110">
        <v>0.0016218388636179914</v>
      </c>
      <c r="D237" s="83" t="s">
        <v>2059</v>
      </c>
      <c r="E237" s="83" t="b">
        <v>0</v>
      </c>
      <c r="F237" s="83" t="b">
        <v>0</v>
      </c>
      <c r="G237" s="83" t="b">
        <v>0</v>
      </c>
    </row>
    <row r="238" spans="1:7" ht="15">
      <c r="A238" s="84" t="s">
        <v>1655</v>
      </c>
      <c r="B238" s="83">
        <v>3</v>
      </c>
      <c r="C238" s="110">
        <v>0.0016218388636179914</v>
      </c>
      <c r="D238" s="83" t="s">
        <v>2059</v>
      </c>
      <c r="E238" s="83" t="b">
        <v>0</v>
      </c>
      <c r="F238" s="83" t="b">
        <v>0</v>
      </c>
      <c r="G238" s="83" t="b">
        <v>0</v>
      </c>
    </row>
    <row r="239" spans="1:7" ht="15">
      <c r="A239" s="84" t="s">
        <v>1656</v>
      </c>
      <c r="B239" s="83">
        <v>3</v>
      </c>
      <c r="C239" s="110">
        <v>0.0016218388636179914</v>
      </c>
      <c r="D239" s="83" t="s">
        <v>2059</v>
      </c>
      <c r="E239" s="83" t="b">
        <v>0</v>
      </c>
      <c r="F239" s="83" t="b">
        <v>0</v>
      </c>
      <c r="G239" s="83" t="b">
        <v>0</v>
      </c>
    </row>
    <row r="240" spans="1:7" ht="15">
      <c r="A240" s="84" t="s">
        <v>1657</v>
      </c>
      <c r="B240" s="83">
        <v>3</v>
      </c>
      <c r="C240" s="110">
        <v>0.0014900669062303527</v>
      </c>
      <c r="D240" s="83" t="s">
        <v>2059</v>
      </c>
      <c r="E240" s="83" t="b">
        <v>0</v>
      </c>
      <c r="F240" s="83" t="b">
        <v>0</v>
      </c>
      <c r="G240" s="83" t="b">
        <v>0</v>
      </c>
    </row>
    <row r="241" spans="1:7" ht="15">
      <c r="A241" s="84" t="s">
        <v>1658</v>
      </c>
      <c r="B241" s="83">
        <v>3</v>
      </c>
      <c r="C241" s="110">
        <v>0.0014900669062303527</v>
      </c>
      <c r="D241" s="83" t="s">
        <v>2059</v>
      </c>
      <c r="E241" s="83" t="b">
        <v>0</v>
      </c>
      <c r="F241" s="83" t="b">
        <v>0</v>
      </c>
      <c r="G241" s="83" t="b">
        <v>0</v>
      </c>
    </row>
    <row r="242" spans="1:7" ht="15">
      <c r="A242" s="84" t="s">
        <v>1659</v>
      </c>
      <c r="B242" s="83">
        <v>3</v>
      </c>
      <c r="C242" s="110">
        <v>0.0014900669062303527</v>
      </c>
      <c r="D242" s="83" t="s">
        <v>2059</v>
      </c>
      <c r="E242" s="83" t="b">
        <v>0</v>
      </c>
      <c r="F242" s="83" t="b">
        <v>0</v>
      </c>
      <c r="G242" s="83" t="b">
        <v>0</v>
      </c>
    </row>
    <row r="243" spans="1:7" ht="15">
      <c r="A243" s="84" t="s">
        <v>1660</v>
      </c>
      <c r="B243" s="83">
        <v>3</v>
      </c>
      <c r="C243" s="110">
        <v>0.0014900669062303527</v>
      </c>
      <c r="D243" s="83" t="s">
        <v>2059</v>
      </c>
      <c r="E243" s="83" t="b">
        <v>0</v>
      </c>
      <c r="F243" s="83" t="b">
        <v>0</v>
      </c>
      <c r="G243" s="83" t="b">
        <v>0</v>
      </c>
    </row>
    <row r="244" spans="1:7" ht="15">
      <c r="A244" s="84" t="s">
        <v>1661</v>
      </c>
      <c r="B244" s="83">
        <v>3</v>
      </c>
      <c r="C244" s="110">
        <v>0.0014900669062303527</v>
      </c>
      <c r="D244" s="83" t="s">
        <v>2059</v>
      </c>
      <c r="E244" s="83" t="b">
        <v>0</v>
      </c>
      <c r="F244" s="83" t="b">
        <v>0</v>
      </c>
      <c r="G244" s="83" t="b">
        <v>0</v>
      </c>
    </row>
    <row r="245" spans="1:7" ht="15">
      <c r="A245" s="84" t="s">
        <v>1662</v>
      </c>
      <c r="B245" s="83">
        <v>3</v>
      </c>
      <c r="C245" s="110">
        <v>0.0014900669062303527</v>
      </c>
      <c r="D245" s="83" t="s">
        <v>2059</v>
      </c>
      <c r="E245" s="83" t="b">
        <v>0</v>
      </c>
      <c r="F245" s="83" t="b">
        <v>0</v>
      </c>
      <c r="G245" s="83" t="b">
        <v>0</v>
      </c>
    </row>
    <row r="246" spans="1:7" ht="15">
      <c r="A246" s="84" t="s">
        <v>1663</v>
      </c>
      <c r="B246" s="83">
        <v>3</v>
      </c>
      <c r="C246" s="110">
        <v>0.0014900669062303527</v>
      </c>
      <c r="D246" s="83" t="s">
        <v>2059</v>
      </c>
      <c r="E246" s="83" t="b">
        <v>0</v>
      </c>
      <c r="F246" s="83" t="b">
        <v>0</v>
      </c>
      <c r="G246" s="83" t="b">
        <v>0</v>
      </c>
    </row>
    <row r="247" spans="1:7" ht="15">
      <c r="A247" s="84" t="s">
        <v>1664</v>
      </c>
      <c r="B247" s="83">
        <v>3</v>
      </c>
      <c r="C247" s="110">
        <v>0.0014900669062303527</v>
      </c>
      <c r="D247" s="83" t="s">
        <v>2059</v>
      </c>
      <c r="E247" s="83" t="b">
        <v>0</v>
      </c>
      <c r="F247" s="83" t="b">
        <v>0</v>
      </c>
      <c r="G247" s="83" t="b">
        <v>0</v>
      </c>
    </row>
    <row r="248" spans="1:7" ht="15">
      <c r="A248" s="84" t="s">
        <v>1665</v>
      </c>
      <c r="B248" s="83">
        <v>3</v>
      </c>
      <c r="C248" s="110">
        <v>0.0014900669062303527</v>
      </c>
      <c r="D248" s="83" t="s">
        <v>2059</v>
      </c>
      <c r="E248" s="83" t="b">
        <v>0</v>
      </c>
      <c r="F248" s="83" t="b">
        <v>0</v>
      </c>
      <c r="G248" s="83" t="b">
        <v>0</v>
      </c>
    </row>
    <row r="249" spans="1:7" ht="15">
      <c r="A249" s="84" t="s">
        <v>1666</v>
      </c>
      <c r="B249" s="83">
        <v>3</v>
      </c>
      <c r="C249" s="110">
        <v>0.0014900669062303527</v>
      </c>
      <c r="D249" s="83" t="s">
        <v>2059</v>
      </c>
      <c r="E249" s="83" t="b">
        <v>0</v>
      </c>
      <c r="F249" s="83" t="b">
        <v>0</v>
      </c>
      <c r="G249" s="83" t="b">
        <v>0</v>
      </c>
    </row>
    <row r="250" spans="1:7" ht="15">
      <c r="A250" s="84" t="s">
        <v>1667</v>
      </c>
      <c r="B250" s="83">
        <v>3</v>
      </c>
      <c r="C250" s="110">
        <v>0.0014900669062303527</v>
      </c>
      <c r="D250" s="83" t="s">
        <v>2059</v>
      </c>
      <c r="E250" s="83" t="b">
        <v>0</v>
      </c>
      <c r="F250" s="83" t="b">
        <v>0</v>
      </c>
      <c r="G250" s="83" t="b">
        <v>0</v>
      </c>
    </row>
    <row r="251" spans="1:7" ht="15">
      <c r="A251" s="84" t="s">
        <v>1668</v>
      </c>
      <c r="B251" s="83">
        <v>3</v>
      </c>
      <c r="C251" s="110">
        <v>0.0014900669062303527</v>
      </c>
      <c r="D251" s="83" t="s">
        <v>2059</v>
      </c>
      <c r="E251" s="83" t="b">
        <v>0</v>
      </c>
      <c r="F251" s="83" t="b">
        <v>0</v>
      </c>
      <c r="G251" s="83" t="b">
        <v>0</v>
      </c>
    </row>
    <row r="252" spans="1:7" ht="15">
      <c r="A252" s="84" t="s">
        <v>1669</v>
      </c>
      <c r="B252" s="83">
        <v>3</v>
      </c>
      <c r="C252" s="110">
        <v>0.0014900669062303527</v>
      </c>
      <c r="D252" s="83" t="s">
        <v>2059</v>
      </c>
      <c r="E252" s="83" t="b">
        <v>1</v>
      </c>
      <c r="F252" s="83" t="b">
        <v>0</v>
      </c>
      <c r="G252" s="83" t="b">
        <v>0</v>
      </c>
    </row>
    <row r="253" spans="1:7" ht="15">
      <c r="A253" s="84" t="s">
        <v>1670</v>
      </c>
      <c r="B253" s="83">
        <v>3</v>
      </c>
      <c r="C253" s="110">
        <v>0.0016218388636179914</v>
      </c>
      <c r="D253" s="83" t="s">
        <v>2059</v>
      </c>
      <c r="E253" s="83" t="b">
        <v>0</v>
      </c>
      <c r="F253" s="83" t="b">
        <v>0</v>
      </c>
      <c r="G253" s="83" t="b">
        <v>0</v>
      </c>
    </row>
    <row r="254" spans="1:7" ht="15">
      <c r="A254" s="84" t="s">
        <v>1671</v>
      </c>
      <c r="B254" s="83">
        <v>3</v>
      </c>
      <c r="C254" s="110">
        <v>0.0014900669062303527</v>
      </c>
      <c r="D254" s="83" t="s">
        <v>2059</v>
      </c>
      <c r="E254" s="83" t="b">
        <v>0</v>
      </c>
      <c r="F254" s="83" t="b">
        <v>0</v>
      </c>
      <c r="G254" s="83" t="b">
        <v>0</v>
      </c>
    </row>
    <row r="255" spans="1:7" ht="15">
      <c r="A255" s="84" t="s">
        <v>1672</v>
      </c>
      <c r="B255" s="83">
        <v>3</v>
      </c>
      <c r="C255" s="110">
        <v>0.0014900669062303527</v>
      </c>
      <c r="D255" s="83" t="s">
        <v>2059</v>
      </c>
      <c r="E255" s="83" t="b">
        <v>1</v>
      </c>
      <c r="F255" s="83" t="b">
        <v>0</v>
      </c>
      <c r="G255" s="83" t="b">
        <v>0</v>
      </c>
    </row>
    <row r="256" spans="1:7" ht="15">
      <c r="A256" s="84" t="s">
        <v>1673</v>
      </c>
      <c r="B256" s="83">
        <v>3</v>
      </c>
      <c r="C256" s="110">
        <v>0.0014900669062303527</v>
      </c>
      <c r="D256" s="83" t="s">
        <v>2059</v>
      </c>
      <c r="E256" s="83" t="b">
        <v>0</v>
      </c>
      <c r="F256" s="83" t="b">
        <v>0</v>
      </c>
      <c r="G256" s="83" t="b">
        <v>0</v>
      </c>
    </row>
    <row r="257" spans="1:7" ht="15">
      <c r="A257" s="84" t="s">
        <v>1674</v>
      </c>
      <c r="B257" s="83">
        <v>3</v>
      </c>
      <c r="C257" s="110">
        <v>0.0014900669062303527</v>
      </c>
      <c r="D257" s="83" t="s">
        <v>2059</v>
      </c>
      <c r="E257" s="83" t="b">
        <v>0</v>
      </c>
      <c r="F257" s="83" t="b">
        <v>0</v>
      </c>
      <c r="G257" s="83" t="b">
        <v>0</v>
      </c>
    </row>
    <row r="258" spans="1:7" ht="15">
      <c r="A258" s="84" t="s">
        <v>1675</v>
      </c>
      <c r="B258" s="83">
        <v>3</v>
      </c>
      <c r="C258" s="110">
        <v>0.0014900669062303527</v>
      </c>
      <c r="D258" s="83" t="s">
        <v>2059</v>
      </c>
      <c r="E258" s="83" t="b">
        <v>0</v>
      </c>
      <c r="F258" s="83" t="b">
        <v>0</v>
      </c>
      <c r="G258" s="83" t="b">
        <v>0</v>
      </c>
    </row>
    <row r="259" spans="1:7" ht="15">
      <c r="A259" s="84" t="s">
        <v>1676</v>
      </c>
      <c r="B259" s="83">
        <v>3</v>
      </c>
      <c r="C259" s="110">
        <v>0.0014900669062303527</v>
      </c>
      <c r="D259" s="83" t="s">
        <v>2059</v>
      </c>
      <c r="E259" s="83" t="b">
        <v>1</v>
      </c>
      <c r="F259" s="83" t="b">
        <v>0</v>
      </c>
      <c r="G259" s="83" t="b">
        <v>0</v>
      </c>
    </row>
    <row r="260" spans="1:7" ht="15">
      <c r="A260" s="84" t="s">
        <v>1677</v>
      </c>
      <c r="B260" s="83">
        <v>3</v>
      </c>
      <c r="C260" s="110">
        <v>0.0014900669062303527</v>
      </c>
      <c r="D260" s="83" t="s">
        <v>2059</v>
      </c>
      <c r="E260" s="83" t="b">
        <v>0</v>
      </c>
      <c r="F260" s="83" t="b">
        <v>0</v>
      </c>
      <c r="G260" s="83" t="b">
        <v>0</v>
      </c>
    </row>
    <row r="261" spans="1:7" ht="15">
      <c r="A261" s="84" t="s">
        <v>1678</v>
      </c>
      <c r="B261" s="83">
        <v>3</v>
      </c>
      <c r="C261" s="110">
        <v>0.0016218388636179914</v>
      </c>
      <c r="D261" s="83" t="s">
        <v>2059</v>
      </c>
      <c r="E261" s="83" t="b">
        <v>0</v>
      </c>
      <c r="F261" s="83" t="b">
        <v>1</v>
      </c>
      <c r="G261" s="83" t="b">
        <v>0</v>
      </c>
    </row>
    <row r="262" spans="1:7" ht="15">
      <c r="A262" s="84" t="s">
        <v>1679</v>
      </c>
      <c r="B262" s="83">
        <v>3</v>
      </c>
      <c r="C262" s="110">
        <v>0.0016218388636179914</v>
      </c>
      <c r="D262" s="83" t="s">
        <v>2059</v>
      </c>
      <c r="E262" s="83" t="b">
        <v>0</v>
      </c>
      <c r="F262" s="83" t="b">
        <v>0</v>
      </c>
      <c r="G262" s="83" t="b">
        <v>0</v>
      </c>
    </row>
    <row r="263" spans="1:7" ht="15">
      <c r="A263" s="84" t="s">
        <v>1680</v>
      </c>
      <c r="B263" s="83">
        <v>3</v>
      </c>
      <c r="C263" s="110">
        <v>0.0014900669062303527</v>
      </c>
      <c r="D263" s="83" t="s">
        <v>2059</v>
      </c>
      <c r="E263" s="83" t="b">
        <v>0</v>
      </c>
      <c r="F263" s="83" t="b">
        <v>0</v>
      </c>
      <c r="G263" s="83" t="b">
        <v>0</v>
      </c>
    </row>
    <row r="264" spans="1:7" ht="15">
      <c r="A264" s="84" t="s">
        <v>1681</v>
      </c>
      <c r="B264" s="83">
        <v>3</v>
      </c>
      <c r="C264" s="110">
        <v>0.0014900669062303527</v>
      </c>
      <c r="D264" s="83" t="s">
        <v>2059</v>
      </c>
      <c r="E264" s="83" t="b">
        <v>0</v>
      </c>
      <c r="F264" s="83" t="b">
        <v>0</v>
      </c>
      <c r="G264" s="83" t="b">
        <v>0</v>
      </c>
    </row>
    <row r="265" spans="1:7" ht="15">
      <c r="A265" s="84" t="s">
        <v>1682</v>
      </c>
      <c r="B265" s="83">
        <v>3</v>
      </c>
      <c r="C265" s="110">
        <v>0.0014900669062303527</v>
      </c>
      <c r="D265" s="83" t="s">
        <v>2059</v>
      </c>
      <c r="E265" s="83" t="b">
        <v>1</v>
      </c>
      <c r="F265" s="83" t="b">
        <v>0</v>
      </c>
      <c r="G265" s="83" t="b">
        <v>0</v>
      </c>
    </row>
    <row r="266" spans="1:7" ht="15">
      <c r="A266" s="84" t="s">
        <v>1683</v>
      </c>
      <c r="B266" s="83">
        <v>3</v>
      </c>
      <c r="C266" s="110">
        <v>0.0016218388636179914</v>
      </c>
      <c r="D266" s="83" t="s">
        <v>2059</v>
      </c>
      <c r="E266" s="83" t="b">
        <v>0</v>
      </c>
      <c r="F266" s="83" t="b">
        <v>0</v>
      </c>
      <c r="G266" s="83" t="b">
        <v>0</v>
      </c>
    </row>
    <row r="267" spans="1:7" ht="15">
      <c r="A267" s="84" t="s">
        <v>1684</v>
      </c>
      <c r="B267" s="83">
        <v>3</v>
      </c>
      <c r="C267" s="110">
        <v>0.0016218388636179914</v>
      </c>
      <c r="D267" s="83" t="s">
        <v>2059</v>
      </c>
      <c r="E267" s="83" t="b">
        <v>0</v>
      </c>
      <c r="F267" s="83" t="b">
        <v>0</v>
      </c>
      <c r="G267" s="83" t="b">
        <v>0</v>
      </c>
    </row>
    <row r="268" spans="1:7" ht="15">
      <c r="A268" s="84" t="s">
        <v>1685</v>
      </c>
      <c r="B268" s="83">
        <v>3</v>
      </c>
      <c r="C268" s="110">
        <v>0.0014900669062303527</v>
      </c>
      <c r="D268" s="83" t="s">
        <v>2059</v>
      </c>
      <c r="E268" s="83" t="b">
        <v>0</v>
      </c>
      <c r="F268" s="83" t="b">
        <v>0</v>
      </c>
      <c r="G268" s="83" t="b">
        <v>0</v>
      </c>
    </row>
    <row r="269" spans="1:7" ht="15">
      <c r="A269" s="84" t="s">
        <v>1686</v>
      </c>
      <c r="B269" s="83">
        <v>3</v>
      </c>
      <c r="C269" s="110">
        <v>0.0014900669062303527</v>
      </c>
      <c r="D269" s="83" t="s">
        <v>2059</v>
      </c>
      <c r="E269" s="83" t="b">
        <v>0</v>
      </c>
      <c r="F269" s="83" t="b">
        <v>0</v>
      </c>
      <c r="G269" s="83" t="b">
        <v>0</v>
      </c>
    </row>
    <row r="270" spans="1:7" ht="15">
      <c r="A270" s="84" t="s">
        <v>1687</v>
      </c>
      <c r="B270" s="83">
        <v>3</v>
      </c>
      <c r="C270" s="110">
        <v>0.0016218388636179914</v>
      </c>
      <c r="D270" s="83" t="s">
        <v>2059</v>
      </c>
      <c r="E270" s="83" t="b">
        <v>0</v>
      </c>
      <c r="F270" s="83" t="b">
        <v>0</v>
      </c>
      <c r="G270" s="83" t="b">
        <v>0</v>
      </c>
    </row>
    <row r="271" spans="1:7" ht="15">
      <c r="A271" s="84" t="s">
        <v>1688</v>
      </c>
      <c r="B271" s="83">
        <v>3</v>
      </c>
      <c r="C271" s="110">
        <v>0.0014900669062303527</v>
      </c>
      <c r="D271" s="83" t="s">
        <v>2059</v>
      </c>
      <c r="E271" s="83" t="b">
        <v>0</v>
      </c>
      <c r="F271" s="83" t="b">
        <v>0</v>
      </c>
      <c r="G271" s="83" t="b">
        <v>0</v>
      </c>
    </row>
    <row r="272" spans="1:7" ht="15">
      <c r="A272" s="84" t="s">
        <v>1689</v>
      </c>
      <c r="B272" s="83">
        <v>3</v>
      </c>
      <c r="C272" s="110">
        <v>0.0014900669062303527</v>
      </c>
      <c r="D272" s="83" t="s">
        <v>2059</v>
      </c>
      <c r="E272" s="83" t="b">
        <v>0</v>
      </c>
      <c r="F272" s="83" t="b">
        <v>0</v>
      </c>
      <c r="G272" s="83" t="b">
        <v>0</v>
      </c>
    </row>
    <row r="273" spans="1:7" ht="15">
      <c r="A273" s="84" t="s">
        <v>1690</v>
      </c>
      <c r="B273" s="83">
        <v>3</v>
      </c>
      <c r="C273" s="110">
        <v>0.0014900669062303527</v>
      </c>
      <c r="D273" s="83" t="s">
        <v>2059</v>
      </c>
      <c r="E273" s="83" t="b">
        <v>0</v>
      </c>
      <c r="F273" s="83" t="b">
        <v>0</v>
      </c>
      <c r="G273" s="83" t="b">
        <v>0</v>
      </c>
    </row>
    <row r="274" spans="1:7" ht="15">
      <c r="A274" s="84" t="s">
        <v>1691</v>
      </c>
      <c r="B274" s="83">
        <v>3</v>
      </c>
      <c r="C274" s="110">
        <v>0.0016218388636179914</v>
      </c>
      <c r="D274" s="83" t="s">
        <v>2059</v>
      </c>
      <c r="E274" s="83" t="b">
        <v>0</v>
      </c>
      <c r="F274" s="83" t="b">
        <v>0</v>
      </c>
      <c r="G274" s="83" t="b">
        <v>0</v>
      </c>
    </row>
    <row r="275" spans="1:7" ht="15">
      <c r="A275" s="84" t="s">
        <v>1692</v>
      </c>
      <c r="B275" s="83">
        <v>3</v>
      </c>
      <c r="C275" s="110">
        <v>0.0014900669062303527</v>
      </c>
      <c r="D275" s="83" t="s">
        <v>2059</v>
      </c>
      <c r="E275" s="83" t="b">
        <v>0</v>
      </c>
      <c r="F275" s="83" t="b">
        <v>0</v>
      </c>
      <c r="G275" s="83" t="b">
        <v>0</v>
      </c>
    </row>
    <row r="276" spans="1:7" ht="15">
      <c r="A276" s="84" t="s">
        <v>1693</v>
      </c>
      <c r="B276" s="83">
        <v>3</v>
      </c>
      <c r="C276" s="110">
        <v>0.0014900669062303527</v>
      </c>
      <c r="D276" s="83" t="s">
        <v>2059</v>
      </c>
      <c r="E276" s="83" t="b">
        <v>0</v>
      </c>
      <c r="F276" s="83" t="b">
        <v>0</v>
      </c>
      <c r="G276" s="83" t="b">
        <v>0</v>
      </c>
    </row>
    <row r="277" spans="1:7" ht="15">
      <c r="A277" s="84" t="s">
        <v>1694</v>
      </c>
      <c r="B277" s="83">
        <v>3</v>
      </c>
      <c r="C277" s="110">
        <v>0.0014900669062303527</v>
      </c>
      <c r="D277" s="83" t="s">
        <v>2059</v>
      </c>
      <c r="E277" s="83" t="b">
        <v>0</v>
      </c>
      <c r="F277" s="83" t="b">
        <v>0</v>
      </c>
      <c r="G277" s="83" t="b">
        <v>0</v>
      </c>
    </row>
    <row r="278" spans="1:7" ht="15">
      <c r="A278" s="84" t="s">
        <v>1695</v>
      </c>
      <c r="B278" s="83">
        <v>3</v>
      </c>
      <c r="C278" s="110">
        <v>0.0016218388636179914</v>
      </c>
      <c r="D278" s="83" t="s">
        <v>2059</v>
      </c>
      <c r="E278" s="83" t="b">
        <v>0</v>
      </c>
      <c r="F278" s="83" t="b">
        <v>0</v>
      </c>
      <c r="G278" s="83" t="b">
        <v>0</v>
      </c>
    </row>
    <row r="279" spans="1:7" ht="15">
      <c r="A279" s="84" t="s">
        <v>1696</v>
      </c>
      <c r="B279" s="83">
        <v>3</v>
      </c>
      <c r="C279" s="110">
        <v>0.0016218388636179914</v>
      </c>
      <c r="D279" s="83" t="s">
        <v>2059</v>
      </c>
      <c r="E279" s="83" t="b">
        <v>0</v>
      </c>
      <c r="F279" s="83" t="b">
        <v>0</v>
      </c>
      <c r="G279" s="83" t="b">
        <v>0</v>
      </c>
    </row>
    <row r="280" spans="1:7" ht="15">
      <c r="A280" s="84" t="s">
        <v>1697</v>
      </c>
      <c r="B280" s="83">
        <v>3</v>
      </c>
      <c r="C280" s="110">
        <v>0.0014900669062303527</v>
      </c>
      <c r="D280" s="83" t="s">
        <v>2059</v>
      </c>
      <c r="E280" s="83" t="b">
        <v>0</v>
      </c>
      <c r="F280" s="83" t="b">
        <v>0</v>
      </c>
      <c r="G280" s="83" t="b">
        <v>0</v>
      </c>
    </row>
    <row r="281" spans="1:7" ht="15">
      <c r="A281" s="84" t="s">
        <v>1698</v>
      </c>
      <c r="B281" s="83">
        <v>3</v>
      </c>
      <c r="C281" s="110">
        <v>0.0014900669062303527</v>
      </c>
      <c r="D281" s="83" t="s">
        <v>2059</v>
      </c>
      <c r="E281" s="83" t="b">
        <v>0</v>
      </c>
      <c r="F281" s="83" t="b">
        <v>0</v>
      </c>
      <c r="G281" s="83" t="b">
        <v>0</v>
      </c>
    </row>
    <row r="282" spans="1:7" ht="15">
      <c r="A282" s="84" t="s">
        <v>1699</v>
      </c>
      <c r="B282" s="83">
        <v>3</v>
      </c>
      <c r="C282" s="110">
        <v>0.0014900669062303527</v>
      </c>
      <c r="D282" s="83" t="s">
        <v>2059</v>
      </c>
      <c r="E282" s="83" t="b">
        <v>0</v>
      </c>
      <c r="F282" s="83" t="b">
        <v>0</v>
      </c>
      <c r="G282" s="83" t="b">
        <v>0</v>
      </c>
    </row>
    <row r="283" spans="1:7" ht="15">
      <c r="A283" s="84" t="s">
        <v>1700</v>
      </c>
      <c r="B283" s="83">
        <v>3</v>
      </c>
      <c r="C283" s="110">
        <v>0.0014900669062303527</v>
      </c>
      <c r="D283" s="83" t="s">
        <v>2059</v>
      </c>
      <c r="E283" s="83" t="b">
        <v>0</v>
      </c>
      <c r="F283" s="83" t="b">
        <v>0</v>
      </c>
      <c r="G283" s="83" t="b">
        <v>0</v>
      </c>
    </row>
    <row r="284" spans="1:7" ht="15">
      <c r="A284" s="84" t="s">
        <v>1701</v>
      </c>
      <c r="B284" s="83">
        <v>3</v>
      </c>
      <c r="C284" s="110">
        <v>0.0016218388636179914</v>
      </c>
      <c r="D284" s="83" t="s">
        <v>2059</v>
      </c>
      <c r="E284" s="83" t="b">
        <v>0</v>
      </c>
      <c r="F284" s="83" t="b">
        <v>0</v>
      </c>
      <c r="G284" s="83" t="b">
        <v>0</v>
      </c>
    </row>
    <row r="285" spans="1:7" ht="15">
      <c r="A285" s="84" t="s">
        <v>1702</v>
      </c>
      <c r="B285" s="83">
        <v>3</v>
      </c>
      <c r="C285" s="110">
        <v>0.0014900669062303527</v>
      </c>
      <c r="D285" s="83" t="s">
        <v>2059</v>
      </c>
      <c r="E285" s="83" t="b">
        <v>0</v>
      </c>
      <c r="F285" s="83" t="b">
        <v>0</v>
      </c>
      <c r="G285" s="83" t="b">
        <v>0</v>
      </c>
    </row>
    <row r="286" spans="1:7" ht="15">
      <c r="A286" s="84" t="s">
        <v>1703</v>
      </c>
      <c r="B286" s="83">
        <v>3</v>
      </c>
      <c r="C286" s="110">
        <v>0.0016218388636179914</v>
      </c>
      <c r="D286" s="83" t="s">
        <v>2059</v>
      </c>
      <c r="E286" s="83" t="b">
        <v>0</v>
      </c>
      <c r="F286" s="83" t="b">
        <v>0</v>
      </c>
      <c r="G286" s="83" t="b">
        <v>0</v>
      </c>
    </row>
    <row r="287" spans="1:7" ht="15">
      <c r="A287" s="84" t="s">
        <v>1704</v>
      </c>
      <c r="B287" s="83">
        <v>3</v>
      </c>
      <c r="C287" s="110">
        <v>0.0014900669062303527</v>
      </c>
      <c r="D287" s="83" t="s">
        <v>2059</v>
      </c>
      <c r="E287" s="83" t="b">
        <v>0</v>
      </c>
      <c r="F287" s="83" t="b">
        <v>0</v>
      </c>
      <c r="G287" s="83" t="b">
        <v>0</v>
      </c>
    </row>
    <row r="288" spans="1:7" ht="15">
      <c r="A288" s="84" t="s">
        <v>1705</v>
      </c>
      <c r="B288" s="83">
        <v>3</v>
      </c>
      <c r="C288" s="110">
        <v>0.0014900669062303527</v>
      </c>
      <c r="D288" s="83" t="s">
        <v>2059</v>
      </c>
      <c r="E288" s="83" t="b">
        <v>0</v>
      </c>
      <c r="F288" s="83" t="b">
        <v>0</v>
      </c>
      <c r="G288" s="83" t="b">
        <v>0</v>
      </c>
    </row>
    <row r="289" spans="1:7" ht="15">
      <c r="A289" s="84" t="s">
        <v>1706</v>
      </c>
      <c r="B289" s="83">
        <v>3</v>
      </c>
      <c r="C289" s="110">
        <v>0.0016218388636179914</v>
      </c>
      <c r="D289" s="83" t="s">
        <v>2059</v>
      </c>
      <c r="E289" s="83" t="b">
        <v>0</v>
      </c>
      <c r="F289" s="83" t="b">
        <v>0</v>
      </c>
      <c r="G289" s="83" t="b">
        <v>0</v>
      </c>
    </row>
    <row r="290" spans="1:7" ht="15">
      <c r="A290" s="84" t="s">
        <v>1707</v>
      </c>
      <c r="B290" s="83">
        <v>3</v>
      </c>
      <c r="C290" s="110">
        <v>0.0016218388636179914</v>
      </c>
      <c r="D290" s="83" t="s">
        <v>2059</v>
      </c>
      <c r="E290" s="83" t="b">
        <v>0</v>
      </c>
      <c r="F290" s="83" t="b">
        <v>0</v>
      </c>
      <c r="G290" s="83" t="b">
        <v>0</v>
      </c>
    </row>
    <row r="291" spans="1:7" ht="15">
      <c r="A291" s="84" t="s">
        <v>1708</v>
      </c>
      <c r="B291" s="83">
        <v>3</v>
      </c>
      <c r="C291" s="110">
        <v>0.0014900669062303527</v>
      </c>
      <c r="D291" s="83" t="s">
        <v>2059</v>
      </c>
      <c r="E291" s="83" t="b">
        <v>0</v>
      </c>
      <c r="F291" s="83" t="b">
        <v>0</v>
      </c>
      <c r="G291" s="83" t="b">
        <v>0</v>
      </c>
    </row>
    <row r="292" spans="1:7" ht="15">
      <c r="A292" s="84" t="s">
        <v>1709</v>
      </c>
      <c r="B292" s="83">
        <v>3</v>
      </c>
      <c r="C292" s="110">
        <v>0.0014900669062303527</v>
      </c>
      <c r="D292" s="83" t="s">
        <v>2059</v>
      </c>
      <c r="E292" s="83" t="b">
        <v>0</v>
      </c>
      <c r="F292" s="83" t="b">
        <v>0</v>
      </c>
      <c r="G292" s="83" t="b">
        <v>0</v>
      </c>
    </row>
    <row r="293" spans="1:7" ht="15">
      <c r="A293" s="84" t="s">
        <v>1710</v>
      </c>
      <c r="B293" s="83">
        <v>3</v>
      </c>
      <c r="C293" s="110">
        <v>0.0014900669062303527</v>
      </c>
      <c r="D293" s="83" t="s">
        <v>2059</v>
      </c>
      <c r="E293" s="83" t="b">
        <v>0</v>
      </c>
      <c r="F293" s="83" t="b">
        <v>0</v>
      </c>
      <c r="G293" s="83" t="b">
        <v>0</v>
      </c>
    </row>
    <row r="294" spans="1:7" ht="15">
      <c r="A294" s="84" t="s">
        <v>1711</v>
      </c>
      <c r="B294" s="83">
        <v>3</v>
      </c>
      <c r="C294" s="110">
        <v>0.0014900669062303527</v>
      </c>
      <c r="D294" s="83" t="s">
        <v>2059</v>
      </c>
      <c r="E294" s="83" t="b">
        <v>0</v>
      </c>
      <c r="F294" s="83" t="b">
        <v>0</v>
      </c>
      <c r="G294" s="83" t="b">
        <v>0</v>
      </c>
    </row>
    <row r="295" spans="1:7" ht="15">
      <c r="A295" s="84" t="s">
        <v>1712</v>
      </c>
      <c r="B295" s="83">
        <v>3</v>
      </c>
      <c r="C295" s="110">
        <v>0.0016218388636179914</v>
      </c>
      <c r="D295" s="83" t="s">
        <v>2059</v>
      </c>
      <c r="E295" s="83" t="b">
        <v>0</v>
      </c>
      <c r="F295" s="83" t="b">
        <v>0</v>
      </c>
      <c r="G295" s="83" t="b">
        <v>0</v>
      </c>
    </row>
    <row r="296" spans="1:7" ht="15">
      <c r="A296" s="84" t="s">
        <v>1713</v>
      </c>
      <c r="B296" s="83">
        <v>3</v>
      </c>
      <c r="C296" s="110">
        <v>0.0016218388636179914</v>
      </c>
      <c r="D296" s="83" t="s">
        <v>2059</v>
      </c>
      <c r="E296" s="83" t="b">
        <v>0</v>
      </c>
      <c r="F296" s="83" t="b">
        <v>0</v>
      </c>
      <c r="G296" s="83" t="b">
        <v>0</v>
      </c>
    </row>
    <row r="297" spans="1:7" ht="15">
      <c r="A297" s="84" t="s">
        <v>1714</v>
      </c>
      <c r="B297" s="83">
        <v>3</v>
      </c>
      <c r="C297" s="110">
        <v>0.0014900669062303527</v>
      </c>
      <c r="D297" s="83" t="s">
        <v>2059</v>
      </c>
      <c r="E297" s="83" t="b">
        <v>0</v>
      </c>
      <c r="F297" s="83" t="b">
        <v>0</v>
      </c>
      <c r="G297" s="83" t="b">
        <v>0</v>
      </c>
    </row>
    <row r="298" spans="1:7" ht="15">
      <c r="A298" s="84" t="s">
        <v>1715</v>
      </c>
      <c r="B298" s="83">
        <v>3</v>
      </c>
      <c r="C298" s="110">
        <v>0.0014900669062303527</v>
      </c>
      <c r="D298" s="83" t="s">
        <v>2059</v>
      </c>
      <c r="E298" s="83" t="b">
        <v>0</v>
      </c>
      <c r="F298" s="83" t="b">
        <v>0</v>
      </c>
      <c r="G298" s="83" t="b">
        <v>0</v>
      </c>
    </row>
    <row r="299" spans="1:7" ht="15">
      <c r="A299" s="84" t="s">
        <v>1716</v>
      </c>
      <c r="B299" s="83">
        <v>3</v>
      </c>
      <c r="C299" s="110">
        <v>0.0014900669062303527</v>
      </c>
      <c r="D299" s="83" t="s">
        <v>2059</v>
      </c>
      <c r="E299" s="83" t="b">
        <v>0</v>
      </c>
      <c r="F299" s="83" t="b">
        <v>0</v>
      </c>
      <c r="G299" s="83" t="b">
        <v>0</v>
      </c>
    </row>
    <row r="300" spans="1:7" ht="15">
      <c r="A300" s="84" t="s">
        <v>1717</v>
      </c>
      <c r="B300" s="83">
        <v>3</v>
      </c>
      <c r="C300" s="110">
        <v>0.0014900669062303527</v>
      </c>
      <c r="D300" s="83" t="s">
        <v>2059</v>
      </c>
      <c r="E300" s="83" t="b">
        <v>0</v>
      </c>
      <c r="F300" s="83" t="b">
        <v>0</v>
      </c>
      <c r="G300" s="83" t="b">
        <v>0</v>
      </c>
    </row>
    <row r="301" spans="1:7" ht="15">
      <c r="A301" s="84" t="s">
        <v>1718</v>
      </c>
      <c r="B301" s="83">
        <v>3</v>
      </c>
      <c r="C301" s="110">
        <v>0.0014900669062303527</v>
      </c>
      <c r="D301" s="83" t="s">
        <v>2059</v>
      </c>
      <c r="E301" s="83" t="b">
        <v>0</v>
      </c>
      <c r="F301" s="83" t="b">
        <v>0</v>
      </c>
      <c r="G301" s="83" t="b">
        <v>0</v>
      </c>
    </row>
    <row r="302" spans="1:7" ht="15">
      <c r="A302" s="84" t="s">
        <v>1719</v>
      </c>
      <c r="B302" s="83">
        <v>3</v>
      </c>
      <c r="C302" s="110">
        <v>0.0018471045126556426</v>
      </c>
      <c r="D302" s="83" t="s">
        <v>2059</v>
      </c>
      <c r="E302" s="83" t="b">
        <v>0</v>
      </c>
      <c r="F302" s="83" t="b">
        <v>0</v>
      </c>
      <c r="G302" s="83" t="b">
        <v>0</v>
      </c>
    </row>
    <row r="303" spans="1:7" ht="15">
      <c r="A303" s="84" t="s">
        <v>1720</v>
      </c>
      <c r="B303" s="83">
        <v>3</v>
      </c>
      <c r="C303" s="110">
        <v>0.0016218388636179914</v>
      </c>
      <c r="D303" s="83" t="s">
        <v>2059</v>
      </c>
      <c r="E303" s="83" t="b">
        <v>0</v>
      </c>
      <c r="F303" s="83" t="b">
        <v>0</v>
      </c>
      <c r="G303" s="83" t="b">
        <v>0</v>
      </c>
    </row>
    <row r="304" spans="1:7" ht="15">
      <c r="A304" s="84" t="s">
        <v>1721</v>
      </c>
      <c r="B304" s="83">
        <v>3</v>
      </c>
      <c r="C304" s="110">
        <v>0.0014900669062303527</v>
      </c>
      <c r="D304" s="83" t="s">
        <v>2059</v>
      </c>
      <c r="E304" s="83" t="b">
        <v>0</v>
      </c>
      <c r="F304" s="83" t="b">
        <v>0</v>
      </c>
      <c r="G304" s="83" t="b">
        <v>0</v>
      </c>
    </row>
    <row r="305" spans="1:7" ht="15">
      <c r="A305" s="84" t="s">
        <v>1722</v>
      </c>
      <c r="B305" s="83">
        <v>3</v>
      </c>
      <c r="C305" s="110">
        <v>0.0016218388636179914</v>
      </c>
      <c r="D305" s="83" t="s">
        <v>2059</v>
      </c>
      <c r="E305" s="83" t="b">
        <v>0</v>
      </c>
      <c r="F305" s="83" t="b">
        <v>0</v>
      </c>
      <c r="G305" s="83" t="b">
        <v>0</v>
      </c>
    </row>
    <row r="306" spans="1:7" ht="15">
      <c r="A306" s="84" t="s">
        <v>1723</v>
      </c>
      <c r="B306" s="83">
        <v>3</v>
      </c>
      <c r="C306" s="110">
        <v>0.0014900669062303527</v>
      </c>
      <c r="D306" s="83" t="s">
        <v>2059</v>
      </c>
      <c r="E306" s="83" t="b">
        <v>0</v>
      </c>
      <c r="F306" s="83" t="b">
        <v>0</v>
      </c>
      <c r="G306" s="83" t="b">
        <v>0</v>
      </c>
    </row>
    <row r="307" spans="1:7" ht="15">
      <c r="A307" s="84" t="s">
        <v>1724</v>
      </c>
      <c r="B307" s="83">
        <v>3</v>
      </c>
      <c r="C307" s="110">
        <v>0.0016218388636179914</v>
      </c>
      <c r="D307" s="83" t="s">
        <v>2059</v>
      </c>
      <c r="E307" s="83" t="b">
        <v>0</v>
      </c>
      <c r="F307" s="83" t="b">
        <v>0</v>
      </c>
      <c r="G307" s="83" t="b">
        <v>0</v>
      </c>
    </row>
    <row r="308" spans="1:7" ht="15">
      <c r="A308" s="84" t="s">
        <v>1725</v>
      </c>
      <c r="B308" s="83">
        <v>3</v>
      </c>
      <c r="C308" s="110">
        <v>0.0016218388636179914</v>
      </c>
      <c r="D308" s="83" t="s">
        <v>2059</v>
      </c>
      <c r="E308" s="83" t="b">
        <v>0</v>
      </c>
      <c r="F308" s="83" t="b">
        <v>0</v>
      </c>
      <c r="G308" s="83" t="b">
        <v>0</v>
      </c>
    </row>
    <row r="309" spans="1:7" ht="15">
      <c r="A309" s="84" t="s">
        <v>1726</v>
      </c>
      <c r="B309" s="83">
        <v>3</v>
      </c>
      <c r="C309" s="110">
        <v>0.0014900669062303527</v>
      </c>
      <c r="D309" s="83" t="s">
        <v>2059</v>
      </c>
      <c r="E309" s="83" t="b">
        <v>0</v>
      </c>
      <c r="F309" s="83" t="b">
        <v>0</v>
      </c>
      <c r="G309" s="83" t="b">
        <v>0</v>
      </c>
    </row>
    <row r="310" spans="1:7" ht="15">
      <c r="A310" s="84" t="s">
        <v>1727</v>
      </c>
      <c r="B310" s="83">
        <v>3</v>
      </c>
      <c r="C310" s="110">
        <v>0.0014900669062303527</v>
      </c>
      <c r="D310" s="83" t="s">
        <v>2059</v>
      </c>
      <c r="E310" s="83" t="b">
        <v>0</v>
      </c>
      <c r="F310" s="83" t="b">
        <v>0</v>
      </c>
      <c r="G310" s="83" t="b">
        <v>0</v>
      </c>
    </row>
    <row r="311" spans="1:7" ht="15">
      <c r="A311" s="84" t="s">
        <v>1728</v>
      </c>
      <c r="B311" s="83">
        <v>3</v>
      </c>
      <c r="C311" s="110">
        <v>0.0014900669062303527</v>
      </c>
      <c r="D311" s="83" t="s">
        <v>2059</v>
      </c>
      <c r="E311" s="83" t="b">
        <v>1</v>
      </c>
      <c r="F311" s="83" t="b">
        <v>0</v>
      </c>
      <c r="G311" s="83" t="b">
        <v>0</v>
      </c>
    </row>
    <row r="312" spans="1:7" ht="15">
      <c r="A312" s="84" t="s">
        <v>1729</v>
      </c>
      <c r="B312" s="83">
        <v>3</v>
      </c>
      <c r="C312" s="110">
        <v>0.0014900669062303527</v>
      </c>
      <c r="D312" s="83" t="s">
        <v>2059</v>
      </c>
      <c r="E312" s="83" t="b">
        <v>0</v>
      </c>
      <c r="F312" s="83" t="b">
        <v>0</v>
      </c>
      <c r="G312" s="83" t="b">
        <v>0</v>
      </c>
    </row>
    <row r="313" spans="1:7" ht="15">
      <c r="A313" s="84" t="s">
        <v>1730</v>
      </c>
      <c r="B313" s="83">
        <v>3</v>
      </c>
      <c r="C313" s="110">
        <v>0.0014900669062303527</v>
      </c>
      <c r="D313" s="83" t="s">
        <v>2059</v>
      </c>
      <c r="E313" s="83" t="b">
        <v>0</v>
      </c>
      <c r="F313" s="83" t="b">
        <v>0</v>
      </c>
      <c r="G313" s="83" t="b">
        <v>0</v>
      </c>
    </row>
    <row r="314" spans="1:7" ht="15">
      <c r="A314" s="84" t="s">
        <v>1731</v>
      </c>
      <c r="B314" s="83">
        <v>3</v>
      </c>
      <c r="C314" s="110">
        <v>0.0014900669062303527</v>
      </c>
      <c r="D314" s="83" t="s">
        <v>2059</v>
      </c>
      <c r="E314" s="83" t="b">
        <v>0</v>
      </c>
      <c r="F314" s="83" t="b">
        <v>0</v>
      </c>
      <c r="G314" s="83" t="b">
        <v>0</v>
      </c>
    </row>
    <row r="315" spans="1:7" ht="15">
      <c r="A315" s="84" t="s">
        <v>1732</v>
      </c>
      <c r="B315" s="83">
        <v>3</v>
      </c>
      <c r="C315" s="110">
        <v>0.0014900669062303527</v>
      </c>
      <c r="D315" s="83" t="s">
        <v>2059</v>
      </c>
      <c r="E315" s="83" t="b">
        <v>0</v>
      </c>
      <c r="F315" s="83" t="b">
        <v>0</v>
      </c>
      <c r="G315" s="83" t="b">
        <v>0</v>
      </c>
    </row>
    <row r="316" spans="1:7" ht="15">
      <c r="A316" s="84" t="s">
        <v>1733</v>
      </c>
      <c r="B316" s="83">
        <v>3</v>
      </c>
      <c r="C316" s="110">
        <v>0.0016218388636179914</v>
      </c>
      <c r="D316" s="83" t="s">
        <v>2059</v>
      </c>
      <c r="E316" s="83" t="b">
        <v>0</v>
      </c>
      <c r="F316" s="83" t="b">
        <v>0</v>
      </c>
      <c r="G316" s="83" t="b">
        <v>0</v>
      </c>
    </row>
    <row r="317" spans="1:7" ht="15">
      <c r="A317" s="84" t="s">
        <v>1734</v>
      </c>
      <c r="B317" s="83">
        <v>3</v>
      </c>
      <c r="C317" s="110">
        <v>0.0018471045126556426</v>
      </c>
      <c r="D317" s="83" t="s">
        <v>2059</v>
      </c>
      <c r="E317" s="83" t="b">
        <v>0</v>
      </c>
      <c r="F317" s="83" t="b">
        <v>0</v>
      </c>
      <c r="G317" s="83" t="b">
        <v>0</v>
      </c>
    </row>
    <row r="318" spans="1:7" ht="15">
      <c r="A318" s="84" t="s">
        <v>1735</v>
      </c>
      <c r="B318" s="83">
        <v>3</v>
      </c>
      <c r="C318" s="110">
        <v>0.0014900669062303527</v>
      </c>
      <c r="D318" s="83" t="s">
        <v>2059</v>
      </c>
      <c r="E318" s="83" t="b">
        <v>0</v>
      </c>
      <c r="F318" s="83" t="b">
        <v>0</v>
      </c>
      <c r="G318" s="83" t="b">
        <v>0</v>
      </c>
    </row>
    <row r="319" spans="1:7" ht="15">
      <c r="A319" s="84" t="s">
        <v>1736</v>
      </c>
      <c r="B319" s="83">
        <v>3</v>
      </c>
      <c r="C319" s="110">
        <v>0.0014900669062303527</v>
      </c>
      <c r="D319" s="83" t="s">
        <v>2059</v>
      </c>
      <c r="E319" s="83" t="b">
        <v>0</v>
      </c>
      <c r="F319" s="83" t="b">
        <v>0</v>
      </c>
      <c r="G319" s="83" t="b">
        <v>0</v>
      </c>
    </row>
    <row r="320" spans="1:7" ht="15">
      <c r="A320" s="84" t="s">
        <v>1737</v>
      </c>
      <c r="B320" s="83">
        <v>3</v>
      </c>
      <c r="C320" s="110">
        <v>0.0014900669062303527</v>
      </c>
      <c r="D320" s="83" t="s">
        <v>2059</v>
      </c>
      <c r="E320" s="83" t="b">
        <v>0</v>
      </c>
      <c r="F320" s="83" t="b">
        <v>0</v>
      </c>
      <c r="G320" s="83" t="b">
        <v>0</v>
      </c>
    </row>
    <row r="321" spans="1:7" ht="15">
      <c r="A321" s="84" t="s">
        <v>1738</v>
      </c>
      <c r="B321" s="83">
        <v>3</v>
      </c>
      <c r="C321" s="110">
        <v>0.0016218388636179914</v>
      </c>
      <c r="D321" s="83" t="s">
        <v>2059</v>
      </c>
      <c r="E321" s="83" t="b">
        <v>0</v>
      </c>
      <c r="F321" s="83" t="b">
        <v>0</v>
      </c>
      <c r="G321" s="83" t="b">
        <v>0</v>
      </c>
    </row>
    <row r="322" spans="1:7" ht="15">
      <c r="A322" s="84" t="s">
        <v>1739</v>
      </c>
      <c r="B322" s="83">
        <v>3</v>
      </c>
      <c r="C322" s="110">
        <v>0.0014900669062303527</v>
      </c>
      <c r="D322" s="83" t="s">
        <v>2059</v>
      </c>
      <c r="E322" s="83" t="b">
        <v>0</v>
      </c>
      <c r="F322" s="83" t="b">
        <v>0</v>
      </c>
      <c r="G322" s="83" t="b">
        <v>0</v>
      </c>
    </row>
    <row r="323" spans="1:7" ht="15">
      <c r="A323" s="84" t="s">
        <v>1740</v>
      </c>
      <c r="B323" s="83">
        <v>3</v>
      </c>
      <c r="C323" s="110">
        <v>0.0014900669062303527</v>
      </c>
      <c r="D323" s="83" t="s">
        <v>2059</v>
      </c>
      <c r="E323" s="83" t="b">
        <v>0</v>
      </c>
      <c r="F323" s="83" t="b">
        <v>0</v>
      </c>
      <c r="G323" s="83" t="b">
        <v>0</v>
      </c>
    </row>
    <row r="324" spans="1:7" ht="15">
      <c r="A324" s="84" t="s">
        <v>1741</v>
      </c>
      <c r="B324" s="83">
        <v>3</v>
      </c>
      <c r="C324" s="110">
        <v>0.0016218388636179914</v>
      </c>
      <c r="D324" s="83" t="s">
        <v>2059</v>
      </c>
      <c r="E324" s="83" t="b">
        <v>0</v>
      </c>
      <c r="F324" s="83" t="b">
        <v>0</v>
      </c>
      <c r="G324" s="83" t="b">
        <v>0</v>
      </c>
    </row>
    <row r="325" spans="1:7" ht="15">
      <c r="A325" s="84" t="s">
        <v>1742</v>
      </c>
      <c r="B325" s="83">
        <v>3</v>
      </c>
      <c r="C325" s="110">
        <v>0.0014900669062303527</v>
      </c>
      <c r="D325" s="83" t="s">
        <v>2059</v>
      </c>
      <c r="E325" s="83" t="b">
        <v>0</v>
      </c>
      <c r="F325" s="83" t="b">
        <v>0</v>
      </c>
      <c r="G325" s="83" t="b">
        <v>0</v>
      </c>
    </row>
    <row r="326" spans="1:7" ht="15">
      <c r="A326" s="84" t="s">
        <v>1743</v>
      </c>
      <c r="B326" s="83">
        <v>3</v>
      </c>
      <c r="C326" s="110">
        <v>0.0014900669062303527</v>
      </c>
      <c r="D326" s="83" t="s">
        <v>2059</v>
      </c>
      <c r="E326" s="83" t="b">
        <v>0</v>
      </c>
      <c r="F326" s="83" t="b">
        <v>0</v>
      </c>
      <c r="G326" s="83" t="b">
        <v>0</v>
      </c>
    </row>
    <row r="327" spans="1:7" ht="15">
      <c r="A327" s="84" t="s">
        <v>1744</v>
      </c>
      <c r="B327" s="83">
        <v>3</v>
      </c>
      <c r="C327" s="110">
        <v>0.0014900669062303527</v>
      </c>
      <c r="D327" s="83" t="s">
        <v>2059</v>
      </c>
      <c r="E327" s="83" t="b">
        <v>0</v>
      </c>
      <c r="F327" s="83" t="b">
        <v>0</v>
      </c>
      <c r="G327" s="83" t="b">
        <v>0</v>
      </c>
    </row>
    <row r="328" spans="1:7" ht="15">
      <c r="A328" s="84" t="s">
        <v>1745</v>
      </c>
      <c r="B328" s="83">
        <v>3</v>
      </c>
      <c r="C328" s="110">
        <v>0.0014900669062303527</v>
      </c>
      <c r="D328" s="83" t="s">
        <v>2059</v>
      </c>
      <c r="E328" s="83" t="b">
        <v>0</v>
      </c>
      <c r="F328" s="83" t="b">
        <v>0</v>
      </c>
      <c r="G328" s="83" t="b">
        <v>0</v>
      </c>
    </row>
    <row r="329" spans="1:7" ht="15">
      <c r="A329" s="84" t="s">
        <v>1746</v>
      </c>
      <c r="B329" s="83">
        <v>3</v>
      </c>
      <c r="C329" s="110">
        <v>0.0014900669062303527</v>
      </c>
      <c r="D329" s="83" t="s">
        <v>2059</v>
      </c>
      <c r="E329" s="83" t="b">
        <v>0</v>
      </c>
      <c r="F329" s="83" t="b">
        <v>0</v>
      </c>
      <c r="G329" s="83" t="b">
        <v>0</v>
      </c>
    </row>
    <row r="330" spans="1:7" ht="15">
      <c r="A330" s="84" t="s">
        <v>1747</v>
      </c>
      <c r="B330" s="83">
        <v>3</v>
      </c>
      <c r="C330" s="110">
        <v>0.0014900669062303527</v>
      </c>
      <c r="D330" s="83" t="s">
        <v>2059</v>
      </c>
      <c r="E330" s="83" t="b">
        <v>0</v>
      </c>
      <c r="F330" s="83" t="b">
        <v>0</v>
      </c>
      <c r="G330" s="83" t="b">
        <v>0</v>
      </c>
    </row>
    <row r="331" spans="1:7" ht="15">
      <c r="A331" s="84" t="s">
        <v>1748</v>
      </c>
      <c r="B331" s="83">
        <v>3</v>
      </c>
      <c r="C331" s="110">
        <v>0.0016218388636179914</v>
      </c>
      <c r="D331" s="83" t="s">
        <v>2059</v>
      </c>
      <c r="E331" s="83" t="b">
        <v>0</v>
      </c>
      <c r="F331" s="83" t="b">
        <v>0</v>
      </c>
      <c r="G331" s="83" t="b">
        <v>0</v>
      </c>
    </row>
    <row r="332" spans="1:7" ht="15">
      <c r="A332" s="84" t="s">
        <v>1749</v>
      </c>
      <c r="B332" s="83">
        <v>3</v>
      </c>
      <c r="C332" s="110">
        <v>0.0016218388636179914</v>
      </c>
      <c r="D332" s="83" t="s">
        <v>2059</v>
      </c>
      <c r="E332" s="83" t="b">
        <v>0</v>
      </c>
      <c r="F332" s="83" t="b">
        <v>0</v>
      </c>
      <c r="G332" s="83" t="b">
        <v>0</v>
      </c>
    </row>
    <row r="333" spans="1:7" ht="15">
      <c r="A333" s="84" t="s">
        <v>1750</v>
      </c>
      <c r="B333" s="83">
        <v>3</v>
      </c>
      <c r="C333" s="110">
        <v>0.0018471045126556426</v>
      </c>
      <c r="D333" s="83" t="s">
        <v>2059</v>
      </c>
      <c r="E333" s="83" t="b">
        <v>0</v>
      </c>
      <c r="F333" s="83" t="b">
        <v>0</v>
      </c>
      <c r="G333" s="83" t="b">
        <v>0</v>
      </c>
    </row>
    <row r="334" spans="1:7" ht="15">
      <c r="A334" s="84" t="s">
        <v>1751</v>
      </c>
      <c r="B334" s="83">
        <v>3</v>
      </c>
      <c r="C334" s="110">
        <v>0.0018471045126556426</v>
      </c>
      <c r="D334" s="83" t="s">
        <v>2059</v>
      </c>
      <c r="E334" s="83" t="b">
        <v>0</v>
      </c>
      <c r="F334" s="83" t="b">
        <v>0</v>
      </c>
      <c r="G334" s="83" t="b">
        <v>0</v>
      </c>
    </row>
    <row r="335" spans="1:7" ht="15">
      <c r="A335" s="84" t="s">
        <v>1752</v>
      </c>
      <c r="B335" s="83">
        <v>3</v>
      </c>
      <c r="C335" s="110">
        <v>0.0014900669062303527</v>
      </c>
      <c r="D335" s="83" t="s">
        <v>2059</v>
      </c>
      <c r="E335" s="83" t="b">
        <v>0</v>
      </c>
      <c r="F335" s="83" t="b">
        <v>0</v>
      </c>
      <c r="G335" s="83" t="b">
        <v>0</v>
      </c>
    </row>
    <row r="336" spans="1:7" ht="15">
      <c r="A336" s="84" t="s">
        <v>1753</v>
      </c>
      <c r="B336" s="83">
        <v>3</v>
      </c>
      <c r="C336" s="110">
        <v>0.0016218388636179914</v>
      </c>
      <c r="D336" s="83" t="s">
        <v>2059</v>
      </c>
      <c r="E336" s="83" t="b">
        <v>0</v>
      </c>
      <c r="F336" s="83" t="b">
        <v>0</v>
      </c>
      <c r="G336" s="83" t="b">
        <v>0</v>
      </c>
    </row>
    <row r="337" spans="1:7" ht="15">
      <c r="A337" s="84" t="s">
        <v>1754</v>
      </c>
      <c r="B337" s="83">
        <v>3</v>
      </c>
      <c r="C337" s="110">
        <v>0.0014900669062303527</v>
      </c>
      <c r="D337" s="83" t="s">
        <v>2059</v>
      </c>
      <c r="E337" s="83" t="b">
        <v>1</v>
      </c>
      <c r="F337" s="83" t="b">
        <v>0</v>
      </c>
      <c r="G337" s="83" t="b">
        <v>0</v>
      </c>
    </row>
    <row r="338" spans="1:7" ht="15">
      <c r="A338" s="84" t="s">
        <v>1755</v>
      </c>
      <c r="B338" s="83">
        <v>3</v>
      </c>
      <c r="C338" s="110">
        <v>0.0014900669062303527</v>
      </c>
      <c r="D338" s="83" t="s">
        <v>2059</v>
      </c>
      <c r="E338" s="83" t="b">
        <v>0</v>
      </c>
      <c r="F338" s="83" t="b">
        <v>0</v>
      </c>
      <c r="G338" s="83" t="b">
        <v>0</v>
      </c>
    </row>
    <row r="339" spans="1:7" ht="15">
      <c r="A339" s="84" t="s">
        <v>1756</v>
      </c>
      <c r="B339" s="83">
        <v>3</v>
      </c>
      <c r="C339" s="110">
        <v>0.0016218388636179914</v>
      </c>
      <c r="D339" s="83" t="s">
        <v>2059</v>
      </c>
      <c r="E339" s="83" t="b">
        <v>0</v>
      </c>
      <c r="F339" s="83" t="b">
        <v>0</v>
      </c>
      <c r="G339" s="83" t="b">
        <v>0</v>
      </c>
    </row>
    <row r="340" spans="1:7" ht="15">
      <c r="A340" s="84" t="s">
        <v>1757</v>
      </c>
      <c r="B340" s="83">
        <v>3</v>
      </c>
      <c r="C340" s="110">
        <v>0.0018471045126556426</v>
      </c>
      <c r="D340" s="83" t="s">
        <v>2059</v>
      </c>
      <c r="E340" s="83" t="b">
        <v>0</v>
      </c>
      <c r="F340" s="83" t="b">
        <v>0</v>
      </c>
      <c r="G340" s="83" t="b">
        <v>0</v>
      </c>
    </row>
    <row r="341" spans="1:7" ht="15">
      <c r="A341" s="84" t="s">
        <v>1758</v>
      </c>
      <c r="B341" s="83">
        <v>3</v>
      </c>
      <c r="C341" s="110">
        <v>0.0018471045126556426</v>
      </c>
      <c r="D341" s="83" t="s">
        <v>2059</v>
      </c>
      <c r="E341" s="83" t="b">
        <v>0</v>
      </c>
      <c r="F341" s="83" t="b">
        <v>0</v>
      </c>
      <c r="G341" s="83" t="b">
        <v>0</v>
      </c>
    </row>
    <row r="342" spans="1:7" ht="15">
      <c r="A342" s="84" t="s">
        <v>1759</v>
      </c>
      <c r="B342" s="83">
        <v>3</v>
      </c>
      <c r="C342" s="110">
        <v>0.0018471045126556426</v>
      </c>
      <c r="D342" s="83" t="s">
        <v>2059</v>
      </c>
      <c r="E342" s="83" t="b">
        <v>0</v>
      </c>
      <c r="F342" s="83" t="b">
        <v>0</v>
      </c>
      <c r="G342" s="83" t="b">
        <v>0</v>
      </c>
    </row>
    <row r="343" spans="1:7" ht="15">
      <c r="A343" s="84" t="s">
        <v>1760</v>
      </c>
      <c r="B343" s="83">
        <v>3</v>
      </c>
      <c r="C343" s="110">
        <v>0.0016218388636179914</v>
      </c>
      <c r="D343" s="83" t="s">
        <v>2059</v>
      </c>
      <c r="E343" s="83" t="b">
        <v>0</v>
      </c>
      <c r="F343" s="83" t="b">
        <v>0</v>
      </c>
      <c r="G343" s="83" t="b">
        <v>0</v>
      </c>
    </row>
    <row r="344" spans="1:7" ht="15">
      <c r="A344" s="84" t="s">
        <v>1761</v>
      </c>
      <c r="B344" s="83">
        <v>3</v>
      </c>
      <c r="C344" s="110">
        <v>0.0018471045126556426</v>
      </c>
      <c r="D344" s="83" t="s">
        <v>2059</v>
      </c>
      <c r="E344" s="83" t="b">
        <v>0</v>
      </c>
      <c r="F344" s="83" t="b">
        <v>0</v>
      </c>
      <c r="G344" s="83" t="b">
        <v>0</v>
      </c>
    </row>
    <row r="345" spans="1:7" ht="15">
      <c r="A345" s="84" t="s">
        <v>1762</v>
      </c>
      <c r="B345" s="83">
        <v>2</v>
      </c>
      <c r="C345" s="110">
        <v>0.0010812259090786612</v>
      </c>
      <c r="D345" s="83" t="s">
        <v>2059</v>
      </c>
      <c r="E345" s="83" t="b">
        <v>0</v>
      </c>
      <c r="F345" s="83" t="b">
        <v>0</v>
      </c>
      <c r="G345" s="83" t="b">
        <v>0</v>
      </c>
    </row>
    <row r="346" spans="1:7" ht="15">
      <c r="A346" s="84" t="s">
        <v>1763</v>
      </c>
      <c r="B346" s="83">
        <v>2</v>
      </c>
      <c r="C346" s="110">
        <v>0.0010812259090786612</v>
      </c>
      <c r="D346" s="83" t="s">
        <v>2059</v>
      </c>
      <c r="E346" s="83" t="b">
        <v>0</v>
      </c>
      <c r="F346" s="83" t="b">
        <v>0</v>
      </c>
      <c r="G346" s="83" t="b">
        <v>0</v>
      </c>
    </row>
    <row r="347" spans="1:7" ht="15">
      <c r="A347" s="84" t="s">
        <v>1764</v>
      </c>
      <c r="B347" s="83">
        <v>2</v>
      </c>
      <c r="C347" s="110">
        <v>0.0010812259090786612</v>
      </c>
      <c r="D347" s="83" t="s">
        <v>2059</v>
      </c>
      <c r="E347" s="83" t="b">
        <v>0</v>
      </c>
      <c r="F347" s="83" t="b">
        <v>0</v>
      </c>
      <c r="G347" s="83" t="b">
        <v>0</v>
      </c>
    </row>
    <row r="348" spans="1:7" ht="15">
      <c r="A348" s="84" t="s">
        <v>1765</v>
      </c>
      <c r="B348" s="83">
        <v>2</v>
      </c>
      <c r="C348" s="110">
        <v>0.0010812259090786612</v>
      </c>
      <c r="D348" s="83" t="s">
        <v>2059</v>
      </c>
      <c r="E348" s="83" t="b">
        <v>0</v>
      </c>
      <c r="F348" s="83" t="b">
        <v>0</v>
      </c>
      <c r="G348" s="83" t="b">
        <v>0</v>
      </c>
    </row>
    <row r="349" spans="1:7" ht="15">
      <c r="A349" s="84" t="s">
        <v>1766</v>
      </c>
      <c r="B349" s="83">
        <v>2</v>
      </c>
      <c r="C349" s="110">
        <v>0.0010812259090786612</v>
      </c>
      <c r="D349" s="83" t="s">
        <v>2059</v>
      </c>
      <c r="E349" s="83" t="b">
        <v>0</v>
      </c>
      <c r="F349" s="83" t="b">
        <v>0</v>
      </c>
      <c r="G349" s="83" t="b">
        <v>0</v>
      </c>
    </row>
    <row r="350" spans="1:7" ht="15">
      <c r="A350" s="84" t="s">
        <v>1767</v>
      </c>
      <c r="B350" s="83">
        <v>2</v>
      </c>
      <c r="C350" s="110">
        <v>0.0010812259090786612</v>
      </c>
      <c r="D350" s="83" t="s">
        <v>2059</v>
      </c>
      <c r="E350" s="83" t="b">
        <v>0</v>
      </c>
      <c r="F350" s="83" t="b">
        <v>0</v>
      </c>
      <c r="G350" s="83" t="b">
        <v>0</v>
      </c>
    </row>
    <row r="351" spans="1:7" ht="15">
      <c r="A351" s="84" t="s">
        <v>1768</v>
      </c>
      <c r="B351" s="83">
        <v>2</v>
      </c>
      <c r="C351" s="110">
        <v>0.0010812259090786612</v>
      </c>
      <c r="D351" s="83" t="s">
        <v>2059</v>
      </c>
      <c r="E351" s="83" t="b">
        <v>0</v>
      </c>
      <c r="F351" s="83" t="b">
        <v>0</v>
      </c>
      <c r="G351" s="83" t="b">
        <v>0</v>
      </c>
    </row>
    <row r="352" spans="1:7" ht="15">
      <c r="A352" s="84" t="s">
        <v>1769</v>
      </c>
      <c r="B352" s="83">
        <v>2</v>
      </c>
      <c r="C352" s="110">
        <v>0.0010812259090786612</v>
      </c>
      <c r="D352" s="83" t="s">
        <v>2059</v>
      </c>
      <c r="E352" s="83" t="b">
        <v>0</v>
      </c>
      <c r="F352" s="83" t="b">
        <v>0</v>
      </c>
      <c r="G352" s="83" t="b">
        <v>0</v>
      </c>
    </row>
    <row r="353" spans="1:7" ht="15">
      <c r="A353" s="84" t="s">
        <v>1770</v>
      </c>
      <c r="B353" s="83">
        <v>2</v>
      </c>
      <c r="C353" s="110">
        <v>0.0010812259090786612</v>
      </c>
      <c r="D353" s="83" t="s">
        <v>2059</v>
      </c>
      <c r="E353" s="83" t="b">
        <v>0</v>
      </c>
      <c r="F353" s="83" t="b">
        <v>0</v>
      </c>
      <c r="G353" s="83" t="b">
        <v>0</v>
      </c>
    </row>
    <row r="354" spans="1:7" ht="15">
      <c r="A354" s="84" t="s">
        <v>1771</v>
      </c>
      <c r="B354" s="83">
        <v>2</v>
      </c>
      <c r="C354" s="110">
        <v>0.0010812259090786612</v>
      </c>
      <c r="D354" s="83" t="s">
        <v>2059</v>
      </c>
      <c r="E354" s="83" t="b">
        <v>0</v>
      </c>
      <c r="F354" s="83" t="b">
        <v>0</v>
      </c>
      <c r="G354" s="83" t="b">
        <v>0</v>
      </c>
    </row>
    <row r="355" spans="1:7" ht="15">
      <c r="A355" s="84" t="s">
        <v>1772</v>
      </c>
      <c r="B355" s="83">
        <v>2</v>
      </c>
      <c r="C355" s="110">
        <v>0.0010812259090786612</v>
      </c>
      <c r="D355" s="83" t="s">
        <v>2059</v>
      </c>
      <c r="E355" s="83" t="b">
        <v>0</v>
      </c>
      <c r="F355" s="83" t="b">
        <v>0</v>
      </c>
      <c r="G355" s="83" t="b">
        <v>0</v>
      </c>
    </row>
    <row r="356" spans="1:7" ht="15">
      <c r="A356" s="84" t="s">
        <v>1773</v>
      </c>
      <c r="B356" s="83">
        <v>2</v>
      </c>
      <c r="C356" s="110">
        <v>0.0012314030084370953</v>
      </c>
      <c r="D356" s="83" t="s">
        <v>2059</v>
      </c>
      <c r="E356" s="83" t="b">
        <v>0</v>
      </c>
      <c r="F356" s="83" t="b">
        <v>0</v>
      </c>
      <c r="G356" s="83" t="b">
        <v>0</v>
      </c>
    </row>
    <row r="357" spans="1:7" ht="15">
      <c r="A357" s="84" t="s">
        <v>1774</v>
      </c>
      <c r="B357" s="83">
        <v>2</v>
      </c>
      <c r="C357" s="110">
        <v>0.0010812259090786612</v>
      </c>
      <c r="D357" s="83" t="s">
        <v>2059</v>
      </c>
      <c r="E357" s="83" t="b">
        <v>0</v>
      </c>
      <c r="F357" s="83" t="b">
        <v>0</v>
      </c>
      <c r="G357" s="83" t="b">
        <v>0</v>
      </c>
    </row>
    <row r="358" spans="1:7" ht="15">
      <c r="A358" s="84" t="s">
        <v>1775</v>
      </c>
      <c r="B358" s="83">
        <v>2</v>
      </c>
      <c r="C358" s="110">
        <v>0.0012314030084370953</v>
      </c>
      <c r="D358" s="83" t="s">
        <v>2059</v>
      </c>
      <c r="E358" s="83" t="b">
        <v>0</v>
      </c>
      <c r="F358" s="83" t="b">
        <v>0</v>
      </c>
      <c r="G358" s="83" t="b">
        <v>0</v>
      </c>
    </row>
    <row r="359" spans="1:7" ht="15">
      <c r="A359" s="84" t="s">
        <v>1776</v>
      </c>
      <c r="B359" s="83">
        <v>2</v>
      </c>
      <c r="C359" s="110">
        <v>0.0010812259090786612</v>
      </c>
      <c r="D359" s="83" t="s">
        <v>2059</v>
      </c>
      <c r="E359" s="83" t="b">
        <v>0</v>
      </c>
      <c r="F359" s="83" t="b">
        <v>0</v>
      </c>
      <c r="G359" s="83" t="b">
        <v>0</v>
      </c>
    </row>
    <row r="360" spans="1:7" ht="15">
      <c r="A360" s="84" t="s">
        <v>1777</v>
      </c>
      <c r="B360" s="83">
        <v>2</v>
      </c>
      <c r="C360" s="110">
        <v>0.0010812259090786612</v>
      </c>
      <c r="D360" s="83" t="s">
        <v>2059</v>
      </c>
      <c r="E360" s="83" t="b">
        <v>0</v>
      </c>
      <c r="F360" s="83" t="b">
        <v>0</v>
      </c>
      <c r="G360" s="83" t="b">
        <v>0</v>
      </c>
    </row>
    <row r="361" spans="1:7" ht="15">
      <c r="A361" s="84" t="s">
        <v>1778</v>
      </c>
      <c r="B361" s="83">
        <v>2</v>
      </c>
      <c r="C361" s="110">
        <v>0.0010812259090786612</v>
      </c>
      <c r="D361" s="83" t="s">
        <v>2059</v>
      </c>
      <c r="E361" s="83" t="b">
        <v>0</v>
      </c>
      <c r="F361" s="83" t="b">
        <v>0</v>
      </c>
      <c r="G361" s="83" t="b">
        <v>0</v>
      </c>
    </row>
    <row r="362" spans="1:7" ht="15">
      <c r="A362" s="84" t="s">
        <v>1779</v>
      </c>
      <c r="B362" s="83">
        <v>2</v>
      </c>
      <c r="C362" s="110">
        <v>0.0010812259090786612</v>
      </c>
      <c r="D362" s="83" t="s">
        <v>2059</v>
      </c>
      <c r="E362" s="83" t="b">
        <v>1</v>
      </c>
      <c r="F362" s="83" t="b">
        <v>0</v>
      </c>
      <c r="G362" s="83" t="b">
        <v>0</v>
      </c>
    </row>
    <row r="363" spans="1:7" ht="15">
      <c r="A363" s="84" t="s">
        <v>1780</v>
      </c>
      <c r="B363" s="83">
        <v>2</v>
      </c>
      <c r="C363" s="110">
        <v>0.0010812259090786612</v>
      </c>
      <c r="D363" s="83" t="s">
        <v>2059</v>
      </c>
      <c r="E363" s="83" t="b">
        <v>0</v>
      </c>
      <c r="F363" s="83" t="b">
        <v>0</v>
      </c>
      <c r="G363" s="83" t="b">
        <v>0</v>
      </c>
    </row>
    <row r="364" spans="1:7" ht="15">
      <c r="A364" s="84" t="s">
        <v>1781</v>
      </c>
      <c r="B364" s="83">
        <v>2</v>
      </c>
      <c r="C364" s="110">
        <v>0.0010812259090786612</v>
      </c>
      <c r="D364" s="83" t="s">
        <v>2059</v>
      </c>
      <c r="E364" s="83" t="b">
        <v>0</v>
      </c>
      <c r="F364" s="83" t="b">
        <v>0</v>
      </c>
      <c r="G364" s="83" t="b">
        <v>0</v>
      </c>
    </row>
    <row r="365" spans="1:7" ht="15">
      <c r="A365" s="84" t="s">
        <v>1782</v>
      </c>
      <c r="B365" s="83">
        <v>2</v>
      </c>
      <c r="C365" s="110">
        <v>0.0010812259090786612</v>
      </c>
      <c r="D365" s="83" t="s">
        <v>2059</v>
      </c>
      <c r="E365" s="83" t="b">
        <v>0</v>
      </c>
      <c r="F365" s="83" t="b">
        <v>0</v>
      </c>
      <c r="G365" s="83" t="b">
        <v>0</v>
      </c>
    </row>
    <row r="366" spans="1:7" ht="15">
      <c r="A366" s="84" t="s">
        <v>1783</v>
      </c>
      <c r="B366" s="83">
        <v>2</v>
      </c>
      <c r="C366" s="110">
        <v>0.0010812259090786612</v>
      </c>
      <c r="D366" s="83" t="s">
        <v>2059</v>
      </c>
      <c r="E366" s="83" t="b">
        <v>0</v>
      </c>
      <c r="F366" s="83" t="b">
        <v>0</v>
      </c>
      <c r="G366" s="83" t="b">
        <v>0</v>
      </c>
    </row>
    <row r="367" spans="1:7" ht="15">
      <c r="A367" s="84" t="s">
        <v>1784</v>
      </c>
      <c r="B367" s="83">
        <v>2</v>
      </c>
      <c r="C367" s="110">
        <v>0.0010812259090786612</v>
      </c>
      <c r="D367" s="83" t="s">
        <v>2059</v>
      </c>
      <c r="E367" s="83" t="b">
        <v>0</v>
      </c>
      <c r="F367" s="83" t="b">
        <v>0</v>
      </c>
      <c r="G367" s="83" t="b">
        <v>0</v>
      </c>
    </row>
    <row r="368" spans="1:7" ht="15">
      <c r="A368" s="84" t="s">
        <v>1785</v>
      </c>
      <c r="B368" s="83">
        <v>2</v>
      </c>
      <c r="C368" s="110">
        <v>0.0010812259090786612</v>
      </c>
      <c r="D368" s="83" t="s">
        <v>2059</v>
      </c>
      <c r="E368" s="83" t="b">
        <v>0</v>
      </c>
      <c r="F368" s="83" t="b">
        <v>0</v>
      </c>
      <c r="G368" s="83" t="b">
        <v>0</v>
      </c>
    </row>
    <row r="369" spans="1:7" ht="15">
      <c r="A369" s="84" t="s">
        <v>1786</v>
      </c>
      <c r="B369" s="83">
        <v>2</v>
      </c>
      <c r="C369" s="110">
        <v>0.0010812259090786612</v>
      </c>
      <c r="D369" s="83" t="s">
        <v>2059</v>
      </c>
      <c r="E369" s="83" t="b">
        <v>0</v>
      </c>
      <c r="F369" s="83" t="b">
        <v>0</v>
      </c>
      <c r="G369" s="83" t="b">
        <v>0</v>
      </c>
    </row>
    <row r="370" spans="1:7" ht="15">
      <c r="A370" s="84" t="s">
        <v>1787</v>
      </c>
      <c r="B370" s="83">
        <v>2</v>
      </c>
      <c r="C370" s="110">
        <v>0.0012314030084370953</v>
      </c>
      <c r="D370" s="83" t="s">
        <v>2059</v>
      </c>
      <c r="E370" s="83" t="b">
        <v>0</v>
      </c>
      <c r="F370" s="83" t="b">
        <v>0</v>
      </c>
      <c r="G370" s="83" t="b">
        <v>0</v>
      </c>
    </row>
    <row r="371" spans="1:7" ht="15">
      <c r="A371" s="84" t="s">
        <v>1788</v>
      </c>
      <c r="B371" s="83">
        <v>2</v>
      </c>
      <c r="C371" s="110">
        <v>0.0010812259090786612</v>
      </c>
      <c r="D371" s="83" t="s">
        <v>2059</v>
      </c>
      <c r="E371" s="83" t="b">
        <v>0</v>
      </c>
      <c r="F371" s="83" t="b">
        <v>0</v>
      </c>
      <c r="G371" s="83" t="b">
        <v>0</v>
      </c>
    </row>
    <row r="372" spans="1:7" ht="15">
      <c r="A372" s="84" t="s">
        <v>1789</v>
      </c>
      <c r="B372" s="83">
        <v>2</v>
      </c>
      <c r="C372" s="110">
        <v>0.0010812259090786612</v>
      </c>
      <c r="D372" s="83" t="s">
        <v>2059</v>
      </c>
      <c r="E372" s="83" t="b">
        <v>0</v>
      </c>
      <c r="F372" s="83" t="b">
        <v>0</v>
      </c>
      <c r="G372" s="83" t="b">
        <v>0</v>
      </c>
    </row>
    <row r="373" spans="1:7" ht="15">
      <c r="A373" s="84" t="s">
        <v>1790</v>
      </c>
      <c r="B373" s="83">
        <v>2</v>
      </c>
      <c r="C373" s="110">
        <v>0.0010812259090786612</v>
      </c>
      <c r="D373" s="83" t="s">
        <v>2059</v>
      </c>
      <c r="E373" s="83" t="b">
        <v>0</v>
      </c>
      <c r="F373" s="83" t="b">
        <v>0</v>
      </c>
      <c r="G373" s="83" t="b">
        <v>0</v>
      </c>
    </row>
    <row r="374" spans="1:7" ht="15">
      <c r="A374" s="84" t="s">
        <v>1791</v>
      </c>
      <c r="B374" s="83">
        <v>2</v>
      </c>
      <c r="C374" s="110">
        <v>0.0010812259090786612</v>
      </c>
      <c r="D374" s="83" t="s">
        <v>2059</v>
      </c>
      <c r="E374" s="83" t="b">
        <v>1</v>
      </c>
      <c r="F374" s="83" t="b">
        <v>0</v>
      </c>
      <c r="G374" s="83" t="b">
        <v>0</v>
      </c>
    </row>
    <row r="375" spans="1:7" ht="15">
      <c r="A375" s="84" t="s">
        <v>1792</v>
      </c>
      <c r="B375" s="83">
        <v>2</v>
      </c>
      <c r="C375" s="110">
        <v>0.0012314030084370953</v>
      </c>
      <c r="D375" s="83" t="s">
        <v>2059</v>
      </c>
      <c r="E375" s="83" t="b">
        <v>0</v>
      </c>
      <c r="F375" s="83" t="b">
        <v>0</v>
      </c>
      <c r="G375" s="83" t="b">
        <v>0</v>
      </c>
    </row>
    <row r="376" spans="1:7" ht="15">
      <c r="A376" s="84" t="s">
        <v>1793</v>
      </c>
      <c r="B376" s="83">
        <v>2</v>
      </c>
      <c r="C376" s="110">
        <v>0.0010812259090786612</v>
      </c>
      <c r="D376" s="83" t="s">
        <v>2059</v>
      </c>
      <c r="E376" s="83" t="b">
        <v>0</v>
      </c>
      <c r="F376" s="83" t="b">
        <v>0</v>
      </c>
      <c r="G376" s="83" t="b">
        <v>0</v>
      </c>
    </row>
    <row r="377" spans="1:7" ht="15">
      <c r="A377" s="84" t="s">
        <v>1794</v>
      </c>
      <c r="B377" s="83">
        <v>2</v>
      </c>
      <c r="C377" s="110">
        <v>0.0010812259090786612</v>
      </c>
      <c r="D377" s="83" t="s">
        <v>2059</v>
      </c>
      <c r="E377" s="83" t="b">
        <v>0</v>
      </c>
      <c r="F377" s="83" t="b">
        <v>0</v>
      </c>
      <c r="G377" s="83" t="b">
        <v>0</v>
      </c>
    </row>
    <row r="378" spans="1:7" ht="15">
      <c r="A378" s="84" t="s">
        <v>1795</v>
      </c>
      <c r="B378" s="83">
        <v>2</v>
      </c>
      <c r="C378" s="110">
        <v>0.0010812259090786612</v>
      </c>
      <c r="D378" s="83" t="s">
        <v>2059</v>
      </c>
      <c r="E378" s="83" t="b">
        <v>0</v>
      </c>
      <c r="F378" s="83" t="b">
        <v>0</v>
      </c>
      <c r="G378" s="83" t="b">
        <v>0</v>
      </c>
    </row>
    <row r="379" spans="1:7" ht="15">
      <c r="A379" s="84" t="s">
        <v>1796</v>
      </c>
      <c r="B379" s="83">
        <v>2</v>
      </c>
      <c r="C379" s="110">
        <v>0.0010812259090786612</v>
      </c>
      <c r="D379" s="83" t="s">
        <v>2059</v>
      </c>
      <c r="E379" s="83" t="b">
        <v>0</v>
      </c>
      <c r="F379" s="83" t="b">
        <v>1</v>
      </c>
      <c r="G379" s="83" t="b">
        <v>0</v>
      </c>
    </row>
    <row r="380" spans="1:7" ht="15">
      <c r="A380" s="84" t="s">
        <v>1797</v>
      </c>
      <c r="B380" s="83">
        <v>2</v>
      </c>
      <c r="C380" s="110">
        <v>0.0012314030084370953</v>
      </c>
      <c r="D380" s="83" t="s">
        <v>2059</v>
      </c>
      <c r="E380" s="83" t="b">
        <v>0</v>
      </c>
      <c r="F380" s="83" t="b">
        <v>0</v>
      </c>
      <c r="G380" s="83" t="b">
        <v>0</v>
      </c>
    </row>
    <row r="381" spans="1:7" ht="15">
      <c r="A381" s="84" t="s">
        <v>1798</v>
      </c>
      <c r="B381" s="83">
        <v>2</v>
      </c>
      <c r="C381" s="110">
        <v>0.0010812259090786612</v>
      </c>
      <c r="D381" s="83" t="s">
        <v>2059</v>
      </c>
      <c r="E381" s="83" t="b">
        <v>0</v>
      </c>
      <c r="F381" s="83" t="b">
        <v>0</v>
      </c>
      <c r="G381" s="83" t="b">
        <v>0</v>
      </c>
    </row>
    <row r="382" spans="1:7" ht="15">
      <c r="A382" s="84" t="s">
        <v>1799</v>
      </c>
      <c r="B382" s="83">
        <v>2</v>
      </c>
      <c r="C382" s="110">
        <v>0.0012314030084370953</v>
      </c>
      <c r="D382" s="83" t="s">
        <v>2059</v>
      </c>
      <c r="E382" s="83" t="b">
        <v>0</v>
      </c>
      <c r="F382" s="83" t="b">
        <v>0</v>
      </c>
      <c r="G382" s="83" t="b">
        <v>0</v>
      </c>
    </row>
    <row r="383" spans="1:7" ht="15">
      <c r="A383" s="84" t="s">
        <v>1800</v>
      </c>
      <c r="B383" s="83">
        <v>2</v>
      </c>
      <c r="C383" s="110">
        <v>0.0012314030084370953</v>
      </c>
      <c r="D383" s="83" t="s">
        <v>2059</v>
      </c>
      <c r="E383" s="83" t="b">
        <v>0</v>
      </c>
      <c r="F383" s="83" t="b">
        <v>0</v>
      </c>
      <c r="G383" s="83" t="b">
        <v>0</v>
      </c>
    </row>
    <row r="384" spans="1:7" ht="15">
      <c r="A384" s="84" t="s">
        <v>1801</v>
      </c>
      <c r="B384" s="83">
        <v>2</v>
      </c>
      <c r="C384" s="110">
        <v>0.0010812259090786612</v>
      </c>
      <c r="D384" s="83" t="s">
        <v>2059</v>
      </c>
      <c r="E384" s="83" t="b">
        <v>1</v>
      </c>
      <c r="F384" s="83" t="b">
        <v>0</v>
      </c>
      <c r="G384" s="83" t="b">
        <v>0</v>
      </c>
    </row>
    <row r="385" spans="1:7" ht="15">
      <c r="A385" s="84" t="s">
        <v>1802</v>
      </c>
      <c r="B385" s="83">
        <v>2</v>
      </c>
      <c r="C385" s="110">
        <v>0.0010812259090786612</v>
      </c>
      <c r="D385" s="83" t="s">
        <v>2059</v>
      </c>
      <c r="E385" s="83" t="b">
        <v>0</v>
      </c>
      <c r="F385" s="83" t="b">
        <v>0</v>
      </c>
      <c r="G385" s="83" t="b">
        <v>0</v>
      </c>
    </row>
    <row r="386" spans="1:7" ht="15">
      <c r="A386" s="84" t="s">
        <v>1803</v>
      </c>
      <c r="B386" s="83">
        <v>2</v>
      </c>
      <c r="C386" s="110">
        <v>0.0010812259090786612</v>
      </c>
      <c r="D386" s="83" t="s">
        <v>2059</v>
      </c>
      <c r="E386" s="83" t="b">
        <v>0</v>
      </c>
      <c r="F386" s="83" t="b">
        <v>0</v>
      </c>
      <c r="G386" s="83" t="b">
        <v>0</v>
      </c>
    </row>
    <row r="387" spans="1:7" ht="15">
      <c r="A387" s="84" t="s">
        <v>1804</v>
      </c>
      <c r="B387" s="83">
        <v>2</v>
      </c>
      <c r="C387" s="110">
        <v>0.0012314030084370953</v>
      </c>
      <c r="D387" s="83" t="s">
        <v>2059</v>
      </c>
      <c r="E387" s="83" t="b">
        <v>0</v>
      </c>
      <c r="F387" s="83" t="b">
        <v>0</v>
      </c>
      <c r="G387" s="83" t="b">
        <v>0</v>
      </c>
    </row>
    <row r="388" spans="1:7" ht="15">
      <c r="A388" s="84" t="s">
        <v>1805</v>
      </c>
      <c r="B388" s="83">
        <v>2</v>
      </c>
      <c r="C388" s="110">
        <v>0.0010812259090786612</v>
      </c>
      <c r="D388" s="83" t="s">
        <v>2059</v>
      </c>
      <c r="E388" s="83" t="b">
        <v>0</v>
      </c>
      <c r="F388" s="83" t="b">
        <v>0</v>
      </c>
      <c r="G388" s="83" t="b">
        <v>0</v>
      </c>
    </row>
    <row r="389" spans="1:7" ht="15">
      <c r="A389" s="84" t="s">
        <v>1806</v>
      </c>
      <c r="B389" s="83">
        <v>2</v>
      </c>
      <c r="C389" s="110">
        <v>0.0010812259090786612</v>
      </c>
      <c r="D389" s="83" t="s">
        <v>2059</v>
      </c>
      <c r="E389" s="83" t="b">
        <v>0</v>
      </c>
      <c r="F389" s="83" t="b">
        <v>0</v>
      </c>
      <c r="G389" s="83" t="b">
        <v>0</v>
      </c>
    </row>
    <row r="390" spans="1:7" ht="15">
      <c r="A390" s="84" t="s">
        <v>1807</v>
      </c>
      <c r="B390" s="83">
        <v>2</v>
      </c>
      <c r="C390" s="110">
        <v>0.0010812259090786612</v>
      </c>
      <c r="D390" s="83" t="s">
        <v>2059</v>
      </c>
      <c r="E390" s="83" t="b">
        <v>0</v>
      </c>
      <c r="F390" s="83" t="b">
        <v>0</v>
      </c>
      <c r="G390" s="83" t="b">
        <v>0</v>
      </c>
    </row>
    <row r="391" spans="1:7" ht="15">
      <c r="A391" s="84" t="s">
        <v>1808</v>
      </c>
      <c r="B391" s="83">
        <v>2</v>
      </c>
      <c r="C391" s="110">
        <v>0.0010812259090786612</v>
      </c>
      <c r="D391" s="83" t="s">
        <v>2059</v>
      </c>
      <c r="E391" s="83" t="b">
        <v>0</v>
      </c>
      <c r="F391" s="83" t="b">
        <v>0</v>
      </c>
      <c r="G391" s="83" t="b">
        <v>0</v>
      </c>
    </row>
    <row r="392" spans="1:7" ht="15">
      <c r="A392" s="84" t="s">
        <v>1809</v>
      </c>
      <c r="B392" s="83">
        <v>2</v>
      </c>
      <c r="C392" s="110">
        <v>0.0010812259090786612</v>
      </c>
      <c r="D392" s="83" t="s">
        <v>2059</v>
      </c>
      <c r="E392" s="83" t="b">
        <v>0</v>
      </c>
      <c r="F392" s="83" t="b">
        <v>0</v>
      </c>
      <c r="G392" s="83" t="b">
        <v>0</v>
      </c>
    </row>
    <row r="393" spans="1:7" ht="15">
      <c r="A393" s="84" t="s">
        <v>1810</v>
      </c>
      <c r="B393" s="83">
        <v>2</v>
      </c>
      <c r="C393" s="110">
        <v>0.0010812259090786612</v>
      </c>
      <c r="D393" s="83" t="s">
        <v>2059</v>
      </c>
      <c r="E393" s="83" t="b">
        <v>0</v>
      </c>
      <c r="F393" s="83" t="b">
        <v>0</v>
      </c>
      <c r="G393" s="83" t="b">
        <v>0</v>
      </c>
    </row>
    <row r="394" spans="1:7" ht="15">
      <c r="A394" s="84" t="s">
        <v>1811</v>
      </c>
      <c r="B394" s="83">
        <v>2</v>
      </c>
      <c r="C394" s="110">
        <v>0.0010812259090786612</v>
      </c>
      <c r="D394" s="83" t="s">
        <v>2059</v>
      </c>
      <c r="E394" s="83" t="b">
        <v>0</v>
      </c>
      <c r="F394" s="83" t="b">
        <v>0</v>
      </c>
      <c r="G394" s="83" t="b">
        <v>0</v>
      </c>
    </row>
    <row r="395" spans="1:7" ht="15">
      <c r="A395" s="84" t="s">
        <v>1812</v>
      </c>
      <c r="B395" s="83">
        <v>2</v>
      </c>
      <c r="C395" s="110">
        <v>0.0010812259090786612</v>
      </c>
      <c r="D395" s="83" t="s">
        <v>2059</v>
      </c>
      <c r="E395" s="83" t="b">
        <v>0</v>
      </c>
      <c r="F395" s="83" t="b">
        <v>0</v>
      </c>
      <c r="G395" s="83" t="b">
        <v>0</v>
      </c>
    </row>
    <row r="396" spans="1:7" ht="15">
      <c r="A396" s="84" t="s">
        <v>1813</v>
      </c>
      <c r="B396" s="83">
        <v>2</v>
      </c>
      <c r="C396" s="110">
        <v>0.0010812259090786612</v>
      </c>
      <c r="D396" s="83" t="s">
        <v>2059</v>
      </c>
      <c r="E396" s="83" t="b">
        <v>0</v>
      </c>
      <c r="F396" s="83" t="b">
        <v>0</v>
      </c>
      <c r="G396" s="83" t="b">
        <v>0</v>
      </c>
    </row>
    <row r="397" spans="1:7" ht="15">
      <c r="A397" s="84" t="s">
        <v>1814</v>
      </c>
      <c r="B397" s="83">
        <v>2</v>
      </c>
      <c r="C397" s="110">
        <v>0.0010812259090786612</v>
      </c>
      <c r="D397" s="83" t="s">
        <v>2059</v>
      </c>
      <c r="E397" s="83" t="b">
        <v>0</v>
      </c>
      <c r="F397" s="83" t="b">
        <v>1</v>
      </c>
      <c r="G397" s="83" t="b">
        <v>0</v>
      </c>
    </row>
    <row r="398" spans="1:7" ht="15">
      <c r="A398" s="84" t="s">
        <v>1815</v>
      </c>
      <c r="B398" s="83">
        <v>2</v>
      </c>
      <c r="C398" s="110">
        <v>0.0010812259090786612</v>
      </c>
      <c r="D398" s="83" t="s">
        <v>2059</v>
      </c>
      <c r="E398" s="83" t="b">
        <v>0</v>
      </c>
      <c r="F398" s="83" t="b">
        <v>0</v>
      </c>
      <c r="G398" s="83" t="b">
        <v>0</v>
      </c>
    </row>
    <row r="399" spans="1:7" ht="15">
      <c r="A399" s="84" t="s">
        <v>1816</v>
      </c>
      <c r="B399" s="83">
        <v>2</v>
      </c>
      <c r="C399" s="110">
        <v>0.0010812259090786612</v>
      </c>
      <c r="D399" s="83" t="s">
        <v>2059</v>
      </c>
      <c r="E399" s="83" t="b">
        <v>0</v>
      </c>
      <c r="F399" s="83" t="b">
        <v>0</v>
      </c>
      <c r="G399" s="83" t="b">
        <v>0</v>
      </c>
    </row>
    <row r="400" spans="1:7" ht="15">
      <c r="A400" s="84" t="s">
        <v>1817</v>
      </c>
      <c r="B400" s="83">
        <v>2</v>
      </c>
      <c r="C400" s="110">
        <v>0.0010812259090786612</v>
      </c>
      <c r="D400" s="83" t="s">
        <v>2059</v>
      </c>
      <c r="E400" s="83" t="b">
        <v>1</v>
      </c>
      <c r="F400" s="83" t="b">
        <v>0</v>
      </c>
      <c r="G400" s="83" t="b">
        <v>0</v>
      </c>
    </row>
    <row r="401" spans="1:7" ht="15">
      <c r="A401" s="84" t="s">
        <v>1818</v>
      </c>
      <c r="B401" s="83">
        <v>2</v>
      </c>
      <c r="C401" s="110">
        <v>0.0010812259090786612</v>
      </c>
      <c r="D401" s="83" t="s">
        <v>2059</v>
      </c>
      <c r="E401" s="83" t="b">
        <v>0</v>
      </c>
      <c r="F401" s="83" t="b">
        <v>0</v>
      </c>
      <c r="G401" s="83" t="b">
        <v>0</v>
      </c>
    </row>
    <row r="402" spans="1:7" ht="15">
      <c r="A402" s="84" t="s">
        <v>1819</v>
      </c>
      <c r="B402" s="83">
        <v>2</v>
      </c>
      <c r="C402" s="110">
        <v>0.0010812259090786612</v>
      </c>
      <c r="D402" s="83" t="s">
        <v>2059</v>
      </c>
      <c r="E402" s="83" t="b">
        <v>0</v>
      </c>
      <c r="F402" s="83" t="b">
        <v>1</v>
      </c>
      <c r="G402" s="83" t="b">
        <v>0</v>
      </c>
    </row>
    <row r="403" spans="1:7" ht="15">
      <c r="A403" s="84" t="s">
        <v>1820</v>
      </c>
      <c r="B403" s="83">
        <v>2</v>
      </c>
      <c r="C403" s="110">
        <v>0.0010812259090786612</v>
      </c>
      <c r="D403" s="83" t="s">
        <v>2059</v>
      </c>
      <c r="E403" s="83" t="b">
        <v>0</v>
      </c>
      <c r="F403" s="83" t="b">
        <v>0</v>
      </c>
      <c r="G403" s="83" t="b">
        <v>0</v>
      </c>
    </row>
    <row r="404" spans="1:7" ht="15">
      <c r="A404" s="84" t="s">
        <v>1821</v>
      </c>
      <c r="B404" s="83">
        <v>2</v>
      </c>
      <c r="C404" s="110">
        <v>0.0010812259090786612</v>
      </c>
      <c r="D404" s="83" t="s">
        <v>2059</v>
      </c>
      <c r="E404" s="83" t="b">
        <v>0</v>
      </c>
      <c r="F404" s="83" t="b">
        <v>0</v>
      </c>
      <c r="G404" s="83" t="b">
        <v>0</v>
      </c>
    </row>
    <row r="405" spans="1:7" ht="15">
      <c r="A405" s="84" t="s">
        <v>1822</v>
      </c>
      <c r="B405" s="83">
        <v>2</v>
      </c>
      <c r="C405" s="110">
        <v>0.0010812259090786612</v>
      </c>
      <c r="D405" s="83" t="s">
        <v>2059</v>
      </c>
      <c r="E405" s="83" t="b">
        <v>0</v>
      </c>
      <c r="F405" s="83" t="b">
        <v>0</v>
      </c>
      <c r="G405" s="83" t="b">
        <v>0</v>
      </c>
    </row>
    <row r="406" spans="1:7" ht="15">
      <c r="A406" s="84" t="s">
        <v>1823</v>
      </c>
      <c r="B406" s="83">
        <v>2</v>
      </c>
      <c r="C406" s="110">
        <v>0.0012314030084370953</v>
      </c>
      <c r="D406" s="83" t="s">
        <v>2059</v>
      </c>
      <c r="E406" s="83" t="b">
        <v>0</v>
      </c>
      <c r="F406" s="83" t="b">
        <v>0</v>
      </c>
      <c r="G406" s="83" t="b">
        <v>0</v>
      </c>
    </row>
    <row r="407" spans="1:7" ht="15">
      <c r="A407" s="84" t="s">
        <v>1824</v>
      </c>
      <c r="B407" s="83">
        <v>2</v>
      </c>
      <c r="C407" s="110">
        <v>0.0012314030084370953</v>
      </c>
      <c r="D407" s="83" t="s">
        <v>2059</v>
      </c>
      <c r="E407" s="83" t="b">
        <v>0</v>
      </c>
      <c r="F407" s="83" t="b">
        <v>0</v>
      </c>
      <c r="G407" s="83" t="b">
        <v>0</v>
      </c>
    </row>
    <row r="408" spans="1:7" ht="15">
      <c r="A408" s="84" t="s">
        <v>1825</v>
      </c>
      <c r="B408" s="83">
        <v>2</v>
      </c>
      <c r="C408" s="110">
        <v>0.0010812259090786612</v>
      </c>
      <c r="D408" s="83" t="s">
        <v>2059</v>
      </c>
      <c r="E408" s="83" t="b">
        <v>0</v>
      </c>
      <c r="F408" s="83" t="b">
        <v>0</v>
      </c>
      <c r="G408" s="83" t="b">
        <v>0</v>
      </c>
    </row>
    <row r="409" spans="1:7" ht="15">
      <c r="A409" s="84" t="s">
        <v>1826</v>
      </c>
      <c r="B409" s="83">
        <v>2</v>
      </c>
      <c r="C409" s="110">
        <v>0.0010812259090786612</v>
      </c>
      <c r="D409" s="83" t="s">
        <v>2059</v>
      </c>
      <c r="E409" s="83" t="b">
        <v>0</v>
      </c>
      <c r="F409" s="83" t="b">
        <v>0</v>
      </c>
      <c r="G409" s="83" t="b">
        <v>0</v>
      </c>
    </row>
    <row r="410" spans="1:7" ht="15">
      <c r="A410" s="84" t="s">
        <v>1827</v>
      </c>
      <c r="B410" s="83">
        <v>2</v>
      </c>
      <c r="C410" s="110">
        <v>0.0010812259090786612</v>
      </c>
      <c r="D410" s="83" t="s">
        <v>2059</v>
      </c>
      <c r="E410" s="83" t="b">
        <v>0</v>
      </c>
      <c r="F410" s="83" t="b">
        <v>0</v>
      </c>
      <c r="G410" s="83" t="b">
        <v>0</v>
      </c>
    </row>
    <row r="411" spans="1:7" ht="15">
      <c r="A411" s="84" t="s">
        <v>1828</v>
      </c>
      <c r="B411" s="83">
        <v>2</v>
      </c>
      <c r="C411" s="110">
        <v>0.0010812259090786612</v>
      </c>
      <c r="D411" s="83" t="s">
        <v>2059</v>
      </c>
      <c r="E411" s="83" t="b">
        <v>1</v>
      </c>
      <c r="F411" s="83" t="b">
        <v>0</v>
      </c>
      <c r="G411" s="83" t="b">
        <v>0</v>
      </c>
    </row>
    <row r="412" spans="1:7" ht="15">
      <c r="A412" s="84" t="s">
        <v>1829</v>
      </c>
      <c r="B412" s="83">
        <v>2</v>
      </c>
      <c r="C412" s="110">
        <v>0.0010812259090786612</v>
      </c>
      <c r="D412" s="83" t="s">
        <v>2059</v>
      </c>
      <c r="E412" s="83" t="b">
        <v>0</v>
      </c>
      <c r="F412" s="83" t="b">
        <v>0</v>
      </c>
      <c r="G412" s="83" t="b">
        <v>0</v>
      </c>
    </row>
    <row r="413" spans="1:7" ht="15">
      <c r="A413" s="84" t="s">
        <v>1830</v>
      </c>
      <c r="B413" s="83">
        <v>2</v>
      </c>
      <c r="C413" s="110">
        <v>0.0010812259090786612</v>
      </c>
      <c r="D413" s="83" t="s">
        <v>2059</v>
      </c>
      <c r="E413" s="83" t="b">
        <v>0</v>
      </c>
      <c r="F413" s="83" t="b">
        <v>0</v>
      </c>
      <c r="G413" s="83" t="b">
        <v>0</v>
      </c>
    </row>
    <row r="414" spans="1:7" ht="15">
      <c r="A414" s="84" t="s">
        <v>1831</v>
      </c>
      <c r="B414" s="83">
        <v>2</v>
      </c>
      <c r="C414" s="110">
        <v>0.0010812259090786612</v>
      </c>
      <c r="D414" s="83" t="s">
        <v>2059</v>
      </c>
      <c r="E414" s="83" t="b">
        <v>0</v>
      </c>
      <c r="F414" s="83" t="b">
        <v>0</v>
      </c>
      <c r="G414" s="83" t="b">
        <v>0</v>
      </c>
    </row>
    <row r="415" spans="1:7" ht="15">
      <c r="A415" s="84" t="s">
        <v>1832</v>
      </c>
      <c r="B415" s="83">
        <v>2</v>
      </c>
      <c r="C415" s="110">
        <v>0.0012314030084370953</v>
      </c>
      <c r="D415" s="83" t="s">
        <v>2059</v>
      </c>
      <c r="E415" s="83" t="b">
        <v>0</v>
      </c>
      <c r="F415" s="83" t="b">
        <v>0</v>
      </c>
      <c r="G415" s="83" t="b">
        <v>0</v>
      </c>
    </row>
    <row r="416" spans="1:7" ht="15">
      <c r="A416" s="84" t="s">
        <v>1833</v>
      </c>
      <c r="B416" s="83">
        <v>2</v>
      </c>
      <c r="C416" s="110">
        <v>0.0010812259090786612</v>
      </c>
      <c r="D416" s="83" t="s">
        <v>2059</v>
      </c>
      <c r="E416" s="83" t="b">
        <v>0</v>
      </c>
      <c r="F416" s="83" t="b">
        <v>0</v>
      </c>
      <c r="G416" s="83" t="b">
        <v>0</v>
      </c>
    </row>
    <row r="417" spans="1:7" ht="15">
      <c r="A417" s="84" t="s">
        <v>1834</v>
      </c>
      <c r="B417" s="83">
        <v>2</v>
      </c>
      <c r="C417" s="110">
        <v>0.0012314030084370953</v>
      </c>
      <c r="D417" s="83" t="s">
        <v>2059</v>
      </c>
      <c r="E417" s="83" t="b">
        <v>0</v>
      </c>
      <c r="F417" s="83" t="b">
        <v>1</v>
      </c>
      <c r="G417" s="83" t="b">
        <v>0</v>
      </c>
    </row>
    <row r="418" spans="1:7" ht="15">
      <c r="A418" s="84" t="s">
        <v>1835</v>
      </c>
      <c r="B418" s="83">
        <v>2</v>
      </c>
      <c r="C418" s="110">
        <v>0.0010812259090786612</v>
      </c>
      <c r="D418" s="83" t="s">
        <v>2059</v>
      </c>
      <c r="E418" s="83" t="b">
        <v>0</v>
      </c>
      <c r="F418" s="83" t="b">
        <v>0</v>
      </c>
      <c r="G418" s="83" t="b">
        <v>0</v>
      </c>
    </row>
    <row r="419" spans="1:7" ht="15">
      <c r="A419" s="84" t="s">
        <v>1836</v>
      </c>
      <c r="B419" s="83">
        <v>2</v>
      </c>
      <c r="C419" s="110">
        <v>0.0010812259090786612</v>
      </c>
      <c r="D419" s="83" t="s">
        <v>2059</v>
      </c>
      <c r="E419" s="83" t="b">
        <v>0</v>
      </c>
      <c r="F419" s="83" t="b">
        <v>0</v>
      </c>
      <c r="G419" s="83" t="b">
        <v>0</v>
      </c>
    </row>
    <row r="420" spans="1:7" ht="15">
      <c r="A420" s="84" t="s">
        <v>1837</v>
      </c>
      <c r="B420" s="83">
        <v>2</v>
      </c>
      <c r="C420" s="110">
        <v>0.0010812259090786612</v>
      </c>
      <c r="D420" s="83" t="s">
        <v>2059</v>
      </c>
      <c r="E420" s="83" t="b">
        <v>0</v>
      </c>
      <c r="F420" s="83" t="b">
        <v>0</v>
      </c>
      <c r="G420" s="83" t="b">
        <v>0</v>
      </c>
    </row>
    <row r="421" spans="1:7" ht="15">
      <c r="A421" s="84" t="s">
        <v>1838</v>
      </c>
      <c r="B421" s="83">
        <v>2</v>
      </c>
      <c r="C421" s="110">
        <v>0.0010812259090786612</v>
      </c>
      <c r="D421" s="83" t="s">
        <v>2059</v>
      </c>
      <c r="E421" s="83" t="b">
        <v>0</v>
      </c>
      <c r="F421" s="83" t="b">
        <v>0</v>
      </c>
      <c r="G421" s="83" t="b">
        <v>0</v>
      </c>
    </row>
    <row r="422" spans="1:7" ht="15">
      <c r="A422" s="84" t="s">
        <v>1839</v>
      </c>
      <c r="B422" s="83">
        <v>2</v>
      </c>
      <c r="C422" s="110">
        <v>0.0010812259090786612</v>
      </c>
      <c r="D422" s="83" t="s">
        <v>2059</v>
      </c>
      <c r="E422" s="83" t="b">
        <v>0</v>
      </c>
      <c r="F422" s="83" t="b">
        <v>0</v>
      </c>
      <c r="G422" s="83" t="b">
        <v>0</v>
      </c>
    </row>
    <row r="423" spans="1:7" ht="15">
      <c r="A423" s="84" t="s">
        <v>1840</v>
      </c>
      <c r="B423" s="83">
        <v>2</v>
      </c>
      <c r="C423" s="110">
        <v>0.0012314030084370953</v>
      </c>
      <c r="D423" s="83" t="s">
        <v>2059</v>
      </c>
      <c r="E423" s="83" t="b">
        <v>0</v>
      </c>
      <c r="F423" s="83" t="b">
        <v>0</v>
      </c>
      <c r="G423" s="83" t="b">
        <v>0</v>
      </c>
    </row>
    <row r="424" spans="1:7" ht="15">
      <c r="A424" s="84" t="s">
        <v>1841</v>
      </c>
      <c r="B424" s="83">
        <v>2</v>
      </c>
      <c r="C424" s="110">
        <v>0.0012314030084370953</v>
      </c>
      <c r="D424" s="83" t="s">
        <v>2059</v>
      </c>
      <c r="E424" s="83" t="b">
        <v>0</v>
      </c>
      <c r="F424" s="83" t="b">
        <v>0</v>
      </c>
      <c r="G424" s="83" t="b">
        <v>0</v>
      </c>
    </row>
    <row r="425" spans="1:7" ht="15">
      <c r="A425" s="84" t="s">
        <v>1842</v>
      </c>
      <c r="B425" s="83">
        <v>2</v>
      </c>
      <c r="C425" s="110">
        <v>0.0012314030084370953</v>
      </c>
      <c r="D425" s="83" t="s">
        <v>2059</v>
      </c>
      <c r="E425" s="83" t="b">
        <v>0</v>
      </c>
      <c r="F425" s="83" t="b">
        <v>0</v>
      </c>
      <c r="G425" s="83" t="b">
        <v>0</v>
      </c>
    </row>
    <row r="426" spans="1:7" ht="15">
      <c r="A426" s="84" t="s">
        <v>1843</v>
      </c>
      <c r="B426" s="83">
        <v>2</v>
      </c>
      <c r="C426" s="110">
        <v>0.0012314030084370953</v>
      </c>
      <c r="D426" s="83" t="s">
        <v>2059</v>
      </c>
      <c r="E426" s="83" t="b">
        <v>0</v>
      </c>
      <c r="F426" s="83" t="b">
        <v>0</v>
      </c>
      <c r="G426" s="83" t="b">
        <v>0</v>
      </c>
    </row>
    <row r="427" spans="1:7" ht="15">
      <c r="A427" s="84" t="s">
        <v>1844</v>
      </c>
      <c r="B427" s="83">
        <v>2</v>
      </c>
      <c r="C427" s="110">
        <v>0.0010812259090786612</v>
      </c>
      <c r="D427" s="83" t="s">
        <v>2059</v>
      </c>
      <c r="E427" s="83" t="b">
        <v>0</v>
      </c>
      <c r="F427" s="83" t="b">
        <v>0</v>
      </c>
      <c r="G427" s="83" t="b">
        <v>0</v>
      </c>
    </row>
    <row r="428" spans="1:7" ht="15">
      <c r="A428" s="84" t="s">
        <v>1845</v>
      </c>
      <c r="B428" s="83">
        <v>2</v>
      </c>
      <c r="C428" s="110">
        <v>0.0010812259090786612</v>
      </c>
      <c r="D428" s="83" t="s">
        <v>2059</v>
      </c>
      <c r="E428" s="83" t="b">
        <v>0</v>
      </c>
      <c r="F428" s="83" t="b">
        <v>0</v>
      </c>
      <c r="G428" s="83" t="b">
        <v>0</v>
      </c>
    </row>
    <row r="429" spans="1:7" ht="15">
      <c r="A429" s="84" t="s">
        <v>1846</v>
      </c>
      <c r="B429" s="83">
        <v>2</v>
      </c>
      <c r="C429" s="110">
        <v>0.0010812259090786612</v>
      </c>
      <c r="D429" s="83" t="s">
        <v>2059</v>
      </c>
      <c r="E429" s="83" t="b">
        <v>0</v>
      </c>
      <c r="F429" s="83" t="b">
        <v>0</v>
      </c>
      <c r="G429" s="83" t="b">
        <v>0</v>
      </c>
    </row>
    <row r="430" spans="1:7" ht="15">
      <c r="A430" s="84" t="s">
        <v>1847</v>
      </c>
      <c r="B430" s="83">
        <v>2</v>
      </c>
      <c r="C430" s="110">
        <v>0.0012314030084370953</v>
      </c>
      <c r="D430" s="83" t="s">
        <v>2059</v>
      </c>
      <c r="E430" s="83" t="b">
        <v>0</v>
      </c>
      <c r="F430" s="83" t="b">
        <v>0</v>
      </c>
      <c r="G430" s="83" t="b">
        <v>0</v>
      </c>
    </row>
    <row r="431" spans="1:7" ht="15">
      <c r="A431" s="84" t="s">
        <v>1848</v>
      </c>
      <c r="B431" s="83">
        <v>2</v>
      </c>
      <c r="C431" s="110">
        <v>0.0010812259090786612</v>
      </c>
      <c r="D431" s="83" t="s">
        <v>2059</v>
      </c>
      <c r="E431" s="83" t="b">
        <v>0</v>
      </c>
      <c r="F431" s="83" t="b">
        <v>0</v>
      </c>
      <c r="G431" s="83" t="b">
        <v>0</v>
      </c>
    </row>
    <row r="432" spans="1:7" ht="15">
      <c r="A432" s="84" t="s">
        <v>1849</v>
      </c>
      <c r="B432" s="83">
        <v>2</v>
      </c>
      <c r="C432" s="110">
        <v>0.0010812259090786612</v>
      </c>
      <c r="D432" s="83" t="s">
        <v>2059</v>
      </c>
      <c r="E432" s="83" t="b">
        <v>0</v>
      </c>
      <c r="F432" s="83" t="b">
        <v>0</v>
      </c>
      <c r="G432" s="83" t="b">
        <v>0</v>
      </c>
    </row>
    <row r="433" spans="1:7" ht="15">
      <c r="A433" s="84" t="s">
        <v>1850</v>
      </c>
      <c r="B433" s="83">
        <v>2</v>
      </c>
      <c r="C433" s="110">
        <v>0.0010812259090786612</v>
      </c>
      <c r="D433" s="83" t="s">
        <v>2059</v>
      </c>
      <c r="E433" s="83" t="b">
        <v>0</v>
      </c>
      <c r="F433" s="83" t="b">
        <v>0</v>
      </c>
      <c r="G433" s="83" t="b">
        <v>0</v>
      </c>
    </row>
    <row r="434" spans="1:7" ht="15">
      <c r="A434" s="84" t="s">
        <v>1851</v>
      </c>
      <c r="B434" s="83">
        <v>2</v>
      </c>
      <c r="C434" s="110">
        <v>0.0010812259090786612</v>
      </c>
      <c r="D434" s="83" t="s">
        <v>2059</v>
      </c>
      <c r="E434" s="83" t="b">
        <v>0</v>
      </c>
      <c r="F434" s="83" t="b">
        <v>0</v>
      </c>
      <c r="G434" s="83" t="b">
        <v>0</v>
      </c>
    </row>
    <row r="435" spans="1:7" ht="15">
      <c r="A435" s="84" t="s">
        <v>1852</v>
      </c>
      <c r="B435" s="83">
        <v>2</v>
      </c>
      <c r="C435" s="110">
        <v>0.0010812259090786612</v>
      </c>
      <c r="D435" s="83" t="s">
        <v>2059</v>
      </c>
      <c r="E435" s="83" t="b">
        <v>0</v>
      </c>
      <c r="F435" s="83" t="b">
        <v>0</v>
      </c>
      <c r="G435" s="83" t="b">
        <v>0</v>
      </c>
    </row>
    <row r="436" spans="1:7" ht="15">
      <c r="A436" s="84" t="s">
        <v>1853</v>
      </c>
      <c r="B436" s="83">
        <v>2</v>
      </c>
      <c r="C436" s="110">
        <v>0.0010812259090786612</v>
      </c>
      <c r="D436" s="83" t="s">
        <v>2059</v>
      </c>
      <c r="E436" s="83" t="b">
        <v>0</v>
      </c>
      <c r="F436" s="83" t="b">
        <v>0</v>
      </c>
      <c r="G436" s="83" t="b">
        <v>0</v>
      </c>
    </row>
    <row r="437" spans="1:7" ht="15">
      <c r="A437" s="84" t="s">
        <v>1854</v>
      </c>
      <c r="B437" s="83">
        <v>2</v>
      </c>
      <c r="C437" s="110">
        <v>0.0010812259090786612</v>
      </c>
      <c r="D437" s="83" t="s">
        <v>2059</v>
      </c>
      <c r="E437" s="83" t="b">
        <v>0</v>
      </c>
      <c r="F437" s="83" t="b">
        <v>0</v>
      </c>
      <c r="G437" s="83" t="b">
        <v>0</v>
      </c>
    </row>
    <row r="438" spans="1:7" ht="15">
      <c r="A438" s="84" t="s">
        <v>1855</v>
      </c>
      <c r="B438" s="83">
        <v>2</v>
      </c>
      <c r="C438" s="110">
        <v>0.0010812259090786612</v>
      </c>
      <c r="D438" s="83" t="s">
        <v>2059</v>
      </c>
      <c r="E438" s="83" t="b">
        <v>0</v>
      </c>
      <c r="F438" s="83" t="b">
        <v>0</v>
      </c>
      <c r="G438" s="83" t="b">
        <v>0</v>
      </c>
    </row>
    <row r="439" spans="1:7" ht="15">
      <c r="A439" s="84" t="s">
        <v>1856</v>
      </c>
      <c r="B439" s="83">
        <v>2</v>
      </c>
      <c r="C439" s="110">
        <v>0.0010812259090786612</v>
      </c>
      <c r="D439" s="83" t="s">
        <v>2059</v>
      </c>
      <c r="E439" s="83" t="b">
        <v>0</v>
      </c>
      <c r="F439" s="83" t="b">
        <v>0</v>
      </c>
      <c r="G439" s="83" t="b">
        <v>0</v>
      </c>
    </row>
    <row r="440" spans="1:7" ht="15">
      <c r="A440" s="84" t="s">
        <v>1857</v>
      </c>
      <c r="B440" s="83">
        <v>2</v>
      </c>
      <c r="C440" s="110">
        <v>0.0010812259090786612</v>
      </c>
      <c r="D440" s="83" t="s">
        <v>2059</v>
      </c>
      <c r="E440" s="83" t="b">
        <v>0</v>
      </c>
      <c r="F440" s="83" t="b">
        <v>0</v>
      </c>
      <c r="G440" s="83" t="b">
        <v>0</v>
      </c>
    </row>
    <row r="441" spans="1:7" ht="15">
      <c r="A441" s="84" t="s">
        <v>1858</v>
      </c>
      <c r="B441" s="83">
        <v>2</v>
      </c>
      <c r="C441" s="110">
        <v>0.0010812259090786612</v>
      </c>
      <c r="D441" s="83" t="s">
        <v>2059</v>
      </c>
      <c r="E441" s="83" t="b">
        <v>0</v>
      </c>
      <c r="F441" s="83" t="b">
        <v>0</v>
      </c>
      <c r="G441" s="83" t="b">
        <v>0</v>
      </c>
    </row>
    <row r="442" spans="1:7" ht="15">
      <c r="A442" s="84" t="s">
        <v>1859</v>
      </c>
      <c r="B442" s="83">
        <v>2</v>
      </c>
      <c r="C442" s="110">
        <v>0.0010812259090786612</v>
      </c>
      <c r="D442" s="83" t="s">
        <v>2059</v>
      </c>
      <c r="E442" s="83" t="b">
        <v>0</v>
      </c>
      <c r="F442" s="83" t="b">
        <v>0</v>
      </c>
      <c r="G442" s="83" t="b">
        <v>0</v>
      </c>
    </row>
    <row r="443" spans="1:7" ht="15">
      <c r="A443" s="84" t="s">
        <v>1860</v>
      </c>
      <c r="B443" s="83">
        <v>2</v>
      </c>
      <c r="C443" s="110">
        <v>0.0010812259090786612</v>
      </c>
      <c r="D443" s="83" t="s">
        <v>2059</v>
      </c>
      <c r="E443" s="83" t="b">
        <v>0</v>
      </c>
      <c r="F443" s="83" t="b">
        <v>0</v>
      </c>
      <c r="G443" s="83" t="b">
        <v>0</v>
      </c>
    </row>
    <row r="444" spans="1:7" ht="15">
      <c r="A444" s="84" t="s">
        <v>1861</v>
      </c>
      <c r="B444" s="83">
        <v>2</v>
      </c>
      <c r="C444" s="110">
        <v>0.0010812259090786612</v>
      </c>
      <c r="D444" s="83" t="s">
        <v>2059</v>
      </c>
      <c r="E444" s="83" t="b">
        <v>0</v>
      </c>
      <c r="F444" s="83" t="b">
        <v>0</v>
      </c>
      <c r="G444" s="83" t="b">
        <v>0</v>
      </c>
    </row>
    <row r="445" spans="1:7" ht="15">
      <c r="A445" s="84" t="s">
        <v>1862</v>
      </c>
      <c r="B445" s="83">
        <v>2</v>
      </c>
      <c r="C445" s="110">
        <v>0.0010812259090786612</v>
      </c>
      <c r="D445" s="83" t="s">
        <v>2059</v>
      </c>
      <c r="E445" s="83" t="b">
        <v>0</v>
      </c>
      <c r="F445" s="83" t="b">
        <v>0</v>
      </c>
      <c r="G445" s="83" t="b">
        <v>0</v>
      </c>
    </row>
    <row r="446" spans="1:7" ht="15">
      <c r="A446" s="84" t="s">
        <v>1863</v>
      </c>
      <c r="B446" s="83">
        <v>2</v>
      </c>
      <c r="C446" s="110">
        <v>0.0010812259090786612</v>
      </c>
      <c r="D446" s="83" t="s">
        <v>2059</v>
      </c>
      <c r="E446" s="83" t="b">
        <v>1</v>
      </c>
      <c r="F446" s="83" t="b">
        <v>0</v>
      </c>
      <c r="G446" s="83" t="b">
        <v>0</v>
      </c>
    </row>
    <row r="447" spans="1:7" ht="15">
      <c r="A447" s="84" t="s">
        <v>1864</v>
      </c>
      <c r="B447" s="83">
        <v>2</v>
      </c>
      <c r="C447" s="110">
        <v>0.0010812259090786612</v>
      </c>
      <c r="D447" s="83" t="s">
        <v>2059</v>
      </c>
      <c r="E447" s="83" t="b">
        <v>0</v>
      </c>
      <c r="F447" s="83" t="b">
        <v>0</v>
      </c>
      <c r="G447" s="83" t="b">
        <v>0</v>
      </c>
    </row>
    <row r="448" spans="1:7" ht="15">
      <c r="A448" s="84" t="s">
        <v>1865</v>
      </c>
      <c r="B448" s="83">
        <v>2</v>
      </c>
      <c r="C448" s="110">
        <v>0.0010812259090786612</v>
      </c>
      <c r="D448" s="83" t="s">
        <v>2059</v>
      </c>
      <c r="E448" s="83" t="b">
        <v>0</v>
      </c>
      <c r="F448" s="83" t="b">
        <v>0</v>
      </c>
      <c r="G448" s="83" t="b">
        <v>0</v>
      </c>
    </row>
    <row r="449" spans="1:7" ht="15">
      <c r="A449" s="84" t="s">
        <v>1866</v>
      </c>
      <c r="B449" s="83">
        <v>2</v>
      </c>
      <c r="C449" s="110">
        <v>0.0010812259090786612</v>
      </c>
      <c r="D449" s="83" t="s">
        <v>2059</v>
      </c>
      <c r="E449" s="83" t="b">
        <v>1</v>
      </c>
      <c r="F449" s="83" t="b">
        <v>0</v>
      </c>
      <c r="G449" s="83" t="b">
        <v>0</v>
      </c>
    </row>
    <row r="450" spans="1:7" ht="15">
      <c r="A450" s="84" t="s">
        <v>1867</v>
      </c>
      <c r="B450" s="83">
        <v>2</v>
      </c>
      <c r="C450" s="110">
        <v>0.0010812259090786612</v>
      </c>
      <c r="D450" s="83" t="s">
        <v>2059</v>
      </c>
      <c r="E450" s="83" t="b">
        <v>0</v>
      </c>
      <c r="F450" s="83" t="b">
        <v>0</v>
      </c>
      <c r="G450" s="83" t="b">
        <v>0</v>
      </c>
    </row>
    <row r="451" spans="1:7" ht="15">
      <c r="A451" s="84" t="s">
        <v>1868</v>
      </c>
      <c r="B451" s="83">
        <v>2</v>
      </c>
      <c r="C451" s="110">
        <v>0.0010812259090786612</v>
      </c>
      <c r="D451" s="83" t="s">
        <v>2059</v>
      </c>
      <c r="E451" s="83" t="b">
        <v>0</v>
      </c>
      <c r="F451" s="83" t="b">
        <v>0</v>
      </c>
      <c r="G451" s="83" t="b">
        <v>0</v>
      </c>
    </row>
    <row r="452" spans="1:7" ht="15">
      <c r="A452" s="84" t="s">
        <v>1869</v>
      </c>
      <c r="B452" s="83">
        <v>2</v>
      </c>
      <c r="C452" s="110">
        <v>0.0010812259090786612</v>
      </c>
      <c r="D452" s="83" t="s">
        <v>2059</v>
      </c>
      <c r="E452" s="83" t="b">
        <v>0</v>
      </c>
      <c r="F452" s="83" t="b">
        <v>0</v>
      </c>
      <c r="G452" s="83" t="b">
        <v>0</v>
      </c>
    </row>
    <row r="453" spans="1:7" ht="15">
      <c r="A453" s="84" t="s">
        <v>1870</v>
      </c>
      <c r="B453" s="83">
        <v>2</v>
      </c>
      <c r="C453" s="110">
        <v>0.0010812259090786612</v>
      </c>
      <c r="D453" s="83" t="s">
        <v>2059</v>
      </c>
      <c r="E453" s="83" t="b">
        <v>0</v>
      </c>
      <c r="F453" s="83" t="b">
        <v>0</v>
      </c>
      <c r="G453" s="83" t="b">
        <v>0</v>
      </c>
    </row>
    <row r="454" spans="1:7" ht="15">
      <c r="A454" s="84" t="s">
        <v>1871</v>
      </c>
      <c r="B454" s="83">
        <v>2</v>
      </c>
      <c r="C454" s="110">
        <v>0.0010812259090786612</v>
      </c>
      <c r="D454" s="83" t="s">
        <v>2059</v>
      </c>
      <c r="E454" s="83" t="b">
        <v>0</v>
      </c>
      <c r="F454" s="83" t="b">
        <v>0</v>
      </c>
      <c r="G454" s="83" t="b">
        <v>0</v>
      </c>
    </row>
    <row r="455" spans="1:7" ht="15">
      <c r="A455" s="84" t="s">
        <v>1872</v>
      </c>
      <c r="B455" s="83">
        <v>2</v>
      </c>
      <c r="C455" s="110">
        <v>0.0010812259090786612</v>
      </c>
      <c r="D455" s="83" t="s">
        <v>2059</v>
      </c>
      <c r="E455" s="83" t="b">
        <v>0</v>
      </c>
      <c r="F455" s="83" t="b">
        <v>0</v>
      </c>
      <c r="G455" s="83" t="b">
        <v>0</v>
      </c>
    </row>
    <row r="456" spans="1:7" ht="15">
      <c r="A456" s="84" t="s">
        <v>1873</v>
      </c>
      <c r="B456" s="83">
        <v>2</v>
      </c>
      <c r="C456" s="110">
        <v>0.0010812259090786612</v>
      </c>
      <c r="D456" s="83" t="s">
        <v>2059</v>
      </c>
      <c r="E456" s="83" t="b">
        <v>0</v>
      </c>
      <c r="F456" s="83" t="b">
        <v>0</v>
      </c>
      <c r="G456" s="83" t="b">
        <v>0</v>
      </c>
    </row>
    <row r="457" spans="1:7" ht="15">
      <c r="A457" s="84" t="s">
        <v>1874</v>
      </c>
      <c r="B457" s="83">
        <v>2</v>
      </c>
      <c r="C457" s="110">
        <v>0.0010812259090786612</v>
      </c>
      <c r="D457" s="83" t="s">
        <v>2059</v>
      </c>
      <c r="E457" s="83" t="b">
        <v>0</v>
      </c>
      <c r="F457" s="83" t="b">
        <v>0</v>
      </c>
      <c r="G457" s="83" t="b">
        <v>0</v>
      </c>
    </row>
    <row r="458" spans="1:7" ht="15">
      <c r="A458" s="84" t="s">
        <v>1875</v>
      </c>
      <c r="B458" s="83">
        <v>2</v>
      </c>
      <c r="C458" s="110">
        <v>0.0010812259090786612</v>
      </c>
      <c r="D458" s="83" t="s">
        <v>2059</v>
      </c>
      <c r="E458" s="83" t="b">
        <v>0</v>
      </c>
      <c r="F458" s="83" t="b">
        <v>0</v>
      </c>
      <c r="G458" s="83" t="b">
        <v>0</v>
      </c>
    </row>
    <row r="459" spans="1:7" ht="15">
      <c r="A459" s="84" t="s">
        <v>1876</v>
      </c>
      <c r="B459" s="83">
        <v>2</v>
      </c>
      <c r="C459" s="110">
        <v>0.0010812259090786612</v>
      </c>
      <c r="D459" s="83" t="s">
        <v>2059</v>
      </c>
      <c r="E459" s="83" t="b">
        <v>0</v>
      </c>
      <c r="F459" s="83" t="b">
        <v>0</v>
      </c>
      <c r="G459" s="83" t="b">
        <v>0</v>
      </c>
    </row>
    <row r="460" spans="1:7" ht="15">
      <c r="A460" s="84" t="s">
        <v>1877</v>
      </c>
      <c r="B460" s="83">
        <v>2</v>
      </c>
      <c r="C460" s="110">
        <v>0.0010812259090786612</v>
      </c>
      <c r="D460" s="83" t="s">
        <v>2059</v>
      </c>
      <c r="E460" s="83" t="b">
        <v>0</v>
      </c>
      <c r="F460" s="83" t="b">
        <v>0</v>
      </c>
      <c r="G460" s="83" t="b">
        <v>0</v>
      </c>
    </row>
    <row r="461" spans="1:7" ht="15">
      <c r="A461" s="84" t="s">
        <v>1878</v>
      </c>
      <c r="B461" s="83">
        <v>2</v>
      </c>
      <c r="C461" s="110">
        <v>0.0010812259090786612</v>
      </c>
      <c r="D461" s="83" t="s">
        <v>2059</v>
      </c>
      <c r="E461" s="83" t="b">
        <v>0</v>
      </c>
      <c r="F461" s="83" t="b">
        <v>0</v>
      </c>
      <c r="G461" s="83" t="b">
        <v>0</v>
      </c>
    </row>
    <row r="462" spans="1:7" ht="15">
      <c r="A462" s="84" t="s">
        <v>1879</v>
      </c>
      <c r="B462" s="83">
        <v>2</v>
      </c>
      <c r="C462" s="110">
        <v>0.0010812259090786612</v>
      </c>
      <c r="D462" s="83" t="s">
        <v>2059</v>
      </c>
      <c r="E462" s="83" t="b">
        <v>0</v>
      </c>
      <c r="F462" s="83" t="b">
        <v>0</v>
      </c>
      <c r="G462" s="83" t="b">
        <v>0</v>
      </c>
    </row>
    <row r="463" spans="1:7" ht="15">
      <c r="A463" s="84" t="s">
        <v>1880</v>
      </c>
      <c r="B463" s="83">
        <v>2</v>
      </c>
      <c r="C463" s="110">
        <v>0.0012314030084370953</v>
      </c>
      <c r="D463" s="83" t="s">
        <v>2059</v>
      </c>
      <c r="E463" s="83" t="b">
        <v>0</v>
      </c>
      <c r="F463" s="83" t="b">
        <v>0</v>
      </c>
      <c r="G463" s="83" t="b">
        <v>0</v>
      </c>
    </row>
    <row r="464" spans="1:7" ht="15">
      <c r="A464" s="84" t="s">
        <v>1881</v>
      </c>
      <c r="B464" s="83">
        <v>2</v>
      </c>
      <c r="C464" s="110">
        <v>0.0010812259090786612</v>
      </c>
      <c r="D464" s="83" t="s">
        <v>2059</v>
      </c>
      <c r="E464" s="83" t="b">
        <v>1</v>
      </c>
      <c r="F464" s="83" t="b">
        <v>0</v>
      </c>
      <c r="G464" s="83" t="b">
        <v>0</v>
      </c>
    </row>
    <row r="465" spans="1:7" ht="15">
      <c r="A465" s="84" t="s">
        <v>1882</v>
      </c>
      <c r="B465" s="83">
        <v>2</v>
      </c>
      <c r="C465" s="110">
        <v>0.0010812259090786612</v>
      </c>
      <c r="D465" s="83" t="s">
        <v>2059</v>
      </c>
      <c r="E465" s="83" t="b">
        <v>0</v>
      </c>
      <c r="F465" s="83" t="b">
        <v>0</v>
      </c>
      <c r="G465" s="83" t="b">
        <v>0</v>
      </c>
    </row>
    <row r="466" spans="1:7" ht="15">
      <c r="A466" s="84" t="s">
        <v>1883</v>
      </c>
      <c r="B466" s="83">
        <v>2</v>
      </c>
      <c r="C466" s="110">
        <v>0.0010812259090786612</v>
      </c>
      <c r="D466" s="83" t="s">
        <v>2059</v>
      </c>
      <c r="E466" s="83" t="b">
        <v>1</v>
      </c>
      <c r="F466" s="83" t="b">
        <v>0</v>
      </c>
      <c r="G466" s="83" t="b">
        <v>0</v>
      </c>
    </row>
    <row r="467" spans="1:7" ht="15">
      <c r="A467" s="84" t="s">
        <v>1884</v>
      </c>
      <c r="B467" s="83">
        <v>2</v>
      </c>
      <c r="C467" s="110">
        <v>0.0010812259090786612</v>
      </c>
      <c r="D467" s="83" t="s">
        <v>2059</v>
      </c>
      <c r="E467" s="83" t="b">
        <v>0</v>
      </c>
      <c r="F467" s="83" t="b">
        <v>0</v>
      </c>
      <c r="G467" s="83" t="b">
        <v>0</v>
      </c>
    </row>
    <row r="468" spans="1:7" ht="15">
      <c r="A468" s="84" t="s">
        <v>1885</v>
      </c>
      <c r="B468" s="83">
        <v>2</v>
      </c>
      <c r="C468" s="110">
        <v>0.0010812259090786612</v>
      </c>
      <c r="D468" s="83" t="s">
        <v>2059</v>
      </c>
      <c r="E468" s="83" t="b">
        <v>0</v>
      </c>
      <c r="F468" s="83" t="b">
        <v>0</v>
      </c>
      <c r="G468" s="83" t="b">
        <v>0</v>
      </c>
    </row>
    <row r="469" spans="1:7" ht="15">
      <c r="A469" s="84" t="s">
        <v>1886</v>
      </c>
      <c r="B469" s="83">
        <v>2</v>
      </c>
      <c r="C469" s="110">
        <v>0.0010812259090786612</v>
      </c>
      <c r="D469" s="83" t="s">
        <v>2059</v>
      </c>
      <c r="E469" s="83" t="b">
        <v>1</v>
      </c>
      <c r="F469" s="83" t="b">
        <v>0</v>
      </c>
      <c r="G469" s="83" t="b">
        <v>0</v>
      </c>
    </row>
    <row r="470" spans="1:7" ht="15">
      <c r="A470" s="84" t="s">
        <v>1887</v>
      </c>
      <c r="B470" s="83">
        <v>2</v>
      </c>
      <c r="C470" s="110">
        <v>0.0010812259090786612</v>
      </c>
      <c r="D470" s="83" t="s">
        <v>2059</v>
      </c>
      <c r="E470" s="83" t="b">
        <v>0</v>
      </c>
      <c r="F470" s="83" t="b">
        <v>0</v>
      </c>
      <c r="G470" s="83" t="b">
        <v>0</v>
      </c>
    </row>
    <row r="471" spans="1:7" ht="15">
      <c r="A471" s="84" t="s">
        <v>1888</v>
      </c>
      <c r="B471" s="83">
        <v>2</v>
      </c>
      <c r="C471" s="110">
        <v>0.0010812259090786612</v>
      </c>
      <c r="D471" s="83" t="s">
        <v>2059</v>
      </c>
      <c r="E471" s="83" t="b">
        <v>0</v>
      </c>
      <c r="F471" s="83" t="b">
        <v>0</v>
      </c>
      <c r="G471" s="83" t="b">
        <v>0</v>
      </c>
    </row>
    <row r="472" spans="1:7" ht="15">
      <c r="A472" s="84" t="s">
        <v>1889</v>
      </c>
      <c r="B472" s="83">
        <v>2</v>
      </c>
      <c r="C472" s="110">
        <v>0.0010812259090786612</v>
      </c>
      <c r="D472" s="83" t="s">
        <v>2059</v>
      </c>
      <c r="E472" s="83" t="b">
        <v>0</v>
      </c>
      <c r="F472" s="83" t="b">
        <v>0</v>
      </c>
      <c r="G472" s="83" t="b">
        <v>0</v>
      </c>
    </row>
    <row r="473" spans="1:7" ht="15">
      <c r="A473" s="84" t="s">
        <v>1890</v>
      </c>
      <c r="B473" s="83">
        <v>2</v>
      </c>
      <c r="C473" s="110">
        <v>0.0010812259090786612</v>
      </c>
      <c r="D473" s="83" t="s">
        <v>2059</v>
      </c>
      <c r="E473" s="83" t="b">
        <v>0</v>
      </c>
      <c r="F473" s="83" t="b">
        <v>0</v>
      </c>
      <c r="G473" s="83" t="b">
        <v>0</v>
      </c>
    </row>
    <row r="474" spans="1:7" ht="15">
      <c r="A474" s="84" t="s">
        <v>1891</v>
      </c>
      <c r="B474" s="83">
        <v>2</v>
      </c>
      <c r="C474" s="110">
        <v>0.0012314030084370953</v>
      </c>
      <c r="D474" s="83" t="s">
        <v>2059</v>
      </c>
      <c r="E474" s="83" t="b">
        <v>0</v>
      </c>
      <c r="F474" s="83" t="b">
        <v>0</v>
      </c>
      <c r="G474" s="83" t="b">
        <v>0</v>
      </c>
    </row>
    <row r="475" spans="1:7" ht="15">
      <c r="A475" s="84" t="s">
        <v>1892</v>
      </c>
      <c r="B475" s="83">
        <v>2</v>
      </c>
      <c r="C475" s="110">
        <v>0.0010812259090786612</v>
      </c>
      <c r="D475" s="83" t="s">
        <v>2059</v>
      </c>
      <c r="E475" s="83" t="b">
        <v>0</v>
      </c>
      <c r="F475" s="83" t="b">
        <v>0</v>
      </c>
      <c r="G475" s="83" t="b">
        <v>0</v>
      </c>
    </row>
    <row r="476" spans="1:7" ht="15">
      <c r="A476" s="84" t="s">
        <v>1893</v>
      </c>
      <c r="B476" s="83">
        <v>2</v>
      </c>
      <c r="C476" s="110">
        <v>0.0010812259090786612</v>
      </c>
      <c r="D476" s="83" t="s">
        <v>2059</v>
      </c>
      <c r="E476" s="83" t="b">
        <v>0</v>
      </c>
      <c r="F476" s="83" t="b">
        <v>0</v>
      </c>
      <c r="G476" s="83" t="b">
        <v>0</v>
      </c>
    </row>
    <row r="477" spans="1:7" ht="15">
      <c r="A477" s="84" t="s">
        <v>1894</v>
      </c>
      <c r="B477" s="83">
        <v>2</v>
      </c>
      <c r="C477" s="110">
        <v>0.0012314030084370953</v>
      </c>
      <c r="D477" s="83" t="s">
        <v>2059</v>
      </c>
      <c r="E477" s="83" t="b">
        <v>0</v>
      </c>
      <c r="F477" s="83" t="b">
        <v>0</v>
      </c>
      <c r="G477" s="83" t="b">
        <v>0</v>
      </c>
    </row>
    <row r="478" spans="1:7" ht="15">
      <c r="A478" s="84" t="s">
        <v>1895</v>
      </c>
      <c r="B478" s="83">
        <v>2</v>
      </c>
      <c r="C478" s="110">
        <v>0.0012314030084370953</v>
      </c>
      <c r="D478" s="83" t="s">
        <v>2059</v>
      </c>
      <c r="E478" s="83" t="b">
        <v>0</v>
      </c>
      <c r="F478" s="83" t="b">
        <v>0</v>
      </c>
      <c r="G478" s="83" t="b">
        <v>0</v>
      </c>
    </row>
    <row r="479" spans="1:7" ht="15">
      <c r="A479" s="84" t="s">
        <v>1896</v>
      </c>
      <c r="B479" s="83">
        <v>2</v>
      </c>
      <c r="C479" s="110">
        <v>0.0012314030084370953</v>
      </c>
      <c r="D479" s="83" t="s">
        <v>2059</v>
      </c>
      <c r="E479" s="83" t="b">
        <v>0</v>
      </c>
      <c r="F479" s="83" t="b">
        <v>0</v>
      </c>
      <c r="G479" s="83" t="b">
        <v>0</v>
      </c>
    </row>
    <row r="480" spans="1:7" ht="15">
      <c r="A480" s="84" t="s">
        <v>1897</v>
      </c>
      <c r="B480" s="83">
        <v>2</v>
      </c>
      <c r="C480" s="110">
        <v>0.0010812259090786612</v>
      </c>
      <c r="D480" s="83" t="s">
        <v>2059</v>
      </c>
      <c r="E480" s="83" t="b">
        <v>0</v>
      </c>
      <c r="F480" s="83" t="b">
        <v>0</v>
      </c>
      <c r="G480" s="83" t="b">
        <v>0</v>
      </c>
    </row>
    <row r="481" spans="1:7" ht="15">
      <c r="A481" s="84" t="s">
        <v>1898</v>
      </c>
      <c r="B481" s="83">
        <v>2</v>
      </c>
      <c r="C481" s="110">
        <v>0.0010812259090786612</v>
      </c>
      <c r="D481" s="83" t="s">
        <v>2059</v>
      </c>
      <c r="E481" s="83" t="b">
        <v>0</v>
      </c>
      <c r="F481" s="83" t="b">
        <v>0</v>
      </c>
      <c r="G481" s="83" t="b">
        <v>0</v>
      </c>
    </row>
    <row r="482" spans="1:7" ht="15">
      <c r="A482" s="84" t="s">
        <v>1899</v>
      </c>
      <c r="B482" s="83">
        <v>2</v>
      </c>
      <c r="C482" s="110">
        <v>0.0010812259090786612</v>
      </c>
      <c r="D482" s="83" t="s">
        <v>2059</v>
      </c>
      <c r="E482" s="83" t="b">
        <v>0</v>
      </c>
      <c r="F482" s="83" t="b">
        <v>0</v>
      </c>
      <c r="G482" s="83" t="b">
        <v>0</v>
      </c>
    </row>
    <row r="483" spans="1:7" ht="15">
      <c r="A483" s="84" t="s">
        <v>1900</v>
      </c>
      <c r="B483" s="83">
        <v>2</v>
      </c>
      <c r="C483" s="110">
        <v>0.0010812259090786612</v>
      </c>
      <c r="D483" s="83" t="s">
        <v>2059</v>
      </c>
      <c r="E483" s="83" t="b">
        <v>0</v>
      </c>
      <c r="F483" s="83" t="b">
        <v>0</v>
      </c>
      <c r="G483" s="83" t="b">
        <v>0</v>
      </c>
    </row>
    <row r="484" spans="1:7" ht="15">
      <c r="A484" s="84" t="s">
        <v>1901</v>
      </c>
      <c r="B484" s="83">
        <v>2</v>
      </c>
      <c r="C484" s="110">
        <v>0.0012314030084370953</v>
      </c>
      <c r="D484" s="83" t="s">
        <v>2059</v>
      </c>
      <c r="E484" s="83" t="b">
        <v>0</v>
      </c>
      <c r="F484" s="83" t="b">
        <v>0</v>
      </c>
      <c r="G484" s="83" t="b">
        <v>0</v>
      </c>
    </row>
    <row r="485" spans="1:7" ht="15">
      <c r="A485" s="84" t="s">
        <v>1902</v>
      </c>
      <c r="B485" s="83">
        <v>2</v>
      </c>
      <c r="C485" s="110">
        <v>0.0012314030084370953</v>
      </c>
      <c r="D485" s="83" t="s">
        <v>2059</v>
      </c>
      <c r="E485" s="83" t="b">
        <v>0</v>
      </c>
      <c r="F485" s="83" t="b">
        <v>0</v>
      </c>
      <c r="G485" s="83" t="b">
        <v>0</v>
      </c>
    </row>
    <row r="486" spans="1:7" ht="15">
      <c r="A486" s="84" t="s">
        <v>1903</v>
      </c>
      <c r="B486" s="83">
        <v>2</v>
      </c>
      <c r="C486" s="110">
        <v>0.0010812259090786612</v>
      </c>
      <c r="D486" s="83" t="s">
        <v>2059</v>
      </c>
      <c r="E486" s="83" t="b">
        <v>0</v>
      </c>
      <c r="F486" s="83" t="b">
        <v>0</v>
      </c>
      <c r="G486" s="83" t="b">
        <v>0</v>
      </c>
    </row>
    <row r="487" spans="1:7" ht="15">
      <c r="A487" s="84" t="s">
        <v>1904</v>
      </c>
      <c r="B487" s="83">
        <v>2</v>
      </c>
      <c r="C487" s="110">
        <v>0.0010812259090786612</v>
      </c>
      <c r="D487" s="83" t="s">
        <v>2059</v>
      </c>
      <c r="E487" s="83" t="b">
        <v>0</v>
      </c>
      <c r="F487" s="83" t="b">
        <v>0</v>
      </c>
      <c r="G487" s="83" t="b">
        <v>0</v>
      </c>
    </row>
    <row r="488" spans="1:7" ht="15">
      <c r="A488" s="84" t="s">
        <v>1905</v>
      </c>
      <c r="B488" s="83">
        <v>2</v>
      </c>
      <c r="C488" s="110">
        <v>0.0010812259090786612</v>
      </c>
      <c r="D488" s="83" t="s">
        <v>2059</v>
      </c>
      <c r="E488" s="83" t="b">
        <v>1</v>
      </c>
      <c r="F488" s="83" t="b">
        <v>0</v>
      </c>
      <c r="G488" s="83" t="b">
        <v>0</v>
      </c>
    </row>
    <row r="489" spans="1:7" ht="15">
      <c r="A489" s="84" t="s">
        <v>1906</v>
      </c>
      <c r="B489" s="83">
        <v>2</v>
      </c>
      <c r="C489" s="110">
        <v>0.0010812259090786612</v>
      </c>
      <c r="D489" s="83" t="s">
        <v>2059</v>
      </c>
      <c r="E489" s="83" t="b">
        <v>0</v>
      </c>
      <c r="F489" s="83" t="b">
        <v>0</v>
      </c>
      <c r="G489" s="83" t="b">
        <v>0</v>
      </c>
    </row>
    <row r="490" spans="1:7" ht="15">
      <c r="A490" s="84" t="s">
        <v>1907</v>
      </c>
      <c r="B490" s="83">
        <v>2</v>
      </c>
      <c r="C490" s="110">
        <v>0.0012314030084370953</v>
      </c>
      <c r="D490" s="83" t="s">
        <v>2059</v>
      </c>
      <c r="E490" s="83" t="b">
        <v>0</v>
      </c>
      <c r="F490" s="83" t="b">
        <v>0</v>
      </c>
      <c r="G490" s="83" t="b">
        <v>0</v>
      </c>
    </row>
    <row r="491" spans="1:7" ht="15">
      <c r="A491" s="84" t="s">
        <v>1908</v>
      </c>
      <c r="B491" s="83">
        <v>2</v>
      </c>
      <c r="C491" s="110">
        <v>0.0010812259090786612</v>
      </c>
      <c r="D491" s="83" t="s">
        <v>2059</v>
      </c>
      <c r="E491" s="83" t="b">
        <v>0</v>
      </c>
      <c r="F491" s="83" t="b">
        <v>0</v>
      </c>
      <c r="G491" s="83" t="b">
        <v>0</v>
      </c>
    </row>
    <row r="492" spans="1:7" ht="15">
      <c r="A492" s="84" t="s">
        <v>1909</v>
      </c>
      <c r="B492" s="83">
        <v>2</v>
      </c>
      <c r="C492" s="110">
        <v>0.0010812259090786612</v>
      </c>
      <c r="D492" s="83" t="s">
        <v>2059</v>
      </c>
      <c r="E492" s="83" t="b">
        <v>0</v>
      </c>
      <c r="F492" s="83" t="b">
        <v>0</v>
      </c>
      <c r="G492" s="83" t="b">
        <v>0</v>
      </c>
    </row>
    <row r="493" spans="1:7" ht="15">
      <c r="A493" s="84" t="s">
        <v>1910</v>
      </c>
      <c r="B493" s="83">
        <v>2</v>
      </c>
      <c r="C493" s="110">
        <v>0.0010812259090786612</v>
      </c>
      <c r="D493" s="83" t="s">
        <v>2059</v>
      </c>
      <c r="E493" s="83" t="b">
        <v>0</v>
      </c>
      <c r="F493" s="83" t="b">
        <v>0</v>
      </c>
      <c r="G493" s="83" t="b">
        <v>0</v>
      </c>
    </row>
    <row r="494" spans="1:7" ht="15">
      <c r="A494" s="84" t="s">
        <v>1911</v>
      </c>
      <c r="B494" s="83">
        <v>2</v>
      </c>
      <c r="C494" s="110">
        <v>0.0012314030084370953</v>
      </c>
      <c r="D494" s="83" t="s">
        <v>2059</v>
      </c>
      <c r="E494" s="83" t="b">
        <v>0</v>
      </c>
      <c r="F494" s="83" t="b">
        <v>0</v>
      </c>
      <c r="G494" s="83" t="b">
        <v>0</v>
      </c>
    </row>
    <row r="495" spans="1:7" ht="15">
      <c r="A495" s="84" t="s">
        <v>1912</v>
      </c>
      <c r="B495" s="83">
        <v>2</v>
      </c>
      <c r="C495" s="110">
        <v>0.0012314030084370953</v>
      </c>
      <c r="D495" s="83" t="s">
        <v>2059</v>
      </c>
      <c r="E495" s="83" t="b">
        <v>0</v>
      </c>
      <c r="F495" s="83" t="b">
        <v>0</v>
      </c>
      <c r="G495" s="83" t="b">
        <v>0</v>
      </c>
    </row>
    <row r="496" spans="1:7" ht="15">
      <c r="A496" s="84" t="s">
        <v>1913</v>
      </c>
      <c r="B496" s="83">
        <v>2</v>
      </c>
      <c r="C496" s="110">
        <v>0.0010812259090786612</v>
      </c>
      <c r="D496" s="83" t="s">
        <v>2059</v>
      </c>
      <c r="E496" s="83" t="b">
        <v>0</v>
      </c>
      <c r="F496" s="83" t="b">
        <v>0</v>
      </c>
      <c r="G496" s="83" t="b">
        <v>0</v>
      </c>
    </row>
    <row r="497" spans="1:7" ht="15">
      <c r="A497" s="84" t="s">
        <v>1914</v>
      </c>
      <c r="B497" s="83">
        <v>2</v>
      </c>
      <c r="C497" s="110">
        <v>0.0012314030084370953</v>
      </c>
      <c r="D497" s="83" t="s">
        <v>2059</v>
      </c>
      <c r="E497" s="83" t="b">
        <v>0</v>
      </c>
      <c r="F497" s="83" t="b">
        <v>0</v>
      </c>
      <c r="G497" s="83" t="b">
        <v>0</v>
      </c>
    </row>
    <row r="498" spans="1:7" ht="15">
      <c r="A498" s="84" t="s">
        <v>1915</v>
      </c>
      <c r="B498" s="83">
        <v>2</v>
      </c>
      <c r="C498" s="110">
        <v>0.0010812259090786612</v>
      </c>
      <c r="D498" s="83" t="s">
        <v>2059</v>
      </c>
      <c r="E498" s="83" t="b">
        <v>0</v>
      </c>
      <c r="F498" s="83" t="b">
        <v>0</v>
      </c>
      <c r="G498" s="83" t="b">
        <v>0</v>
      </c>
    </row>
    <row r="499" spans="1:7" ht="15">
      <c r="A499" s="84" t="s">
        <v>1916</v>
      </c>
      <c r="B499" s="83">
        <v>2</v>
      </c>
      <c r="C499" s="110">
        <v>0.0010812259090786612</v>
      </c>
      <c r="D499" s="83" t="s">
        <v>2059</v>
      </c>
      <c r="E499" s="83" t="b">
        <v>0</v>
      </c>
      <c r="F499" s="83" t="b">
        <v>0</v>
      </c>
      <c r="G499" s="83" t="b">
        <v>0</v>
      </c>
    </row>
    <row r="500" spans="1:7" ht="15">
      <c r="A500" s="84" t="s">
        <v>1917</v>
      </c>
      <c r="B500" s="83">
        <v>2</v>
      </c>
      <c r="C500" s="110">
        <v>0.0010812259090786612</v>
      </c>
      <c r="D500" s="83" t="s">
        <v>2059</v>
      </c>
      <c r="E500" s="83" t="b">
        <v>0</v>
      </c>
      <c r="F500" s="83" t="b">
        <v>0</v>
      </c>
      <c r="G500" s="83" t="b">
        <v>0</v>
      </c>
    </row>
    <row r="501" spans="1:7" ht="15">
      <c r="A501" s="84" t="s">
        <v>1918</v>
      </c>
      <c r="B501" s="83">
        <v>2</v>
      </c>
      <c r="C501" s="110">
        <v>0.0010812259090786612</v>
      </c>
      <c r="D501" s="83" t="s">
        <v>2059</v>
      </c>
      <c r="E501" s="83" t="b">
        <v>1</v>
      </c>
      <c r="F501" s="83" t="b">
        <v>0</v>
      </c>
      <c r="G501" s="83" t="b">
        <v>0</v>
      </c>
    </row>
    <row r="502" spans="1:7" ht="15">
      <c r="A502" s="84" t="s">
        <v>1919</v>
      </c>
      <c r="B502" s="83">
        <v>2</v>
      </c>
      <c r="C502" s="110">
        <v>0.0010812259090786612</v>
      </c>
      <c r="D502" s="83" t="s">
        <v>2059</v>
      </c>
      <c r="E502" s="83" t="b">
        <v>0</v>
      </c>
      <c r="F502" s="83" t="b">
        <v>0</v>
      </c>
      <c r="G502" s="83" t="b">
        <v>0</v>
      </c>
    </row>
    <row r="503" spans="1:7" ht="15">
      <c r="A503" s="84" t="s">
        <v>1920</v>
      </c>
      <c r="B503" s="83">
        <v>2</v>
      </c>
      <c r="C503" s="110">
        <v>0.0012314030084370953</v>
      </c>
      <c r="D503" s="83" t="s">
        <v>2059</v>
      </c>
      <c r="E503" s="83" t="b">
        <v>0</v>
      </c>
      <c r="F503" s="83" t="b">
        <v>0</v>
      </c>
      <c r="G503" s="83" t="b">
        <v>0</v>
      </c>
    </row>
    <row r="504" spans="1:7" ht="15">
      <c r="A504" s="84" t="s">
        <v>1921</v>
      </c>
      <c r="B504" s="83">
        <v>2</v>
      </c>
      <c r="C504" s="110">
        <v>0.0010812259090786612</v>
      </c>
      <c r="D504" s="83" t="s">
        <v>2059</v>
      </c>
      <c r="E504" s="83" t="b">
        <v>0</v>
      </c>
      <c r="F504" s="83" t="b">
        <v>0</v>
      </c>
      <c r="G504" s="83" t="b">
        <v>0</v>
      </c>
    </row>
    <row r="505" spans="1:7" ht="15">
      <c r="A505" s="84" t="s">
        <v>1922</v>
      </c>
      <c r="B505" s="83">
        <v>2</v>
      </c>
      <c r="C505" s="110">
        <v>0.0010812259090786612</v>
      </c>
      <c r="D505" s="83" t="s">
        <v>2059</v>
      </c>
      <c r="E505" s="83" t="b">
        <v>0</v>
      </c>
      <c r="F505" s="83" t="b">
        <v>0</v>
      </c>
      <c r="G505" s="83" t="b">
        <v>0</v>
      </c>
    </row>
    <row r="506" spans="1:7" ht="15">
      <c r="A506" s="84" t="s">
        <v>1923</v>
      </c>
      <c r="B506" s="83">
        <v>2</v>
      </c>
      <c r="C506" s="110">
        <v>0.0010812259090786612</v>
      </c>
      <c r="D506" s="83" t="s">
        <v>2059</v>
      </c>
      <c r="E506" s="83" t="b">
        <v>0</v>
      </c>
      <c r="F506" s="83" t="b">
        <v>0</v>
      </c>
      <c r="G506" s="83" t="b">
        <v>0</v>
      </c>
    </row>
    <row r="507" spans="1:7" ht="15">
      <c r="A507" s="84" t="s">
        <v>1924</v>
      </c>
      <c r="B507" s="83">
        <v>2</v>
      </c>
      <c r="C507" s="110">
        <v>0.0010812259090786612</v>
      </c>
      <c r="D507" s="83" t="s">
        <v>2059</v>
      </c>
      <c r="E507" s="83" t="b">
        <v>0</v>
      </c>
      <c r="F507" s="83" t="b">
        <v>0</v>
      </c>
      <c r="G507" s="83" t="b">
        <v>0</v>
      </c>
    </row>
    <row r="508" spans="1:7" ht="15">
      <c r="A508" s="84" t="s">
        <v>1925</v>
      </c>
      <c r="B508" s="83">
        <v>2</v>
      </c>
      <c r="C508" s="110">
        <v>0.0010812259090786612</v>
      </c>
      <c r="D508" s="83" t="s">
        <v>2059</v>
      </c>
      <c r="E508" s="83" t="b">
        <v>0</v>
      </c>
      <c r="F508" s="83" t="b">
        <v>0</v>
      </c>
      <c r="G508" s="83" t="b">
        <v>0</v>
      </c>
    </row>
    <row r="509" spans="1:7" ht="15">
      <c r="A509" s="84" t="s">
        <v>1926</v>
      </c>
      <c r="B509" s="83">
        <v>2</v>
      </c>
      <c r="C509" s="110">
        <v>0.0010812259090786612</v>
      </c>
      <c r="D509" s="83" t="s">
        <v>2059</v>
      </c>
      <c r="E509" s="83" t="b">
        <v>0</v>
      </c>
      <c r="F509" s="83" t="b">
        <v>0</v>
      </c>
      <c r="G509" s="83" t="b">
        <v>0</v>
      </c>
    </row>
    <row r="510" spans="1:7" ht="15">
      <c r="A510" s="84" t="s">
        <v>1927</v>
      </c>
      <c r="B510" s="83">
        <v>2</v>
      </c>
      <c r="C510" s="110">
        <v>0.0010812259090786612</v>
      </c>
      <c r="D510" s="83" t="s">
        <v>2059</v>
      </c>
      <c r="E510" s="83" t="b">
        <v>0</v>
      </c>
      <c r="F510" s="83" t="b">
        <v>0</v>
      </c>
      <c r="G510" s="83" t="b">
        <v>0</v>
      </c>
    </row>
    <row r="511" spans="1:7" ht="15">
      <c r="A511" s="84" t="s">
        <v>1928</v>
      </c>
      <c r="B511" s="83">
        <v>2</v>
      </c>
      <c r="C511" s="110">
        <v>0.0010812259090786612</v>
      </c>
      <c r="D511" s="83" t="s">
        <v>2059</v>
      </c>
      <c r="E511" s="83" t="b">
        <v>0</v>
      </c>
      <c r="F511" s="83" t="b">
        <v>0</v>
      </c>
      <c r="G511" s="83" t="b">
        <v>0</v>
      </c>
    </row>
    <row r="512" spans="1:7" ht="15">
      <c r="A512" s="84" t="s">
        <v>1929</v>
      </c>
      <c r="B512" s="83">
        <v>2</v>
      </c>
      <c r="C512" s="110">
        <v>0.0010812259090786612</v>
      </c>
      <c r="D512" s="83" t="s">
        <v>2059</v>
      </c>
      <c r="E512" s="83" t="b">
        <v>0</v>
      </c>
      <c r="F512" s="83" t="b">
        <v>0</v>
      </c>
      <c r="G512" s="83" t="b">
        <v>0</v>
      </c>
    </row>
    <row r="513" spans="1:7" ht="15">
      <c r="A513" s="84" t="s">
        <v>1930</v>
      </c>
      <c r="B513" s="83">
        <v>2</v>
      </c>
      <c r="C513" s="110">
        <v>0.0010812259090786612</v>
      </c>
      <c r="D513" s="83" t="s">
        <v>2059</v>
      </c>
      <c r="E513" s="83" t="b">
        <v>0</v>
      </c>
      <c r="F513" s="83" t="b">
        <v>0</v>
      </c>
      <c r="G513" s="83" t="b">
        <v>0</v>
      </c>
    </row>
    <row r="514" spans="1:7" ht="15">
      <c r="A514" s="84" t="s">
        <v>1931</v>
      </c>
      <c r="B514" s="83">
        <v>2</v>
      </c>
      <c r="C514" s="110">
        <v>0.0010812259090786612</v>
      </c>
      <c r="D514" s="83" t="s">
        <v>2059</v>
      </c>
      <c r="E514" s="83" t="b">
        <v>0</v>
      </c>
      <c r="F514" s="83" t="b">
        <v>0</v>
      </c>
      <c r="G514" s="83" t="b">
        <v>0</v>
      </c>
    </row>
    <row r="515" spans="1:7" ht="15">
      <c r="A515" s="84" t="s">
        <v>1932</v>
      </c>
      <c r="B515" s="83">
        <v>2</v>
      </c>
      <c r="C515" s="110">
        <v>0.0010812259090786612</v>
      </c>
      <c r="D515" s="83" t="s">
        <v>2059</v>
      </c>
      <c r="E515" s="83" t="b">
        <v>0</v>
      </c>
      <c r="F515" s="83" t="b">
        <v>0</v>
      </c>
      <c r="G515" s="83" t="b">
        <v>0</v>
      </c>
    </row>
    <row r="516" spans="1:7" ht="15">
      <c r="A516" s="84" t="s">
        <v>1933</v>
      </c>
      <c r="B516" s="83">
        <v>2</v>
      </c>
      <c r="C516" s="110">
        <v>0.0010812259090786612</v>
      </c>
      <c r="D516" s="83" t="s">
        <v>2059</v>
      </c>
      <c r="E516" s="83" t="b">
        <v>0</v>
      </c>
      <c r="F516" s="83" t="b">
        <v>0</v>
      </c>
      <c r="G516" s="83" t="b">
        <v>0</v>
      </c>
    </row>
    <row r="517" spans="1:7" ht="15">
      <c r="A517" s="84" t="s">
        <v>1934</v>
      </c>
      <c r="B517" s="83">
        <v>2</v>
      </c>
      <c r="C517" s="110">
        <v>0.0010812259090786612</v>
      </c>
      <c r="D517" s="83" t="s">
        <v>2059</v>
      </c>
      <c r="E517" s="83" t="b">
        <v>0</v>
      </c>
      <c r="F517" s="83" t="b">
        <v>0</v>
      </c>
      <c r="G517" s="83" t="b">
        <v>0</v>
      </c>
    </row>
    <row r="518" spans="1:7" ht="15">
      <c r="A518" s="84" t="s">
        <v>1935</v>
      </c>
      <c r="B518" s="83">
        <v>2</v>
      </c>
      <c r="C518" s="110">
        <v>0.0012314030084370953</v>
      </c>
      <c r="D518" s="83" t="s">
        <v>2059</v>
      </c>
      <c r="E518" s="83" t="b">
        <v>0</v>
      </c>
      <c r="F518" s="83" t="b">
        <v>0</v>
      </c>
      <c r="G518" s="83" t="b">
        <v>0</v>
      </c>
    </row>
    <row r="519" spans="1:7" ht="15">
      <c r="A519" s="84" t="s">
        <v>1936</v>
      </c>
      <c r="B519" s="83">
        <v>2</v>
      </c>
      <c r="C519" s="110">
        <v>0.0012314030084370953</v>
      </c>
      <c r="D519" s="83" t="s">
        <v>2059</v>
      </c>
      <c r="E519" s="83" t="b">
        <v>0</v>
      </c>
      <c r="F519" s="83" t="b">
        <v>0</v>
      </c>
      <c r="G519" s="83" t="b">
        <v>0</v>
      </c>
    </row>
    <row r="520" spans="1:7" ht="15">
      <c r="A520" s="84" t="s">
        <v>1937</v>
      </c>
      <c r="B520" s="83">
        <v>2</v>
      </c>
      <c r="C520" s="110">
        <v>0.0012314030084370953</v>
      </c>
      <c r="D520" s="83" t="s">
        <v>2059</v>
      </c>
      <c r="E520" s="83" t="b">
        <v>0</v>
      </c>
      <c r="F520" s="83" t="b">
        <v>0</v>
      </c>
      <c r="G520" s="83" t="b">
        <v>0</v>
      </c>
    </row>
    <row r="521" spans="1:7" ht="15">
      <c r="A521" s="84" t="s">
        <v>1938</v>
      </c>
      <c r="B521" s="83">
        <v>2</v>
      </c>
      <c r="C521" s="110">
        <v>0.0012314030084370953</v>
      </c>
      <c r="D521" s="83" t="s">
        <v>2059</v>
      </c>
      <c r="E521" s="83" t="b">
        <v>0</v>
      </c>
      <c r="F521" s="83" t="b">
        <v>0</v>
      </c>
      <c r="G521" s="83" t="b">
        <v>0</v>
      </c>
    </row>
    <row r="522" spans="1:7" ht="15">
      <c r="A522" s="84" t="s">
        <v>1939</v>
      </c>
      <c r="B522" s="83">
        <v>2</v>
      </c>
      <c r="C522" s="110">
        <v>0.0012314030084370953</v>
      </c>
      <c r="D522" s="83" t="s">
        <v>2059</v>
      </c>
      <c r="E522" s="83" t="b">
        <v>0</v>
      </c>
      <c r="F522" s="83" t="b">
        <v>0</v>
      </c>
      <c r="G522" s="83" t="b">
        <v>0</v>
      </c>
    </row>
    <row r="523" spans="1:7" ht="15">
      <c r="A523" s="84" t="s">
        <v>1940</v>
      </c>
      <c r="B523" s="83">
        <v>2</v>
      </c>
      <c r="C523" s="110">
        <v>0.0010812259090786612</v>
      </c>
      <c r="D523" s="83" t="s">
        <v>2059</v>
      </c>
      <c r="E523" s="83" t="b">
        <v>0</v>
      </c>
      <c r="F523" s="83" t="b">
        <v>0</v>
      </c>
      <c r="G523" s="83" t="b">
        <v>0</v>
      </c>
    </row>
    <row r="524" spans="1:7" ht="15">
      <c r="A524" s="84" t="s">
        <v>1941</v>
      </c>
      <c r="B524" s="83">
        <v>2</v>
      </c>
      <c r="C524" s="110">
        <v>0.0010812259090786612</v>
      </c>
      <c r="D524" s="83" t="s">
        <v>2059</v>
      </c>
      <c r="E524" s="83" t="b">
        <v>0</v>
      </c>
      <c r="F524" s="83" t="b">
        <v>0</v>
      </c>
      <c r="G524" s="83" t="b">
        <v>0</v>
      </c>
    </row>
    <row r="525" spans="1:7" ht="15">
      <c r="A525" s="84" t="s">
        <v>1942</v>
      </c>
      <c r="B525" s="83">
        <v>2</v>
      </c>
      <c r="C525" s="110">
        <v>0.0010812259090786612</v>
      </c>
      <c r="D525" s="83" t="s">
        <v>2059</v>
      </c>
      <c r="E525" s="83" t="b">
        <v>0</v>
      </c>
      <c r="F525" s="83" t="b">
        <v>0</v>
      </c>
      <c r="G525" s="83" t="b">
        <v>0</v>
      </c>
    </row>
    <row r="526" spans="1:7" ht="15">
      <c r="A526" s="84" t="s">
        <v>1943</v>
      </c>
      <c r="B526" s="83">
        <v>2</v>
      </c>
      <c r="C526" s="110">
        <v>0.0010812259090786612</v>
      </c>
      <c r="D526" s="83" t="s">
        <v>2059</v>
      </c>
      <c r="E526" s="83" t="b">
        <v>0</v>
      </c>
      <c r="F526" s="83" t="b">
        <v>0</v>
      </c>
      <c r="G526" s="83" t="b">
        <v>0</v>
      </c>
    </row>
    <row r="527" spans="1:7" ht="15">
      <c r="A527" s="84" t="s">
        <v>1944</v>
      </c>
      <c r="B527" s="83">
        <v>2</v>
      </c>
      <c r="C527" s="110">
        <v>0.0010812259090786612</v>
      </c>
      <c r="D527" s="83" t="s">
        <v>2059</v>
      </c>
      <c r="E527" s="83" t="b">
        <v>0</v>
      </c>
      <c r="F527" s="83" t="b">
        <v>0</v>
      </c>
      <c r="G527" s="83" t="b">
        <v>0</v>
      </c>
    </row>
    <row r="528" spans="1:7" ht="15">
      <c r="A528" s="84" t="s">
        <v>1945</v>
      </c>
      <c r="B528" s="83">
        <v>2</v>
      </c>
      <c r="C528" s="110">
        <v>0.0010812259090786612</v>
      </c>
      <c r="D528" s="83" t="s">
        <v>2059</v>
      </c>
      <c r="E528" s="83" t="b">
        <v>0</v>
      </c>
      <c r="F528" s="83" t="b">
        <v>0</v>
      </c>
      <c r="G528" s="83" t="b">
        <v>0</v>
      </c>
    </row>
    <row r="529" spans="1:7" ht="15">
      <c r="A529" s="84" t="s">
        <v>1946</v>
      </c>
      <c r="B529" s="83">
        <v>2</v>
      </c>
      <c r="C529" s="110">
        <v>0.0010812259090786612</v>
      </c>
      <c r="D529" s="83" t="s">
        <v>2059</v>
      </c>
      <c r="E529" s="83" t="b">
        <v>0</v>
      </c>
      <c r="F529" s="83" t="b">
        <v>0</v>
      </c>
      <c r="G529" s="83" t="b">
        <v>0</v>
      </c>
    </row>
    <row r="530" spans="1:7" ht="15">
      <c r="A530" s="84" t="s">
        <v>1947</v>
      </c>
      <c r="B530" s="83">
        <v>2</v>
      </c>
      <c r="C530" s="110">
        <v>0.0010812259090786612</v>
      </c>
      <c r="D530" s="83" t="s">
        <v>2059</v>
      </c>
      <c r="E530" s="83" t="b">
        <v>0</v>
      </c>
      <c r="F530" s="83" t="b">
        <v>0</v>
      </c>
      <c r="G530" s="83" t="b">
        <v>0</v>
      </c>
    </row>
    <row r="531" spans="1:7" ht="15">
      <c r="A531" s="84" t="s">
        <v>1948</v>
      </c>
      <c r="B531" s="83">
        <v>2</v>
      </c>
      <c r="C531" s="110">
        <v>0.0010812259090786612</v>
      </c>
      <c r="D531" s="83" t="s">
        <v>2059</v>
      </c>
      <c r="E531" s="83" t="b">
        <v>0</v>
      </c>
      <c r="F531" s="83" t="b">
        <v>0</v>
      </c>
      <c r="G531" s="83" t="b">
        <v>0</v>
      </c>
    </row>
    <row r="532" spans="1:7" ht="15">
      <c r="A532" s="84" t="s">
        <v>1949</v>
      </c>
      <c r="B532" s="83">
        <v>2</v>
      </c>
      <c r="C532" s="110">
        <v>0.0010812259090786612</v>
      </c>
      <c r="D532" s="83" t="s">
        <v>2059</v>
      </c>
      <c r="E532" s="83" t="b">
        <v>0</v>
      </c>
      <c r="F532" s="83" t="b">
        <v>0</v>
      </c>
      <c r="G532" s="83" t="b">
        <v>0</v>
      </c>
    </row>
    <row r="533" spans="1:7" ht="15">
      <c r="A533" s="84" t="s">
        <v>1950</v>
      </c>
      <c r="B533" s="83">
        <v>2</v>
      </c>
      <c r="C533" s="110">
        <v>0.0010812259090786612</v>
      </c>
      <c r="D533" s="83" t="s">
        <v>2059</v>
      </c>
      <c r="E533" s="83" t="b">
        <v>0</v>
      </c>
      <c r="F533" s="83" t="b">
        <v>0</v>
      </c>
      <c r="G533" s="83" t="b">
        <v>0</v>
      </c>
    </row>
    <row r="534" spans="1:7" ht="15">
      <c r="A534" s="84" t="s">
        <v>1951</v>
      </c>
      <c r="B534" s="83">
        <v>2</v>
      </c>
      <c r="C534" s="110">
        <v>0.0010812259090786612</v>
      </c>
      <c r="D534" s="83" t="s">
        <v>2059</v>
      </c>
      <c r="E534" s="83" t="b">
        <v>0</v>
      </c>
      <c r="F534" s="83" t="b">
        <v>0</v>
      </c>
      <c r="G534" s="83" t="b">
        <v>0</v>
      </c>
    </row>
    <row r="535" spans="1:7" ht="15">
      <c r="A535" s="84" t="s">
        <v>1952</v>
      </c>
      <c r="B535" s="83">
        <v>2</v>
      </c>
      <c r="C535" s="110">
        <v>0.0010812259090786612</v>
      </c>
      <c r="D535" s="83" t="s">
        <v>2059</v>
      </c>
      <c r="E535" s="83" t="b">
        <v>0</v>
      </c>
      <c r="F535" s="83" t="b">
        <v>0</v>
      </c>
      <c r="G535" s="83" t="b">
        <v>0</v>
      </c>
    </row>
    <row r="536" spans="1:7" ht="15">
      <c r="A536" s="84" t="s">
        <v>1953</v>
      </c>
      <c r="B536" s="83">
        <v>2</v>
      </c>
      <c r="C536" s="110">
        <v>0.0010812259090786612</v>
      </c>
      <c r="D536" s="83" t="s">
        <v>2059</v>
      </c>
      <c r="E536" s="83" t="b">
        <v>0</v>
      </c>
      <c r="F536" s="83" t="b">
        <v>0</v>
      </c>
      <c r="G536" s="83" t="b">
        <v>0</v>
      </c>
    </row>
    <row r="537" spans="1:7" ht="15">
      <c r="A537" s="84" t="s">
        <v>1954</v>
      </c>
      <c r="B537" s="83">
        <v>2</v>
      </c>
      <c r="C537" s="110">
        <v>0.0010812259090786612</v>
      </c>
      <c r="D537" s="83" t="s">
        <v>2059</v>
      </c>
      <c r="E537" s="83" t="b">
        <v>0</v>
      </c>
      <c r="F537" s="83" t="b">
        <v>0</v>
      </c>
      <c r="G537" s="83" t="b">
        <v>0</v>
      </c>
    </row>
    <row r="538" spans="1:7" ht="15">
      <c r="A538" s="84" t="s">
        <v>1955</v>
      </c>
      <c r="B538" s="83">
        <v>2</v>
      </c>
      <c r="C538" s="110">
        <v>0.0010812259090786612</v>
      </c>
      <c r="D538" s="83" t="s">
        <v>2059</v>
      </c>
      <c r="E538" s="83" t="b">
        <v>0</v>
      </c>
      <c r="F538" s="83" t="b">
        <v>0</v>
      </c>
      <c r="G538" s="83" t="b">
        <v>0</v>
      </c>
    </row>
    <row r="539" spans="1:7" ht="15">
      <c r="A539" s="84" t="s">
        <v>1956</v>
      </c>
      <c r="B539" s="83">
        <v>2</v>
      </c>
      <c r="C539" s="110">
        <v>0.0010812259090786612</v>
      </c>
      <c r="D539" s="83" t="s">
        <v>2059</v>
      </c>
      <c r="E539" s="83" t="b">
        <v>0</v>
      </c>
      <c r="F539" s="83" t="b">
        <v>0</v>
      </c>
      <c r="G539" s="83" t="b">
        <v>0</v>
      </c>
    </row>
    <row r="540" spans="1:7" ht="15">
      <c r="A540" s="84" t="s">
        <v>1957</v>
      </c>
      <c r="B540" s="83">
        <v>2</v>
      </c>
      <c r="C540" s="110">
        <v>0.0012314030084370953</v>
      </c>
      <c r="D540" s="83" t="s">
        <v>2059</v>
      </c>
      <c r="E540" s="83" t="b">
        <v>0</v>
      </c>
      <c r="F540" s="83" t="b">
        <v>0</v>
      </c>
      <c r="G540" s="83" t="b">
        <v>0</v>
      </c>
    </row>
    <row r="541" spans="1:7" ht="15">
      <c r="A541" s="84" t="s">
        <v>1958</v>
      </c>
      <c r="B541" s="83">
        <v>2</v>
      </c>
      <c r="C541" s="110">
        <v>0.0012314030084370953</v>
      </c>
      <c r="D541" s="83" t="s">
        <v>2059</v>
      </c>
      <c r="E541" s="83" t="b">
        <v>0</v>
      </c>
      <c r="F541" s="83" t="b">
        <v>0</v>
      </c>
      <c r="G541" s="83" t="b">
        <v>0</v>
      </c>
    </row>
    <row r="542" spans="1:7" ht="15">
      <c r="A542" s="84" t="s">
        <v>1959</v>
      </c>
      <c r="B542" s="83">
        <v>2</v>
      </c>
      <c r="C542" s="110">
        <v>0.0012314030084370953</v>
      </c>
      <c r="D542" s="83" t="s">
        <v>2059</v>
      </c>
      <c r="E542" s="83" t="b">
        <v>0</v>
      </c>
      <c r="F542" s="83" t="b">
        <v>0</v>
      </c>
      <c r="G542" s="83" t="b">
        <v>0</v>
      </c>
    </row>
    <row r="543" spans="1:7" ht="15">
      <c r="A543" s="84" t="s">
        <v>1960</v>
      </c>
      <c r="B543" s="83">
        <v>2</v>
      </c>
      <c r="C543" s="110">
        <v>0.0012314030084370953</v>
      </c>
      <c r="D543" s="83" t="s">
        <v>2059</v>
      </c>
      <c r="E543" s="83" t="b">
        <v>0</v>
      </c>
      <c r="F543" s="83" t="b">
        <v>0</v>
      </c>
      <c r="G543" s="83" t="b">
        <v>0</v>
      </c>
    </row>
    <row r="544" spans="1:7" ht="15">
      <c r="A544" s="84" t="s">
        <v>1961</v>
      </c>
      <c r="B544" s="83">
        <v>2</v>
      </c>
      <c r="C544" s="110">
        <v>0.0010812259090786612</v>
      </c>
      <c r="D544" s="83" t="s">
        <v>2059</v>
      </c>
      <c r="E544" s="83" t="b">
        <v>0</v>
      </c>
      <c r="F544" s="83" t="b">
        <v>0</v>
      </c>
      <c r="G544" s="83" t="b">
        <v>0</v>
      </c>
    </row>
    <row r="545" spans="1:7" ht="15">
      <c r="A545" s="84" t="s">
        <v>1962</v>
      </c>
      <c r="B545" s="83">
        <v>2</v>
      </c>
      <c r="C545" s="110">
        <v>0.0010812259090786612</v>
      </c>
      <c r="D545" s="83" t="s">
        <v>2059</v>
      </c>
      <c r="E545" s="83" t="b">
        <v>0</v>
      </c>
      <c r="F545" s="83" t="b">
        <v>0</v>
      </c>
      <c r="G545" s="83" t="b">
        <v>0</v>
      </c>
    </row>
    <row r="546" spans="1:7" ht="15">
      <c r="A546" s="84" t="s">
        <v>1963</v>
      </c>
      <c r="B546" s="83">
        <v>2</v>
      </c>
      <c r="C546" s="110">
        <v>0.0010812259090786612</v>
      </c>
      <c r="D546" s="83" t="s">
        <v>2059</v>
      </c>
      <c r="E546" s="83" t="b">
        <v>0</v>
      </c>
      <c r="F546" s="83" t="b">
        <v>0</v>
      </c>
      <c r="G546" s="83" t="b">
        <v>0</v>
      </c>
    </row>
    <row r="547" spans="1:7" ht="15">
      <c r="A547" s="84" t="s">
        <v>1964</v>
      </c>
      <c r="B547" s="83">
        <v>2</v>
      </c>
      <c r="C547" s="110">
        <v>0.0010812259090786612</v>
      </c>
      <c r="D547" s="83" t="s">
        <v>2059</v>
      </c>
      <c r="E547" s="83" t="b">
        <v>0</v>
      </c>
      <c r="F547" s="83" t="b">
        <v>0</v>
      </c>
      <c r="G547" s="83" t="b">
        <v>0</v>
      </c>
    </row>
    <row r="548" spans="1:7" ht="15">
      <c r="A548" s="84" t="s">
        <v>1965</v>
      </c>
      <c r="B548" s="83">
        <v>2</v>
      </c>
      <c r="C548" s="110">
        <v>0.0010812259090786612</v>
      </c>
      <c r="D548" s="83" t="s">
        <v>2059</v>
      </c>
      <c r="E548" s="83" t="b">
        <v>1</v>
      </c>
      <c r="F548" s="83" t="b">
        <v>0</v>
      </c>
      <c r="G548" s="83" t="b">
        <v>0</v>
      </c>
    </row>
    <row r="549" spans="1:7" ht="15">
      <c r="A549" s="84" t="s">
        <v>1966</v>
      </c>
      <c r="B549" s="83">
        <v>2</v>
      </c>
      <c r="C549" s="110">
        <v>0.0010812259090786612</v>
      </c>
      <c r="D549" s="83" t="s">
        <v>2059</v>
      </c>
      <c r="E549" s="83" t="b">
        <v>0</v>
      </c>
      <c r="F549" s="83" t="b">
        <v>0</v>
      </c>
      <c r="G549" s="83" t="b">
        <v>0</v>
      </c>
    </row>
    <row r="550" spans="1:7" ht="15">
      <c r="A550" s="84" t="s">
        <v>1967</v>
      </c>
      <c r="B550" s="83">
        <v>2</v>
      </c>
      <c r="C550" s="110">
        <v>0.0010812259090786612</v>
      </c>
      <c r="D550" s="83" t="s">
        <v>2059</v>
      </c>
      <c r="E550" s="83" t="b">
        <v>0</v>
      </c>
      <c r="F550" s="83" t="b">
        <v>0</v>
      </c>
      <c r="G550" s="83" t="b">
        <v>0</v>
      </c>
    </row>
    <row r="551" spans="1:7" ht="15">
      <c r="A551" s="84" t="s">
        <v>1968</v>
      </c>
      <c r="B551" s="83">
        <v>2</v>
      </c>
      <c r="C551" s="110">
        <v>0.0010812259090786612</v>
      </c>
      <c r="D551" s="83" t="s">
        <v>2059</v>
      </c>
      <c r="E551" s="83" t="b">
        <v>0</v>
      </c>
      <c r="F551" s="83" t="b">
        <v>0</v>
      </c>
      <c r="G551" s="83" t="b">
        <v>0</v>
      </c>
    </row>
    <row r="552" spans="1:7" ht="15">
      <c r="A552" s="84" t="s">
        <v>1969</v>
      </c>
      <c r="B552" s="83">
        <v>2</v>
      </c>
      <c r="C552" s="110">
        <v>0.0012314030084370953</v>
      </c>
      <c r="D552" s="83" t="s">
        <v>2059</v>
      </c>
      <c r="E552" s="83" t="b">
        <v>0</v>
      </c>
      <c r="F552" s="83" t="b">
        <v>0</v>
      </c>
      <c r="G552" s="83" t="b">
        <v>0</v>
      </c>
    </row>
    <row r="553" spans="1:7" ht="15">
      <c r="A553" s="84" t="s">
        <v>1970</v>
      </c>
      <c r="B553" s="83">
        <v>2</v>
      </c>
      <c r="C553" s="110">
        <v>0.0012314030084370953</v>
      </c>
      <c r="D553" s="83" t="s">
        <v>2059</v>
      </c>
      <c r="E553" s="83" t="b">
        <v>1</v>
      </c>
      <c r="F553" s="83" t="b">
        <v>0</v>
      </c>
      <c r="G553" s="83" t="b">
        <v>0</v>
      </c>
    </row>
    <row r="554" spans="1:7" ht="15">
      <c r="A554" s="84" t="s">
        <v>1971</v>
      </c>
      <c r="B554" s="83">
        <v>2</v>
      </c>
      <c r="C554" s="110">
        <v>0.0010812259090786612</v>
      </c>
      <c r="D554" s="83" t="s">
        <v>2059</v>
      </c>
      <c r="E554" s="83" t="b">
        <v>0</v>
      </c>
      <c r="F554" s="83" t="b">
        <v>0</v>
      </c>
      <c r="G554" s="83" t="b">
        <v>0</v>
      </c>
    </row>
    <row r="555" spans="1:7" ht="15">
      <c r="A555" s="84" t="s">
        <v>1972</v>
      </c>
      <c r="B555" s="83">
        <v>2</v>
      </c>
      <c r="C555" s="110">
        <v>0.0012314030084370953</v>
      </c>
      <c r="D555" s="83" t="s">
        <v>2059</v>
      </c>
      <c r="E555" s="83" t="b">
        <v>0</v>
      </c>
      <c r="F555" s="83" t="b">
        <v>0</v>
      </c>
      <c r="G555" s="83" t="b">
        <v>0</v>
      </c>
    </row>
    <row r="556" spans="1:7" ht="15">
      <c r="A556" s="84" t="s">
        <v>1973</v>
      </c>
      <c r="B556" s="83">
        <v>2</v>
      </c>
      <c r="C556" s="110">
        <v>0.0012314030084370953</v>
      </c>
      <c r="D556" s="83" t="s">
        <v>2059</v>
      </c>
      <c r="E556" s="83" t="b">
        <v>0</v>
      </c>
      <c r="F556" s="83" t="b">
        <v>0</v>
      </c>
      <c r="G556" s="83" t="b">
        <v>0</v>
      </c>
    </row>
    <row r="557" spans="1:7" ht="15">
      <c r="A557" s="84" t="s">
        <v>1974</v>
      </c>
      <c r="B557" s="83">
        <v>2</v>
      </c>
      <c r="C557" s="110">
        <v>0.0012314030084370953</v>
      </c>
      <c r="D557" s="83" t="s">
        <v>2059</v>
      </c>
      <c r="E557" s="83" t="b">
        <v>0</v>
      </c>
      <c r="F557" s="83" t="b">
        <v>0</v>
      </c>
      <c r="G557" s="83" t="b">
        <v>0</v>
      </c>
    </row>
    <row r="558" spans="1:7" ht="15">
      <c r="A558" s="84" t="s">
        <v>1975</v>
      </c>
      <c r="B558" s="83">
        <v>2</v>
      </c>
      <c r="C558" s="110">
        <v>0.0010812259090786612</v>
      </c>
      <c r="D558" s="83" t="s">
        <v>2059</v>
      </c>
      <c r="E558" s="83" t="b">
        <v>0</v>
      </c>
      <c r="F558" s="83" t="b">
        <v>0</v>
      </c>
      <c r="G558" s="83" t="b">
        <v>0</v>
      </c>
    </row>
    <row r="559" spans="1:7" ht="15">
      <c r="A559" s="84" t="s">
        <v>1976</v>
      </c>
      <c r="B559" s="83">
        <v>2</v>
      </c>
      <c r="C559" s="110">
        <v>0.0010812259090786612</v>
      </c>
      <c r="D559" s="83" t="s">
        <v>2059</v>
      </c>
      <c r="E559" s="83" t="b">
        <v>0</v>
      </c>
      <c r="F559" s="83" t="b">
        <v>0</v>
      </c>
      <c r="G559" s="83" t="b">
        <v>0</v>
      </c>
    </row>
    <row r="560" spans="1:7" ht="15">
      <c r="A560" s="84" t="s">
        <v>1977</v>
      </c>
      <c r="B560" s="83">
        <v>2</v>
      </c>
      <c r="C560" s="110">
        <v>0.0010812259090786612</v>
      </c>
      <c r="D560" s="83" t="s">
        <v>2059</v>
      </c>
      <c r="E560" s="83" t="b">
        <v>0</v>
      </c>
      <c r="F560" s="83" t="b">
        <v>0</v>
      </c>
      <c r="G560" s="83" t="b">
        <v>0</v>
      </c>
    </row>
    <row r="561" spans="1:7" ht="15">
      <c r="A561" s="84" t="s">
        <v>1978</v>
      </c>
      <c r="B561" s="83">
        <v>2</v>
      </c>
      <c r="C561" s="110">
        <v>0.0012314030084370953</v>
      </c>
      <c r="D561" s="83" t="s">
        <v>2059</v>
      </c>
      <c r="E561" s="83" t="b">
        <v>0</v>
      </c>
      <c r="F561" s="83" t="b">
        <v>0</v>
      </c>
      <c r="G561" s="83" t="b">
        <v>0</v>
      </c>
    </row>
    <row r="562" spans="1:7" ht="15">
      <c r="A562" s="84" t="s">
        <v>1979</v>
      </c>
      <c r="B562" s="83">
        <v>2</v>
      </c>
      <c r="C562" s="110">
        <v>0.0012314030084370953</v>
      </c>
      <c r="D562" s="83" t="s">
        <v>2059</v>
      </c>
      <c r="E562" s="83" t="b">
        <v>0</v>
      </c>
      <c r="F562" s="83" t="b">
        <v>0</v>
      </c>
      <c r="G562" s="83" t="b">
        <v>0</v>
      </c>
    </row>
    <row r="563" spans="1:7" ht="15">
      <c r="A563" s="84" t="s">
        <v>1980</v>
      </c>
      <c r="B563" s="83">
        <v>2</v>
      </c>
      <c r="C563" s="110">
        <v>0.0010812259090786612</v>
      </c>
      <c r="D563" s="83" t="s">
        <v>2059</v>
      </c>
      <c r="E563" s="83" t="b">
        <v>0</v>
      </c>
      <c r="F563" s="83" t="b">
        <v>0</v>
      </c>
      <c r="G563" s="83" t="b">
        <v>0</v>
      </c>
    </row>
    <row r="564" spans="1:7" ht="15">
      <c r="A564" s="84" t="s">
        <v>1981</v>
      </c>
      <c r="B564" s="83">
        <v>2</v>
      </c>
      <c r="C564" s="110">
        <v>0.0010812259090786612</v>
      </c>
      <c r="D564" s="83" t="s">
        <v>2059</v>
      </c>
      <c r="E564" s="83" t="b">
        <v>0</v>
      </c>
      <c r="F564" s="83" t="b">
        <v>0</v>
      </c>
      <c r="G564" s="83" t="b">
        <v>0</v>
      </c>
    </row>
    <row r="565" spans="1:7" ht="15">
      <c r="A565" s="84" t="s">
        <v>1982</v>
      </c>
      <c r="B565" s="83">
        <v>2</v>
      </c>
      <c r="C565" s="110">
        <v>0.0010812259090786612</v>
      </c>
      <c r="D565" s="83" t="s">
        <v>2059</v>
      </c>
      <c r="E565" s="83" t="b">
        <v>0</v>
      </c>
      <c r="F565" s="83" t="b">
        <v>0</v>
      </c>
      <c r="G565" s="83" t="b">
        <v>0</v>
      </c>
    </row>
    <row r="566" spans="1:7" ht="15">
      <c r="A566" s="84" t="s">
        <v>1983</v>
      </c>
      <c r="B566" s="83">
        <v>2</v>
      </c>
      <c r="C566" s="110">
        <v>0.0010812259090786612</v>
      </c>
      <c r="D566" s="83" t="s">
        <v>2059</v>
      </c>
      <c r="E566" s="83" t="b">
        <v>0</v>
      </c>
      <c r="F566" s="83" t="b">
        <v>0</v>
      </c>
      <c r="G566" s="83" t="b">
        <v>0</v>
      </c>
    </row>
    <row r="567" spans="1:7" ht="15">
      <c r="A567" s="84" t="s">
        <v>1984</v>
      </c>
      <c r="B567" s="83">
        <v>2</v>
      </c>
      <c r="C567" s="110">
        <v>0.0010812259090786612</v>
      </c>
      <c r="D567" s="83" t="s">
        <v>2059</v>
      </c>
      <c r="E567" s="83" t="b">
        <v>0</v>
      </c>
      <c r="F567" s="83" t="b">
        <v>0</v>
      </c>
      <c r="G567" s="83" t="b">
        <v>0</v>
      </c>
    </row>
    <row r="568" spans="1:7" ht="15">
      <c r="A568" s="84" t="s">
        <v>1985</v>
      </c>
      <c r="B568" s="83">
        <v>2</v>
      </c>
      <c r="C568" s="110">
        <v>0.0010812259090786612</v>
      </c>
      <c r="D568" s="83" t="s">
        <v>2059</v>
      </c>
      <c r="E568" s="83" t="b">
        <v>0</v>
      </c>
      <c r="F568" s="83" t="b">
        <v>0</v>
      </c>
      <c r="G568" s="83" t="b">
        <v>0</v>
      </c>
    </row>
    <row r="569" spans="1:7" ht="15">
      <c r="A569" s="84" t="s">
        <v>1986</v>
      </c>
      <c r="B569" s="83">
        <v>2</v>
      </c>
      <c r="C569" s="110">
        <v>0.0010812259090786612</v>
      </c>
      <c r="D569" s="83" t="s">
        <v>2059</v>
      </c>
      <c r="E569" s="83" t="b">
        <v>0</v>
      </c>
      <c r="F569" s="83" t="b">
        <v>0</v>
      </c>
      <c r="G569" s="83" t="b">
        <v>0</v>
      </c>
    </row>
    <row r="570" spans="1:7" ht="15">
      <c r="A570" s="84" t="s">
        <v>1987</v>
      </c>
      <c r="B570" s="83">
        <v>2</v>
      </c>
      <c r="C570" s="110">
        <v>0.0012314030084370953</v>
      </c>
      <c r="D570" s="83" t="s">
        <v>2059</v>
      </c>
      <c r="E570" s="83" t="b">
        <v>0</v>
      </c>
      <c r="F570" s="83" t="b">
        <v>0</v>
      </c>
      <c r="G570" s="83" t="b">
        <v>0</v>
      </c>
    </row>
    <row r="571" spans="1:7" ht="15">
      <c r="A571" s="84" t="s">
        <v>1988</v>
      </c>
      <c r="B571" s="83">
        <v>2</v>
      </c>
      <c r="C571" s="110">
        <v>0.0010812259090786612</v>
      </c>
      <c r="D571" s="83" t="s">
        <v>2059</v>
      </c>
      <c r="E571" s="83" t="b">
        <v>0</v>
      </c>
      <c r="F571" s="83" t="b">
        <v>0</v>
      </c>
      <c r="G571" s="83" t="b">
        <v>0</v>
      </c>
    </row>
    <row r="572" spans="1:7" ht="15">
      <c r="A572" s="84" t="s">
        <v>1989</v>
      </c>
      <c r="B572" s="83">
        <v>2</v>
      </c>
      <c r="C572" s="110">
        <v>0.0010812259090786612</v>
      </c>
      <c r="D572" s="83" t="s">
        <v>2059</v>
      </c>
      <c r="E572" s="83" t="b">
        <v>0</v>
      </c>
      <c r="F572" s="83" t="b">
        <v>0</v>
      </c>
      <c r="G572" s="83" t="b">
        <v>0</v>
      </c>
    </row>
    <row r="573" spans="1:7" ht="15">
      <c r="A573" s="84" t="s">
        <v>1990</v>
      </c>
      <c r="B573" s="83">
        <v>2</v>
      </c>
      <c r="C573" s="110">
        <v>0.0010812259090786612</v>
      </c>
      <c r="D573" s="83" t="s">
        <v>2059</v>
      </c>
      <c r="E573" s="83" t="b">
        <v>0</v>
      </c>
      <c r="F573" s="83" t="b">
        <v>0</v>
      </c>
      <c r="G573" s="83" t="b">
        <v>0</v>
      </c>
    </row>
    <row r="574" spans="1:7" ht="15">
      <c r="A574" s="84" t="s">
        <v>1991</v>
      </c>
      <c r="B574" s="83">
        <v>2</v>
      </c>
      <c r="C574" s="110">
        <v>0.0010812259090786612</v>
      </c>
      <c r="D574" s="83" t="s">
        <v>2059</v>
      </c>
      <c r="E574" s="83" t="b">
        <v>0</v>
      </c>
      <c r="F574" s="83" t="b">
        <v>0</v>
      </c>
      <c r="G574" s="83" t="b">
        <v>0</v>
      </c>
    </row>
    <row r="575" spans="1:7" ht="15">
      <c r="A575" s="84" t="s">
        <v>1992</v>
      </c>
      <c r="B575" s="83">
        <v>2</v>
      </c>
      <c r="C575" s="110">
        <v>0.0010812259090786612</v>
      </c>
      <c r="D575" s="83" t="s">
        <v>2059</v>
      </c>
      <c r="E575" s="83" t="b">
        <v>0</v>
      </c>
      <c r="F575" s="83" t="b">
        <v>0</v>
      </c>
      <c r="G575" s="83" t="b">
        <v>0</v>
      </c>
    </row>
    <row r="576" spans="1:7" ht="15">
      <c r="A576" s="84" t="s">
        <v>1993</v>
      </c>
      <c r="B576" s="83">
        <v>2</v>
      </c>
      <c r="C576" s="110">
        <v>0.0010812259090786612</v>
      </c>
      <c r="D576" s="83" t="s">
        <v>2059</v>
      </c>
      <c r="E576" s="83" t="b">
        <v>0</v>
      </c>
      <c r="F576" s="83" t="b">
        <v>0</v>
      </c>
      <c r="G576" s="83" t="b">
        <v>0</v>
      </c>
    </row>
    <row r="577" spans="1:7" ht="15">
      <c r="A577" s="84" t="s">
        <v>1994</v>
      </c>
      <c r="B577" s="83">
        <v>2</v>
      </c>
      <c r="C577" s="110">
        <v>0.0010812259090786612</v>
      </c>
      <c r="D577" s="83" t="s">
        <v>2059</v>
      </c>
      <c r="E577" s="83" t="b">
        <v>0</v>
      </c>
      <c r="F577" s="83" t="b">
        <v>0</v>
      </c>
      <c r="G577" s="83" t="b">
        <v>0</v>
      </c>
    </row>
    <row r="578" spans="1:7" ht="15">
      <c r="A578" s="84" t="s">
        <v>1995</v>
      </c>
      <c r="B578" s="83">
        <v>2</v>
      </c>
      <c r="C578" s="110">
        <v>0.0010812259090786612</v>
      </c>
      <c r="D578" s="83" t="s">
        <v>2059</v>
      </c>
      <c r="E578" s="83" t="b">
        <v>0</v>
      </c>
      <c r="F578" s="83" t="b">
        <v>0</v>
      </c>
      <c r="G578" s="83" t="b">
        <v>0</v>
      </c>
    </row>
    <row r="579" spans="1:7" ht="15">
      <c r="A579" s="84" t="s">
        <v>1996</v>
      </c>
      <c r="B579" s="83">
        <v>2</v>
      </c>
      <c r="C579" s="110">
        <v>0.0010812259090786612</v>
      </c>
      <c r="D579" s="83" t="s">
        <v>2059</v>
      </c>
      <c r="E579" s="83" t="b">
        <v>0</v>
      </c>
      <c r="F579" s="83" t="b">
        <v>0</v>
      </c>
      <c r="G579" s="83" t="b">
        <v>0</v>
      </c>
    </row>
    <row r="580" spans="1:7" ht="15">
      <c r="A580" s="84" t="s">
        <v>1997</v>
      </c>
      <c r="B580" s="83">
        <v>2</v>
      </c>
      <c r="C580" s="110">
        <v>0.0012314030084370953</v>
      </c>
      <c r="D580" s="83" t="s">
        <v>2059</v>
      </c>
      <c r="E580" s="83" t="b">
        <v>0</v>
      </c>
      <c r="F580" s="83" t="b">
        <v>0</v>
      </c>
      <c r="G580" s="83" t="b">
        <v>0</v>
      </c>
    </row>
    <row r="581" spans="1:7" ht="15">
      <c r="A581" s="84" t="s">
        <v>1998</v>
      </c>
      <c r="B581" s="83">
        <v>2</v>
      </c>
      <c r="C581" s="110">
        <v>0.0010812259090786612</v>
      </c>
      <c r="D581" s="83" t="s">
        <v>2059</v>
      </c>
      <c r="E581" s="83" t="b">
        <v>0</v>
      </c>
      <c r="F581" s="83" t="b">
        <v>0</v>
      </c>
      <c r="G581" s="83" t="b">
        <v>0</v>
      </c>
    </row>
    <row r="582" spans="1:7" ht="15">
      <c r="A582" s="84" t="s">
        <v>1999</v>
      </c>
      <c r="B582" s="83">
        <v>2</v>
      </c>
      <c r="C582" s="110">
        <v>0.0012314030084370953</v>
      </c>
      <c r="D582" s="83" t="s">
        <v>2059</v>
      </c>
      <c r="E582" s="83" t="b">
        <v>0</v>
      </c>
      <c r="F582" s="83" t="b">
        <v>0</v>
      </c>
      <c r="G582" s="83" t="b">
        <v>0</v>
      </c>
    </row>
    <row r="583" spans="1:7" ht="15">
      <c r="A583" s="84" t="s">
        <v>2000</v>
      </c>
      <c r="B583" s="83">
        <v>2</v>
      </c>
      <c r="C583" s="110">
        <v>0.0010812259090786612</v>
      </c>
      <c r="D583" s="83" t="s">
        <v>2059</v>
      </c>
      <c r="E583" s="83" t="b">
        <v>0</v>
      </c>
      <c r="F583" s="83" t="b">
        <v>0</v>
      </c>
      <c r="G583" s="83" t="b">
        <v>0</v>
      </c>
    </row>
    <row r="584" spans="1:7" ht="15">
      <c r="A584" s="84" t="s">
        <v>2001</v>
      </c>
      <c r="B584" s="83">
        <v>2</v>
      </c>
      <c r="C584" s="110">
        <v>0.0012314030084370953</v>
      </c>
      <c r="D584" s="83" t="s">
        <v>2059</v>
      </c>
      <c r="E584" s="83" t="b">
        <v>0</v>
      </c>
      <c r="F584" s="83" t="b">
        <v>0</v>
      </c>
      <c r="G584" s="83" t="b">
        <v>0</v>
      </c>
    </row>
    <row r="585" spans="1:7" ht="15">
      <c r="A585" s="84" t="s">
        <v>2002</v>
      </c>
      <c r="B585" s="83">
        <v>2</v>
      </c>
      <c r="C585" s="110">
        <v>0.0010812259090786612</v>
      </c>
      <c r="D585" s="83" t="s">
        <v>2059</v>
      </c>
      <c r="E585" s="83" t="b">
        <v>0</v>
      </c>
      <c r="F585" s="83" t="b">
        <v>0</v>
      </c>
      <c r="G585" s="83" t="b">
        <v>0</v>
      </c>
    </row>
    <row r="586" spans="1:7" ht="15">
      <c r="A586" s="84" t="s">
        <v>2003</v>
      </c>
      <c r="B586" s="83">
        <v>2</v>
      </c>
      <c r="C586" s="110">
        <v>0.0010812259090786612</v>
      </c>
      <c r="D586" s="83" t="s">
        <v>2059</v>
      </c>
      <c r="E586" s="83" t="b">
        <v>0</v>
      </c>
      <c r="F586" s="83" t="b">
        <v>0</v>
      </c>
      <c r="G586" s="83" t="b">
        <v>0</v>
      </c>
    </row>
    <row r="587" spans="1:7" ht="15">
      <c r="A587" s="84" t="s">
        <v>2004</v>
      </c>
      <c r="B587" s="83">
        <v>2</v>
      </c>
      <c r="C587" s="110">
        <v>0.0010812259090786612</v>
      </c>
      <c r="D587" s="83" t="s">
        <v>2059</v>
      </c>
      <c r="E587" s="83" t="b">
        <v>0</v>
      </c>
      <c r="F587" s="83" t="b">
        <v>0</v>
      </c>
      <c r="G587" s="83" t="b">
        <v>0</v>
      </c>
    </row>
    <row r="588" spans="1:7" ht="15">
      <c r="A588" s="84" t="s">
        <v>2005</v>
      </c>
      <c r="B588" s="83">
        <v>2</v>
      </c>
      <c r="C588" s="110">
        <v>0.0012314030084370953</v>
      </c>
      <c r="D588" s="83" t="s">
        <v>2059</v>
      </c>
      <c r="E588" s="83" t="b">
        <v>0</v>
      </c>
      <c r="F588" s="83" t="b">
        <v>0</v>
      </c>
      <c r="G588" s="83" t="b">
        <v>0</v>
      </c>
    </row>
    <row r="589" spans="1:7" ht="15">
      <c r="A589" s="84" t="s">
        <v>2006</v>
      </c>
      <c r="B589" s="83">
        <v>2</v>
      </c>
      <c r="C589" s="110">
        <v>0.0012314030084370953</v>
      </c>
      <c r="D589" s="83" t="s">
        <v>2059</v>
      </c>
      <c r="E589" s="83" t="b">
        <v>0</v>
      </c>
      <c r="F589" s="83" t="b">
        <v>0</v>
      </c>
      <c r="G589" s="83" t="b">
        <v>0</v>
      </c>
    </row>
    <row r="590" spans="1:7" ht="15">
      <c r="A590" s="84" t="s">
        <v>2007</v>
      </c>
      <c r="B590" s="83">
        <v>2</v>
      </c>
      <c r="C590" s="110">
        <v>0.0012314030084370953</v>
      </c>
      <c r="D590" s="83" t="s">
        <v>2059</v>
      </c>
      <c r="E590" s="83" t="b">
        <v>0</v>
      </c>
      <c r="F590" s="83" t="b">
        <v>0</v>
      </c>
      <c r="G590" s="83" t="b">
        <v>0</v>
      </c>
    </row>
    <row r="591" spans="1:7" ht="15">
      <c r="A591" s="84" t="s">
        <v>2008</v>
      </c>
      <c r="B591" s="83">
        <v>2</v>
      </c>
      <c r="C591" s="110">
        <v>0.0012314030084370953</v>
      </c>
      <c r="D591" s="83" t="s">
        <v>2059</v>
      </c>
      <c r="E591" s="83" t="b">
        <v>0</v>
      </c>
      <c r="F591" s="83" t="b">
        <v>0</v>
      </c>
      <c r="G591" s="83" t="b">
        <v>0</v>
      </c>
    </row>
    <row r="592" spans="1:7" ht="15">
      <c r="A592" s="84" t="s">
        <v>2009</v>
      </c>
      <c r="B592" s="83">
        <v>2</v>
      </c>
      <c r="C592" s="110">
        <v>0.0012314030084370953</v>
      </c>
      <c r="D592" s="83" t="s">
        <v>2059</v>
      </c>
      <c r="E592" s="83" t="b">
        <v>0</v>
      </c>
      <c r="F592" s="83" t="b">
        <v>0</v>
      </c>
      <c r="G592" s="83" t="b">
        <v>0</v>
      </c>
    </row>
    <row r="593" spans="1:7" ht="15">
      <c r="A593" s="84" t="s">
        <v>2010</v>
      </c>
      <c r="B593" s="83">
        <v>2</v>
      </c>
      <c r="C593" s="110">
        <v>0.0012314030084370953</v>
      </c>
      <c r="D593" s="83" t="s">
        <v>2059</v>
      </c>
      <c r="E593" s="83" t="b">
        <v>0</v>
      </c>
      <c r="F593" s="83" t="b">
        <v>0</v>
      </c>
      <c r="G593" s="83" t="b">
        <v>0</v>
      </c>
    </row>
    <row r="594" spans="1:7" ht="15">
      <c r="A594" s="84" t="s">
        <v>2011</v>
      </c>
      <c r="B594" s="83">
        <v>2</v>
      </c>
      <c r="C594" s="110">
        <v>0.0012314030084370953</v>
      </c>
      <c r="D594" s="83" t="s">
        <v>2059</v>
      </c>
      <c r="E594" s="83" t="b">
        <v>0</v>
      </c>
      <c r="F594" s="83" t="b">
        <v>0</v>
      </c>
      <c r="G594" s="83" t="b">
        <v>0</v>
      </c>
    </row>
    <row r="595" spans="1:7" ht="15">
      <c r="A595" s="84" t="s">
        <v>2012</v>
      </c>
      <c r="B595" s="83">
        <v>2</v>
      </c>
      <c r="C595" s="110">
        <v>0.0012314030084370953</v>
      </c>
      <c r="D595" s="83" t="s">
        <v>2059</v>
      </c>
      <c r="E595" s="83" t="b">
        <v>0</v>
      </c>
      <c r="F595" s="83" t="b">
        <v>0</v>
      </c>
      <c r="G595" s="83" t="b">
        <v>0</v>
      </c>
    </row>
    <row r="596" spans="1:7" ht="15">
      <c r="A596" s="84" t="s">
        <v>2013</v>
      </c>
      <c r="B596" s="83">
        <v>2</v>
      </c>
      <c r="C596" s="110">
        <v>0.0012314030084370953</v>
      </c>
      <c r="D596" s="83" t="s">
        <v>2059</v>
      </c>
      <c r="E596" s="83" t="b">
        <v>0</v>
      </c>
      <c r="F596" s="83" t="b">
        <v>0</v>
      </c>
      <c r="G596" s="83" t="b">
        <v>0</v>
      </c>
    </row>
    <row r="597" spans="1:7" ht="15">
      <c r="A597" s="84" t="s">
        <v>2014</v>
      </c>
      <c r="B597" s="83">
        <v>2</v>
      </c>
      <c r="C597" s="110">
        <v>0.0012314030084370953</v>
      </c>
      <c r="D597" s="83" t="s">
        <v>2059</v>
      </c>
      <c r="E597" s="83" t="b">
        <v>0</v>
      </c>
      <c r="F597" s="83" t="b">
        <v>0</v>
      </c>
      <c r="G597" s="83" t="b">
        <v>0</v>
      </c>
    </row>
    <row r="598" spans="1:7" ht="15">
      <c r="A598" s="84" t="s">
        <v>2015</v>
      </c>
      <c r="B598" s="83">
        <v>2</v>
      </c>
      <c r="C598" s="110">
        <v>0.0012314030084370953</v>
      </c>
      <c r="D598" s="83" t="s">
        <v>2059</v>
      </c>
      <c r="E598" s="83" t="b">
        <v>0</v>
      </c>
      <c r="F598" s="83" t="b">
        <v>0</v>
      </c>
      <c r="G598" s="83" t="b">
        <v>0</v>
      </c>
    </row>
    <row r="599" spans="1:7" ht="15">
      <c r="A599" s="84" t="s">
        <v>2016</v>
      </c>
      <c r="B599" s="83">
        <v>2</v>
      </c>
      <c r="C599" s="110">
        <v>0.0012314030084370953</v>
      </c>
      <c r="D599" s="83" t="s">
        <v>2059</v>
      </c>
      <c r="E599" s="83" t="b">
        <v>0</v>
      </c>
      <c r="F599" s="83" t="b">
        <v>0</v>
      </c>
      <c r="G599" s="83" t="b">
        <v>0</v>
      </c>
    </row>
    <row r="600" spans="1:7" ht="15">
      <c r="A600" s="84" t="s">
        <v>2017</v>
      </c>
      <c r="B600" s="83">
        <v>2</v>
      </c>
      <c r="C600" s="110">
        <v>0.0012314030084370953</v>
      </c>
      <c r="D600" s="83" t="s">
        <v>2059</v>
      </c>
      <c r="E600" s="83" t="b">
        <v>0</v>
      </c>
      <c r="F600" s="83" t="b">
        <v>0</v>
      </c>
      <c r="G600" s="83" t="b">
        <v>0</v>
      </c>
    </row>
    <row r="601" spans="1:7" ht="15">
      <c r="A601" s="84" t="s">
        <v>2018</v>
      </c>
      <c r="B601" s="83">
        <v>2</v>
      </c>
      <c r="C601" s="110">
        <v>0.0010812259090786612</v>
      </c>
      <c r="D601" s="83" t="s">
        <v>2059</v>
      </c>
      <c r="E601" s="83" t="b">
        <v>0</v>
      </c>
      <c r="F601" s="83" t="b">
        <v>0</v>
      </c>
      <c r="G601" s="83" t="b">
        <v>0</v>
      </c>
    </row>
    <row r="602" spans="1:7" ht="15">
      <c r="A602" s="84" t="s">
        <v>2019</v>
      </c>
      <c r="B602" s="83">
        <v>2</v>
      </c>
      <c r="C602" s="110">
        <v>0.0012314030084370953</v>
      </c>
      <c r="D602" s="83" t="s">
        <v>2059</v>
      </c>
      <c r="E602" s="83" t="b">
        <v>0</v>
      </c>
      <c r="F602" s="83" t="b">
        <v>0</v>
      </c>
      <c r="G602" s="83" t="b">
        <v>0</v>
      </c>
    </row>
    <row r="603" spans="1:7" ht="15">
      <c r="A603" s="84" t="s">
        <v>2020</v>
      </c>
      <c r="B603" s="83">
        <v>2</v>
      </c>
      <c r="C603" s="110">
        <v>0.0010812259090786612</v>
      </c>
      <c r="D603" s="83" t="s">
        <v>2059</v>
      </c>
      <c r="E603" s="83" t="b">
        <v>0</v>
      </c>
      <c r="F603" s="83" t="b">
        <v>0</v>
      </c>
      <c r="G603" s="83" t="b">
        <v>0</v>
      </c>
    </row>
    <row r="604" spans="1:7" ht="15">
      <c r="A604" s="84" t="s">
        <v>2021</v>
      </c>
      <c r="B604" s="83">
        <v>2</v>
      </c>
      <c r="C604" s="110">
        <v>0.0010812259090786612</v>
      </c>
      <c r="D604" s="83" t="s">
        <v>2059</v>
      </c>
      <c r="E604" s="83" t="b">
        <v>0</v>
      </c>
      <c r="F604" s="83" t="b">
        <v>0</v>
      </c>
      <c r="G604" s="83" t="b">
        <v>0</v>
      </c>
    </row>
    <row r="605" spans="1:7" ht="15">
      <c r="A605" s="84" t="s">
        <v>2022</v>
      </c>
      <c r="B605" s="83">
        <v>2</v>
      </c>
      <c r="C605" s="110">
        <v>0.0010812259090786612</v>
      </c>
      <c r="D605" s="83" t="s">
        <v>2059</v>
      </c>
      <c r="E605" s="83" t="b">
        <v>0</v>
      </c>
      <c r="F605" s="83" t="b">
        <v>0</v>
      </c>
      <c r="G605" s="83" t="b">
        <v>0</v>
      </c>
    </row>
    <row r="606" spans="1:7" ht="15">
      <c r="A606" s="84" t="s">
        <v>2023</v>
      </c>
      <c r="B606" s="83">
        <v>2</v>
      </c>
      <c r="C606" s="110">
        <v>0.0010812259090786612</v>
      </c>
      <c r="D606" s="83" t="s">
        <v>2059</v>
      </c>
      <c r="E606" s="83" t="b">
        <v>0</v>
      </c>
      <c r="F606" s="83" t="b">
        <v>0</v>
      </c>
      <c r="G606" s="83" t="b">
        <v>0</v>
      </c>
    </row>
    <row r="607" spans="1:7" ht="15">
      <c r="A607" s="84" t="s">
        <v>2024</v>
      </c>
      <c r="B607" s="83">
        <v>2</v>
      </c>
      <c r="C607" s="110">
        <v>0.0010812259090786612</v>
      </c>
      <c r="D607" s="83" t="s">
        <v>2059</v>
      </c>
      <c r="E607" s="83" t="b">
        <v>0</v>
      </c>
      <c r="F607" s="83" t="b">
        <v>0</v>
      </c>
      <c r="G607" s="83" t="b">
        <v>0</v>
      </c>
    </row>
    <row r="608" spans="1:7" ht="15">
      <c r="A608" s="84" t="s">
        <v>2025</v>
      </c>
      <c r="B608" s="83">
        <v>2</v>
      </c>
      <c r="C608" s="110">
        <v>0.0010812259090786612</v>
      </c>
      <c r="D608" s="83" t="s">
        <v>2059</v>
      </c>
      <c r="E608" s="83" t="b">
        <v>0</v>
      </c>
      <c r="F608" s="83" t="b">
        <v>0</v>
      </c>
      <c r="G608" s="83" t="b">
        <v>0</v>
      </c>
    </row>
    <row r="609" spans="1:7" ht="15">
      <c r="A609" s="84" t="s">
        <v>2026</v>
      </c>
      <c r="B609" s="83">
        <v>2</v>
      </c>
      <c r="C609" s="110">
        <v>0.0010812259090786612</v>
      </c>
      <c r="D609" s="83" t="s">
        <v>2059</v>
      </c>
      <c r="E609" s="83" t="b">
        <v>0</v>
      </c>
      <c r="F609" s="83" t="b">
        <v>0</v>
      </c>
      <c r="G609" s="83" t="b">
        <v>0</v>
      </c>
    </row>
    <row r="610" spans="1:7" ht="15">
      <c r="A610" s="84" t="s">
        <v>2027</v>
      </c>
      <c r="B610" s="83">
        <v>2</v>
      </c>
      <c r="C610" s="110">
        <v>0.0010812259090786612</v>
      </c>
      <c r="D610" s="83" t="s">
        <v>2059</v>
      </c>
      <c r="E610" s="83" t="b">
        <v>0</v>
      </c>
      <c r="F610" s="83" t="b">
        <v>0</v>
      </c>
      <c r="G610" s="83" t="b">
        <v>0</v>
      </c>
    </row>
    <row r="611" spans="1:7" ht="15">
      <c r="A611" s="84" t="s">
        <v>2028</v>
      </c>
      <c r="B611" s="83">
        <v>2</v>
      </c>
      <c r="C611" s="110">
        <v>0.0012314030084370953</v>
      </c>
      <c r="D611" s="83" t="s">
        <v>2059</v>
      </c>
      <c r="E611" s="83" t="b">
        <v>0</v>
      </c>
      <c r="F611" s="83" t="b">
        <v>0</v>
      </c>
      <c r="G611" s="83" t="b">
        <v>0</v>
      </c>
    </row>
    <row r="612" spans="1:7" ht="15">
      <c r="A612" s="84" t="s">
        <v>2029</v>
      </c>
      <c r="B612" s="83">
        <v>2</v>
      </c>
      <c r="C612" s="110">
        <v>0.0010812259090786612</v>
      </c>
      <c r="D612" s="83" t="s">
        <v>2059</v>
      </c>
      <c r="E612" s="83" t="b">
        <v>0</v>
      </c>
      <c r="F612" s="83" t="b">
        <v>0</v>
      </c>
      <c r="G612" s="83" t="b">
        <v>0</v>
      </c>
    </row>
    <row r="613" spans="1:7" ht="15">
      <c r="A613" s="84" t="s">
        <v>2030</v>
      </c>
      <c r="B613" s="83">
        <v>2</v>
      </c>
      <c r="C613" s="110">
        <v>0.0010812259090786612</v>
      </c>
      <c r="D613" s="83" t="s">
        <v>2059</v>
      </c>
      <c r="E613" s="83" t="b">
        <v>0</v>
      </c>
      <c r="F613" s="83" t="b">
        <v>0</v>
      </c>
      <c r="G613" s="83" t="b">
        <v>0</v>
      </c>
    </row>
    <row r="614" spans="1:7" ht="15">
      <c r="A614" s="84" t="s">
        <v>2031</v>
      </c>
      <c r="B614" s="83">
        <v>2</v>
      </c>
      <c r="C614" s="110">
        <v>0.0012314030084370953</v>
      </c>
      <c r="D614" s="83" t="s">
        <v>2059</v>
      </c>
      <c r="E614" s="83" t="b">
        <v>0</v>
      </c>
      <c r="F614" s="83" t="b">
        <v>0</v>
      </c>
      <c r="G614" s="83" t="b">
        <v>0</v>
      </c>
    </row>
    <row r="615" spans="1:7" ht="15">
      <c r="A615" s="84" t="s">
        <v>2032</v>
      </c>
      <c r="B615" s="83">
        <v>2</v>
      </c>
      <c r="C615" s="110">
        <v>0.0012314030084370953</v>
      </c>
      <c r="D615" s="83" t="s">
        <v>2059</v>
      </c>
      <c r="E615" s="83" t="b">
        <v>0</v>
      </c>
      <c r="F615" s="83" t="b">
        <v>0</v>
      </c>
      <c r="G615" s="83" t="b">
        <v>0</v>
      </c>
    </row>
    <row r="616" spans="1:7" ht="15">
      <c r="A616" s="84" t="s">
        <v>2033</v>
      </c>
      <c r="B616" s="83">
        <v>2</v>
      </c>
      <c r="C616" s="110">
        <v>0.0012314030084370953</v>
      </c>
      <c r="D616" s="83" t="s">
        <v>2059</v>
      </c>
      <c r="E616" s="83" t="b">
        <v>0</v>
      </c>
      <c r="F616" s="83" t="b">
        <v>0</v>
      </c>
      <c r="G616" s="83" t="b">
        <v>0</v>
      </c>
    </row>
    <row r="617" spans="1:7" ht="15">
      <c r="A617" s="84" t="s">
        <v>2034</v>
      </c>
      <c r="B617" s="83">
        <v>2</v>
      </c>
      <c r="C617" s="110">
        <v>0.0010812259090786612</v>
      </c>
      <c r="D617" s="83" t="s">
        <v>2059</v>
      </c>
      <c r="E617" s="83" t="b">
        <v>0</v>
      </c>
      <c r="F617" s="83" t="b">
        <v>0</v>
      </c>
      <c r="G617" s="83" t="b">
        <v>0</v>
      </c>
    </row>
    <row r="618" spans="1:7" ht="15">
      <c r="A618" s="84" t="s">
        <v>2035</v>
      </c>
      <c r="B618" s="83">
        <v>2</v>
      </c>
      <c r="C618" s="110">
        <v>0.0012314030084370953</v>
      </c>
      <c r="D618" s="83" t="s">
        <v>2059</v>
      </c>
      <c r="E618" s="83" t="b">
        <v>0</v>
      </c>
      <c r="F618" s="83" t="b">
        <v>0</v>
      </c>
      <c r="G618" s="83" t="b">
        <v>0</v>
      </c>
    </row>
    <row r="619" spans="1:7" ht="15">
      <c r="A619" s="84" t="s">
        <v>2036</v>
      </c>
      <c r="B619" s="83">
        <v>2</v>
      </c>
      <c r="C619" s="110">
        <v>0.0012314030084370953</v>
      </c>
      <c r="D619" s="83" t="s">
        <v>2059</v>
      </c>
      <c r="E619" s="83" t="b">
        <v>0</v>
      </c>
      <c r="F619" s="83" t="b">
        <v>0</v>
      </c>
      <c r="G619" s="83" t="b">
        <v>0</v>
      </c>
    </row>
    <row r="620" spans="1:7" ht="15">
      <c r="A620" s="84" t="s">
        <v>2037</v>
      </c>
      <c r="B620" s="83">
        <v>2</v>
      </c>
      <c r="C620" s="110">
        <v>0.0012314030084370953</v>
      </c>
      <c r="D620" s="83" t="s">
        <v>2059</v>
      </c>
      <c r="E620" s="83" t="b">
        <v>0</v>
      </c>
      <c r="F620" s="83" t="b">
        <v>0</v>
      </c>
      <c r="G620" s="83" t="b">
        <v>0</v>
      </c>
    </row>
    <row r="621" spans="1:7" ht="15">
      <c r="A621" s="84" t="s">
        <v>2038</v>
      </c>
      <c r="B621" s="83">
        <v>2</v>
      </c>
      <c r="C621" s="110">
        <v>0.0012314030084370953</v>
      </c>
      <c r="D621" s="83" t="s">
        <v>2059</v>
      </c>
      <c r="E621" s="83" t="b">
        <v>0</v>
      </c>
      <c r="F621" s="83" t="b">
        <v>0</v>
      </c>
      <c r="G621" s="83" t="b">
        <v>0</v>
      </c>
    </row>
    <row r="622" spans="1:7" ht="15">
      <c r="A622" s="84" t="s">
        <v>2039</v>
      </c>
      <c r="B622" s="83">
        <v>2</v>
      </c>
      <c r="C622" s="110">
        <v>0.0012314030084370953</v>
      </c>
      <c r="D622" s="83" t="s">
        <v>2059</v>
      </c>
      <c r="E622" s="83" t="b">
        <v>0</v>
      </c>
      <c r="F622" s="83" t="b">
        <v>0</v>
      </c>
      <c r="G622" s="83" t="b">
        <v>0</v>
      </c>
    </row>
    <row r="623" spans="1:7" ht="15">
      <c r="A623" s="84" t="s">
        <v>2040</v>
      </c>
      <c r="B623" s="83">
        <v>2</v>
      </c>
      <c r="C623" s="110">
        <v>0.0012314030084370953</v>
      </c>
      <c r="D623" s="83" t="s">
        <v>2059</v>
      </c>
      <c r="E623" s="83" t="b">
        <v>0</v>
      </c>
      <c r="F623" s="83" t="b">
        <v>0</v>
      </c>
      <c r="G623" s="83" t="b">
        <v>0</v>
      </c>
    </row>
    <row r="624" spans="1:7" ht="15">
      <c r="A624" s="84" t="s">
        <v>2041</v>
      </c>
      <c r="B624" s="83">
        <v>2</v>
      </c>
      <c r="C624" s="110">
        <v>0.0012314030084370953</v>
      </c>
      <c r="D624" s="83" t="s">
        <v>2059</v>
      </c>
      <c r="E624" s="83" t="b">
        <v>0</v>
      </c>
      <c r="F624" s="83" t="b">
        <v>0</v>
      </c>
      <c r="G624" s="83" t="b">
        <v>0</v>
      </c>
    </row>
    <row r="625" spans="1:7" ht="15">
      <c r="A625" s="84" t="s">
        <v>2042</v>
      </c>
      <c r="B625" s="83">
        <v>2</v>
      </c>
      <c r="C625" s="110">
        <v>0.0012314030084370953</v>
      </c>
      <c r="D625" s="83" t="s">
        <v>2059</v>
      </c>
      <c r="E625" s="83" t="b">
        <v>0</v>
      </c>
      <c r="F625" s="83" t="b">
        <v>0</v>
      </c>
      <c r="G625" s="83" t="b">
        <v>0</v>
      </c>
    </row>
    <row r="626" spans="1:7" ht="15">
      <c r="A626" s="84" t="s">
        <v>2043</v>
      </c>
      <c r="B626" s="83">
        <v>2</v>
      </c>
      <c r="C626" s="110">
        <v>0.0012314030084370953</v>
      </c>
      <c r="D626" s="83" t="s">
        <v>2059</v>
      </c>
      <c r="E626" s="83" t="b">
        <v>0</v>
      </c>
      <c r="F626" s="83" t="b">
        <v>0</v>
      </c>
      <c r="G626" s="83" t="b">
        <v>0</v>
      </c>
    </row>
    <row r="627" spans="1:7" ht="15">
      <c r="A627" s="84" t="s">
        <v>2044</v>
      </c>
      <c r="B627" s="83">
        <v>2</v>
      </c>
      <c r="C627" s="110">
        <v>0.0012314030084370953</v>
      </c>
      <c r="D627" s="83" t="s">
        <v>2059</v>
      </c>
      <c r="E627" s="83" t="b">
        <v>0</v>
      </c>
      <c r="F627" s="83" t="b">
        <v>0</v>
      </c>
      <c r="G627" s="83" t="b">
        <v>0</v>
      </c>
    </row>
    <row r="628" spans="1:7" ht="15">
      <c r="A628" s="84" t="s">
        <v>2045</v>
      </c>
      <c r="B628" s="83">
        <v>2</v>
      </c>
      <c r="C628" s="110">
        <v>0.0012314030084370953</v>
      </c>
      <c r="D628" s="83" t="s">
        <v>2059</v>
      </c>
      <c r="E628" s="83" t="b">
        <v>0</v>
      </c>
      <c r="F628" s="83" t="b">
        <v>0</v>
      </c>
      <c r="G628" s="83" t="b">
        <v>0</v>
      </c>
    </row>
    <row r="629" spans="1:7" ht="15">
      <c r="A629" s="84" t="s">
        <v>2046</v>
      </c>
      <c r="B629" s="83">
        <v>2</v>
      </c>
      <c r="C629" s="110">
        <v>0.0012314030084370953</v>
      </c>
      <c r="D629" s="83" t="s">
        <v>2059</v>
      </c>
      <c r="E629" s="83" t="b">
        <v>0</v>
      </c>
      <c r="F629" s="83" t="b">
        <v>0</v>
      </c>
      <c r="G629" s="83" t="b">
        <v>0</v>
      </c>
    </row>
    <row r="630" spans="1:7" ht="15">
      <c r="A630" s="84" t="s">
        <v>2047</v>
      </c>
      <c r="B630" s="83">
        <v>2</v>
      </c>
      <c r="C630" s="110">
        <v>0.0012314030084370953</v>
      </c>
      <c r="D630" s="83" t="s">
        <v>2059</v>
      </c>
      <c r="E630" s="83" t="b">
        <v>0</v>
      </c>
      <c r="F630" s="83" t="b">
        <v>0</v>
      </c>
      <c r="G630" s="83" t="b">
        <v>0</v>
      </c>
    </row>
    <row r="631" spans="1:7" ht="15">
      <c r="A631" s="84" t="s">
        <v>2048</v>
      </c>
      <c r="B631" s="83">
        <v>2</v>
      </c>
      <c r="C631" s="110">
        <v>0.0012314030084370953</v>
      </c>
      <c r="D631" s="83" t="s">
        <v>2059</v>
      </c>
      <c r="E631" s="83" t="b">
        <v>0</v>
      </c>
      <c r="F631" s="83" t="b">
        <v>0</v>
      </c>
      <c r="G631" s="83" t="b">
        <v>0</v>
      </c>
    </row>
    <row r="632" spans="1:7" ht="15">
      <c r="A632" s="84" t="s">
        <v>2049</v>
      </c>
      <c r="B632" s="83">
        <v>2</v>
      </c>
      <c r="C632" s="110">
        <v>0.0012314030084370953</v>
      </c>
      <c r="D632" s="83" t="s">
        <v>2059</v>
      </c>
      <c r="E632" s="83" t="b">
        <v>0</v>
      </c>
      <c r="F632" s="83" t="b">
        <v>0</v>
      </c>
      <c r="G632" s="83" t="b">
        <v>0</v>
      </c>
    </row>
    <row r="633" spans="1:7" ht="15">
      <c r="A633" s="84" t="s">
        <v>2050</v>
      </c>
      <c r="B633" s="83">
        <v>2</v>
      </c>
      <c r="C633" s="110">
        <v>0.0012314030084370953</v>
      </c>
      <c r="D633" s="83" t="s">
        <v>2059</v>
      </c>
      <c r="E633" s="83" t="b">
        <v>0</v>
      </c>
      <c r="F633" s="83" t="b">
        <v>0</v>
      </c>
      <c r="G633" s="83" t="b">
        <v>0</v>
      </c>
    </row>
    <row r="634" spans="1:7" ht="15">
      <c r="A634" s="84" t="s">
        <v>2051</v>
      </c>
      <c r="B634" s="83">
        <v>2</v>
      </c>
      <c r="C634" s="110">
        <v>0.0012314030084370953</v>
      </c>
      <c r="D634" s="83" t="s">
        <v>2059</v>
      </c>
      <c r="E634" s="83" t="b">
        <v>0</v>
      </c>
      <c r="F634" s="83" t="b">
        <v>0</v>
      </c>
      <c r="G634" s="83" t="b">
        <v>0</v>
      </c>
    </row>
    <row r="635" spans="1:7" ht="15">
      <c r="A635" s="84" t="s">
        <v>2052</v>
      </c>
      <c r="B635" s="83">
        <v>2</v>
      </c>
      <c r="C635" s="110">
        <v>0.0012314030084370953</v>
      </c>
      <c r="D635" s="83" t="s">
        <v>2059</v>
      </c>
      <c r="E635" s="83" t="b">
        <v>0</v>
      </c>
      <c r="F635" s="83" t="b">
        <v>0</v>
      </c>
      <c r="G635" s="83" t="b">
        <v>0</v>
      </c>
    </row>
    <row r="636" spans="1:7" ht="15">
      <c r="A636" s="84" t="s">
        <v>2053</v>
      </c>
      <c r="B636" s="83">
        <v>2</v>
      </c>
      <c r="C636" s="110">
        <v>0.0012314030084370953</v>
      </c>
      <c r="D636" s="83" t="s">
        <v>2059</v>
      </c>
      <c r="E636" s="83" t="b">
        <v>0</v>
      </c>
      <c r="F636" s="83" t="b">
        <v>0</v>
      </c>
      <c r="G636" s="83" t="b">
        <v>0</v>
      </c>
    </row>
    <row r="637" spans="1:7" ht="15">
      <c r="A637" s="84" t="s">
        <v>1428</v>
      </c>
      <c r="B637" s="83">
        <v>68</v>
      </c>
      <c r="C637" s="110">
        <v>0.01686505052643741</v>
      </c>
      <c r="D637" s="83" t="s">
        <v>1378</v>
      </c>
      <c r="E637" s="83" t="b">
        <v>0</v>
      </c>
      <c r="F637" s="83" t="b">
        <v>0</v>
      </c>
      <c r="G637" s="83" t="b">
        <v>0</v>
      </c>
    </row>
    <row r="638" spans="1:7" ht="15">
      <c r="A638" s="84" t="s">
        <v>1430</v>
      </c>
      <c r="B638" s="83">
        <v>42</v>
      </c>
      <c r="C638" s="110">
        <v>0.0146728175878914</v>
      </c>
      <c r="D638" s="83" t="s">
        <v>1378</v>
      </c>
      <c r="E638" s="83" t="b">
        <v>0</v>
      </c>
      <c r="F638" s="83" t="b">
        <v>0</v>
      </c>
      <c r="G638" s="83" t="b">
        <v>0</v>
      </c>
    </row>
    <row r="639" spans="1:7" ht="15">
      <c r="A639" s="84" t="s">
        <v>1429</v>
      </c>
      <c r="B639" s="83">
        <v>41</v>
      </c>
      <c r="C639" s="110">
        <v>0.014681234722221707</v>
      </c>
      <c r="D639" s="83" t="s">
        <v>1378</v>
      </c>
      <c r="E639" s="83" t="b">
        <v>0</v>
      </c>
      <c r="F639" s="83" t="b">
        <v>0</v>
      </c>
      <c r="G639" s="83" t="b">
        <v>0</v>
      </c>
    </row>
    <row r="640" spans="1:7" ht="15">
      <c r="A640" s="84" t="s">
        <v>1431</v>
      </c>
      <c r="B640" s="83">
        <v>28</v>
      </c>
      <c r="C640" s="110">
        <v>0.01242874516682065</v>
      </c>
      <c r="D640" s="83" t="s">
        <v>1378</v>
      </c>
      <c r="E640" s="83" t="b">
        <v>0</v>
      </c>
      <c r="F640" s="83" t="b">
        <v>0</v>
      </c>
      <c r="G640" s="83" t="b">
        <v>0</v>
      </c>
    </row>
    <row r="641" spans="1:7" ht="15">
      <c r="A641" s="84" t="s">
        <v>1433</v>
      </c>
      <c r="B641" s="83">
        <v>23</v>
      </c>
      <c r="C641" s="110">
        <v>0.008662494913309764</v>
      </c>
      <c r="D641" s="83" t="s">
        <v>1378</v>
      </c>
      <c r="E641" s="83" t="b">
        <v>0</v>
      </c>
      <c r="F641" s="83" t="b">
        <v>0</v>
      </c>
      <c r="G641" s="83" t="b">
        <v>0</v>
      </c>
    </row>
    <row r="642" spans="1:7" ht="15">
      <c r="A642" s="84" t="s">
        <v>1435</v>
      </c>
      <c r="B642" s="83">
        <v>23</v>
      </c>
      <c r="C642" s="110">
        <v>0.008889963442763603</v>
      </c>
      <c r="D642" s="83" t="s">
        <v>1378</v>
      </c>
      <c r="E642" s="83" t="b">
        <v>0</v>
      </c>
      <c r="F642" s="83" t="b">
        <v>0</v>
      </c>
      <c r="G642" s="83" t="b">
        <v>0</v>
      </c>
    </row>
    <row r="643" spans="1:7" ht="15">
      <c r="A643" s="84" t="s">
        <v>1432</v>
      </c>
      <c r="B643" s="83">
        <v>19</v>
      </c>
      <c r="C643" s="110">
        <v>0.009254537689173437</v>
      </c>
      <c r="D643" s="83" t="s">
        <v>1378</v>
      </c>
      <c r="E643" s="83" t="b">
        <v>0</v>
      </c>
      <c r="F643" s="83" t="b">
        <v>0</v>
      </c>
      <c r="G643" s="83" t="b">
        <v>0</v>
      </c>
    </row>
    <row r="644" spans="1:7" ht="15">
      <c r="A644" s="84" t="s">
        <v>1438</v>
      </c>
      <c r="B644" s="83">
        <v>17</v>
      </c>
      <c r="C644" s="110">
        <v>0.007546023851283966</v>
      </c>
      <c r="D644" s="83" t="s">
        <v>1378</v>
      </c>
      <c r="E644" s="83" t="b">
        <v>1</v>
      </c>
      <c r="F644" s="83" t="b">
        <v>0</v>
      </c>
      <c r="G644" s="83" t="b">
        <v>0</v>
      </c>
    </row>
    <row r="645" spans="1:7" ht="15">
      <c r="A645" s="84" t="s">
        <v>1440</v>
      </c>
      <c r="B645" s="83">
        <v>15</v>
      </c>
      <c r="C645" s="110">
        <v>0.007553534790224536</v>
      </c>
      <c r="D645" s="83" t="s">
        <v>1378</v>
      </c>
      <c r="E645" s="83" t="b">
        <v>1</v>
      </c>
      <c r="F645" s="83" t="b">
        <v>0</v>
      </c>
      <c r="G645" s="83" t="b">
        <v>0</v>
      </c>
    </row>
    <row r="646" spans="1:7" ht="15">
      <c r="A646" s="84" t="s">
        <v>1434</v>
      </c>
      <c r="B646" s="83">
        <v>15</v>
      </c>
      <c r="C646" s="110">
        <v>0.008429124075369287</v>
      </c>
      <c r="D646" s="83" t="s">
        <v>1378</v>
      </c>
      <c r="E646" s="83" t="b">
        <v>0</v>
      </c>
      <c r="F646" s="83" t="b">
        <v>0</v>
      </c>
      <c r="G646" s="83" t="b">
        <v>0</v>
      </c>
    </row>
    <row r="647" spans="1:7" ht="15">
      <c r="A647" s="84" t="s">
        <v>1442</v>
      </c>
      <c r="B647" s="83">
        <v>14</v>
      </c>
      <c r="C647" s="110">
        <v>0.007867182470344668</v>
      </c>
      <c r="D647" s="83" t="s">
        <v>1378</v>
      </c>
      <c r="E647" s="83" t="b">
        <v>0</v>
      </c>
      <c r="F647" s="83" t="b">
        <v>0</v>
      </c>
      <c r="G647" s="83" t="b">
        <v>0</v>
      </c>
    </row>
    <row r="648" spans="1:7" ht="15">
      <c r="A648" s="84" t="s">
        <v>1448</v>
      </c>
      <c r="B648" s="83">
        <v>14</v>
      </c>
      <c r="C648" s="110">
        <v>0.008195361193628197</v>
      </c>
      <c r="D648" s="83" t="s">
        <v>1378</v>
      </c>
      <c r="E648" s="83" t="b">
        <v>0</v>
      </c>
      <c r="F648" s="83" t="b">
        <v>0</v>
      </c>
      <c r="G648" s="83" t="b">
        <v>0</v>
      </c>
    </row>
    <row r="649" spans="1:7" ht="15">
      <c r="A649" s="84" t="s">
        <v>1436</v>
      </c>
      <c r="B649" s="83">
        <v>14</v>
      </c>
      <c r="C649" s="110">
        <v>0.008562233793148352</v>
      </c>
      <c r="D649" s="83" t="s">
        <v>1378</v>
      </c>
      <c r="E649" s="83" t="b">
        <v>0</v>
      </c>
      <c r="F649" s="83" t="b">
        <v>0</v>
      </c>
      <c r="G649" s="83" t="b">
        <v>0</v>
      </c>
    </row>
    <row r="650" spans="1:7" ht="15">
      <c r="A650" s="84" t="s">
        <v>1446</v>
      </c>
      <c r="B650" s="83">
        <v>12</v>
      </c>
      <c r="C650" s="110">
        <v>0.008593893495934658</v>
      </c>
      <c r="D650" s="83" t="s">
        <v>1378</v>
      </c>
      <c r="E650" s="83" t="b">
        <v>0</v>
      </c>
      <c r="F650" s="83" t="b">
        <v>0</v>
      </c>
      <c r="G650" s="83" t="b">
        <v>0</v>
      </c>
    </row>
    <row r="651" spans="1:7" ht="15">
      <c r="A651" s="84" t="s">
        <v>1464</v>
      </c>
      <c r="B651" s="83">
        <v>12</v>
      </c>
      <c r="C651" s="110">
        <v>0.007695565407748768</v>
      </c>
      <c r="D651" s="83" t="s">
        <v>1378</v>
      </c>
      <c r="E651" s="83" t="b">
        <v>0</v>
      </c>
      <c r="F651" s="83" t="b">
        <v>0</v>
      </c>
      <c r="G651" s="83" t="b">
        <v>0</v>
      </c>
    </row>
    <row r="652" spans="1:7" ht="15">
      <c r="A652" s="84" t="s">
        <v>1441</v>
      </c>
      <c r="B652" s="83">
        <v>11</v>
      </c>
      <c r="C652" s="110">
        <v>0.007054268290436371</v>
      </c>
      <c r="D652" s="83" t="s">
        <v>1378</v>
      </c>
      <c r="E652" s="83" t="b">
        <v>0</v>
      </c>
      <c r="F652" s="83" t="b">
        <v>0</v>
      </c>
      <c r="G652" s="83" t="b">
        <v>0</v>
      </c>
    </row>
    <row r="653" spans="1:7" ht="15">
      <c r="A653" s="84" t="s">
        <v>1462</v>
      </c>
      <c r="B653" s="83">
        <v>11</v>
      </c>
      <c r="C653" s="110">
        <v>0.006439212366422155</v>
      </c>
      <c r="D653" s="83" t="s">
        <v>1378</v>
      </c>
      <c r="E653" s="83" t="b">
        <v>0</v>
      </c>
      <c r="F653" s="83" t="b">
        <v>0</v>
      </c>
      <c r="G653" s="83" t="b">
        <v>0</v>
      </c>
    </row>
    <row r="654" spans="1:7" ht="15">
      <c r="A654" s="84" t="s">
        <v>1451</v>
      </c>
      <c r="B654" s="83">
        <v>11</v>
      </c>
      <c r="C654" s="110">
        <v>0.007054268290436371</v>
      </c>
      <c r="D654" s="83" t="s">
        <v>1378</v>
      </c>
      <c r="E654" s="83" t="b">
        <v>0</v>
      </c>
      <c r="F654" s="83" t="b">
        <v>0</v>
      </c>
      <c r="G654" s="83" t="b">
        <v>0</v>
      </c>
    </row>
    <row r="655" spans="1:7" ht="15">
      <c r="A655" s="84" t="s">
        <v>1449</v>
      </c>
      <c r="B655" s="83">
        <v>11</v>
      </c>
      <c r="C655" s="110">
        <v>0.006439212366422155</v>
      </c>
      <c r="D655" s="83" t="s">
        <v>1378</v>
      </c>
      <c r="E655" s="83" t="b">
        <v>0</v>
      </c>
      <c r="F655" s="83" t="b">
        <v>0</v>
      </c>
      <c r="G655" s="83" t="b">
        <v>0</v>
      </c>
    </row>
    <row r="656" spans="1:7" ht="15">
      <c r="A656" s="84" t="s">
        <v>1445</v>
      </c>
      <c r="B656" s="83">
        <v>11</v>
      </c>
      <c r="C656" s="110">
        <v>0.006439212366422155</v>
      </c>
      <c r="D656" s="83" t="s">
        <v>1378</v>
      </c>
      <c r="E656" s="83" t="b">
        <v>0</v>
      </c>
      <c r="F656" s="83" t="b">
        <v>0</v>
      </c>
      <c r="G656" s="83" t="b">
        <v>0</v>
      </c>
    </row>
    <row r="657" spans="1:7" ht="15">
      <c r="A657" s="84" t="s">
        <v>1455</v>
      </c>
      <c r="B657" s="83">
        <v>10</v>
      </c>
      <c r="C657" s="110">
        <v>0.006755936283936541</v>
      </c>
      <c r="D657" s="83" t="s">
        <v>1378</v>
      </c>
      <c r="E657" s="83" t="b">
        <v>0</v>
      </c>
      <c r="F657" s="83" t="b">
        <v>0</v>
      </c>
      <c r="G657" s="83" t="b">
        <v>0</v>
      </c>
    </row>
    <row r="658" spans="1:7" ht="15">
      <c r="A658" s="84" t="s">
        <v>1456</v>
      </c>
      <c r="B658" s="83">
        <v>10</v>
      </c>
      <c r="C658" s="110">
        <v>0.005853829424020141</v>
      </c>
      <c r="D658" s="83" t="s">
        <v>1378</v>
      </c>
      <c r="E658" s="83" t="b">
        <v>1</v>
      </c>
      <c r="F658" s="83" t="b">
        <v>0</v>
      </c>
      <c r="G658" s="83" t="b">
        <v>0</v>
      </c>
    </row>
    <row r="659" spans="1:7" ht="15">
      <c r="A659" s="84" t="s">
        <v>1437</v>
      </c>
      <c r="B659" s="83">
        <v>10</v>
      </c>
      <c r="C659" s="110">
        <v>0.00611588128082025</v>
      </c>
      <c r="D659" s="83" t="s">
        <v>1378</v>
      </c>
      <c r="E659" s="83" t="b">
        <v>0</v>
      </c>
      <c r="F659" s="83" t="b">
        <v>0</v>
      </c>
      <c r="G659" s="83" t="b">
        <v>0</v>
      </c>
    </row>
    <row r="660" spans="1:7" ht="15">
      <c r="A660" s="84" t="s">
        <v>1469</v>
      </c>
      <c r="B660" s="83">
        <v>10</v>
      </c>
      <c r="C660" s="110">
        <v>0.005853829424020141</v>
      </c>
      <c r="D660" s="83" t="s">
        <v>1378</v>
      </c>
      <c r="E660" s="83" t="b">
        <v>0</v>
      </c>
      <c r="F660" s="83" t="b">
        <v>0</v>
      </c>
      <c r="G660" s="83" t="b">
        <v>0</v>
      </c>
    </row>
    <row r="661" spans="1:7" ht="15">
      <c r="A661" s="84" t="s">
        <v>1460</v>
      </c>
      <c r="B661" s="83">
        <v>10</v>
      </c>
      <c r="C661" s="110">
        <v>0.006755936283936541</v>
      </c>
      <c r="D661" s="83" t="s">
        <v>1378</v>
      </c>
      <c r="E661" s="83" t="b">
        <v>0</v>
      </c>
      <c r="F661" s="83" t="b">
        <v>0</v>
      </c>
      <c r="G661" s="83" t="b">
        <v>0</v>
      </c>
    </row>
    <row r="662" spans="1:7" ht="15">
      <c r="A662" s="84" t="s">
        <v>1463</v>
      </c>
      <c r="B662" s="83">
        <v>10</v>
      </c>
      <c r="C662" s="110">
        <v>0.00611588128082025</v>
      </c>
      <c r="D662" s="83" t="s">
        <v>1378</v>
      </c>
      <c r="E662" s="83" t="b">
        <v>0</v>
      </c>
      <c r="F662" s="83" t="b">
        <v>0</v>
      </c>
      <c r="G662" s="83" t="b">
        <v>0</v>
      </c>
    </row>
    <row r="663" spans="1:7" ht="15">
      <c r="A663" s="84" t="s">
        <v>1454</v>
      </c>
      <c r="B663" s="83">
        <v>10</v>
      </c>
      <c r="C663" s="110">
        <v>0.00561941605024619</v>
      </c>
      <c r="D663" s="83" t="s">
        <v>1378</v>
      </c>
      <c r="E663" s="83" t="b">
        <v>1</v>
      </c>
      <c r="F663" s="83" t="b">
        <v>0</v>
      </c>
      <c r="G663" s="83" t="b">
        <v>0</v>
      </c>
    </row>
    <row r="664" spans="1:7" ht="15">
      <c r="A664" s="84" t="s">
        <v>1447</v>
      </c>
      <c r="B664" s="83">
        <v>10</v>
      </c>
      <c r="C664" s="110">
        <v>0.00611588128082025</v>
      </c>
      <c r="D664" s="83" t="s">
        <v>1378</v>
      </c>
      <c r="E664" s="83" t="b">
        <v>0</v>
      </c>
      <c r="F664" s="83" t="b">
        <v>0</v>
      </c>
      <c r="G664" s="83" t="b">
        <v>0</v>
      </c>
    </row>
    <row r="665" spans="1:7" ht="15">
      <c r="A665" s="84" t="s">
        <v>1458</v>
      </c>
      <c r="B665" s="83">
        <v>9</v>
      </c>
      <c r="C665" s="110">
        <v>0.005504293152738225</v>
      </c>
      <c r="D665" s="83" t="s">
        <v>1378</v>
      </c>
      <c r="E665" s="83" t="b">
        <v>1</v>
      </c>
      <c r="F665" s="83" t="b">
        <v>0</v>
      </c>
      <c r="G665" s="83" t="b">
        <v>0</v>
      </c>
    </row>
    <row r="666" spans="1:7" ht="15">
      <c r="A666" s="84" t="s">
        <v>1489</v>
      </c>
      <c r="B666" s="83">
        <v>9</v>
      </c>
      <c r="C666" s="110">
        <v>0.005504293152738225</v>
      </c>
      <c r="D666" s="83" t="s">
        <v>1378</v>
      </c>
      <c r="E666" s="83" t="b">
        <v>0</v>
      </c>
      <c r="F666" s="83" t="b">
        <v>0</v>
      </c>
      <c r="G666" s="83" t="b">
        <v>0</v>
      </c>
    </row>
    <row r="667" spans="1:7" ht="15">
      <c r="A667" s="84" t="s">
        <v>1474</v>
      </c>
      <c r="B667" s="83">
        <v>9</v>
      </c>
      <c r="C667" s="110">
        <v>0.006445420121950993</v>
      </c>
      <c r="D667" s="83" t="s">
        <v>1378</v>
      </c>
      <c r="E667" s="83" t="b">
        <v>0</v>
      </c>
      <c r="F667" s="83" t="b">
        <v>0</v>
      </c>
      <c r="G667" s="83" t="b">
        <v>0</v>
      </c>
    </row>
    <row r="668" spans="1:7" ht="15">
      <c r="A668" s="84" t="s">
        <v>1452</v>
      </c>
      <c r="B668" s="83">
        <v>9</v>
      </c>
      <c r="C668" s="110">
        <v>0.005771674055811576</v>
      </c>
      <c r="D668" s="83" t="s">
        <v>1378</v>
      </c>
      <c r="E668" s="83" t="b">
        <v>0</v>
      </c>
      <c r="F668" s="83" t="b">
        <v>0</v>
      </c>
      <c r="G668" s="83" t="b">
        <v>0</v>
      </c>
    </row>
    <row r="669" spans="1:7" ht="15">
      <c r="A669" s="84" t="s">
        <v>1472</v>
      </c>
      <c r="B669" s="83">
        <v>9</v>
      </c>
      <c r="C669" s="110">
        <v>0.006080342655542887</v>
      </c>
      <c r="D669" s="83" t="s">
        <v>1378</v>
      </c>
      <c r="E669" s="83" t="b">
        <v>0</v>
      </c>
      <c r="F669" s="83" t="b">
        <v>0</v>
      </c>
      <c r="G669" s="83" t="b">
        <v>0</v>
      </c>
    </row>
    <row r="670" spans="1:7" ht="15">
      <c r="A670" s="84" t="s">
        <v>1503</v>
      </c>
      <c r="B670" s="83">
        <v>8</v>
      </c>
      <c r="C670" s="110">
        <v>0.006126434515082353</v>
      </c>
      <c r="D670" s="83" t="s">
        <v>1378</v>
      </c>
      <c r="E670" s="83" t="b">
        <v>0</v>
      </c>
      <c r="F670" s="83" t="b">
        <v>0</v>
      </c>
      <c r="G670" s="83" t="b">
        <v>0</v>
      </c>
    </row>
    <row r="671" spans="1:7" ht="15">
      <c r="A671" s="84" t="s">
        <v>1477</v>
      </c>
      <c r="B671" s="83">
        <v>8</v>
      </c>
      <c r="C671" s="110">
        <v>0.0048927050246562005</v>
      </c>
      <c r="D671" s="83" t="s">
        <v>1378</v>
      </c>
      <c r="E671" s="83" t="b">
        <v>0</v>
      </c>
      <c r="F671" s="83" t="b">
        <v>0</v>
      </c>
      <c r="G671" s="83" t="b">
        <v>0</v>
      </c>
    </row>
    <row r="672" spans="1:7" ht="15">
      <c r="A672" s="84" t="s">
        <v>1486</v>
      </c>
      <c r="B672" s="83">
        <v>8</v>
      </c>
      <c r="C672" s="110">
        <v>0.005130376938499178</v>
      </c>
      <c r="D672" s="83" t="s">
        <v>1378</v>
      </c>
      <c r="E672" s="83" t="b">
        <v>0</v>
      </c>
      <c r="F672" s="83" t="b">
        <v>0</v>
      </c>
      <c r="G672" s="83" t="b">
        <v>0</v>
      </c>
    </row>
    <row r="673" spans="1:7" ht="15">
      <c r="A673" s="84" t="s">
        <v>1476</v>
      </c>
      <c r="B673" s="83">
        <v>8</v>
      </c>
      <c r="C673" s="110">
        <v>0.005729262330623106</v>
      </c>
      <c r="D673" s="83" t="s">
        <v>1378</v>
      </c>
      <c r="E673" s="83" t="b">
        <v>0</v>
      </c>
      <c r="F673" s="83" t="b">
        <v>0</v>
      </c>
      <c r="G673" s="83" t="b">
        <v>0</v>
      </c>
    </row>
    <row r="674" spans="1:7" ht="15">
      <c r="A674" s="84" t="s">
        <v>1502</v>
      </c>
      <c r="B674" s="83">
        <v>8</v>
      </c>
      <c r="C674" s="110">
        <v>0.005404749027149233</v>
      </c>
      <c r="D674" s="83" t="s">
        <v>1378</v>
      </c>
      <c r="E674" s="83" t="b">
        <v>0</v>
      </c>
      <c r="F674" s="83" t="b">
        <v>0</v>
      </c>
      <c r="G674" s="83" t="b">
        <v>0</v>
      </c>
    </row>
    <row r="675" spans="1:7" ht="15">
      <c r="A675" s="84" t="s">
        <v>1459</v>
      </c>
      <c r="B675" s="83">
        <v>7</v>
      </c>
      <c r="C675" s="110">
        <v>0.0047291553987555785</v>
      </c>
      <c r="D675" s="83" t="s">
        <v>1378</v>
      </c>
      <c r="E675" s="83" t="b">
        <v>0</v>
      </c>
      <c r="F675" s="83" t="b">
        <v>0</v>
      </c>
      <c r="G675" s="83" t="b">
        <v>0</v>
      </c>
    </row>
    <row r="676" spans="1:7" ht="15">
      <c r="A676" s="84" t="s">
        <v>1470</v>
      </c>
      <c r="B676" s="83">
        <v>7</v>
      </c>
      <c r="C676" s="110">
        <v>0.004489079821186781</v>
      </c>
      <c r="D676" s="83" t="s">
        <v>1378</v>
      </c>
      <c r="E676" s="83" t="b">
        <v>0</v>
      </c>
      <c r="F676" s="83" t="b">
        <v>0</v>
      </c>
      <c r="G676" s="83" t="b">
        <v>0</v>
      </c>
    </row>
    <row r="677" spans="1:7" ht="15">
      <c r="A677" s="84" t="s">
        <v>1521</v>
      </c>
      <c r="B677" s="83">
        <v>7</v>
      </c>
      <c r="C677" s="110">
        <v>0.0047291553987555785</v>
      </c>
      <c r="D677" s="83" t="s">
        <v>1378</v>
      </c>
      <c r="E677" s="83" t="b">
        <v>0</v>
      </c>
      <c r="F677" s="83" t="b">
        <v>0</v>
      </c>
      <c r="G677" s="83" t="b">
        <v>0</v>
      </c>
    </row>
    <row r="678" spans="1:7" ht="15">
      <c r="A678" s="84" t="s">
        <v>1494</v>
      </c>
      <c r="B678" s="83">
        <v>7</v>
      </c>
      <c r="C678" s="110">
        <v>0.005013104539295217</v>
      </c>
      <c r="D678" s="83" t="s">
        <v>1378</v>
      </c>
      <c r="E678" s="83" t="b">
        <v>0</v>
      </c>
      <c r="F678" s="83" t="b">
        <v>0</v>
      </c>
      <c r="G678" s="83" t="b">
        <v>0</v>
      </c>
    </row>
    <row r="679" spans="1:7" ht="15">
      <c r="A679" s="84" t="s">
        <v>1495</v>
      </c>
      <c r="B679" s="83">
        <v>7</v>
      </c>
      <c r="C679" s="110">
        <v>0.0058086687028784615</v>
      </c>
      <c r="D679" s="83" t="s">
        <v>1378</v>
      </c>
      <c r="E679" s="83" t="b">
        <v>0</v>
      </c>
      <c r="F679" s="83" t="b">
        <v>0</v>
      </c>
      <c r="G679" s="83" t="b">
        <v>0</v>
      </c>
    </row>
    <row r="680" spans="1:7" ht="15">
      <c r="A680" s="84" t="s">
        <v>1505</v>
      </c>
      <c r="B680" s="83">
        <v>7</v>
      </c>
      <c r="C680" s="110">
        <v>0.005013104539295217</v>
      </c>
      <c r="D680" s="83" t="s">
        <v>1378</v>
      </c>
      <c r="E680" s="83" t="b">
        <v>0</v>
      </c>
      <c r="F680" s="83" t="b">
        <v>0</v>
      </c>
      <c r="G680" s="83" t="b">
        <v>0</v>
      </c>
    </row>
    <row r="681" spans="1:7" ht="15">
      <c r="A681" s="84" t="s">
        <v>1444</v>
      </c>
      <c r="B681" s="83">
        <v>7</v>
      </c>
      <c r="C681" s="110">
        <v>0.005013104539295217</v>
      </c>
      <c r="D681" s="83" t="s">
        <v>1378</v>
      </c>
      <c r="E681" s="83" t="b">
        <v>0</v>
      </c>
      <c r="F681" s="83" t="b">
        <v>0</v>
      </c>
      <c r="G681" s="83" t="b">
        <v>0</v>
      </c>
    </row>
    <row r="682" spans="1:7" ht="15">
      <c r="A682" s="84" t="s">
        <v>1467</v>
      </c>
      <c r="B682" s="83">
        <v>7</v>
      </c>
      <c r="C682" s="110">
        <v>0.004489079821186781</v>
      </c>
      <c r="D682" s="83" t="s">
        <v>1378</v>
      </c>
      <c r="E682" s="83" t="b">
        <v>0</v>
      </c>
      <c r="F682" s="83" t="b">
        <v>0</v>
      </c>
      <c r="G682" s="83" t="b">
        <v>0</v>
      </c>
    </row>
    <row r="683" spans="1:7" ht="15">
      <c r="A683" s="84" t="s">
        <v>1443</v>
      </c>
      <c r="B683" s="83">
        <v>7</v>
      </c>
      <c r="C683" s="110">
        <v>0.0047291553987555785</v>
      </c>
      <c r="D683" s="83" t="s">
        <v>1378</v>
      </c>
      <c r="E683" s="83" t="b">
        <v>0</v>
      </c>
      <c r="F683" s="83" t="b">
        <v>0</v>
      </c>
      <c r="G683" s="83" t="b">
        <v>0</v>
      </c>
    </row>
    <row r="684" spans="1:7" ht="15">
      <c r="A684" s="84" t="s">
        <v>1457</v>
      </c>
      <c r="B684" s="83">
        <v>6</v>
      </c>
      <c r="C684" s="110">
        <v>0.004594825886311764</v>
      </c>
      <c r="D684" s="83" t="s">
        <v>1378</v>
      </c>
      <c r="E684" s="83" t="b">
        <v>0</v>
      </c>
      <c r="F684" s="83" t="b">
        <v>0</v>
      </c>
      <c r="G684" s="83" t="b">
        <v>0</v>
      </c>
    </row>
    <row r="685" spans="1:7" ht="15">
      <c r="A685" s="84" t="s">
        <v>1513</v>
      </c>
      <c r="B685" s="83">
        <v>6</v>
      </c>
      <c r="C685" s="110">
        <v>0.004053561770361924</v>
      </c>
      <c r="D685" s="83" t="s">
        <v>1378</v>
      </c>
      <c r="E685" s="83" t="b">
        <v>0</v>
      </c>
      <c r="F685" s="83" t="b">
        <v>0</v>
      </c>
      <c r="G685" s="83" t="b">
        <v>0</v>
      </c>
    </row>
    <row r="686" spans="1:7" ht="15">
      <c r="A686" s="84" t="s">
        <v>1504</v>
      </c>
      <c r="B686" s="83">
        <v>6</v>
      </c>
      <c r="C686" s="110">
        <v>0.004978858888181539</v>
      </c>
      <c r="D686" s="83" t="s">
        <v>1378</v>
      </c>
      <c r="E686" s="83" t="b">
        <v>0</v>
      </c>
      <c r="F686" s="83" t="b">
        <v>0</v>
      </c>
      <c r="G686" s="83" t="b">
        <v>0</v>
      </c>
    </row>
    <row r="687" spans="1:7" ht="15">
      <c r="A687" s="84" t="s">
        <v>1450</v>
      </c>
      <c r="B687" s="83">
        <v>6</v>
      </c>
      <c r="C687" s="110">
        <v>0.004053561770361924</v>
      </c>
      <c r="D687" s="83" t="s">
        <v>1378</v>
      </c>
      <c r="E687" s="83" t="b">
        <v>0</v>
      </c>
      <c r="F687" s="83" t="b">
        <v>0</v>
      </c>
      <c r="G687" s="83" t="b">
        <v>0</v>
      </c>
    </row>
    <row r="688" spans="1:7" ht="15">
      <c r="A688" s="84" t="s">
        <v>1533</v>
      </c>
      <c r="B688" s="83">
        <v>6</v>
      </c>
      <c r="C688" s="110">
        <v>0.004053561770361924</v>
      </c>
      <c r="D688" s="83" t="s">
        <v>1378</v>
      </c>
      <c r="E688" s="83" t="b">
        <v>0</v>
      </c>
      <c r="F688" s="83" t="b">
        <v>1</v>
      </c>
      <c r="G688" s="83" t="b">
        <v>0</v>
      </c>
    </row>
    <row r="689" spans="1:7" ht="15">
      <c r="A689" s="84" t="s">
        <v>1479</v>
      </c>
      <c r="B689" s="83">
        <v>6</v>
      </c>
      <c r="C689" s="110">
        <v>0.004978858888181539</v>
      </c>
      <c r="D689" s="83" t="s">
        <v>1378</v>
      </c>
      <c r="E689" s="83" t="b">
        <v>0</v>
      </c>
      <c r="F689" s="83" t="b">
        <v>0</v>
      </c>
      <c r="G689" s="83" t="b">
        <v>0</v>
      </c>
    </row>
    <row r="690" spans="1:7" ht="15">
      <c r="A690" s="84" t="s">
        <v>1480</v>
      </c>
      <c r="B690" s="83">
        <v>6</v>
      </c>
      <c r="C690" s="110">
        <v>0.004978858888181539</v>
      </c>
      <c r="D690" s="83" t="s">
        <v>1378</v>
      </c>
      <c r="E690" s="83" t="b">
        <v>0</v>
      </c>
      <c r="F690" s="83" t="b">
        <v>0</v>
      </c>
      <c r="G690" s="83" t="b">
        <v>0</v>
      </c>
    </row>
    <row r="691" spans="1:7" ht="15">
      <c r="A691" s="84" t="s">
        <v>1498</v>
      </c>
      <c r="B691" s="83">
        <v>6</v>
      </c>
      <c r="C691" s="110">
        <v>0.004978858888181539</v>
      </c>
      <c r="D691" s="83" t="s">
        <v>1378</v>
      </c>
      <c r="E691" s="83" t="b">
        <v>0</v>
      </c>
      <c r="F691" s="83" t="b">
        <v>0</v>
      </c>
      <c r="G691" s="83" t="b">
        <v>0</v>
      </c>
    </row>
    <row r="692" spans="1:7" ht="15">
      <c r="A692" s="84" t="s">
        <v>1493</v>
      </c>
      <c r="B692" s="83">
        <v>6</v>
      </c>
      <c r="C692" s="110">
        <v>0.004053561770361924</v>
      </c>
      <c r="D692" s="83" t="s">
        <v>1378</v>
      </c>
      <c r="E692" s="83" t="b">
        <v>1</v>
      </c>
      <c r="F692" s="83" t="b">
        <v>0</v>
      </c>
      <c r="G692" s="83" t="b">
        <v>0</v>
      </c>
    </row>
    <row r="693" spans="1:7" ht="15">
      <c r="A693" s="84" t="s">
        <v>1518</v>
      </c>
      <c r="B693" s="83">
        <v>6</v>
      </c>
      <c r="C693" s="110">
        <v>0.004053561770361924</v>
      </c>
      <c r="D693" s="83" t="s">
        <v>1378</v>
      </c>
      <c r="E693" s="83" t="b">
        <v>0</v>
      </c>
      <c r="F693" s="83" t="b">
        <v>0</v>
      </c>
      <c r="G693" s="83" t="b">
        <v>0</v>
      </c>
    </row>
    <row r="694" spans="1:7" ht="15">
      <c r="A694" s="84" t="s">
        <v>1523</v>
      </c>
      <c r="B694" s="83">
        <v>6</v>
      </c>
      <c r="C694" s="110">
        <v>0.004053561770361924</v>
      </c>
      <c r="D694" s="83" t="s">
        <v>1378</v>
      </c>
      <c r="E694" s="83" t="b">
        <v>0</v>
      </c>
      <c r="F694" s="83" t="b">
        <v>0</v>
      </c>
      <c r="G694" s="83" t="b">
        <v>0</v>
      </c>
    </row>
    <row r="695" spans="1:7" ht="15">
      <c r="A695" s="84" t="s">
        <v>1500</v>
      </c>
      <c r="B695" s="83">
        <v>6</v>
      </c>
      <c r="C695" s="110">
        <v>0.004296946747967329</v>
      </c>
      <c r="D695" s="83" t="s">
        <v>1378</v>
      </c>
      <c r="E695" s="83" t="b">
        <v>0</v>
      </c>
      <c r="F695" s="83" t="b">
        <v>0</v>
      </c>
      <c r="G695" s="83" t="b">
        <v>0</v>
      </c>
    </row>
    <row r="696" spans="1:7" ht="15">
      <c r="A696" s="84" t="s">
        <v>1536</v>
      </c>
      <c r="B696" s="83">
        <v>6</v>
      </c>
      <c r="C696" s="110">
        <v>0.004053561770361924</v>
      </c>
      <c r="D696" s="83" t="s">
        <v>1378</v>
      </c>
      <c r="E696" s="83" t="b">
        <v>0</v>
      </c>
      <c r="F696" s="83" t="b">
        <v>0</v>
      </c>
      <c r="G696" s="83" t="b">
        <v>0</v>
      </c>
    </row>
    <row r="697" spans="1:7" ht="15">
      <c r="A697" s="84" t="s">
        <v>1534</v>
      </c>
      <c r="B697" s="83">
        <v>6</v>
      </c>
      <c r="C697" s="110">
        <v>0.004296946747967329</v>
      </c>
      <c r="D697" s="83" t="s">
        <v>1378</v>
      </c>
      <c r="E697" s="83" t="b">
        <v>0</v>
      </c>
      <c r="F697" s="83" t="b">
        <v>0</v>
      </c>
      <c r="G697" s="83" t="b">
        <v>0</v>
      </c>
    </row>
    <row r="698" spans="1:7" ht="15">
      <c r="A698" s="84" t="s">
        <v>1478</v>
      </c>
      <c r="B698" s="83">
        <v>6</v>
      </c>
      <c r="C698" s="110">
        <v>0.004296946747967329</v>
      </c>
      <c r="D698" s="83" t="s">
        <v>1378</v>
      </c>
      <c r="E698" s="83" t="b">
        <v>0</v>
      </c>
      <c r="F698" s="83" t="b">
        <v>0</v>
      </c>
      <c r="G698" s="83" t="b">
        <v>0</v>
      </c>
    </row>
    <row r="699" spans="1:7" ht="15">
      <c r="A699" s="84" t="s">
        <v>1466</v>
      </c>
      <c r="B699" s="83">
        <v>6</v>
      </c>
      <c r="C699" s="110">
        <v>0.004053561770361924</v>
      </c>
      <c r="D699" s="83" t="s">
        <v>1378</v>
      </c>
      <c r="E699" s="83" t="b">
        <v>0</v>
      </c>
      <c r="F699" s="83" t="b">
        <v>0</v>
      </c>
      <c r="G699" s="83" t="b">
        <v>0</v>
      </c>
    </row>
    <row r="700" spans="1:7" ht="15">
      <c r="A700" s="84" t="s">
        <v>1530</v>
      </c>
      <c r="B700" s="83">
        <v>5</v>
      </c>
      <c r="C700" s="110">
        <v>0.0035807889566394405</v>
      </c>
      <c r="D700" s="83" t="s">
        <v>1378</v>
      </c>
      <c r="E700" s="83" t="b">
        <v>1</v>
      </c>
      <c r="F700" s="83" t="b">
        <v>0</v>
      </c>
      <c r="G700" s="83" t="b">
        <v>0</v>
      </c>
    </row>
    <row r="701" spans="1:7" ht="15">
      <c r="A701" s="84" t="s">
        <v>1566</v>
      </c>
      <c r="B701" s="83">
        <v>5</v>
      </c>
      <c r="C701" s="110">
        <v>0.004600102503442815</v>
      </c>
      <c r="D701" s="83" t="s">
        <v>1378</v>
      </c>
      <c r="E701" s="83" t="b">
        <v>0</v>
      </c>
      <c r="F701" s="83" t="b">
        <v>0</v>
      </c>
      <c r="G701" s="83" t="b">
        <v>0</v>
      </c>
    </row>
    <row r="702" spans="1:7" ht="15">
      <c r="A702" s="84" t="s">
        <v>1586</v>
      </c>
      <c r="B702" s="83">
        <v>5</v>
      </c>
      <c r="C702" s="110">
        <v>0.00382902157192647</v>
      </c>
      <c r="D702" s="83" t="s">
        <v>1378</v>
      </c>
      <c r="E702" s="83" t="b">
        <v>0</v>
      </c>
      <c r="F702" s="83" t="b">
        <v>0</v>
      </c>
      <c r="G702" s="83" t="b">
        <v>0</v>
      </c>
    </row>
    <row r="703" spans="1:7" ht="15">
      <c r="A703" s="84" t="s">
        <v>1577</v>
      </c>
      <c r="B703" s="83">
        <v>5</v>
      </c>
      <c r="C703" s="110">
        <v>0.004600102503442815</v>
      </c>
      <c r="D703" s="83" t="s">
        <v>1378</v>
      </c>
      <c r="E703" s="83" t="b">
        <v>0</v>
      </c>
      <c r="F703" s="83" t="b">
        <v>0</v>
      </c>
      <c r="G703" s="83" t="b">
        <v>0</v>
      </c>
    </row>
    <row r="704" spans="1:7" ht="15">
      <c r="A704" s="84" t="s">
        <v>1497</v>
      </c>
      <c r="B704" s="83">
        <v>5</v>
      </c>
      <c r="C704" s="110">
        <v>0.00382902157192647</v>
      </c>
      <c r="D704" s="83" t="s">
        <v>1378</v>
      </c>
      <c r="E704" s="83" t="b">
        <v>0</v>
      </c>
      <c r="F704" s="83" t="b">
        <v>0</v>
      </c>
      <c r="G704" s="83" t="b">
        <v>0</v>
      </c>
    </row>
    <row r="705" spans="1:7" ht="15">
      <c r="A705" s="84" t="s">
        <v>1570</v>
      </c>
      <c r="B705" s="83">
        <v>5</v>
      </c>
      <c r="C705" s="110">
        <v>0.0035807889566394405</v>
      </c>
      <c r="D705" s="83" t="s">
        <v>1378</v>
      </c>
      <c r="E705" s="83" t="b">
        <v>0</v>
      </c>
      <c r="F705" s="83" t="b">
        <v>0</v>
      </c>
      <c r="G705" s="83" t="b">
        <v>0</v>
      </c>
    </row>
    <row r="706" spans="1:7" ht="15">
      <c r="A706" s="84" t="s">
        <v>1532</v>
      </c>
      <c r="B706" s="83">
        <v>5</v>
      </c>
      <c r="C706" s="110">
        <v>0.0035807889566394405</v>
      </c>
      <c r="D706" s="83" t="s">
        <v>1378</v>
      </c>
      <c r="E706" s="83" t="b">
        <v>0</v>
      </c>
      <c r="F706" s="83" t="b">
        <v>0</v>
      </c>
      <c r="G706" s="83" t="b">
        <v>0</v>
      </c>
    </row>
    <row r="707" spans="1:7" ht="15">
      <c r="A707" s="84" t="s">
        <v>1575</v>
      </c>
      <c r="B707" s="83">
        <v>5</v>
      </c>
      <c r="C707" s="110">
        <v>0.0035807889566394405</v>
      </c>
      <c r="D707" s="83" t="s">
        <v>1378</v>
      </c>
      <c r="E707" s="83" t="b">
        <v>0</v>
      </c>
      <c r="F707" s="83" t="b">
        <v>0</v>
      </c>
      <c r="G707" s="83" t="b">
        <v>0</v>
      </c>
    </row>
    <row r="708" spans="1:7" ht="15">
      <c r="A708" s="84" t="s">
        <v>1585</v>
      </c>
      <c r="B708" s="83">
        <v>5</v>
      </c>
      <c r="C708" s="110">
        <v>0.004600102503442815</v>
      </c>
      <c r="D708" s="83" t="s">
        <v>1378</v>
      </c>
      <c r="E708" s="83" t="b">
        <v>0</v>
      </c>
      <c r="F708" s="83" t="b">
        <v>0</v>
      </c>
      <c r="G708" s="83" t="b">
        <v>0</v>
      </c>
    </row>
    <row r="709" spans="1:7" ht="15">
      <c r="A709" s="84" t="s">
        <v>1557</v>
      </c>
      <c r="B709" s="83">
        <v>5</v>
      </c>
      <c r="C709" s="110">
        <v>0.004149049073484615</v>
      </c>
      <c r="D709" s="83" t="s">
        <v>1378</v>
      </c>
      <c r="E709" s="83" t="b">
        <v>0</v>
      </c>
      <c r="F709" s="83" t="b">
        <v>0</v>
      </c>
      <c r="G709" s="83" t="b">
        <v>0</v>
      </c>
    </row>
    <row r="710" spans="1:7" ht="15">
      <c r="A710" s="84" t="s">
        <v>1548</v>
      </c>
      <c r="B710" s="83">
        <v>5</v>
      </c>
      <c r="C710" s="110">
        <v>0.00537118343495916</v>
      </c>
      <c r="D710" s="83" t="s">
        <v>1378</v>
      </c>
      <c r="E710" s="83" t="b">
        <v>0</v>
      </c>
      <c r="F710" s="83" t="b">
        <v>0</v>
      </c>
      <c r="G710" s="83" t="b">
        <v>0</v>
      </c>
    </row>
    <row r="711" spans="1:7" ht="15">
      <c r="A711" s="84" t="s">
        <v>1556</v>
      </c>
      <c r="B711" s="83">
        <v>5</v>
      </c>
      <c r="C711" s="110">
        <v>0.004149049073484615</v>
      </c>
      <c r="D711" s="83" t="s">
        <v>1378</v>
      </c>
      <c r="E711" s="83" t="b">
        <v>0</v>
      </c>
      <c r="F711" s="83" t="b">
        <v>0</v>
      </c>
      <c r="G711" s="83" t="b">
        <v>0</v>
      </c>
    </row>
    <row r="712" spans="1:7" ht="15">
      <c r="A712" s="84" t="s">
        <v>1537</v>
      </c>
      <c r="B712" s="83">
        <v>5</v>
      </c>
      <c r="C712" s="110">
        <v>0.00382902157192647</v>
      </c>
      <c r="D712" s="83" t="s">
        <v>1378</v>
      </c>
      <c r="E712" s="83" t="b">
        <v>0</v>
      </c>
      <c r="F712" s="83" t="b">
        <v>0</v>
      </c>
      <c r="G712" s="83" t="b">
        <v>0</v>
      </c>
    </row>
    <row r="713" spans="1:7" ht="15">
      <c r="A713" s="84" t="s">
        <v>1508</v>
      </c>
      <c r="B713" s="83">
        <v>5</v>
      </c>
      <c r="C713" s="110">
        <v>0.004149049073484615</v>
      </c>
      <c r="D713" s="83" t="s">
        <v>1378</v>
      </c>
      <c r="E713" s="83" t="b">
        <v>0</v>
      </c>
      <c r="F713" s="83" t="b">
        <v>0</v>
      </c>
      <c r="G713" s="83" t="b">
        <v>0</v>
      </c>
    </row>
    <row r="714" spans="1:7" ht="15">
      <c r="A714" s="84" t="s">
        <v>1567</v>
      </c>
      <c r="B714" s="83">
        <v>5</v>
      </c>
      <c r="C714" s="110">
        <v>0.00382902157192647</v>
      </c>
      <c r="D714" s="83" t="s">
        <v>1378</v>
      </c>
      <c r="E714" s="83" t="b">
        <v>0</v>
      </c>
      <c r="F714" s="83" t="b">
        <v>0</v>
      </c>
      <c r="G714" s="83" t="b">
        <v>0</v>
      </c>
    </row>
    <row r="715" spans="1:7" ht="15">
      <c r="A715" s="84" t="s">
        <v>1529</v>
      </c>
      <c r="B715" s="83">
        <v>5</v>
      </c>
      <c r="C715" s="110">
        <v>0.0035807889566394405</v>
      </c>
      <c r="D715" s="83" t="s">
        <v>1378</v>
      </c>
      <c r="E715" s="83" t="b">
        <v>1</v>
      </c>
      <c r="F715" s="83" t="b">
        <v>0</v>
      </c>
      <c r="G715" s="83" t="b">
        <v>0</v>
      </c>
    </row>
    <row r="716" spans="1:7" ht="15">
      <c r="A716" s="84" t="s">
        <v>1571</v>
      </c>
      <c r="B716" s="83">
        <v>5</v>
      </c>
      <c r="C716" s="110">
        <v>0.004149049073484615</v>
      </c>
      <c r="D716" s="83" t="s">
        <v>1378</v>
      </c>
      <c r="E716" s="83" t="b">
        <v>0</v>
      </c>
      <c r="F716" s="83" t="b">
        <v>0</v>
      </c>
      <c r="G716" s="83" t="b">
        <v>0</v>
      </c>
    </row>
    <row r="717" spans="1:7" ht="15">
      <c r="A717" s="84" t="s">
        <v>1519</v>
      </c>
      <c r="B717" s="83">
        <v>5</v>
      </c>
      <c r="C717" s="110">
        <v>0.0035807889566394405</v>
      </c>
      <c r="D717" s="83" t="s">
        <v>1378</v>
      </c>
      <c r="E717" s="83" t="b">
        <v>0</v>
      </c>
      <c r="F717" s="83" t="b">
        <v>1</v>
      </c>
      <c r="G717" s="83" t="b">
        <v>0</v>
      </c>
    </row>
    <row r="718" spans="1:7" ht="15">
      <c r="A718" s="84" t="s">
        <v>1485</v>
      </c>
      <c r="B718" s="83">
        <v>5</v>
      </c>
      <c r="C718" s="110">
        <v>0.0035807889566394405</v>
      </c>
      <c r="D718" s="83" t="s">
        <v>1378</v>
      </c>
      <c r="E718" s="83" t="b">
        <v>0</v>
      </c>
      <c r="F718" s="83" t="b">
        <v>0</v>
      </c>
      <c r="G718" s="83" t="b">
        <v>0</v>
      </c>
    </row>
    <row r="719" spans="1:7" ht="15">
      <c r="A719" s="84" t="s">
        <v>1565</v>
      </c>
      <c r="B719" s="83">
        <v>5</v>
      </c>
      <c r="C719" s="110">
        <v>0.0035807889566394405</v>
      </c>
      <c r="D719" s="83" t="s">
        <v>1378</v>
      </c>
      <c r="E719" s="83" t="b">
        <v>0</v>
      </c>
      <c r="F719" s="83" t="b">
        <v>0</v>
      </c>
      <c r="G719" s="83" t="b">
        <v>0</v>
      </c>
    </row>
    <row r="720" spans="1:7" ht="15">
      <c r="A720" s="84" t="s">
        <v>1488</v>
      </c>
      <c r="B720" s="83">
        <v>5</v>
      </c>
      <c r="C720" s="110">
        <v>0.004149049073484615</v>
      </c>
      <c r="D720" s="83" t="s">
        <v>1378</v>
      </c>
      <c r="E720" s="83" t="b">
        <v>0</v>
      </c>
      <c r="F720" s="83" t="b">
        <v>0</v>
      </c>
      <c r="G720" s="83" t="b">
        <v>0</v>
      </c>
    </row>
    <row r="721" spans="1:7" ht="15">
      <c r="A721" s="84" t="s">
        <v>1524</v>
      </c>
      <c r="B721" s="83">
        <v>5</v>
      </c>
      <c r="C721" s="110">
        <v>0.0035807889566394405</v>
      </c>
      <c r="D721" s="83" t="s">
        <v>1378</v>
      </c>
      <c r="E721" s="83" t="b">
        <v>0</v>
      </c>
      <c r="F721" s="83" t="b">
        <v>0</v>
      </c>
      <c r="G721" s="83" t="b">
        <v>0</v>
      </c>
    </row>
    <row r="722" spans="1:7" ht="15">
      <c r="A722" s="84" t="s">
        <v>1578</v>
      </c>
      <c r="B722" s="83">
        <v>5</v>
      </c>
      <c r="C722" s="110">
        <v>0.004149049073484615</v>
      </c>
      <c r="D722" s="83" t="s">
        <v>1378</v>
      </c>
      <c r="E722" s="83" t="b">
        <v>0</v>
      </c>
      <c r="F722" s="83" t="b">
        <v>0</v>
      </c>
      <c r="G722" s="83" t="b">
        <v>0</v>
      </c>
    </row>
    <row r="723" spans="1:7" ht="15">
      <c r="A723" s="84" t="s">
        <v>1461</v>
      </c>
      <c r="B723" s="83">
        <v>5</v>
      </c>
      <c r="C723" s="110">
        <v>0.0035807889566394405</v>
      </c>
      <c r="D723" s="83" t="s">
        <v>1378</v>
      </c>
      <c r="E723" s="83" t="b">
        <v>1</v>
      </c>
      <c r="F723" s="83" t="b">
        <v>0</v>
      </c>
      <c r="G723" s="83" t="b">
        <v>0</v>
      </c>
    </row>
    <row r="724" spans="1:7" ht="15">
      <c r="A724" s="84" t="s">
        <v>1576</v>
      </c>
      <c r="B724" s="83">
        <v>4</v>
      </c>
      <c r="C724" s="110">
        <v>0.0030632172575411763</v>
      </c>
      <c r="D724" s="83" t="s">
        <v>1378</v>
      </c>
      <c r="E724" s="83" t="b">
        <v>0</v>
      </c>
      <c r="F724" s="83" t="b">
        <v>0</v>
      </c>
      <c r="G724" s="83" t="b">
        <v>0</v>
      </c>
    </row>
    <row r="725" spans="1:7" ht="15">
      <c r="A725" s="84" t="s">
        <v>1511</v>
      </c>
      <c r="B725" s="83">
        <v>4</v>
      </c>
      <c r="C725" s="110">
        <v>0.0033192392587876925</v>
      </c>
      <c r="D725" s="83" t="s">
        <v>1378</v>
      </c>
      <c r="E725" s="83" t="b">
        <v>0</v>
      </c>
      <c r="F725" s="83" t="b">
        <v>0</v>
      </c>
      <c r="G725" s="83" t="b">
        <v>0</v>
      </c>
    </row>
    <row r="726" spans="1:7" ht="15">
      <c r="A726" s="84" t="s">
        <v>1628</v>
      </c>
      <c r="B726" s="83">
        <v>4</v>
      </c>
      <c r="C726" s="110">
        <v>0.0030632172575411763</v>
      </c>
      <c r="D726" s="83" t="s">
        <v>1378</v>
      </c>
      <c r="E726" s="83" t="b">
        <v>0</v>
      </c>
      <c r="F726" s="83" t="b">
        <v>0</v>
      </c>
      <c r="G726" s="83" t="b">
        <v>0</v>
      </c>
    </row>
    <row r="727" spans="1:7" ht="15">
      <c r="A727" s="84" t="s">
        <v>1604</v>
      </c>
      <c r="B727" s="83">
        <v>4</v>
      </c>
      <c r="C727" s="110">
        <v>0.0030632172575411763</v>
      </c>
      <c r="D727" s="83" t="s">
        <v>1378</v>
      </c>
      <c r="E727" s="83" t="b">
        <v>0</v>
      </c>
      <c r="F727" s="83" t="b">
        <v>0</v>
      </c>
      <c r="G727" s="83" t="b">
        <v>0</v>
      </c>
    </row>
    <row r="728" spans="1:7" ht="15">
      <c r="A728" s="84" t="s">
        <v>1499</v>
      </c>
      <c r="B728" s="83">
        <v>4</v>
      </c>
      <c r="C728" s="110">
        <v>0.0030632172575411763</v>
      </c>
      <c r="D728" s="83" t="s">
        <v>1378</v>
      </c>
      <c r="E728" s="83" t="b">
        <v>0</v>
      </c>
      <c r="F728" s="83" t="b">
        <v>0</v>
      </c>
      <c r="G728" s="83" t="b">
        <v>0</v>
      </c>
    </row>
    <row r="729" spans="1:7" ht="15">
      <c r="A729" s="84" t="s">
        <v>1561</v>
      </c>
      <c r="B729" s="83">
        <v>4</v>
      </c>
      <c r="C729" s="110">
        <v>0.0030632172575411763</v>
      </c>
      <c r="D729" s="83" t="s">
        <v>1378</v>
      </c>
      <c r="E729" s="83" t="b">
        <v>0</v>
      </c>
      <c r="F729" s="83" t="b">
        <v>0</v>
      </c>
      <c r="G729" s="83" t="b">
        <v>0</v>
      </c>
    </row>
    <row r="730" spans="1:7" ht="15">
      <c r="A730" s="84" t="s">
        <v>1579</v>
      </c>
      <c r="B730" s="83">
        <v>4</v>
      </c>
      <c r="C730" s="110">
        <v>0.0030632172575411763</v>
      </c>
      <c r="D730" s="83" t="s">
        <v>1378</v>
      </c>
      <c r="E730" s="83" t="b">
        <v>0</v>
      </c>
      <c r="F730" s="83" t="b">
        <v>0</v>
      </c>
      <c r="G730" s="83" t="b">
        <v>0</v>
      </c>
    </row>
    <row r="731" spans="1:7" ht="15">
      <c r="A731" s="84" t="s">
        <v>1554</v>
      </c>
      <c r="B731" s="83">
        <v>4</v>
      </c>
      <c r="C731" s="110">
        <v>0.0033192392587876925</v>
      </c>
      <c r="D731" s="83" t="s">
        <v>1378</v>
      </c>
      <c r="E731" s="83" t="b">
        <v>0</v>
      </c>
      <c r="F731" s="83" t="b">
        <v>0</v>
      </c>
      <c r="G731" s="83" t="b">
        <v>0</v>
      </c>
    </row>
    <row r="732" spans="1:7" ht="15">
      <c r="A732" s="84" t="s">
        <v>1545</v>
      </c>
      <c r="B732" s="83">
        <v>4</v>
      </c>
      <c r="C732" s="110">
        <v>0.0033192392587876925</v>
      </c>
      <c r="D732" s="83" t="s">
        <v>1378</v>
      </c>
      <c r="E732" s="83" t="b">
        <v>0</v>
      </c>
      <c r="F732" s="83" t="b">
        <v>0</v>
      </c>
      <c r="G732" s="83" t="b">
        <v>0</v>
      </c>
    </row>
    <row r="733" spans="1:7" ht="15">
      <c r="A733" s="84" t="s">
        <v>1572</v>
      </c>
      <c r="B733" s="83">
        <v>4</v>
      </c>
      <c r="C733" s="110">
        <v>0.0033192392587876925</v>
      </c>
      <c r="D733" s="83" t="s">
        <v>1378</v>
      </c>
      <c r="E733" s="83" t="b">
        <v>0</v>
      </c>
      <c r="F733" s="83" t="b">
        <v>0</v>
      </c>
      <c r="G733" s="83" t="b">
        <v>0</v>
      </c>
    </row>
    <row r="734" spans="1:7" ht="15">
      <c r="A734" s="84" t="s">
        <v>1624</v>
      </c>
      <c r="B734" s="83">
        <v>4</v>
      </c>
      <c r="C734" s="110">
        <v>0.003680082002754253</v>
      </c>
      <c r="D734" s="83" t="s">
        <v>1378</v>
      </c>
      <c r="E734" s="83" t="b">
        <v>0</v>
      </c>
      <c r="F734" s="83" t="b">
        <v>0</v>
      </c>
      <c r="G734" s="83" t="b">
        <v>0</v>
      </c>
    </row>
    <row r="735" spans="1:7" ht="15">
      <c r="A735" s="84" t="s">
        <v>1608</v>
      </c>
      <c r="B735" s="83">
        <v>4</v>
      </c>
      <c r="C735" s="110">
        <v>0.0033192392587876925</v>
      </c>
      <c r="D735" s="83" t="s">
        <v>1378</v>
      </c>
      <c r="E735" s="83" t="b">
        <v>0</v>
      </c>
      <c r="F735" s="83" t="b">
        <v>0</v>
      </c>
      <c r="G735" s="83" t="b">
        <v>0</v>
      </c>
    </row>
    <row r="736" spans="1:7" ht="15">
      <c r="A736" s="84" t="s">
        <v>1539</v>
      </c>
      <c r="B736" s="83">
        <v>4</v>
      </c>
      <c r="C736" s="110">
        <v>0.003680082002754253</v>
      </c>
      <c r="D736" s="83" t="s">
        <v>1378</v>
      </c>
      <c r="E736" s="83" t="b">
        <v>0</v>
      </c>
      <c r="F736" s="83" t="b">
        <v>0</v>
      </c>
      <c r="G736" s="83" t="b">
        <v>0</v>
      </c>
    </row>
    <row r="737" spans="1:7" ht="15">
      <c r="A737" s="84" t="s">
        <v>1610</v>
      </c>
      <c r="B737" s="83">
        <v>4</v>
      </c>
      <c r="C737" s="110">
        <v>0.0030632172575411763</v>
      </c>
      <c r="D737" s="83" t="s">
        <v>1378</v>
      </c>
      <c r="E737" s="83" t="b">
        <v>0</v>
      </c>
      <c r="F737" s="83" t="b">
        <v>0</v>
      </c>
      <c r="G737" s="83" t="b">
        <v>0</v>
      </c>
    </row>
    <row r="738" spans="1:7" ht="15">
      <c r="A738" s="84" t="s">
        <v>1538</v>
      </c>
      <c r="B738" s="83">
        <v>4</v>
      </c>
      <c r="C738" s="110">
        <v>0.003680082002754253</v>
      </c>
      <c r="D738" s="83" t="s">
        <v>1378</v>
      </c>
      <c r="E738" s="83" t="b">
        <v>0</v>
      </c>
      <c r="F738" s="83" t="b">
        <v>0</v>
      </c>
      <c r="G738" s="83" t="b">
        <v>0</v>
      </c>
    </row>
    <row r="739" spans="1:7" ht="15">
      <c r="A739" s="84" t="s">
        <v>1535</v>
      </c>
      <c r="B739" s="83">
        <v>4</v>
      </c>
      <c r="C739" s="110">
        <v>0.0030632172575411763</v>
      </c>
      <c r="D739" s="83" t="s">
        <v>1378</v>
      </c>
      <c r="E739" s="83" t="b">
        <v>0</v>
      </c>
      <c r="F739" s="83" t="b">
        <v>0</v>
      </c>
      <c r="G739" s="83" t="b">
        <v>0</v>
      </c>
    </row>
    <row r="740" spans="1:7" ht="15">
      <c r="A740" s="84" t="s">
        <v>1605</v>
      </c>
      <c r="B740" s="83">
        <v>4</v>
      </c>
      <c r="C740" s="110">
        <v>0.0033192392587876925</v>
      </c>
      <c r="D740" s="83" t="s">
        <v>1378</v>
      </c>
      <c r="E740" s="83" t="b">
        <v>0</v>
      </c>
      <c r="F740" s="83" t="b">
        <v>0</v>
      </c>
      <c r="G740" s="83" t="b">
        <v>0</v>
      </c>
    </row>
    <row r="741" spans="1:7" ht="15">
      <c r="A741" s="84" t="s">
        <v>1484</v>
      </c>
      <c r="B741" s="83">
        <v>4</v>
      </c>
      <c r="C741" s="110">
        <v>0.0030632172575411763</v>
      </c>
      <c r="D741" s="83" t="s">
        <v>1378</v>
      </c>
      <c r="E741" s="83" t="b">
        <v>1</v>
      </c>
      <c r="F741" s="83" t="b">
        <v>0</v>
      </c>
      <c r="G741" s="83" t="b">
        <v>0</v>
      </c>
    </row>
    <row r="742" spans="1:7" ht="15">
      <c r="A742" s="84" t="s">
        <v>1607</v>
      </c>
      <c r="B742" s="83">
        <v>4</v>
      </c>
      <c r="C742" s="110">
        <v>0.0030632172575411763</v>
      </c>
      <c r="D742" s="83" t="s">
        <v>1378</v>
      </c>
      <c r="E742" s="83" t="b">
        <v>0</v>
      </c>
      <c r="F742" s="83" t="b">
        <v>1</v>
      </c>
      <c r="G742" s="83" t="b">
        <v>0</v>
      </c>
    </row>
    <row r="743" spans="1:7" ht="15">
      <c r="A743" s="84" t="s">
        <v>1540</v>
      </c>
      <c r="B743" s="83">
        <v>4</v>
      </c>
      <c r="C743" s="110">
        <v>0.0030632172575411763</v>
      </c>
      <c r="D743" s="83" t="s">
        <v>1378</v>
      </c>
      <c r="E743" s="83" t="b">
        <v>0</v>
      </c>
      <c r="F743" s="83" t="b">
        <v>0</v>
      </c>
      <c r="G743" s="83" t="b">
        <v>0</v>
      </c>
    </row>
    <row r="744" spans="1:7" ht="15">
      <c r="A744" s="84" t="s">
        <v>1522</v>
      </c>
      <c r="B744" s="83">
        <v>4</v>
      </c>
      <c r="C744" s="110">
        <v>0.0033192392587876925</v>
      </c>
      <c r="D744" s="83" t="s">
        <v>1378</v>
      </c>
      <c r="E744" s="83" t="b">
        <v>0</v>
      </c>
      <c r="F744" s="83" t="b">
        <v>0</v>
      </c>
      <c r="G744" s="83" t="b">
        <v>0</v>
      </c>
    </row>
    <row r="745" spans="1:7" ht="15">
      <c r="A745" s="84" t="s">
        <v>1592</v>
      </c>
      <c r="B745" s="83">
        <v>4</v>
      </c>
      <c r="C745" s="110">
        <v>0.004296946747967329</v>
      </c>
      <c r="D745" s="83" t="s">
        <v>1378</v>
      </c>
      <c r="E745" s="83" t="b">
        <v>0</v>
      </c>
      <c r="F745" s="83" t="b">
        <v>0</v>
      </c>
      <c r="G745" s="83" t="b">
        <v>0</v>
      </c>
    </row>
    <row r="746" spans="1:7" ht="15">
      <c r="A746" s="84" t="s">
        <v>1531</v>
      </c>
      <c r="B746" s="83">
        <v>4</v>
      </c>
      <c r="C746" s="110">
        <v>0.0033192392587876925</v>
      </c>
      <c r="D746" s="83" t="s">
        <v>1378</v>
      </c>
      <c r="E746" s="83" t="b">
        <v>0</v>
      </c>
      <c r="F746" s="83" t="b">
        <v>1</v>
      </c>
      <c r="G746" s="83" t="b">
        <v>0</v>
      </c>
    </row>
    <row r="747" spans="1:7" ht="15">
      <c r="A747" s="84" t="s">
        <v>1453</v>
      </c>
      <c r="B747" s="83">
        <v>4</v>
      </c>
      <c r="C747" s="110">
        <v>0.003680082002754253</v>
      </c>
      <c r="D747" s="83" t="s">
        <v>1378</v>
      </c>
      <c r="E747" s="83" t="b">
        <v>0</v>
      </c>
      <c r="F747" s="83" t="b">
        <v>0</v>
      </c>
      <c r="G747" s="83" t="b">
        <v>0</v>
      </c>
    </row>
    <row r="748" spans="1:7" ht="15">
      <c r="A748" s="84" t="s">
        <v>1487</v>
      </c>
      <c r="B748" s="83">
        <v>4</v>
      </c>
      <c r="C748" s="110">
        <v>0.0030632172575411763</v>
      </c>
      <c r="D748" s="83" t="s">
        <v>1378</v>
      </c>
      <c r="E748" s="83" t="b">
        <v>0</v>
      </c>
      <c r="F748" s="83" t="b">
        <v>0</v>
      </c>
      <c r="G748" s="83" t="b">
        <v>0</v>
      </c>
    </row>
    <row r="749" spans="1:7" ht="15">
      <c r="A749" s="84" t="s">
        <v>1603</v>
      </c>
      <c r="B749" s="83">
        <v>4</v>
      </c>
      <c r="C749" s="110">
        <v>0.0030632172575411763</v>
      </c>
      <c r="D749" s="83" t="s">
        <v>1378</v>
      </c>
      <c r="E749" s="83" t="b">
        <v>0</v>
      </c>
      <c r="F749" s="83" t="b">
        <v>0</v>
      </c>
      <c r="G749" s="83" t="b">
        <v>0</v>
      </c>
    </row>
    <row r="750" spans="1:7" ht="15">
      <c r="A750" s="84" t="s">
        <v>1501</v>
      </c>
      <c r="B750" s="83">
        <v>4</v>
      </c>
      <c r="C750" s="110">
        <v>0.0030632172575411763</v>
      </c>
      <c r="D750" s="83" t="s">
        <v>1378</v>
      </c>
      <c r="E750" s="83" t="b">
        <v>0</v>
      </c>
      <c r="F750" s="83" t="b">
        <v>0</v>
      </c>
      <c r="G750" s="83" t="b">
        <v>0</v>
      </c>
    </row>
    <row r="751" spans="1:7" ht="15">
      <c r="A751" s="84" t="s">
        <v>1465</v>
      </c>
      <c r="B751" s="83">
        <v>4</v>
      </c>
      <c r="C751" s="110">
        <v>0.0033192392587876925</v>
      </c>
      <c r="D751" s="83" t="s">
        <v>1378</v>
      </c>
      <c r="E751" s="83" t="b">
        <v>0</v>
      </c>
      <c r="F751" s="83" t="b">
        <v>0</v>
      </c>
      <c r="G751" s="83" t="b">
        <v>0</v>
      </c>
    </row>
    <row r="752" spans="1:7" ht="15">
      <c r="A752" s="84" t="s">
        <v>1616</v>
      </c>
      <c r="B752" s="83">
        <v>4</v>
      </c>
      <c r="C752" s="110">
        <v>0.0033192392587876925</v>
      </c>
      <c r="D752" s="83" t="s">
        <v>1378</v>
      </c>
      <c r="E752" s="83" t="b">
        <v>0</v>
      </c>
      <c r="F752" s="83" t="b">
        <v>0</v>
      </c>
      <c r="G752" s="83" t="b">
        <v>0</v>
      </c>
    </row>
    <row r="753" spans="1:7" ht="15">
      <c r="A753" s="84" t="s">
        <v>1627</v>
      </c>
      <c r="B753" s="83">
        <v>4</v>
      </c>
      <c r="C753" s="110">
        <v>0.0033192392587876925</v>
      </c>
      <c r="D753" s="83" t="s">
        <v>1378</v>
      </c>
      <c r="E753" s="83" t="b">
        <v>0</v>
      </c>
      <c r="F753" s="83" t="b">
        <v>0</v>
      </c>
      <c r="G753" s="83" t="b">
        <v>0</v>
      </c>
    </row>
    <row r="754" spans="1:7" ht="15">
      <c r="A754" s="84" t="s">
        <v>1642</v>
      </c>
      <c r="B754" s="83">
        <v>4</v>
      </c>
      <c r="C754" s="110">
        <v>0.003680082002754253</v>
      </c>
      <c r="D754" s="83" t="s">
        <v>1378</v>
      </c>
      <c r="E754" s="83" t="b">
        <v>0</v>
      </c>
      <c r="F754" s="83" t="b">
        <v>0</v>
      </c>
      <c r="G754" s="83" t="b">
        <v>0</v>
      </c>
    </row>
    <row r="755" spans="1:7" ht="15">
      <c r="A755" s="84" t="s">
        <v>1649</v>
      </c>
      <c r="B755" s="83">
        <v>3</v>
      </c>
      <c r="C755" s="110">
        <v>0.0027600615020656892</v>
      </c>
      <c r="D755" s="83" t="s">
        <v>1378</v>
      </c>
      <c r="E755" s="83" t="b">
        <v>0</v>
      </c>
      <c r="F755" s="83" t="b">
        <v>0</v>
      </c>
      <c r="G755" s="83" t="b">
        <v>0</v>
      </c>
    </row>
    <row r="756" spans="1:7" ht="15">
      <c r="A756" s="84" t="s">
        <v>1643</v>
      </c>
      <c r="B756" s="83">
        <v>3</v>
      </c>
      <c r="C756" s="110">
        <v>0.0027600615020656892</v>
      </c>
      <c r="D756" s="83" t="s">
        <v>1378</v>
      </c>
      <c r="E756" s="83" t="b">
        <v>0</v>
      </c>
      <c r="F756" s="83" t="b">
        <v>0</v>
      </c>
      <c r="G756" s="83" t="b">
        <v>0</v>
      </c>
    </row>
    <row r="757" spans="1:7" ht="15">
      <c r="A757" s="84" t="s">
        <v>1471</v>
      </c>
      <c r="B757" s="83">
        <v>3</v>
      </c>
      <c r="C757" s="110">
        <v>0.0027600615020656892</v>
      </c>
      <c r="D757" s="83" t="s">
        <v>1378</v>
      </c>
      <c r="E757" s="83" t="b">
        <v>0</v>
      </c>
      <c r="F757" s="83" t="b">
        <v>0</v>
      </c>
      <c r="G757" s="83" t="b">
        <v>0</v>
      </c>
    </row>
    <row r="758" spans="1:7" ht="15">
      <c r="A758" s="84" t="s">
        <v>1755</v>
      </c>
      <c r="B758" s="83">
        <v>3</v>
      </c>
      <c r="C758" s="110">
        <v>0.0024894294440907694</v>
      </c>
      <c r="D758" s="83" t="s">
        <v>1378</v>
      </c>
      <c r="E758" s="83" t="b">
        <v>0</v>
      </c>
      <c r="F758" s="83" t="b">
        <v>0</v>
      </c>
      <c r="G758" s="83" t="b">
        <v>0</v>
      </c>
    </row>
    <row r="759" spans="1:7" ht="15">
      <c r="A759" s="84" t="s">
        <v>1695</v>
      </c>
      <c r="B759" s="83">
        <v>3</v>
      </c>
      <c r="C759" s="110">
        <v>0.0027600615020656892</v>
      </c>
      <c r="D759" s="83" t="s">
        <v>1378</v>
      </c>
      <c r="E759" s="83" t="b">
        <v>0</v>
      </c>
      <c r="F759" s="83" t="b">
        <v>0</v>
      </c>
      <c r="G759" s="83" t="b">
        <v>0</v>
      </c>
    </row>
    <row r="760" spans="1:7" ht="15">
      <c r="A760" s="84" t="s">
        <v>1716</v>
      </c>
      <c r="B760" s="83">
        <v>3</v>
      </c>
      <c r="C760" s="110">
        <v>0.0024894294440907694</v>
      </c>
      <c r="D760" s="83" t="s">
        <v>1378</v>
      </c>
      <c r="E760" s="83" t="b">
        <v>0</v>
      </c>
      <c r="F760" s="83" t="b">
        <v>0</v>
      </c>
      <c r="G760" s="83" t="b">
        <v>0</v>
      </c>
    </row>
    <row r="761" spans="1:7" ht="15">
      <c r="A761" s="84" t="s">
        <v>1709</v>
      </c>
      <c r="B761" s="83">
        <v>3</v>
      </c>
      <c r="C761" s="110">
        <v>0.0024894294440907694</v>
      </c>
      <c r="D761" s="83" t="s">
        <v>1378</v>
      </c>
      <c r="E761" s="83" t="b">
        <v>0</v>
      </c>
      <c r="F761" s="83" t="b">
        <v>0</v>
      </c>
      <c r="G761" s="83" t="b">
        <v>0</v>
      </c>
    </row>
    <row r="762" spans="1:7" ht="15">
      <c r="A762" s="84" t="s">
        <v>1598</v>
      </c>
      <c r="B762" s="83">
        <v>3</v>
      </c>
      <c r="C762" s="110">
        <v>0.0024894294440907694</v>
      </c>
      <c r="D762" s="83" t="s">
        <v>1378</v>
      </c>
      <c r="E762" s="83" t="b">
        <v>0</v>
      </c>
      <c r="F762" s="83" t="b">
        <v>0</v>
      </c>
      <c r="G762" s="83" t="b">
        <v>0</v>
      </c>
    </row>
    <row r="763" spans="1:7" ht="15">
      <c r="A763" s="84" t="s">
        <v>1591</v>
      </c>
      <c r="B763" s="83">
        <v>3</v>
      </c>
      <c r="C763" s="110">
        <v>0.0027600615020656892</v>
      </c>
      <c r="D763" s="83" t="s">
        <v>1378</v>
      </c>
      <c r="E763" s="83" t="b">
        <v>0</v>
      </c>
      <c r="F763" s="83" t="b">
        <v>0</v>
      </c>
      <c r="G763" s="83" t="b">
        <v>0</v>
      </c>
    </row>
    <row r="764" spans="1:7" ht="15">
      <c r="A764" s="84" t="s">
        <v>1618</v>
      </c>
      <c r="B764" s="83">
        <v>3</v>
      </c>
      <c r="C764" s="110">
        <v>0.0024894294440907694</v>
      </c>
      <c r="D764" s="83" t="s">
        <v>1378</v>
      </c>
      <c r="E764" s="83" t="b">
        <v>0</v>
      </c>
      <c r="F764" s="83" t="b">
        <v>0</v>
      </c>
      <c r="G764" s="83" t="b">
        <v>0</v>
      </c>
    </row>
    <row r="765" spans="1:7" ht="15">
      <c r="A765" s="84" t="s">
        <v>1656</v>
      </c>
      <c r="B765" s="83">
        <v>3</v>
      </c>
      <c r="C765" s="110">
        <v>0.0027600615020656892</v>
      </c>
      <c r="D765" s="83" t="s">
        <v>1378</v>
      </c>
      <c r="E765" s="83" t="b">
        <v>0</v>
      </c>
      <c r="F765" s="83" t="b">
        <v>0</v>
      </c>
      <c r="G765" s="83" t="b">
        <v>0</v>
      </c>
    </row>
    <row r="766" spans="1:7" ht="15">
      <c r="A766" s="84" t="s">
        <v>1669</v>
      </c>
      <c r="B766" s="83">
        <v>3</v>
      </c>
      <c r="C766" s="110">
        <v>0.0024894294440907694</v>
      </c>
      <c r="D766" s="83" t="s">
        <v>1378</v>
      </c>
      <c r="E766" s="83" t="b">
        <v>1</v>
      </c>
      <c r="F766" s="83" t="b">
        <v>0</v>
      </c>
      <c r="G766" s="83" t="b">
        <v>0</v>
      </c>
    </row>
    <row r="767" spans="1:7" ht="15">
      <c r="A767" s="84" t="s">
        <v>1547</v>
      </c>
      <c r="B767" s="83">
        <v>3</v>
      </c>
      <c r="C767" s="110">
        <v>0.0024894294440907694</v>
      </c>
      <c r="D767" s="83" t="s">
        <v>1378</v>
      </c>
      <c r="E767" s="83" t="b">
        <v>0</v>
      </c>
      <c r="F767" s="83" t="b">
        <v>0</v>
      </c>
      <c r="G767" s="83" t="b">
        <v>0</v>
      </c>
    </row>
    <row r="768" spans="1:7" ht="15">
      <c r="A768" s="84" t="s">
        <v>1735</v>
      </c>
      <c r="B768" s="83">
        <v>3</v>
      </c>
      <c r="C768" s="110">
        <v>0.0024894294440907694</v>
      </c>
      <c r="D768" s="83" t="s">
        <v>1378</v>
      </c>
      <c r="E768" s="83" t="b">
        <v>0</v>
      </c>
      <c r="F768" s="83" t="b">
        <v>0</v>
      </c>
      <c r="G768" s="83" t="b">
        <v>0</v>
      </c>
    </row>
    <row r="769" spans="1:7" ht="15">
      <c r="A769" s="84" t="s">
        <v>1736</v>
      </c>
      <c r="B769" s="83">
        <v>3</v>
      </c>
      <c r="C769" s="110">
        <v>0.0024894294440907694</v>
      </c>
      <c r="D769" s="83" t="s">
        <v>1378</v>
      </c>
      <c r="E769" s="83" t="b">
        <v>0</v>
      </c>
      <c r="F769" s="83" t="b">
        <v>0</v>
      </c>
      <c r="G769" s="83" t="b">
        <v>0</v>
      </c>
    </row>
    <row r="770" spans="1:7" ht="15">
      <c r="A770" s="84" t="s">
        <v>1737</v>
      </c>
      <c r="B770" s="83">
        <v>3</v>
      </c>
      <c r="C770" s="110">
        <v>0.0024894294440907694</v>
      </c>
      <c r="D770" s="83" t="s">
        <v>1378</v>
      </c>
      <c r="E770" s="83" t="b">
        <v>0</v>
      </c>
      <c r="F770" s="83" t="b">
        <v>0</v>
      </c>
      <c r="G770" s="83" t="b">
        <v>0</v>
      </c>
    </row>
    <row r="771" spans="1:7" ht="15">
      <c r="A771" s="84" t="s">
        <v>1631</v>
      </c>
      <c r="B771" s="83">
        <v>3</v>
      </c>
      <c r="C771" s="110">
        <v>0.0024894294440907694</v>
      </c>
      <c r="D771" s="83" t="s">
        <v>1378</v>
      </c>
      <c r="E771" s="83" t="b">
        <v>0</v>
      </c>
      <c r="F771" s="83" t="b">
        <v>0</v>
      </c>
      <c r="G771" s="83" t="b">
        <v>0</v>
      </c>
    </row>
    <row r="772" spans="1:7" ht="15">
      <c r="A772" s="84" t="s">
        <v>1703</v>
      </c>
      <c r="B772" s="83">
        <v>3</v>
      </c>
      <c r="C772" s="110">
        <v>0.0027600615020656892</v>
      </c>
      <c r="D772" s="83" t="s">
        <v>1378</v>
      </c>
      <c r="E772" s="83" t="b">
        <v>0</v>
      </c>
      <c r="F772" s="83" t="b">
        <v>0</v>
      </c>
      <c r="G772" s="83" t="b">
        <v>0</v>
      </c>
    </row>
    <row r="773" spans="1:7" ht="15">
      <c r="A773" s="84" t="s">
        <v>1668</v>
      </c>
      <c r="B773" s="83">
        <v>3</v>
      </c>
      <c r="C773" s="110">
        <v>0.0024894294440907694</v>
      </c>
      <c r="D773" s="83" t="s">
        <v>1378</v>
      </c>
      <c r="E773" s="83" t="b">
        <v>0</v>
      </c>
      <c r="F773" s="83" t="b">
        <v>0</v>
      </c>
      <c r="G773" s="83" t="b">
        <v>0</v>
      </c>
    </row>
    <row r="774" spans="1:7" ht="15">
      <c r="A774" s="84" t="s">
        <v>1687</v>
      </c>
      <c r="B774" s="83">
        <v>3</v>
      </c>
      <c r="C774" s="110">
        <v>0.0027600615020656892</v>
      </c>
      <c r="D774" s="83" t="s">
        <v>1378</v>
      </c>
      <c r="E774" s="83" t="b">
        <v>0</v>
      </c>
      <c r="F774" s="83" t="b">
        <v>0</v>
      </c>
      <c r="G774" s="83" t="b">
        <v>0</v>
      </c>
    </row>
    <row r="775" spans="1:7" ht="15">
      <c r="A775" s="84" t="s">
        <v>1552</v>
      </c>
      <c r="B775" s="83">
        <v>3</v>
      </c>
      <c r="C775" s="110">
        <v>0.0024894294440907694</v>
      </c>
      <c r="D775" s="83" t="s">
        <v>1378</v>
      </c>
      <c r="E775" s="83" t="b">
        <v>0</v>
      </c>
      <c r="F775" s="83" t="b">
        <v>0</v>
      </c>
      <c r="G775" s="83" t="b">
        <v>0</v>
      </c>
    </row>
    <row r="776" spans="1:7" ht="15">
      <c r="A776" s="84" t="s">
        <v>1679</v>
      </c>
      <c r="B776" s="83">
        <v>3</v>
      </c>
      <c r="C776" s="110">
        <v>0.0027600615020656892</v>
      </c>
      <c r="D776" s="83" t="s">
        <v>1378</v>
      </c>
      <c r="E776" s="83" t="b">
        <v>0</v>
      </c>
      <c r="F776" s="83" t="b">
        <v>0</v>
      </c>
      <c r="G776" s="83" t="b">
        <v>0</v>
      </c>
    </row>
    <row r="777" spans="1:7" ht="15">
      <c r="A777" s="84" t="s">
        <v>1720</v>
      </c>
      <c r="B777" s="83">
        <v>3</v>
      </c>
      <c r="C777" s="110">
        <v>0.0027600615020656892</v>
      </c>
      <c r="D777" s="83" t="s">
        <v>1378</v>
      </c>
      <c r="E777" s="83" t="b">
        <v>0</v>
      </c>
      <c r="F777" s="83" t="b">
        <v>0</v>
      </c>
      <c r="G777" s="83" t="b">
        <v>0</v>
      </c>
    </row>
    <row r="778" spans="1:7" ht="15">
      <c r="A778" s="84" t="s">
        <v>1671</v>
      </c>
      <c r="B778" s="83">
        <v>3</v>
      </c>
      <c r="C778" s="110">
        <v>0.0024894294440907694</v>
      </c>
      <c r="D778" s="83" t="s">
        <v>1378</v>
      </c>
      <c r="E778" s="83" t="b">
        <v>0</v>
      </c>
      <c r="F778" s="83" t="b">
        <v>0</v>
      </c>
      <c r="G778" s="83" t="b">
        <v>0</v>
      </c>
    </row>
    <row r="779" spans="1:7" ht="15">
      <c r="A779" s="84" t="s">
        <v>1702</v>
      </c>
      <c r="B779" s="83">
        <v>3</v>
      </c>
      <c r="C779" s="110">
        <v>0.0024894294440907694</v>
      </c>
      <c r="D779" s="83" t="s">
        <v>1378</v>
      </c>
      <c r="E779" s="83" t="b">
        <v>0</v>
      </c>
      <c r="F779" s="83" t="b">
        <v>0</v>
      </c>
      <c r="G779" s="83" t="b">
        <v>0</v>
      </c>
    </row>
    <row r="780" spans="1:7" ht="15">
      <c r="A780" s="84" t="s">
        <v>1525</v>
      </c>
      <c r="B780" s="83">
        <v>3</v>
      </c>
      <c r="C780" s="110">
        <v>0.0024894294440907694</v>
      </c>
      <c r="D780" s="83" t="s">
        <v>1378</v>
      </c>
      <c r="E780" s="83" t="b">
        <v>0</v>
      </c>
      <c r="F780" s="83" t="b">
        <v>0</v>
      </c>
      <c r="G780" s="83" t="b">
        <v>0</v>
      </c>
    </row>
    <row r="781" spans="1:7" ht="15">
      <c r="A781" s="84" t="s">
        <v>1731</v>
      </c>
      <c r="B781" s="83">
        <v>3</v>
      </c>
      <c r="C781" s="110">
        <v>0.0024894294440907694</v>
      </c>
      <c r="D781" s="83" t="s">
        <v>1378</v>
      </c>
      <c r="E781" s="83" t="b">
        <v>0</v>
      </c>
      <c r="F781" s="83" t="b">
        <v>0</v>
      </c>
      <c r="G781" s="83" t="b">
        <v>0</v>
      </c>
    </row>
    <row r="782" spans="1:7" ht="15">
      <c r="A782" s="84" t="s">
        <v>1614</v>
      </c>
      <c r="B782" s="83">
        <v>3</v>
      </c>
      <c r="C782" s="110">
        <v>0.0024894294440907694</v>
      </c>
      <c r="D782" s="83" t="s">
        <v>1378</v>
      </c>
      <c r="E782" s="83" t="b">
        <v>0</v>
      </c>
      <c r="F782" s="83" t="b">
        <v>0</v>
      </c>
      <c r="G782" s="83" t="b">
        <v>0</v>
      </c>
    </row>
    <row r="783" spans="1:7" ht="15">
      <c r="A783" s="84" t="s">
        <v>1563</v>
      </c>
      <c r="B783" s="83">
        <v>3</v>
      </c>
      <c r="C783" s="110">
        <v>0.0027600615020656892</v>
      </c>
      <c r="D783" s="83" t="s">
        <v>1378</v>
      </c>
      <c r="E783" s="83" t="b">
        <v>0</v>
      </c>
      <c r="F783" s="83" t="b">
        <v>0</v>
      </c>
      <c r="G783" s="83" t="b">
        <v>0</v>
      </c>
    </row>
    <row r="784" spans="1:7" ht="15">
      <c r="A784" s="84" t="s">
        <v>1719</v>
      </c>
      <c r="B784" s="83">
        <v>3</v>
      </c>
      <c r="C784" s="110">
        <v>0.003222710060975496</v>
      </c>
      <c r="D784" s="83" t="s">
        <v>1378</v>
      </c>
      <c r="E784" s="83" t="b">
        <v>0</v>
      </c>
      <c r="F784" s="83" t="b">
        <v>0</v>
      </c>
      <c r="G784" s="83" t="b">
        <v>0</v>
      </c>
    </row>
    <row r="785" spans="1:7" ht="15">
      <c r="A785" s="84" t="s">
        <v>1688</v>
      </c>
      <c r="B785" s="83">
        <v>3</v>
      </c>
      <c r="C785" s="110">
        <v>0.0024894294440907694</v>
      </c>
      <c r="D785" s="83" t="s">
        <v>1378</v>
      </c>
      <c r="E785" s="83" t="b">
        <v>0</v>
      </c>
      <c r="F785" s="83" t="b">
        <v>0</v>
      </c>
      <c r="G785" s="83" t="b">
        <v>0</v>
      </c>
    </row>
    <row r="786" spans="1:7" ht="15">
      <c r="A786" s="84" t="s">
        <v>1684</v>
      </c>
      <c r="B786" s="83">
        <v>3</v>
      </c>
      <c r="C786" s="110">
        <v>0.0027600615020656892</v>
      </c>
      <c r="D786" s="83" t="s">
        <v>1378</v>
      </c>
      <c r="E786" s="83" t="b">
        <v>0</v>
      </c>
      <c r="F786" s="83" t="b">
        <v>0</v>
      </c>
      <c r="G786" s="83" t="b">
        <v>0</v>
      </c>
    </row>
    <row r="787" spans="1:7" ht="15">
      <c r="A787" s="84" t="s">
        <v>1612</v>
      </c>
      <c r="B787" s="83">
        <v>3</v>
      </c>
      <c r="C787" s="110">
        <v>0.0027600615020656892</v>
      </c>
      <c r="D787" s="83" t="s">
        <v>1378</v>
      </c>
      <c r="E787" s="83" t="b">
        <v>0</v>
      </c>
      <c r="F787" s="83" t="b">
        <v>0</v>
      </c>
      <c r="G787" s="83" t="b">
        <v>0</v>
      </c>
    </row>
    <row r="788" spans="1:7" ht="15">
      <c r="A788" s="84" t="s">
        <v>1600</v>
      </c>
      <c r="B788" s="83">
        <v>3</v>
      </c>
      <c r="C788" s="110">
        <v>0.0027600615020656892</v>
      </c>
      <c r="D788" s="83" t="s">
        <v>1378</v>
      </c>
      <c r="E788" s="83" t="b">
        <v>0</v>
      </c>
      <c r="F788" s="83" t="b">
        <v>0</v>
      </c>
      <c r="G788" s="83" t="b">
        <v>0</v>
      </c>
    </row>
    <row r="789" spans="1:7" ht="15">
      <c r="A789" s="84" t="s">
        <v>1609</v>
      </c>
      <c r="B789" s="83">
        <v>3</v>
      </c>
      <c r="C789" s="110">
        <v>0.0027600615020656892</v>
      </c>
      <c r="D789" s="83" t="s">
        <v>1378</v>
      </c>
      <c r="E789" s="83" t="b">
        <v>0</v>
      </c>
      <c r="F789" s="83" t="b">
        <v>0</v>
      </c>
      <c r="G789" s="83" t="b">
        <v>0</v>
      </c>
    </row>
    <row r="790" spans="1:7" ht="15">
      <c r="A790" s="84" t="s">
        <v>1692</v>
      </c>
      <c r="B790" s="83">
        <v>3</v>
      </c>
      <c r="C790" s="110">
        <v>0.0024894294440907694</v>
      </c>
      <c r="D790" s="83" t="s">
        <v>1378</v>
      </c>
      <c r="E790" s="83" t="b">
        <v>0</v>
      </c>
      <c r="F790" s="83" t="b">
        <v>0</v>
      </c>
      <c r="G790" s="83" t="b">
        <v>0</v>
      </c>
    </row>
    <row r="791" spans="1:7" ht="15">
      <c r="A791" s="84" t="s">
        <v>1690</v>
      </c>
      <c r="B791" s="83">
        <v>3</v>
      </c>
      <c r="C791" s="110">
        <v>0.0024894294440907694</v>
      </c>
      <c r="D791" s="83" t="s">
        <v>1378</v>
      </c>
      <c r="E791" s="83" t="b">
        <v>0</v>
      </c>
      <c r="F791" s="83" t="b">
        <v>0</v>
      </c>
      <c r="G791" s="83" t="b">
        <v>0</v>
      </c>
    </row>
    <row r="792" spans="1:7" ht="15">
      <c r="A792" s="84" t="s">
        <v>1658</v>
      </c>
      <c r="B792" s="83">
        <v>3</v>
      </c>
      <c r="C792" s="110">
        <v>0.0024894294440907694</v>
      </c>
      <c r="D792" s="83" t="s">
        <v>1378</v>
      </c>
      <c r="E792" s="83" t="b">
        <v>0</v>
      </c>
      <c r="F792" s="83" t="b">
        <v>0</v>
      </c>
      <c r="G792" s="83" t="b">
        <v>0</v>
      </c>
    </row>
    <row r="793" spans="1:7" ht="15">
      <c r="A793" s="84" t="s">
        <v>1678</v>
      </c>
      <c r="B793" s="83">
        <v>3</v>
      </c>
      <c r="C793" s="110">
        <v>0.0027600615020656892</v>
      </c>
      <c r="D793" s="83" t="s">
        <v>1378</v>
      </c>
      <c r="E793" s="83" t="b">
        <v>0</v>
      </c>
      <c r="F793" s="83" t="b">
        <v>1</v>
      </c>
      <c r="G793" s="83" t="b">
        <v>0</v>
      </c>
    </row>
    <row r="794" spans="1:7" ht="15">
      <c r="A794" s="84" t="s">
        <v>1654</v>
      </c>
      <c r="B794" s="83">
        <v>3</v>
      </c>
      <c r="C794" s="110">
        <v>0.0027600615020656892</v>
      </c>
      <c r="D794" s="83" t="s">
        <v>1378</v>
      </c>
      <c r="E794" s="83" t="b">
        <v>0</v>
      </c>
      <c r="F794" s="83" t="b">
        <v>0</v>
      </c>
      <c r="G794" s="83" t="b">
        <v>0</v>
      </c>
    </row>
    <row r="795" spans="1:7" ht="15">
      <c r="A795" s="84" t="s">
        <v>1512</v>
      </c>
      <c r="B795" s="83">
        <v>3</v>
      </c>
      <c r="C795" s="110">
        <v>0.0024894294440907694</v>
      </c>
      <c r="D795" s="83" t="s">
        <v>1378</v>
      </c>
      <c r="E795" s="83" t="b">
        <v>0</v>
      </c>
      <c r="F795" s="83" t="b">
        <v>0</v>
      </c>
      <c r="G795" s="83" t="b">
        <v>0</v>
      </c>
    </row>
    <row r="796" spans="1:7" ht="15">
      <c r="A796" s="84" t="s">
        <v>1651</v>
      </c>
      <c r="B796" s="83">
        <v>3</v>
      </c>
      <c r="C796" s="110">
        <v>0.0024894294440907694</v>
      </c>
      <c r="D796" s="83" t="s">
        <v>1378</v>
      </c>
      <c r="E796" s="83" t="b">
        <v>0</v>
      </c>
      <c r="F796" s="83" t="b">
        <v>0</v>
      </c>
      <c r="G796" s="83" t="b">
        <v>0</v>
      </c>
    </row>
    <row r="797" spans="1:7" ht="15">
      <c r="A797" s="84" t="s">
        <v>1652</v>
      </c>
      <c r="B797" s="83">
        <v>3</v>
      </c>
      <c r="C797" s="110">
        <v>0.0027600615020656892</v>
      </c>
      <c r="D797" s="83" t="s">
        <v>1378</v>
      </c>
      <c r="E797" s="83" t="b">
        <v>0</v>
      </c>
      <c r="F797" s="83" t="b">
        <v>0</v>
      </c>
      <c r="G797" s="83" t="b">
        <v>0</v>
      </c>
    </row>
    <row r="798" spans="1:7" ht="15">
      <c r="A798" s="84" t="s">
        <v>1593</v>
      </c>
      <c r="B798" s="83">
        <v>3</v>
      </c>
      <c r="C798" s="110">
        <v>0.003222710060975496</v>
      </c>
      <c r="D798" s="83" t="s">
        <v>1378</v>
      </c>
      <c r="E798" s="83" t="b">
        <v>0</v>
      </c>
      <c r="F798" s="83" t="b">
        <v>0</v>
      </c>
      <c r="G798" s="83" t="b">
        <v>0</v>
      </c>
    </row>
    <row r="799" spans="1:7" ht="15">
      <c r="A799" s="84" t="s">
        <v>1555</v>
      </c>
      <c r="B799" s="83">
        <v>3</v>
      </c>
      <c r="C799" s="110">
        <v>0.003222710060975496</v>
      </c>
      <c r="D799" s="83" t="s">
        <v>1378</v>
      </c>
      <c r="E799" s="83" t="b">
        <v>0</v>
      </c>
      <c r="F799" s="83" t="b">
        <v>0</v>
      </c>
      <c r="G799" s="83" t="b">
        <v>0</v>
      </c>
    </row>
    <row r="800" spans="1:7" ht="15">
      <c r="A800" s="84" t="s">
        <v>1677</v>
      </c>
      <c r="B800" s="83">
        <v>3</v>
      </c>
      <c r="C800" s="110">
        <v>0.0024894294440907694</v>
      </c>
      <c r="D800" s="83" t="s">
        <v>1378</v>
      </c>
      <c r="E800" s="83" t="b">
        <v>0</v>
      </c>
      <c r="F800" s="83" t="b">
        <v>0</v>
      </c>
      <c r="G800" s="83" t="b">
        <v>0</v>
      </c>
    </row>
    <row r="801" spans="1:7" ht="15">
      <c r="A801" s="84" t="s">
        <v>1559</v>
      </c>
      <c r="B801" s="83">
        <v>3</v>
      </c>
      <c r="C801" s="110">
        <v>0.0027600615020656892</v>
      </c>
      <c r="D801" s="83" t="s">
        <v>1378</v>
      </c>
      <c r="E801" s="83" t="b">
        <v>0</v>
      </c>
      <c r="F801" s="83" t="b">
        <v>0</v>
      </c>
      <c r="G801" s="83" t="b">
        <v>0</v>
      </c>
    </row>
    <row r="802" spans="1:7" ht="15">
      <c r="A802" s="84" t="s">
        <v>1681</v>
      </c>
      <c r="B802" s="83">
        <v>3</v>
      </c>
      <c r="C802" s="110">
        <v>0.0024894294440907694</v>
      </c>
      <c r="D802" s="83" t="s">
        <v>1378</v>
      </c>
      <c r="E802" s="83" t="b">
        <v>0</v>
      </c>
      <c r="F802" s="83" t="b">
        <v>0</v>
      </c>
      <c r="G802" s="83" t="b">
        <v>0</v>
      </c>
    </row>
    <row r="803" spans="1:7" ht="15">
      <c r="A803" s="84" t="s">
        <v>1606</v>
      </c>
      <c r="B803" s="83">
        <v>3</v>
      </c>
      <c r="C803" s="110">
        <v>0.0024894294440907694</v>
      </c>
      <c r="D803" s="83" t="s">
        <v>1378</v>
      </c>
      <c r="E803" s="83" t="b">
        <v>1</v>
      </c>
      <c r="F803" s="83" t="b">
        <v>0</v>
      </c>
      <c r="G803" s="83" t="b">
        <v>0</v>
      </c>
    </row>
    <row r="804" spans="1:7" ht="15">
      <c r="A804" s="84" t="s">
        <v>1686</v>
      </c>
      <c r="B804" s="83">
        <v>3</v>
      </c>
      <c r="C804" s="110">
        <v>0.0024894294440907694</v>
      </c>
      <c r="D804" s="83" t="s">
        <v>1378</v>
      </c>
      <c r="E804" s="83" t="b">
        <v>0</v>
      </c>
      <c r="F804" s="83" t="b">
        <v>0</v>
      </c>
      <c r="G804" s="83" t="b">
        <v>0</v>
      </c>
    </row>
    <row r="805" spans="1:7" ht="15">
      <c r="A805" s="84" t="s">
        <v>1568</v>
      </c>
      <c r="B805" s="83">
        <v>3</v>
      </c>
      <c r="C805" s="110">
        <v>0.0024894294440907694</v>
      </c>
      <c r="D805" s="83" t="s">
        <v>1378</v>
      </c>
      <c r="E805" s="83" t="b">
        <v>0</v>
      </c>
      <c r="F805" s="83" t="b">
        <v>0</v>
      </c>
      <c r="G805" s="83" t="b">
        <v>0</v>
      </c>
    </row>
    <row r="806" spans="1:7" ht="15">
      <c r="A806" s="84" t="s">
        <v>1689</v>
      </c>
      <c r="B806" s="83">
        <v>3</v>
      </c>
      <c r="C806" s="110">
        <v>0.0024894294440907694</v>
      </c>
      <c r="D806" s="83" t="s">
        <v>1378</v>
      </c>
      <c r="E806" s="83" t="b">
        <v>0</v>
      </c>
      <c r="F806" s="83" t="b">
        <v>0</v>
      </c>
      <c r="G806" s="83" t="b">
        <v>0</v>
      </c>
    </row>
    <row r="807" spans="1:7" ht="15">
      <c r="A807" s="84" t="s">
        <v>1691</v>
      </c>
      <c r="B807" s="83">
        <v>3</v>
      </c>
      <c r="C807" s="110">
        <v>0.0027600615020656892</v>
      </c>
      <c r="D807" s="83" t="s">
        <v>1378</v>
      </c>
      <c r="E807" s="83" t="b">
        <v>0</v>
      </c>
      <c r="F807" s="83" t="b">
        <v>0</v>
      </c>
      <c r="G807" s="83" t="b">
        <v>0</v>
      </c>
    </row>
    <row r="808" spans="1:7" ht="15">
      <c r="A808" s="84" t="s">
        <v>1706</v>
      </c>
      <c r="B808" s="83">
        <v>3</v>
      </c>
      <c r="C808" s="110">
        <v>0.0027600615020656892</v>
      </c>
      <c r="D808" s="83" t="s">
        <v>1378</v>
      </c>
      <c r="E808" s="83" t="b">
        <v>0</v>
      </c>
      <c r="F808" s="83" t="b">
        <v>0</v>
      </c>
      <c r="G808" s="83" t="b">
        <v>0</v>
      </c>
    </row>
    <row r="809" spans="1:7" ht="15">
      <c r="A809" s="84" t="s">
        <v>1617</v>
      </c>
      <c r="B809" s="83">
        <v>3</v>
      </c>
      <c r="C809" s="110">
        <v>0.0024894294440907694</v>
      </c>
      <c r="D809" s="83" t="s">
        <v>1378</v>
      </c>
      <c r="E809" s="83" t="b">
        <v>0</v>
      </c>
      <c r="F809" s="83" t="b">
        <v>0</v>
      </c>
      <c r="G809" s="83" t="b">
        <v>0</v>
      </c>
    </row>
    <row r="810" spans="1:7" ht="15">
      <c r="A810" s="84" t="s">
        <v>1714</v>
      </c>
      <c r="B810" s="83">
        <v>3</v>
      </c>
      <c r="C810" s="110">
        <v>0.0024894294440907694</v>
      </c>
      <c r="D810" s="83" t="s">
        <v>1378</v>
      </c>
      <c r="E810" s="83" t="b">
        <v>0</v>
      </c>
      <c r="F810" s="83" t="b">
        <v>0</v>
      </c>
      <c r="G810" s="83" t="b">
        <v>0</v>
      </c>
    </row>
    <row r="811" spans="1:7" ht="15">
      <c r="A811" s="84" t="s">
        <v>1475</v>
      </c>
      <c r="B811" s="83">
        <v>3</v>
      </c>
      <c r="C811" s="110">
        <v>0.0024894294440907694</v>
      </c>
      <c r="D811" s="83" t="s">
        <v>1378</v>
      </c>
      <c r="E811" s="83" t="b">
        <v>0</v>
      </c>
      <c r="F811" s="83" t="b">
        <v>0</v>
      </c>
      <c r="G811" s="83" t="b">
        <v>0</v>
      </c>
    </row>
    <row r="812" spans="1:7" ht="15">
      <c r="A812" s="84" t="s">
        <v>1492</v>
      </c>
      <c r="B812" s="83">
        <v>2</v>
      </c>
      <c r="C812" s="110">
        <v>0.0018400410013771264</v>
      </c>
      <c r="D812" s="83" t="s">
        <v>1378</v>
      </c>
      <c r="E812" s="83" t="b">
        <v>0</v>
      </c>
      <c r="F812" s="83" t="b">
        <v>1</v>
      </c>
      <c r="G812" s="83" t="b">
        <v>0</v>
      </c>
    </row>
    <row r="813" spans="1:7" ht="15">
      <c r="A813" s="84" t="s">
        <v>1708</v>
      </c>
      <c r="B813" s="83">
        <v>2</v>
      </c>
      <c r="C813" s="110">
        <v>0.0018400410013771264</v>
      </c>
      <c r="D813" s="83" t="s">
        <v>1378</v>
      </c>
      <c r="E813" s="83" t="b">
        <v>0</v>
      </c>
      <c r="F813" s="83" t="b">
        <v>0</v>
      </c>
      <c r="G813" s="83" t="b">
        <v>0</v>
      </c>
    </row>
    <row r="814" spans="1:7" ht="15">
      <c r="A814" s="84" t="s">
        <v>1587</v>
      </c>
      <c r="B814" s="83">
        <v>2</v>
      </c>
      <c r="C814" s="110">
        <v>0.0021484733739836645</v>
      </c>
      <c r="D814" s="83" t="s">
        <v>1378</v>
      </c>
      <c r="E814" s="83" t="b">
        <v>0</v>
      </c>
      <c r="F814" s="83" t="b">
        <v>0</v>
      </c>
      <c r="G814" s="83" t="b">
        <v>0</v>
      </c>
    </row>
    <row r="815" spans="1:7" ht="15">
      <c r="A815" s="84" t="s">
        <v>1665</v>
      </c>
      <c r="B815" s="83">
        <v>2</v>
      </c>
      <c r="C815" s="110">
        <v>0.0018400410013771264</v>
      </c>
      <c r="D815" s="83" t="s">
        <v>1378</v>
      </c>
      <c r="E815" s="83" t="b">
        <v>0</v>
      </c>
      <c r="F815" s="83" t="b">
        <v>0</v>
      </c>
      <c r="G815" s="83" t="b">
        <v>0</v>
      </c>
    </row>
    <row r="816" spans="1:7" ht="15">
      <c r="A816" s="84" t="s">
        <v>1906</v>
      </c>
      <c r="B816" s="83">
        <v>2</v>
      </c>
      <c r="C816" s="110">
        <v>0.0018400410013771264</v>
      </c>
      <c r="D816" s="83" t="s">
        <v>1378</v>
      </c>
      <c r="E816" s="83" t="b">
        <v>0</v>
      </c>
      <c r="F816" s="83" t="b">
        <v>0</v>
      </c>
      <c r="G816" s="83" t="b">
        <v>0</v>
      </c>
    </row>
    <row r="817" spans="1:7" ht="15">
      <c r="A817" s="84" t="s">
        <v>2027</v>
      </c>
      <c r="B817" s="83">
        <v>2</v>
      </c>
      <c r="C817" s="110">
        <v>0.0018400410013771264</v>
      </c>
      <c r="D817" s="83" t="s">
        <v>1378</v>
      </c>
      <c r="E817" s="83" t="b">
        <v>0</v>
      </c>
      <c r="F817" s="83" t="b">
        <v>0</v>
      </c>
      <c r="G817" s="83" t="b">
        <v>0</v>
      </c>
    </row>
    <row r="818" spans="1:7" ht="15">
      <c r="A818" s="84" t="s">
        <v>2029</v>
      </c>
      <c r="B818" s="83">
        <v>2</v>
      </c>
      <c r="C818" s="110">
        <v>0.0018400410013771264</v>
      </c>
      <c r="D818" s="83" t="s">
        <v>1378</v>
      </c>
      <c r="E818" s="83" t="b">
        <v>0</v>
      </c>
      <c r="F818" s="83" t="b">
        <v>0</v>
      </c>
      <c r="G818" s="83" t="b">
        <v>0</v>
      </c>
    </row>
    <row r="819" spans="1:7" ht="15">
      <c r="A819" s="84" t="s">
        <v>1710</v>
      </c>
      <c r="B819" s="83">
        <v>2</v>
      </c>
      <c r="C819" s="110">
        <v>0.0018400410013771264</v>
      </c>
      <c r="D819" s="83" t="s">
        <v>1378</v>
      </c>
      <c r="E819" s="83" t="b">
        <v>0</v>
      </c>
      <c r="F819" s="83" t="b">
        <v>0</v>
      </c>
      <c r="G819" s="83" t="b">
        <v>0</v>
      </c>
    </row>
    <row r="820" spans="1:7" ht="15">
      <c r="A820" s="84" t="s">
        <v>2024</v>
      </c>
      <c r="B820" s="83">
        <v>2</v>
      </c>
      <c r="C820" s="110">
        <v>0.0018400410013771264</v>
      </c>
      <c r="D820" s="83" t="s">
        <v>1378</v>
      </c>
      <c r="E820" s="83" t="b">
        <v>0</v>
      </c>
      <c r="F820" s="83" t="b">
        <v>0</v>
      </c>
      <c r="G820" s="83" t="b">
        <v>0</v>
      </c>
    </row>
    <row r="821" spans="1:7" ht="15">
      <c r="A821" s="84" t="s">
        <v>1844</v>
      </c>
      <c r="B821" s="83">
        <v>2</v>
      </c>
      <c r="C821" s="110">
        <v>0.0018400410013771264</v>
      </c>
      <c r="D821" s="83" t="s">
        <v>1378</v>
      </c>
      <c r="E821" s="83" t="b">
        <v>0</v>
      </c>
      <c r="F821" s="83" t="b">
        <v>0</v>
      </c>
      <c r="G821" s="83" t="b">
        <v>0</v>
      </c>
    </row>
    <row r="822" spans="1:7" ht="15">
      <c r="A822" s="84" t="s">
        <v>1839</v>
      </c>
      <c r="B822" s="83">
        <v>2</v>
      </c>
      <c r="C822" s="110">
        <v>0.0018400410013771264</v>
      </c>
      <c r="D822" s="83" t="s">
        <v>1378</v>
      </c>
      <c r="E822" s="83" t="b">
        <v>0</v>
      </c>
      <c r="F822" s="83" t="b">
        <v>0</v>
      </c>
      <c r="G822" s="83" t="b">
        <v>0</v>
      </c>
    </row>
    <row r="823" spans="1:7" ht="15">
      <c r="A823" s="84" t="s">
        <v>1756</v>
      </c>
      <c r="B823" s="83">
        <v>2</v>
      </c>
      <c r="C823" s="110">
        <v>0.0021484733739836645</v>
      </c>
      <c r="D823" s="83" t="s">
        <v>1378</v>
      </c>
      <c r="E823" s="83" t="b">
        <v>0</v>
      </c>
      <c r="F823" s="83" t="b">
        <v>0</v>
      </c>
      <c r="G823" s="83" t="b">
        <v>0</v>
      </c>
    </row>
    <row r="824" spans="1:7" ht="15">
      <c r="A824" s="84" t="s">
        <v>1857</v>
      </c>
      <c r="B824" s="83">
        <v>2</v>
      </c>
      <c r="C824" s="110">
        <v>0.0018400410013771264</v>
      </c>
      <c r="D824" s="83" t="s">
        <v>1378</v>
      </c>
      <c r="E824" s="83" t="b">
        <v>0</v>
      </c>
      <c r="F824" s="83" t="b">
        <v>0</v>
      </c>
      <c r="G824" s="83" t="b">
        <v>0</v>
      </c>
    </row>
    <row r="825" spans="1:7" ht="15">
      <c r="A825" s="84" t="s">
        <v>1685</v>
      </c>
      <c r="B825" s="83">
        <v>2</v>
      </c>
      <c r="C825" s="110">
        <v>0.0018400410013771264</v>
      </c>
      <c r="D825" s="83" t="s">
        <v>1378</v>
      </c>
      <c r="E825" s="83" t="b">
        <v>0</v>
      </c>
      <c r="F825" s="83" t="b">
        <v>0</v>
      </c>
      <c r="G825" s="83" t="b">
        <v>0</v>
      </c>
    </row>
    <row r="826" spans="1:7" ht="15">
      <c r="A826" s="84" t="s">
        <v>1778</v>
      </c>
      <c r="B826" s="83">
        <v>2</v>
      </c>
      <c r="C826" s="110">
        <v>0.0018400410013771264</v>
      </c>
      <c r="D826" s="83" t="s">
        <v>1378</v>
      </c>
      <c r="E826" s="83" t="b">
        <v>0</v>
      </c>
      <c r="F826" s="83" t="b">
        <v>0</v>
      </c>
      <c r="G826" s="83" t="b">
        <v>0</v>
      </c>
    </row>
    <row r="827" spans="1:7" ht="15">
      <c r="A827" s="84" t="s">
        <v>2019</v>
      </c>
      <c r="B827" s="83">
        <v>2</v>
      </c>
      <c r="C827" s="110">
        <v>0.0021484733739836645</v>
      </c>
      <c r="D827" s="83" t="s">
        <v>1378</v>
      </c>
      <c r="E827" s="83" t="b">
        <v>0</v>
      </c>
      <c r="F827" s="83" t="b">
        <v>0</v>
      </c>
      <c r="G827" s="83" t="b">
        <v>0</v>
      </c>
    </row>
    <row r="828" spans="1:7" ht="15">
      <c r="A828" s="84" t="s">
        <v>1809</v>
      </c>
      <c r="B828" s="83">
        <v>2</v>
      </c>
      <c r="C828" s="110">
        <v>0.0018400410013771264</v>
      </c>
      <c r="D828" s="83" t="s">
        <v>1378</v>
      </c>
      <c r="E828" s="83" t="b">
        <v>0</v>
      </c>
      <c r="F828" s="83" t="b">
        <v>0</v>
      </c>
      <c r="G828" s="83" t="b">
        <v>0</v>
      </c>
    </row>
    <row r="829" spans="1:7" ht="15">
      <c r="A829" s="84" t="s">
        <v>1888</v>
      </c>
      <c r="B829" s="83">
        <v>2</v>
      </c>
      <c r="C829" s="110">
        <v>0.0018400410013771264</v>
      </c>
      <c r="D829" s="83" t="s">
        <v>1378</v>
      </c>
      <c r="E829" s="83" t="b">
        <v>0</v>
      </c>
      <c r="F829" s="83" t="b">
        <v>0</v>
      </c>
      <c r="G829" s="83" t="b">
        <v>0</v>
      </c>
    </row>
    <row r="830" spans="1:7" ht="15">
      <c r="A830" s="84" t="s">
        <v>2017</v>
      </c>
      <c r="B830" s="83">
        <v>2</v>
      </c>
      <c r="C830" s="110">
        <v>0.0021484733739836645</v>
      </c>
      <c r="D830" s="83" t="s">
        <v>1378</v>
      </c>
      <c r="E830" s="83" t="b">
        <v>0</v>
      </c>
      <c r="F830" s="83" t="b">
        <v>0</v>
      </c>
      <c r="G830" s="83" t="b">
        <v>0</v>
      </c>
    </row>
    <row r="831" spans="1:7" ht="15">
      <c r="A831" s="84" t="s">
        <v>1885</v>
      </c>
      <c r="B831" s="83">
        <v>2</v>
      </c>
      <c r="C831" s="110">
        <v>0.0018400410013771264</v>
      </c>
      <c r="D831" s="83" t="s">
        <v>1378</v>
      </c>
      <c r="E831" s="83" t="b">
        <v>0</v>
      </c>
      <c r="F831" s="83" t="b">
        <v>0</v>
      </c>
      <c r="G831" s="83" t="b">
        <v>0</v>
      </c>
    </row>
    <row r="832" spans="1:7" ht="15">
      <c r="A832" s="84" t="s">
        <v>1564</v>
      </c>
      <c r="B832" s="83">
        <v>2</v>
      </c>
      <c r="C832" s="110">
        <v>0.0018400410013771264</v>
      </c>
      <c r="D832" s="83" t="s">
        <v>1378</v>
      </c>
      <c r="E832" s="83" t="b">
        <v>0</v>
      </c>
      <c r="F832" s="83" t="b">
        <v>0</v>
      </c>
      <c r="G832" s="83" t="b">
        <v>0</v>
      </c>
    </row>
    <row r="833" spans="1:7" ht="15">
      <c r="A833" s="84" t="s">
        <v>1704</v>
      </c>
      <c r="B833" s="83">
        <v>2</v>
      </c>
      <c r="C833" s="110">
        <v>0.0018400410013771264</v>
      </c>
      <c r="D833" s="83" t="s">
        <v>1378</v>
      </c>
      <c r="E833" s="83" t="b">
        <v>0</v>
      </c>
      <c r="F833" s="83" t="b">
        <v>0</v>
      </c>
      <c r="G833" s="83" t="b">
        <v>0</v>
      </c>
    </row>
    <row r="834" spans="1:7" ht="15">
      <c r="A834" s="84" t="s">
        <v>1972</v>
      </c>
      <c r="B834" s="83">
        <v>2</v>
      </c>
      <c r="C834" s="110">
        <v>0.0021484733739836645</v>
      </c>
      <c r="D834" s="83" t="s">
        <v>1378</v>
      </c>
      <c r="E834" s="83" t="b">
        <v>0</v>
      </c>
      <c r="F834" s="83" t="b">
        <v>0</v>
      </c>
      <c r="G834" s="83" t="b">
        <v>0</v>
      </c>
    </row>
    <row r="835" spans="1:7" ht="15">
      <c r="A835" s="84" t="s">
        <v>1973</v>
      </c>
      <c r="B835" s="83">
        <v>2</v>
      </c>
      <c r="C835" s="110">
        <v>0.0021484733739836645</v>
      </c>
      <c r="D835" s="83" t="s">
        <v>1378</v>
      </c>
      <c r="E835" s="83" t="b">
        <v>0</v>
      </c>
      <c r="F835" s="83" t="b">
        <v>0</v>
      </c>
      <c r="G835" s="83" t="b">
        <v>0</v>
      </c>
    </row>
    <row r="836" spans="1:7" ht="15">
      <c r="A836" s="84" t="s">
        <v>1974</v>
      </c>
      <c r="B836" s="83">
        <v>2</v>
      </c>
      <c r="C836" s="110">
        <v>0.0021484733739836645</v>
      </c>
      <c r="D836" s="83" t="s">
        <v>1378</v>
      </c>
      <c r="E836" s="83" t="b">
        <v>0</v>
      </c>
      <c r="F836" s="83" t="b">
        <v>0</v>
      </c>
      <c r="G836" s="83" t="b">
        <v>0</v>
      </c>
    </row>
    <row r="837" spans="1:7" ht="15">
      <c r="A837" s="84" t="s">
        <v>1636</v>
      </c>
      <c r="B837" s="83">
        <v>2</v>
      </c>
      <c r="C837" s="110">
        <v>0.0021484733739836645</v>
      </c>
      <c r="D837" s="83" t="s">
        <v>1378</v>
      </c>
      <c r="E837" s="83" t="b">
        <v>0</v>
      </c>
      <c r="F837" s="83" t="b">
        <v>0</v>
      </c>
      <c r="G837" s="83" t="b">
        <v>0</v>
      </c>
    </row>
    <row r="838" spans="1:7" ht="15">
      <c r="A838" s="84" t="s">
        <v>1971</v>
      </c>
      <c r="B838" s="83">
        <v>2</v>
      </c>
      <c r="C838" s="110">
        <v>0.0018400410013771264</v>
      </c>
      <c r="D838" s="83" t="s">
        <v>1378</v>
      </c>
      <c r="E838" s="83" t="b">
        <v>0</v>
      </c>
      <c r="F838" s="83" t="b">
        <v>0</v>
      </c>
      <c r="G838" s="83" t="b">
        <v>0</v>
      </c>
    </row>
    <row r="839" spans="1:7" ht="15">
      <c r="A839" s="84" t="s">
        <v>1908</v>
      </c>
      <c r="B839" s="83">
        <v>2</v>
      </c>
      <c r="C839" s="110">
        <v>0.0018400410013771264</v>
      </c>
      <c r="D839" s="83" t="s">
        <v>1378</v>
      </c>
      <c r="E839" s="83" t="b">
        <v>0</v>
      </c>
      <c r="F839" s="83" t="b">
        <v>0</v>
      </c>
      <c r="G839" s="83" t="b">
        <v>0</v>
      </c>
    </row>
    <row r="840" spans="1:7" ht="15">
      <c r="A840" s="84" t="s">
        <v>1680</v>
      </c>
      <c r="B840" s="83">
        <v>2</v>
      </c>
      <c r="C840" s="110">
        <v>0.0018400410013771264</v>
      </c>
      <c r="D840" s="83" t="s">
        <v>1378</v>
      </c>
      <c r="E840" s="83" t="b">
        <v>0</v>
      </c>
      <c r="F840" s="83" t="b">
        <v>0</v>
      </c>
      <c r="G840" s="83" t="b">
        <v>0</v>
      </c>
    </row>
    <row r="841" spans="1:7" ht="15">
      <c r="A841" s="84" t="s">
        <v>1672</v>
      </c>
      <c r="B841" s="83">
        <v>2</v>
      </c>
      <c r="C841" s="110">
        <v>0.0018400410013771264</v>
      </c>
      <c r="D841" s="83" t="s">
        <v>1378</v>
      </c>
      <c r="E841" s="83" t="b">
        <v>1</v>
      </c>
      <c r="F841" s="83" t="b">
        <v>0</v>
      </c>
      <c r="G841" s="83" t="b">
        <v>0</v>
      </c>
    </row>
    <row r="842" spans="1:7" ht="15">
      <c r="A842" s="84" t="s">
        <v>1639</v>
      </c>
      <c r="B842" s="83">
        <v>2</v>
      </c>
      <c r="C842" s="110">
        <v>0.0021484733739836645</v>
      </c>
      <c r="D842" s="83" t="s">
        <v>1378</v>
      </c>
      <c r="E842" s="83" t="b">
        <v>0</v>
      </c>
      <c r="F842" s="83" t="b">
        <v>0</v>
      </c>
      <c r="G842" s="83" t="b">
        <v>0</v>
      </c>
    </row>
    <row r="843" spans="1:7" ht="15">
      <c r="A843" s="84" t="s">
        <v>1969</v>
      </c>
      <c r="B843" s="83">
        <v>2</v>
      </c>
      <c r="C843" s="110">
        <v>0.0021484733739836645</v>
      </c>
      <c r="D843" s="83" t="s">
        <v>1378</v>
      </c>
      <c r="E843" s="83" t="b">
        <v>0</v>
      </c>
      <c r="F843" s="83" t="b">
        <v>0</v>
      </c>
      <c r="G843" s="83" t="b">
        <v>0</v>
      </c>
    </row>
    <row r="844" spans="1:7" ht="15">
      <c r="A844" s="84" t="s">
        <v>1541</v>
      </c>
      <c r="B844" s="83">
        <v>2</v>
      </c>
      <c r="C844" s="110">
        <v>0.0018400410013771264</v>
      </c>
      <c r="D844" s="83" t="s">
        <v>1378</v>
      </c>
      <c r="E844" s="83" t="b">
        <v>0</v>
      </c>
      <c r="F844" s="83" t="b">
        <v>0</v>
      </c>
      <c r="G844" s="83" t="b">
        <v>0</v>
      </c>
    </row>
    <row r="845" spans="1:7" ht="15">
      <c r="A845" s="84" t="s">
        <v>1786</v>
      </c>
      <c r="B845" s="83">
        <v>2</v>
      </c>
      <c r="C845" s="110">
        <v>0.0018400410013771264</v>
      </c>
      <c r="D845" s="83" t="s">
        <v>1378</v>
      </c>
      <c r="E845" s="83" t="b">
        <v>0</v>
      </c>
      <c r="F845" s="83" t="b">
        <v>0</v>
      </c>
      <c r="G845" s="83" t="b">
        <v>0</v>
      </c>
    </row>
    <row r="846" spans="1:7" ht="15">
      <c r="A846" s="84" t="s">
        <v>1970</v>
      </c>
      <c r="B846" s="83">
        <v>2</v>
      </c>
      <c r="C846" s="110">
        <v>0.0021484733739836645</v>
      </c>
      <c r="D846" s="83" t="s">
        <v>1378</v>
      </c>
      <c r="E846" s="83" t="b">
        <v>1</v>
      </c>
      <c r="F846" s="83" t="b">
        <v>0</v>
      </c>
      <c r="G846" s="83" t="b">
        <v>0</v>
      </c>
    </row>
    <row r="847" spans="1:7" ht="15">
      <c r="A847" s="84" t="s">
        <v>1676</v>
      </c>
      <c r="B847" s="83">
        <v>2</v>
      </c>
      <c r="C847" s="110">
        <v>0.0018400410013771264</v>
      </c>
      <c r="D847" s="83" t="s">
        <v>1378</v>
      </c>
      <c r="E847" s="83" t="b">
        <v>1</v>
      </c>
      <c r="F847" s="83" t="b">
        <v>0</v>
      </c>
      <c r="G847" s="83" t="b">
        <v>0</v>
      </c>
    </row>
    <row r="848" spans="1:7" ht="15">
      <c r="A848" s="84" t="s">
        <v>1729</v>
      </c>
      <c r="B848" s="83">
        <v>2</v>
      </c>
      <c r="C848" s="110">
        <v>0.0018400410013771264</v>
      </c>
      <c r="D848" s="83" t="s">
        <v>1378</v>
      </c>
      <c r="E848" s="83" t="b">
        <v>0</v>
      </c>
      <c r="F848" s="83" t="b">
        <v>0</v>
      </c>
      <c r="G848" s="83" t="b">
        <v>0</v>
      </c>
    </row>
    <row r="849" spans="1:7" ht="15">
      <c r="A849" s="84" t="s">
        <v>1553</v>
      </c>
      <c r="B849" s="83">
        <v>2</v>
      </c>
      <c r="C849" s="110">
        <v>0.0021484733739836645</v>
      </c>
      <c r="D849" s="83" t="s">
        <v>1378</v>
      </c>
      <c r="E849" s="83" t="b">
        <v>0</v>
      </c>
      <c r="F849" s="83" t="b">
        <v>0</v>
      </c>
      <c r="G849" s="83" t="b">
        <v>0</v>
      </c>
    </row>
    <row r="850" spans="1:7" ht="15">
      <c r="A850" s="84" t="s">
        <v>1594</v>
      </c>
      <c r="B850" s="83">
        <v>2</v>
      </c>
      <c r="C850" s="110">
        <v>0.0018400410013771264</v>
      </c>
      <c r="D850" s="83" t="s">
        <v>1378</v>
      </c>
      <c r="E850" s="83" t="b">
        <v>1</v>
      </c>
      <c r="F850" s="83" t="b">
        <v>0</v>
      </c>
      <c r="G850" s="83" t="b">
        <v>0</v>
      </c>
    </row>
    <row r="851" spans="1:7" ht="15">
      <c r="A851" s="84" t="s">
        <v>1915</v>
      </c>
      <c r="B851" s="83">
        <v>2</v>
      </c>
      <c r="C851" s="110">
        <v>0.0018400410013771264</v>
      </c>
      <c r="D851" s="83" t="s">
        <v>1378</v>
      </c>
      <c r="E851" s="83" t="b">
        <v>0</v>
      </c>
      <c r="F851" s="83" t="b">
        <v>0</v>
      </c>
      <c r="G851" s="83" t="b">
        <v>0</v>
      </c>
    </row>
    <row r="852" spans="1:7" ht="15">
      <c r="A852" s="84" t="s">
        <v>1916</v>
      </c>
      <c r="B852" s="83">
        <v>2</v>
      </c>
      <c r="C852" s="110">
        <v>0.0018400410013771264</v>
      </c>
      <c r="D852" s="83" t="s">
        <v>1378</v>
      </c>
      <c r="E852" s="83" t="b">
        <v>0</v>
      </c>
      <c r="F852" s="83" t="b">
        <v>0</v>
      </c>
      <c r="G852" s="83" t="b">
        <v>0</v>
      </c>
    </row>
    <row r="853" spans="1:7" ht="15">
      <c r="A853" s="84" t="s">
        <v>1917</v>
      </c>
      <c r="B853" s="83">
        <v>2</v>
      </c>
      <c r="C853" s="110">
        <v>0.0018400410013771264</v>
      </c>
      <c r="D853" s="83" t="s">
        <v>1378</v>
      </c>
      <c r="E853" s="83" t="b">
        <v>0</v>
      </c>
      <c r="F853" s="83" t="b">
        <v>0</v>
      </c>
      <c r="G853" s="83" t="b">
        <v>0</v>
      </c>
    </row>
    <row r="854" spans="1:7" ht="15">
      <c r="A854" s="84" t="s">
        <v>1622</v>
      </c>
      <c r="B854" s="83">
        <v>2</v>
      </c>
      <c r="C854" s="110">
        <v>0.0018400410013771264</v>
      </c>
      <c r="D854" s="83" t="s">
        <v>1378</v>
      </c>
      <c r="E854" s="83" t="b">
        <v>0</v>
      </c>
      <c r="F854" s="83" t="b">
        <v>0</v>
      </c>
      <c r="G854" s="83" t="b">
        <v>0</v>
      </c>
    </row>
    <row r="855" spans="1:7" ht="15">
      <c r="A855" s="84" t="s">
        <v>1837</v>
      </c>
      <c r="B855" s="83">
        <v>2</v>
      </c>
      <c r="C855" s="110">
        <v>0.0018400410013771264</v>
      </c>
      <c r="D855" s="83" t="s">
        <v>1378</v>
      </c>
      <c r="E855" s="83" t="b">
        <v>0</v>
      </c>
      <c r="F855" s="83" t="b">
        <v>0</v>
      </c>
      <c r="G855" s="83" t="b">
        <v>0</v>
      </c>
    </row>
    <row r="856" spans="1:7" ht="15">
      <c r="A856" s="84" t="s">
        <v>1629</v>
      </c>
      <c r="B856" s="83">
        <v>2</v>
      </c>
      <c r="C856" s="110">
        <v>0.0021484733739836645</v>
      </c>
      <c r="D856" s="83" t="s">
        <v>1378</v>
      </c>
      <c r="E856" s="83" t="b">
        <v>0</v>
      </c>
      <c r="F856" s="83" t="b">
        <v>0</v>
      </c>
      <c r="G856" s="83" t="b">
        <v>0</v>
      </c>
    </row>
    <row r="857" spans="1:7" ht="15">
      <c r="A857" s="84" t="s">
        <v>1911</v>
      </c>
      <c r="B857" s="83">
        <v>2</v>
      </c>
      <c r="C857" s="110">
        <v>0.0021484733739836645</v>
      </c>
      <c r="D857" s="83" t="s">
        <v>1378</v>
      </c>
      <c r="E857" s="83" t="b">
        <v>0</v>
      </c>
      <c r="F857" s="83" t="b">
        <v>0</v>
      </c>
      <c r="G857" s="83" t="b">
        <v>0</v>
      </c>
    </row>
    <row r="858" spans="1:7" ht="15">
      <c r="A858" s="84" t="s">
        <v>1912</v>
      </c>
      <c r="B858" s="83">
        <v>2</v>
      </c>
      <c r="C858" s="110">
        <v>0.0021484733739836645</v>
      </c>
      <c r="D858" s="83" t="s">
        <v>1378</v>
      </c>
      <c r="E858" s="83" t="b">
        <v>0</v>
      </c>
      <c r="F858" s="83" t="b">
        <v>0</v>
      </c>
      <c r="G858" s="83" t="b">
        <v>0</v>
      </c>
    </row>
    <row r="859" spans="1:7" ht="15">
      <c r="A859" s="84" t="s">
        <v>1891</v>
      </c>
      <c r="B859" s="83">
        <v>2</v>
      </c>
      <c r="C859" s="110">
        <v>0.0021484733739836645</v>
      </c>
      <c r="D859" s="83" t="s">
        <v>1378</v>
      </c>
      <c r="E859" s="83" t="b">
        <v>0</v>
      </c>
      <c r="F859" s="83" t="b">
        <v>0</v>
      </c>
      <c r="G859" s="83" t="b">
        <v>0</v>
      </c>
    </row>
    <row r="860" spans="1:7" ht="15">
      <c r="A860" s="84" t="s">
        <v>1835</v>
      </c>
      <c r="B860" s="83">
        <v>2</v>
      </c>
      <c r="C860" s="110">
        <v>0.0018400410013771264</v>
      </c>
      <c r="D860" s="83" t="s">
        <v>1378</v>
      </c>
      <c r="E860" s="83" t="b">
        <v>0</v>
      </c>
      <c r="F860" s="83" t="b">
        <v>0</v>
      </c>
      <c r="G860" s="83" t="b">
        <v>0</v>
      </c>
    </row>
    <row r="861" spans="1:7" ht="15">
      <c r="A861" s="84" t="s">
        <v>1520</v>
      </c>
      <c r="B861" s="83">
        <v>2</v>
      </c>
      <c r="C861" s="110">
        <v>0.0018400410013771264</v>
      </c>
      <c r="D861" s="83" t="s">
        <v>1378</v>
      </c>
      <c r="E861" s="83" t="b">
        <v>0</v>
      </c>
      <c r="F861" s="83" t="b">
        <v>1</v>
      </c>
      <c r="G861" s="83" t="b">
        <v>0</v>
      </c>
    </row>
    <row r="862" spans="1:7" ht="15">
      <c r="A862" s="84" t="s">
        <v>1657</v>
      </c>
      <c r="B862" s="83">
        <v>2</v>
      </c>
      <c r="C862" s="110">
        <v>0.0018400410013771264</v>
      </c>
      <c r="D862" s="83" t="s">
        <v>1378</v>
      </c>
      <c r="E862" s="83" t="b">
        <v>0</v>
      </c>
      <c r="F862" s="83" t="b">
        <v>0</v>
      </c>
      <c r="G862" s="83" t="b">
        <v>0</v>
      </c>
    </row>
    <row r="863" spans="1:7" ht="15">
      <c r="A863" s="84" t="s">
        <v>1879</v>
      </c>
      <c r="B863" s="83">
        <v>2</v>
      </c>
      <c r="C863" s="110">
        <v>0.0018400410013771264</v>
      </c>
      <c r="D863" s="83" t="s">
        <v>1378</v>
      </c>
      <c r="E863" s="83" t="b">
        <v>0</v>
      </c>
      <c r="F863" s="83" t="b">
        <v>0</v>
      </c>
      <c r="G863" s="83" t="b">
        <v>0</v>
      </c>
    </row>
    <row r="864" spans="1:7" ht="15">
      <c r="A864" s="84" t="s">
        <v>1887</v>
      </c>
      <c r="B864" s="83">
        <v>2</v>
      </c>
      <c r="C864" s="110">
        <v>0.0018400410013771264</v>
      </c>
      <c r="D864" s="83" t="s">
        <v>1378</v>
      </c>
      <c r="E864" s="83" t="b">
        <v>0</v>
      </c>
      <c r="F864" s="83" t="b">
        <v>0</v>
      </c>
      <c r="G864" s="83" t="b">
        <v>0</v>
      </c>
    </row>
    <row r="865" spans="1:7" ht="15">
      <c r="A865" s="84" t="s">
        <v>1829</v>
      </c>
      <c r="B865" s="83">
        <v>2</v>
      </c>
      <c r="C865" s="110">
        <v>0.0018400410013771264</v>
      </c>
      <c r="D865" s="83" t="s">
        <v>1378</v>
      </c>
      <c r="E865" s="83" t="b">
        <v>0</v>
      </c>
      <c r="F865" s="83" t="b">
        <v>0</v>
      </c>
      <c r="G865" s="83" t="b">
        <v>0</v>
      </c>
    </row>
    <row r="866" spans="1:7" ht="15">
      <c r="A866" s="84" t="s">
        <v>1595</v>
      </c>
      <c r="B866" s="83">
        <v>2</v>
      </c>
      <c r="C866" s="110">
        <v>0.0018400410013771264</v>
      </c>
      <c r="D866" s="83" t="s">
        <v>1378</v>
      </c>
      <c r="E866" s="83" t="b">
        <v>0</v>
      </c>
      <c r="F866" s="83" t="b">
        <v>0</v>
      </c>
      <c r="G866" s="83" t="b">
        <v>0</v>
      </c>
    </row>
    <row r="867" spans="1:7" ht="15">
      <c r="A867" s="84" t="s">
        <v>1875</v>
      </c>
      <c r="B867" s="83">
        <v>2</v>
      </c>
      <c r="C867" s="110">
        <v>0.0018400410013771264</v>
      </c>
      <c r="D867" s="83" t="s">
        <v>1378</v>
      </c>
      <c r="E867" s="83" t="b">
        <v>0</v>
      </c>
      <c r="F867" s="83" t="b">
        <v>0</v>
      </c>
      <c r="G867" s="83" t="b">
        <v>0</v>
      </c>
    </row>
    <row r="868" spans="1:7" ht="15">
      <c r="A868" s="84" t="s">
        <v>1825</v>
      </c>
      <c r="B868" s="83">
        <v>2</v>
      </c>
      <c r="C868" s="110">
        <v>0.0018400410013771264</v>
      </c>
      <c r="D868" s="83" t="s">
        <v>1378</v>
      </c>
      <c r="E868" s="83" t="b">
        <v>0</v>
      </c>
      <c r="F868" s="83" t="b">
        <v>0</v>
      </c>
      <c r="G868" s="83" t="b">
        <v>0</v>
      </c>
    </row>
    <row r="869" spans="1:7" ht="15">
      <c r="A869" s="84" t="s">
        <v>1876</v>
      </c>
      <c r="B869" s="83">
        <v>2</v>
      </c>
      <c r="C869" s="110">
        <v>0.0018400410013771264</v>
      </c>
      <c r="D869" s="83" t="s">
        <v>1378</v>
      </c>
      <c r="E869" s="83" t="b">
        <v>0</v>
      </c>
      <c r="F869" s="83" t="b">
        <v>0</v>
      </c>
      <c r="G869" s="83" t="b">
        <v>0</v>
      </c>
    </row>
    <row r="870" spans="1:7" ht="15">
      <c r="A870" s="84" t="s">
        <v>1877</v>
      </c>
      <c r="B870" s="83">
        <v>2</v>
      </c>
      <c r="C870" s="110">
        <v>0.0018400410013771264</v>
      </c>
      <c r="D870" s="83" t="s">
        <v>1378</v>
      </c>
      <c r="E870" s="83" t="b">
        <v>0</v>
      </c>
      <c r="F870" s="83" t="b">
        <v>0</v>
      </c>
      <c r="G870" s="83" t="b">
        <v>0</v>
      </c>
    </row>
    <row r="871" spans="1:7" ht="15">
      <c r="A871" s="84" t="s">
        <v>1859</v>
      </c>
      <c r="B871" s="83">
        <v>2</v>
      </c>
      <c r="C871" s="110">
        <v>0.0018400410013771264</v>
      </c>
      <c r="D871" s="83" t="s">
        <v>1378</v>
      </c>
      <c r="E871" s="83" t="b">
        <v>0</v>
      </c>
      <c r="F871" s="83" t="b">
        <v>0</v>
      </c>
      <c r="G871" s="83" t="b">
        <v>0</v>
      </c>
    </row>
    <row r="872" spans="1:7" ht="15">
      <c r="A872" s="84" t="s">
        <v>1860</v>
      </c>
      <c r="B872" s="83">
        <v>2</v>
      </c>
      <c r="C872" s="110">
        <v>0.0018400410013771264</v>
      </c>
      <c r="D872" s="83" t="s">
        <v>1378</v>
      </c>
      <c r="E872" s="83" t="b">
        <v>0</v>
      </c>
      <c r="F872" s="83" t="b">
        <v>0</v>
      </c>
      <c r="G872" s="83" t="b">
        <v>0</v>
      </c>
    </row>
    <row r="873" spans="1:7" ht="15">
      <c r="A873" s="84" t="s">
        <v>1790</v>
      </c>
      <c r="B873" s="83">
        <v>2</v>
      </c>
      <c r="C873" s="110">
        <v>0.0018400410013771264</v>
      </c>
      <c r="D873" s="83" t="s">
        <v>1378</v>
      </c>
      <c r="E873" s="83" t="b">
        <v>0</v>
      </c>
      <c r="F873" s="83" t="b">
        <v>0</v>
      </c>
      <c r="G873" s="83" t="b">
        <v>0</v>
      </c>
    </row>
    <row r="874" spans="1:7" ht="15">
      <c r="A874" s="84" t="s">
        <v>1569</v>
      </c>
      <c r="B874" s="83">
        <v>2</v>
      </c>
      <c r="C874" s="110">
        <v>0.0018400410013771264</v>
      </c>
      <c r="D874" s="83" t="s">
        <v>1378</v>
      </c>
      <c r="E874" s="83" t="b">
        <v>0</v>
      </c>
      <c r="F874" s="83" t="b">
        <v>0</v>
      </c>
      <c r="G874" s="83" t="b">
        <v>0</v>
      </c>
    </row>
    <row r="875" spans="1:7" ht="15">
      <c r="A875" s="84" t="s">
        <v>1845</v>
      </c>
      <c r="B875" s="83">
        <v>2</v>
      </c>
      <c r="C875" s="110">
        <v>0.0018400410013771264</v>
      </c>
      <c r="D875" s="83" t="s">
        <v>1378</v>
      </c>
      <c r="E875" s="83" t="b">
        <v>0</v>
      </c>
      <c r="F875" s="83" t="b">
        <v>0</v>
      </c>
      <c r="G875" s="83" t="b">
        <v>0</v>
      </c>
    </row>
    <row r="876" spans="1:7" ht="15">
      <c r="A876" s="84" t="s">
        <v>1856</v>
      </c>
      <c r="B876" s="83">
        <v>2</v>
      </c>
      <c r="C876" s="110">
        <v>0.0018400410013771264</v>
      </c>
      <c r="D876" s="83" t="s">
        <v>1378</v>
      </c>
      <c r="E876" s="83" t="b">
        <v>0</v>
      </c>
      <c r="F876" s="83" t="b">
        <v>0</v>
      </c>
      <c r="G876" s="83" t="b">
        <v>0</v>
      </c>
    </row>
    <row r="877" spans="1:7" ht="15">
      <c r="A877" s="84" t="s">
        <v>1851</v>
      </c>
      <c r="B877" s="83">
        <v>2</v>
      </c>
      <c r="C877" s="110">
        <v>0.0018400410013771264</v>
      </c>
      <c r="D877" s="83" t="s">
        <v>1378</v>
      </c>
      <c r="E877" s="83" t="b">
        <v>0</v>
      </c>
      <c r="F877" s="83" t="b">
        <v>0</v>
      </c>
      <c r="G877" s="83" t="b">
        <v>0</v>
      </c>
    </row>
    <row r="878" spans="1:7" ht="15">
      <c r="A878" s="84" t="s">
        <v>1846</v>
      </c>
      <c r="B878" s="83">
        <v>2</v>
      </c>
      <c r="C878" s="110">
        <v>0.0018400410013771264</v>
      </c>
      <c r="D878" s="83" t="s">
        <v>1378</v>
      </c>
      <c r="E878" s="83" t="b">
        <v>0</v>
      </c>
      <c r="F878" s="83" t="b">
        <v>0</v>
      </c>
      <c r="G878" s="83" t="b">
        <v>0</v>
      </c>
    </row>
    <row r="879" spans="1:7" ht="15">
      <c r="A879" s="84" t="s">
        <v>1853</v>
      </c>
      <c r="B879" s="83">
        <v>2</v>
      </c>
      <c r="C879" s="110">
        <v>0.0018400410013771264</v>
      </c>
      <c r="D879" s="83" t="s">
        <v>1378</v>
      </c>
      <c r="E879" s="83" t="b">
        <v>0</v>
      </c>
      <c r="F879" s="83" t="b">
        <v>0</v>
      </c>
      <c r="G879" s="83" t="b">
        <v>0</v>
      </c>
    </row>
    <row r="880" spans="1:7" ht="15">
      <c r="A880" s="84" t="s">
        <v>1854</v>
      </c>
      <c r="B880" s="83">
        <v>2</v>
      </c>
      <c r="C880" s="110">
        <v>0.0018400410013771264</v>
      </c>
      <c r="D880" s="83" t="s">
        <v>1378</v>
      </c>
      <c r="E880" s="83" t="b">
        <v>0</v>
      </c>
      <c r="F880" s="83" t="b">
        <v>0</v>
      </c>
      <c r="G880" s="83" t="b">
        <v>0</v>
      </c>
    </row>
    <row r="881" spans="1:7" ht="15">
      <c r="A881" s="84" t="s">
        <v>1666</v>
      </c>
      <c r="B881" s="83">
        <v>2</v>
      </c>
      <c r="C881" s="110">
        <v>0.0018400410013771264</v>
      </c>
      <c r="D881" s="83" t="s">
        <v>1378</v>
      </c>
      <c r="E881" s="83" t="b">
        <v>0</v>
      </c>
      <c r="F881" s="83" t="b">
        <v>0</v>
      </c>
      <c r="G881" s="83" t="b">
        <v>0</v>
      </c>
    </row>
    <row r="882" spans="1:7" ht="15">
      <c r="A882" s="84" t="s">
        <v>1843</v>
      </c>
      <c r="B882" s="83">
        <v>2</v>
      </c>
      <c r="C882" s="110">
        <v>0.0021484733739836645</v>
      </c>
      <c r="D882" s="83" t="s">
        <v>1378</v>
      </c>
      <c r="E882" s="83" t="b">
        <v>0</v>
      </c>
      <c r="F882" s="83" t="b">
        <v>0</v>
      </c>
      <c r="G882" s="83" t="b">
        <v>0</v>
      </c>
    </row>
    <row r="883" spans="1:7" ht="15">
      <c r="A883" s="84" t="s">
        <v>1830</v>
      </c>
      <c r="B883" s="83">
        <v>2</v>
      </c>
      <c r="C883" s="110">
        <v>0.0018400410013771264</v>
      </c>
      <c r="D883" s="83" t="s">
        <v>1378</v>
      </c>
      <c r="E883" s="83" t="b">
        <v>0</v>
      </c>
      <c r="F883" s="83" t="b">
        <v>0</v>
      </c>
      <c r="G883" s="83" t="b">
        <v>0</v>
      </c>
    </row>
    <row r="884" spans="1:7" ht="15">
      <c r="A884" s="84" t="s">
        <v>1514</v>
      </c>
      <c r="B884" s="83">
        <v>2</v>
      </c>
      <c r="C884" s="110">
        <v>0.0018400410013771264</v>
      </c>
      <c r="D884" s="83" t="s">
        <v>1378</v>
      </c>
      <c r="E884" s="83" t="b">
        <v>0</v>
      </c>
      <c r="F884" s="83" t="b">
        <v>0</v>
      </c>
      <c r="G884" s="83" t="b">
        <v>0</v>
      </c>
    </row>
    <row r="885" spans="1:7" ht="15">
      <c r="A885" s="84" t="s">
        <v>1847</v>
      </c>
      <c r="B885" s="83">
        <v>2</v>
      </c>
      <c r="C885" s="110">
        <v>0.0021484733739836645</v>
      </c>
      <c r="D885" s="83" t="s">
        <v>1378</v>
      </c>
      <c r="E885" s="83" t="b">
        <v>0</v>
      </c>
      <c r="F885" s="83" t="b">
        <v>0</v>
      </c>
      <c r="G885" s="83" t="b">
        <v>0</v>
      </c>
    </row>
    <row r="886" spans="1:7" ht="15">
      <c r="A886" s="84" t="s">
        <v>1848</v>
      </c>
      <c r="B886" s="83">
        <v>2</v>
      </c>
      <c r="C886" s="110">
        <v>0.0018400410013771264</v>
      </c>
      <c r="D886" s="83" t="s">
        <v>1378</v>
      </c>
      <c r="E886" s="83" t="b">
        <v>0</v>
      </c>
      <c r="F886" s="83" t="b">
        <v>0</v>
      </c>
      <c r="G886" s="83" t="b">
        <v>0</v>
      </c>
    </row>
    <row r="887" spans="1:7" ht="15">
      <c r="A887" s="84" t="s">
        <v>1491</v>
      </c>
      <c r="B887" s="83">
        <v>2</v>
      </c>
      <c r="C887" s="110">
        <v>0.0018400410013771264</v>
      </c>
      <c r="D887" s="83" t="s">
        <v>1378</v>
      </c>
      <c r="E887" s="83" t="b">
        <v>0</v>
      </c>
      <c r="F887" s="83" t="b">
        <v>0</v>
      </c>
      <c r="G887" s="83" t="b">
        <v>0</v>
      </c>
    </row>
    <row r="888" spans="1:7" ht="15">
      <c r="A888" s="84" t="s">
        <v>1821</v>
      </c>
      <c r="B888" s="83">
        <v>2</v>
      </c>
      <c r="C888" s="110">
        <v>0.0018400410013771264</v>
      </c>
      <c r="D888" s="83" t="s">
        <v>1378</v>
      </c>
      <c r="E888" s="83" t="b">
        <v>0</v>
      </c>
      <c r="F888" s="83" t="b">
        <v>0</v>
      </c>
      <c r="G888" s="83" t="b">
        <v>0</v>
      </c>
    </row>
    <row r="889" spans="1:7" ht="15">
      <c r="A889" s="84" t="s">
        <v>1822</v>
      </c>
      <c r="B889" s="83">
        <v>2</v>
      </c>
      <c r="C889" s="110">
        <v>0.0018400410013771264</v>
      </c>
      <c r="D889" s="83" t="s">
        <v>1378</v>
      </c>
      <c r="E889" s="83" t="b">
        <v>0</v>
      </c>
      <c r="F889" s="83" t="b">
        <v>0</v>
      </c>
      <c r="G889" s="83" t="b">
        <v>0</v>
      </c>
    </row>
    <row r="890" spans="1:7" ht="15">
      <c r="A890" s="84" t="s">
        <v>1832</v>
      </c>
      <c r="B890" s="83">
        <v>2</v>
      </c>
      <c r="C890" s="110">
        <v>0.0021484733739836645</v>
      </c>
      <c r="D890" s="83" t="s">
        <v>1378</v>
      </c>
      <c r="E890" s="83" t="b">
        <v>0</v>
      </c>
      <c r="F890" s="83" t="b">
        <v>0</v>
      </c>
      <c r="G890" s="83" t="b">
        <v>0</v>
      </c>
    </row>
    <row r="891" spans="1:7" ht="15">
      <c r="A891" s="84" t="s">
        <v>1827</v>
      </c>
      <c r="B891" s="83">
        <v>2</v>
      </c>
      <c r="C891" s="110">
        <v>0.0018400410013771264</v>
      </c>
      <c r="D891" s="83" t="s">
        <v>1378</v>
      </c>
      <c r="E891" s="83" t="b">
        <v>0</v>
      </c>
      <c r="F891" s="83" t="b">
        <v>0</v>
      </c>
      <c r="G891" s="83" t="b">
        <v>0</v>
      </c>
    </row>
    <row r="892" spans="1:7" ht="15">
      <c r="A892" s="84" t="s">
        <v>1823</v>
      </c>
      <c r="B892" s="83">
        <v>2</v>
      </c>
      <c r="C892" s="110">
        <v>0.0021484733739836645</v>
      </c>
      <c r="D892" s="83" t="s">
        <v>1378</v>
      </c>
      <c r="E892" s="83" t="b">
        <v>0</v>
      </c>
      <c r="F892" s="83" t="b">
        <v>0</v>
      </c>
      <c r="G892" s="83" t="b">
        <v>0</v>
      </c>
    </row>
    <row r="893" spans="1:7" ht="15">
      <c r="A893" s="84" t="s">
        <v>1824</v>
      </c>
      <c r="B893" s="83">
        <v>2</v>
      </c>
      <c r="C893" s="110">
        <v>0.0021484733739836645</v>
      </c>
      <c r="D893" s="83" t="s">
        <v>1378</v>
      </c>
      <c r="E893" s="83" t="b">
        <v>0</v>
      </c>
      <c r="F893" s="83" t="b">
        <v>0</v>
      </c>
      <c r="G893" s="83" t="b">
        <v>0</v>
      </c>
    </row>
    <row r="894" spans="1:7" ht="15">
      <c r="A894" s="84" t="s">
        <v>1807</v>
      </c>
      <c r="B894" s="83">
        <v>2</v>
      </c>
      <c r="C894" s="110">
        <v>0.0018400410013771264</v>
      </c>
      <c r="D894" s="83" t="s">
        <v>1378</v>
      </c>
      <c r="E894" s="83" t="b">
        <v>0</v>
      </c>
      <c r="F894" s="83" t="b">
        <v>0</v>
      </c>
      <c r="G894" s="83" t="b">
        <v>0</v>
      </c>
    </row>
    <row r="895" spans="1:7" ht="15">
      <c r="A895" s="84" t="s">
        <v>1810</v>
      </c>
      <c r="B895" s="83">
        <v>2</v>
      </c>
      <c r="C895" s="110">
        <v>0.0018400410013771264</v>
      </c>
      <c r="D895" s="83" t="s">
        <v>1378</v>
      </c>
      <c r="E895" s="83" t="b">
        <v>0</v>
      </c>
      <c r="F895" s="83" t="b">
        <v>0</v>
      </c>
      <c r="G895" s="83" t="b">
        <v>0</v>
      </c>
    </row>
    <row r="896" spans="1:7" ht="15">
      <c r="A896" s="84" t="s">
        <v>1812</v>
      </c>
      <c r="B896" s="83">
        <v>2</v>
      </c>
      <c r="C896" s="110">
        <v>0.0018400410013771264</v>
      </c>
      <c r="D896" s="83" t="s">
        <v>1378</v>
      </c>
      <c r="E896" s="83" t="b">
        <v>0</v>
      </c>
      <c r="F896" s="83" t="b">
        <v>0</v>
      </c>
      <c r="G896" s="83" t="b">
        <v>0</v>
      </c>
    </row>
    <row r="897" spans="1:7" ht="15">
      <c r="A897" s="84" t="s">
        <v>1596</v>
      </c>
      <c r="B897" s="83">
        <v>2</v>
      </c>
      <c r="C897" s="110">
        <v>0.0021484733739836645</v>
      </c>
      <c r="D897" s="83" t="s">
        <v>1378</v>
      </c>
      <c r="E897" s="83" t="b">
        <v>0</v>
      </c>
      <c r="F897" s="83" t="b">
        <v>0</v>
      </c>
      <c r="G897" s="83" t="b">
        <v>0</v>
      </c>
    </row>
    <row r="898" spans="1:7" ht="15">
      <c r="A898" s="84" t="s">
        <v>1774</v>
      </c>
      <c r="B898" s="83">
        <v>2</v>
      </c>
      <c r="C898" s="110">
        <v>0.0018400410013771264</v>
      </c>
      <c r="D898" s="83" t="s">
        <v>1378</v>
      </c>
      <c r="E898" s="83" t="b">
        <v>0</v>
      </c>
      <c r="F898" s="83" t="b">
        <v>0</v>
      </c>
      <c r="G898" s="83" t="b">
        <v>0</v>
      </c>
    </row>
    <row r="899" spans="1:7" ht="15">
      <c r="A899" s="84" t="s">
        <v>1775</v>
      </c>
      <c r="B899" s="83">
        <v>2</v>
      </c>
      <c r="C899" s="110">
        <v>0.0021484733739836645</v>
      </c>
      <c r="D899" s="83" t="s">
        <v>1378</v>
      </c>
      <c r="E899" s="83" t="b">
        <v>0</v>
      </c>
      <c r="F899" s="83" t="b">
        <v>0</v>
      </c>
      <c r="G899" s="83" t="b">
        <v>0</v>
      </c>
    </row>
    <row r="900" spans="1:7" ht="15">
      <c r="A900" s="84" t="s">
        <v>1655</v>
      </c>
      <c r="B900" s="83">
        <v>2</v>
      </c>
      <c r="C900" s="110">
        <v>0.0021484733739836645</v>
      </c>
      <c r="D900" s="83" t="s">
        <v>1378</v>
      </c>
      <c r="E900" s="83" t="b">
        <v>0</v>
      </c>
      <c r="F900" s="83" t="b">
        <v>0</v>
      </c>
      <c r="G900" s="83" t="b">
        <v>0</v>
      </c>
    </row>
    <row r="901" spans="1:7" ht="15">
      <c r="A901" s="84" t="s">
        <v>1667</v>
      </c>
      <c r="B901" s="83">
        <v>2</v>
      </c>
      <c r="C901" s="110">
        <v>0.0018400410013771264</v>
      </c>
      <c r="D901" s="83" t="s">
        <v>1378</v>
      </c>
      <c r="E901" s="83" t="b">
        <v>0</v>
      </c>
      <c r="F901" s="83" t="b">
        <v>0</v>
      </c>
      <c r="G901" s="83" t="b">
        <v>0</v>
      </c>
    </row>
    <row r="902" spans="1:7" ht="15">
      <c r="A902" s="84" t="s">
        <v>1785</v>
      </c>
      <c r="B902" s="83">
        <v>2</v>
      </c>
      <c r="C902" s="110">
        <v>0.0018400410013771264</v>
      </c>
      <c r="D902" s="83" t="s">
        <v>1378</v>
      </c>
      <c r="E902" s="83" t="b">
        <v>0</v>
      </c>
      <c r="F902" s="83" t="b">
        <v>0</v>
      </c>
      <c r="G902" s="83" t="b">
        <v>0</v>
      </c>
    </row>
    <row r="903" spans="1:7" ht="15">
      <c r="A903" s="84" t="s">
        <v>1787</v>
      </c>
      <c r="B903" s="83">
        <v>2</v>
      </c>
      <c r="C903" s="110">
        <v>0.0021484733739836645</v>
      </c>
      <c r="D903" s="83" t="s">
        <v>1378</v>
      </c>
      <c r="E903" s="83" t="b">
        <v>0</v>
      </c>
      <c r="F903" s="83" t="b">
        <v>0</v>
      </c>
      <c r="G903" s="83" t="b">
        <v>0</v>
      </c>
    </row>
    <row r="904" spans="1:7" ht="15">
      <c r="A904" s="84" t="s">
        <v>1673</v>
      </c>
      <c r="B904" s="83">
        <v>2</v>
      </c>
      <c r="C904" s="110">
        <v>0.0018400410013771264</v>
      </c>
      <c r="D904" s="83" t="s">
        <v>1378</v>
      </c>
      <c r="E904" s="83" t="b">
        <v>0</v>
      </c>
      <c r="F904" s="83" t="b">
        <v>0</v>
      </c>
      <c r="G904" s="83" t="b">
        <v>0</v>
      </c>
    </row>
    <row r="905" spans="1:7" ht="15">
      <c r="A905" s="84" t="s">
        <v>1792</v>
      </c>
      <c r="B905" s="83">
        <v>2</v>
      </c>
      <c r="C905" s="110">
        <v>0.0021484733739836645</v>
      </c>
      <c r="D905" s="83" t="s">
        <v>1378</v>
      </c>
      <c r="E905" s="83" t="b">
        <v>0</v>
      </c>
      <c r="F905" s="83" t="b">
        <v>0</v>
      </c>
      <c r="G905" s="83" t="b">
        <v>0</v>
      </c>
    </row>
    <row r="906" spans="1:7" ht="15">
      <c r="A906" s="84" t="s">
        <v>1793</v>
      </c>
      <c r="B906" s="83">
        <v>2</v>
      </c>
      <c r="C906" s="110">
        <v>0.0018400410013771264</v>
      </c>
      <c r="D906" s="83" t="s">
        <v>1378</v>
      </c>
      <c r="E906" s="83" t="b">
        <v>0</v>
      </c>
      <c r="F906" s="83" t="b">
        <v>0</v>
      </c>
      <c r="G906" s="83" t="b">
        <v>0</v>
      </c>
    </row>
    <row r="907" spans="1:7" ht="15">
      <c r="A907" s="84" t="s">
        <v>1795</v>
      </c>
      <c r="B907" s="83">
        <v>2</v>
      </c>
      <c r="C907" s="110">
        <v>0.0018400410013771264</v>
      </c>
      <c r="D907" s="83" t="s">
        <v>1378</v>
      </c>
      <c r="E907" s="83" t="b">
        <v>0</v>
      </c>
      <c r="F907" s="83" t="b">
        <v>0</v>
      </c>
      <c r="G907" s="83" t="b">
        <v>0</v>
      </c>
    </row>
    <row r="908" spans="1:7" ht="15">
      <c r="A908" s="84" t="s">
        <v>1814</v>
      </c>
      <c r="B908" s="83">
        <v>2</v>
      </c>
      <c r="C908" s="110">
        <v>0.0018400410013771264</v>
      </c>
      <c r="D908" s="83" t="s">
        <v>1378</v>
      </c>
      <c r="E908" s="83" t="b">
        <v>0</v>
      </c>
      <c r="F908" s="83" t="b">
        <v>1</v>
      </c>
      <c r="G908" s="83" t="b">
        <v>0</v>
      </c>
    </row>
    <row r="909" spans="1:7" ht="15">
      <c r="A909" s="84" t="s">
        <v>1817</v>
      </c>
      <c r="B909" s="83">
        <v>2</v>
      </c>
      <c r="C909" s="110">
        <v>0.0018400410013771264</v>
      </c>
      <c r="D909" s="83" t="s">
        <v>1378</v>
      </c>
      <c r="E909" s="83" t="b">
        <v>1</v>
      </c>
      <c r="F909" s="83" t="b">
        <v>0</v>
      </c>
      <c r="G909" s="83" t="b">
        <v>0</v>
      </c>
    </row>
    <row r="910" spans="1:7" ht="15">
      <c r="A910" s="84" t="s">
        <v>1818</v>
      </c>
      <c r="B910" s="83">
        <v>2</v>
      </c>
      <c r="C910" s="110">
        <v>0.0018400410013771264</v>
      </c>
      <c r="D910" s="83" t="s">
        <v>1378</v>
      </c>
      <c r="E910" s="83" t="b">
        <v>0</v>
      </c>
      <c r="F910" s="83" t="b">
        <v>0</v>
      </c>
      <c r="G910" s="83" t="b">
        <v>0</v>
      </c>
    </row>
    <row r="911" spans="1:7" ht="15">
      <c r="A911" s="84" t="s">
        <v>1683</v>
      </c>
      <c r="B911" s="83">
        <v>2</v>
      </c>
      <c r="C911" s="110">
        <v>0.0021484733739836645</v>
      </c>
      <c r="D911" s="83" t="s">
        <v>1378</v>
      </c>
      <c r="E911" s="83" t="b">
        <v>0</v>
      </c>
      <c r="F911" s="83" t="b">
        <v>0</v>
      </c>
      <c r="G911" s="83" t="b">
        <v>0</v>
      </c>
    </row>
    <row r="912" spans="1:7" ht="15">
      <c r="A912" s="84" t="s">
        <v>1650</v>
      </c>
      <c r="B912" s="83">
        <v>2</v>
      </c>
      <c r="C912" s="110">
        <v>0.0018400410013771264</v>
      </c>
      <c r="D912" s="83" t="s">
        <v>1378</v>
      </c>
      <c r="E912" s="83" t="b">
        <v>0</v>
      </c>
      <c r="F912" s="83" t="b">
        <v>0</v>
      </c>
      <c r="G912" s="83" t="b">
        <v>0</v>
      </c>
    </row>
    <row r="913" spans="1:7" ht="15">
      <c r="A913" s="84" t="s">
        <v>1828</v>
      </c>
      <c r="B913" s="83">
        <v>2</v>
      </c>
      <c r="C913" s="110">
        <v>0.0018400410013771264</v>
      </c>
      <c r="D913" s="83" t="s">
        <v>1378</v>
      </c>
      <c r="E913" s="83" t="b">
        <v>1</v>
      </c>
      <c r="F913" s="83" t="b">
        <v>0</v>
      </c>
      <c r="G913" s="83" t="b">
        <v>0</v>
      </c>
    </row>
    <row r="914" spans="1:7" ht="15">
      <c r="A914" s="84" t="s">
        <v>1831</v>
      </c>
      <c r="B914" s="83">
        <v>2</v>
      </c>
      <c r="C914" s="110">
        <v>0.0018400410013771264</v>
      </c>
      <c r="D914" s="83" t="s">
        <v>1378</v>
      </c>
      <c r="E914" s="83" t="b">
        <v>0</v>
      </c>
      <c r="F914" s="83" t="b">
        <v>0</v>
      </c>
      <c r="G914" s="83" t="b">
        <v>0</v>
      </c>
    </row>
    <row r="915" spans="1:7" ht="15">
      <c r="A915" s="84" t="s">
        <v>1833</v>
      </c>
      <c r="B915" s="83">
        <v>2</v>
      </c>
      <c r="C915" s="110">
        <v>0.0018400410013771264</v>
      </c>
      <c r="D915" s="83" t="s">
        <v>1378</v>
      </c>
      <c r="E915" s="83" t="b">
        <v>0</v>
      </c>
      <c r="F915" s="83" t="b">
        <v>0</v>
      </c>
      <c r="G915" s="83" t="b">
        <v>0</v>
      </c>
    </row>
    <row r="916" spans="1:7" ht="15">
      <c r="A916" s="84" t="s">
        <v>1834</v>
      </c>
      <c r="B916" s="83">
        <v>2</v>
      </c>
      <c r="C916" s="110">
        <v>0.0021484733739836645</v>
      </c>
      <c r="D916" s="83" t="s">
        <v>1378</v>
      </c>
      <c r="E916" s="83" t="b">
        <v>0</v>
      </c>
      <c r="F916" s="83" t="b">
        <v>1</v>
      </c>
      <c r="G916" s="83" t="b">
        <v>0</v>
      </c>
    </row>
    <row r="917" spans="1:7" ht="15">
      <c r="A917" s="84" t="s">
        <v>1836</v>
      </c>
      <c r="B917" s="83">
        <v>2</v>
      </c>
      <c r="C917" s="110">
        <v>0.0018400410013771264</v>
      </c>
      <c r="D917" s="83" t="s">
        <v>1378</v>
      </c>
      <c r="E917" s="83" t="b">
        <v>0</v>
      </c>
      <c r="F917" s="83" t="b">
        <v>0</v>
      </c>
      <c r="G917" s="83" t="b">
        <v>0</v>
      </c>
    </row>
    <row r="918" spans="1:7" ht="15">
      <c r="A918" s="84" t="s">
        <v>1840</v>
      </c>
      <c r="B918" s="83">
        <v>2</v>
      </c>
      <c r="C918" s="110">
        <v>0.0021484733739836645</v>
      </c>
      <c r="D918" s="83" t="s">
        <v>1378</v>
      </c>
      <c r="E918" s="83" t="b">
        <v>0</v>
      </c>
      <c r="F918" s="83" t="b">
        <v>0</v>
      </c>
      <c r="G918" s="83" t="b">
        <v>0</v>
      </c>
    </row>
    <row r="919" spans="1:7" ht="15">
      <c r="A919" s="84" t="s">
        <v>1841</v>
      </c>
      <c r="B919" s="83">
        <v>2</v>
      </c>
      <c r="C919" s="110">
        <v>0.0021484733739836645</v>
      </c>
      <c r="D919" s="83" t="s">
        <v>1378</v>
      </c>
      <c r="E919" s="83" t="b">
        <v>0</v>
      </c>
      <c r="F919" s="83" t="b">
        <v>0</v>
      </c>
      <c r="G919" s="83" t="b">
        <v>0</v>
      </c>
    </row>
    <row r="920" spans="1:7" ht="15">
      <c r="A920" s="84" t="s">
        <v>1697</v>
      </c>
      <c r="B920" s="83">
        <v>2</v>
      </c>
      <c r="C920" s="110">
        <v>0.0018400410013771264</v>
      </c>
      <c r="D920" s="83" t="s">
        <v>1378</v>
      </c>
      <c r="E920" s="83" t="b">
        <v>0</v>
      </c>
      <c r="F920" s="83" t="b">
        <v>0</v>
      </c>
      <c r="G920" s="83" t="b">
        <v>0</v>
      </c>
    </row>
    <row r="921" spans="1:7" ht="15">
      <c r="A921" s="84" t="s">
        <v>1849</v>
      </c>
      <c r="B921" s="83">
        <v>2</v>
      </c>
      <c r="C921" s="110">
        <v>0.0018400410013771264</v>
      </c>
      <c r="D921" s="83" t="s">
        <v>1378</v>
      </c>
      <c r="E921" s="83" t="b">
        <v>0</v>
      </c>
      <c r="F921" s="83" t="b">
        <v>0</v>
      </c>
      <c r="G921" s="83" t="b">
        <v>0</v>
      </c>
    </row>
    <row r="922" spans="1:7" ht="15">
      <c r="A922" s="84" t="s">
        <v>1842</v>
      </c>
      <c r="B922" s="83">
        <v>2</v>
      </c>
      <c r="C922" s="110">
        <v>0.0021484733739836645</v>
      </c>
      <c r="D922" s="83" t="s">
        <v>1378</v>
      </c>
      <c r="E922" s="83" t="b">
        <v>0</v>
      </c>
      <c r="F922" s="83" t="b">
        <v>0</v>
      </c>
      <c r="G922" s="83" t="b">
        <v>0</v>
      </c>
    </row>
    <row r="923" spans="1:7" ht="15">
      <c r="A923" s="84" t="s">
        <v>1862</v>
      </c>
      <c r="B923" s="83">
        <v>2</v>
      </c>
      <c r="C923" s="110">
        <v>0.0018400410013771264</v>
      </c>
      <c r="D923" s="83" t="s">
        <v>1378</v>
      </c>
      <c r="E923" s="83" t="b">
        <v>0</v>
      </c>
      <c r="F923" s="83" t="b">
        <v>0</v>
      </c>
      <c r="G923" s="83" t="b">
        <v>0</v>
      </c>
    </row>
    <row r="924" spans="1:7" ht="15">
      <c r="A924" s="84" t="s">
        <v>1863</v>
      </c>
      <c r="B924" s="83">
        <v>2</v>
      </c>
      <c r="C924" s="110">
        <v>0.0018400410013771264</v>
      </c>
      <c r="D924" s="83" t="s">
        <v>1378</v>
      </c>
      <c r="E924" s="83" t="b">
        <v>1</v>
      </c>
      <c r="F924" s="83" t="b">
        <v>0</v>
      </c>
      <c r="G924" s="83" t="b">
        <v>0</v>
      </c>
    </row>
    <row r="925" spans="1:7" ht="15">
      <c r="A925" s="84" t="s">
        <v>1864</v>
      </c>
      <c r="B925" s="83">
        <v>2</v>
      </c>
      <c r="C925" s="110">
        <v>0.0018400410013771264</v>
      </c>
      <c r="D925" s="83" t="s">
        <v>1378</v>
      </c>
      <c r="E925" s="83" t="b">
        <v>0</v>
      </c>
      <c r="F925" s="83" t="b">
        <v>0</v>
      </c>
      <c r="G925" s="83" t="b">
        <v>0</v>
      </c>
    </row>
    <row r="926" spans="1:7" ht="15">
      <c r="A926" s="84" t="s">
        <v>1880</v>
      </c>
      <c r="B926" s="83">
        <v>2</v>
      </c>
      <c r="C926" s="110">
        <v>0.0021484733739836645</v>
      </c>
      <c r="D926" s="83" t="s">
        <v>1378</v>
      </c>
      <c r="E926" s="83" t="b">
        <v>0</v>
      </c>
      <c r="F926" s="83" t="b">
        <v>0</v>
      </c>
      <c r="G926" s="83" t="b">
        <v>0</v>
      </c>
    </row>
    <row r="927" spans="1:7" ht="15">
      <c r="A927" s="84" t="s">
        <v>1705</v>
      </c>
      <c r="B927" s="83">
        <v>2</v>
      </c>
      <c r="C927" s="110">
        <v>0.0018400410013771264</v>
      </c>
      <c r="D927" s="83" t="s">
        <v>1378</v>
      </c>
      <c r="E927" s="83" t="b">
        <v>0</v>
      </c>
      <c r="F927" s="83" t="b">
        <v>0</v>
      </c>
      <c r="G927" s="83" t="b">
        <v>0</v>
      </c>
    </row>
    <row r="928" spans="1:7" ht="15">
      <c r="A928" s="84" t="s">
        <v>1882</v>
      </c>
      <c r="B928" s="83">
        <v>2</v>
      </c>
      <c r="C928" s="110">
        <v>0.0018400410013771264</v>
      </c>
      <c r="D928" s="83" t="s">
        <v>1378</v>
      </c>
      <c r="E928" s="83" t="b">
        <v>0</v>
      </c>
      <c r="F928" s="83" t="b">
        <v>0</v>
      </c>
      <c r="G928" s="83" t="b">
        <v>0</v>
      </c>
    </row>
    <row r="929" spans="1:7" ht="15">
      <c r="A929" s="84" t="s">
        <v>1615</v>
      </c>
      <c r="B929" s="83">
        <v>2</v>
      </c>
      <c r="C929" s="110">
        <v>0.0018400410013771264</v>
      </c>
      <c r="D929" s="83" t="s">
        <v>1378</v>
      </c>
      <c r="E929" s="83" t="b">
        <v>1</v>
      </c>
      <c r="F929" s="83" t="b">
        <v>0</v>
      </c>
      <c r="G929" s="83" t="b">
        <v>0</v>
      </c>
    </row>
    <row r="930" spans="1:7" ht="15">
      <c r="A930" s="84" t="s">
        <v>1674</v>
      </c>
      <c r="B930" s="83">
        <v>2</v>
      </c>
      <c r="C930" s="110">
        <v>0.0018400410013771264</v>
      </c>
      <c r="D930" s="83" t="s">
        <v>1378</v>
      </c>
      <c r="E930" s="83" t="b">
        <v>0</v>
      </c>
      <c r="F930" s="83" t="b">
        <v>0</v>
      </c>
      <c r="G930" s="83" t="b">
        <v>0</v>
      </c>
    </row>
    <row r="931" spans="1:7" ht="15">
      <c r="A931" s="84" t="s">
        <v>1884</v>
      </c>
      <c r="B931" s="83">
        <v>2</v>
      </c>
      <c r="C931" s="110">
        <v>0.0018400410013771264</v>
      </c>
      <c r="D931" s="83" t="s">
        <v>1378</v>
      </c>
      <c r="E931" s="83" t="b">
        <v>0</v>
      </c>
      <c r="F931" s="83" t="b">
        <v>0</v>
      </c>
      <c r="G931" s="83" t="b">
        <v>0</v>
      </c>
    </row>
    <row r="932" spans="1:7" ht="15">
      <c r="A932" s="84" t="s">
        <v>1886</v>
      </c>
      <c r="B932" s="83">
        <v>2</v>
      </c>
      <c r="C932" s="110">
        <v>0.0018400410013771264</v>
      </c>
      <c r="D932" s="83" t="s">
        <v>1378</v>
      </c>
      <c r="E932" s="83" t="b">
        <v>1</v>
      </c>
      <c r="F932" s="83" t="b">
        <v>0</v>
      </c>
      <c r="G932" s="83" t="b">
        <v>0</v>
      </c>
    </row>
    <row r="933" spans="1:7" ht="15">
      <c r="A933" s="84" t="s">
        <v>1907</v>
      </c>
      <c r="B933" s="83">
        <v>2</v>
      </c>
      <c r="C933" s="110">
        <v>0.0021484733739836645</v>
      </c>
      <c r="D933" s="83" t="s">
        <v>1378</v>
      </c>
      <c r="E933" s="83" t="b">
        <v>0</v>
      </c>
      <c r="F933" s="83" t="b">
        <v>0</v>
      </c>
      <c r="G933" s="83" t="b">
        <v>0</v>
      </c>
    </row>
    <row r="934" spans="1:7" ht="15">
      <c r="A934" s="84" t="s">
        <v>1621</v>
      </c>
      <c r="B934" s="83">
        <v>2</v>
      </c>
      <c r="C934" s="110">
        <v>0.0018400410013771264</v>
      </c>
      <c r="D934" s="83" t="s">
        <v>1378</v>
      </c>
      <c r="E934" s="83" t="b">
        <v>1</v>
      </c>
      <c r="F934" s="83" t="b">
        <v>0</v>
      </c>
      <c r="G934" s="83" t="b">
        <v>0</v>
      </c>
    </row>
    <row r="935" spans="1:7" ht="15">
      <c r="A935" s="84" t="s">
        <v>1717</v>
      </c>
      <c r="B935" s="83">
        <v>2</v>
      </c>
      <c r="C935" s="110">
        <v>0.0018400410013771264</v>
      </c>
      <c r="D935" s="83" t="s">
        <v>1378</v>
      </c>
      <c r="E935" s="83" t="b">
        <v>0</v>
      </c>
      <c r="F935" s="83" t="b">
        <v>0</v>
      </c>
      <c r="G935" s="83" t="b">
        <v>0</v>
      </c>
    </row>
    <row r="936" spans="1:7" ht="15">
      <c r="A936" s="84" t="s">
        <v>1542</v>
      </c>
      <c r="B936" s="83">
        <v>2</v>
      </c>
      <c r="C936" s="110">
        <v>0.0018400410013771264</v>
      </c>
      <c r="D936" s="83" t="s">
        <v>1378</v>
      </c>
      <c r="E936" s="83" t="b">
        <v>1</v>
      </c>
      <c r="F936" s="83" t="b">
        <v>0</v>
      </c>
      <c r="G936" s="83" t="b">
        <v>0</v>
      </c>
    </row>
    <row r="937" spans="1:7" ht="15">
      <c r="A937" s="84" t="s">
        <v>1913</v>
      </c>
      <c r="B937" s="83">
        <v>2</v>
      </c>
      <c r="C937" s="110">
        <v>0.0018400410013771264</v>
      </c>
      <c r="D937" s="83" t="s">
        <v>1378</v>
      </c>
      <c r="E937" s="83" t="b">
        <v>0</v>
      </c>
      <c r="F937" s="83" t="b">
        <v>0</v>
      </c>
      <c r="G937" s="83" t="b">
        <v>0</v>
      </c>
    </row>
    <row r="938" spans="1:7" ht="15">
      <c r="A938" s="84" t="s">
        <v>1914</v>
      </c>
      <c r="B938" s="83">
        <v>2</v>
      </c>
      <c r="C938" s="110">
        <v>0.0021484733739836645</v>
      </c>
      <c r="D938" s="83" t="s">
        <v>1378</v>
      </c>
      <c r="E938" s="83" t="b">
        <v>0</v>
      </c>
      <c r="F938" s="83" t="b">
        <v>0</v>
      </c>
      <c r="G938" s="83" t="b">
        <v>0</v>
      </c>
    </row>
    <row r="939" spans="1:7" ht="15">
      <c r="A939" s="84" t="s">
        <v>1439</v>
      </c>
      <c r="B939" s="83">
        <v>2</v>
      </c>
      <c r="C939" s="110">
        <v>0.0018400410013771264</v>
      </c>
      <c r="D939" s="83" t="s">
        <v>1378</v>
      </c>
      <c r="E939" s="83" t="b">
        <v>1</v>
      </c>
      <c r="F939" s="83" t="b">
        <v>0</v>
      </c>
      <c r="G939" s="83" t="b">
        <v>0</v>
      </c>
    </row>
    <row r="940" spans="1:7" ht="15">
      <c r="A940" s="84" t="s">
        <v>1953</v>
      </c>
      <c r="B940" s="83">
        <v>2</v>
      </c>
      <c r="C940" s="110">
        <v>0.0018400410013771264</v>
      </c>
      <c r="D940" s="83" t="s">
        <v>1378</v>
      </c>
      <c r="E940" s="83" t="b">
        <v>0</v>
      </c>
      <c r="F940" s="83" t="b">
        <v>0</v>
      </c>
      <c r="G940" s="83" t="b">
        <v>0</v>
      </c>
    </row>
    <row r="941" spans="1:7" ht="15">
      <c r="A941" s="84" t="s">
        <v>1599</v>
      </c>
      <c r="B941" s="83">
        <v>2</v>
      </c>
      <c r="C941" s="110">
        <v>0.0018400410013771264</v>
      </c>
      <c r="D941" s="83" t="s">
        <v>1378</v>
      </c>
      <c r="E941" s="83" t="b">
        <v>0</v>
      </c>
      <c r="F941" s="83" t="b">
        <v>0</v>
      </c>
      <c r="G941" s="83" t="b">
        <v>0</v>
      </c>
    </row>
    <row r="942" spans="1:7" ht="15">
      <c r="A942" s="84" t="s">
        <v>2018</v>
      </c>
      <c r="B942" s="83">
        <v>2</v>
      </c>
      <c r="C942" s="110">
        <v>0.0018400410013771264</v>
      </c>
      <c r="D942" s="83" t="s">
        <v>1378</v>
      </c>
      <c r="E942" s="83" t="b">
        <v>0</v>
      </c>
      <c r="F942" s="83" t="b">
        <v>0</v>
      </c>
      <c r="G942" s="83" t="b">
        <v>0</v>
      </c>
    </row>
    <row r="943" spans="1:7" ht="15">
      <c r="A943" s="84" t="s">
        <v>2020</v>
      </c>
      <c r="B943" s="83">
        <v>2</v>
      </c>
      <c r="C943" s="110">
        <v>0.0018400410013771264</v>
      </c>
      <c r="D943" s="83" t="s">
        <v>1378</v>
      </c>
      <c r="E943" s="83" t="b">
        <v>0</v>
      </c>
      <c r="F943" s="83" t="b">
        <v>0</v>
      </c>
      <c r="G943" s="83" t="b">
        <v>0</v>
      </c>
    </row>
    <row r="944" spans="1:7" ht="15">
      <c r="A944" s="84" t="s">
        <v>1482</v>
      </c>
      <c r="B944" s="83">
        <v>2</v>
      </c>
      <c r="C944" s="110">
        <v>0.0021484733739836645</v>
      </c>
      <c r="D944" s="83" t="s">
        <v>1378</v>
      </c>
      <c r="E944" s="83" t="b">
        <v>0</v>
      </c>
      <c r="F944" s="83" t="b">
        <v>0</v>
      </c>
      <c r="G944" s="83" t="b">
        <v>0</v>
      </c>
    </row>
    <row r="945" spans="1:7" ht="15">
      <c r="A945" s="84" t="s">
        <v>2028</v>
      </c>
      <c r="B945" s="83">
        <v>2</v>
      </c>
      <c r="C945" s="110">
        <v>0.0021484733739836645</v>
      </c>
      <c r="D945" s="83" t="s">
        <v>1378</v>
      </c>
      <c r="E945" s="83" t="b">
        <v>0</v>
      </c>
      <c r="F945" s="83" t="b">
        <v>0</v>
      </c>
      <c r="G945" s="83" t="b">
        <v>0</v>
      </c>
    </row>
    <row r="946" spans="1:7" ht="15">
      <c r="A946" s="84" t="s">
        <v>2032</v>
      </c>
      <c r="B946" s="83">
        <v>2</v>
      </c>
      <c r="C946" s="110">
        <v>0.0021484733739836645</v>
      </c>
      <c r="D946" s="83" t="s">
        <v>1378</v>
      </c>
      <c r="E946" s="83" t="b">
        <v>0</v>
      </c>
      <c r="F946" s="83" t="b">
        <v>0</v>
      </c>
      <c r="G946" s="83" t="b">
        <v>0</v>
      </c>
    </row>
    <row r="947" spans="1:7" ht="15">
      <c r="A947" s="84" t="s">
        <v>2033</v>
      </c>
      <c r="B947" s="83">
        <v>2</v>
      </c>
      <c r="C947" s="110">
        <v>0.0021484733739836645</v>
      </c>
      <c r="D947" s="83" t="s">
        <v>1378</v>
      </c>
      <c r="E947" s="83" t="b">
        <v>0</v>
      </c>
      <c r="F947" s="83" t="b">
        <v>0</v>
      </c>
      <c r="G947" s="83" t="b">
        <v>0</v>
      </c>
    </row>
    <row r="948" spans="1:7" ht="15">
      <c r="A948" s="84" t="s">
        <v>1455</v>
      </c>
      <c r="B948" s="83">
        <v>2</v>
      </c>
      <c r="C948" s="110">
        <v>0</v>
      </c>
      <c r="D948" s="83" t="s">
        <v>1379</v>
      </c>
      <c r="E948" s="83" t="b">
        <v>0</v>
      </c>
      <c r="F948" s="83" t="b">
        <v>0</v>
      </c>
      <c r="G948" s="83" t="b">
        <v>0</v>
      </c>
    </row>
    <row r="949" spans="1:7" ht="15">
      <c r="A949" s="84" t="s">
        <v>1444</v>
      </c>
      <c r="B949" s="83">
        <v>10</v>
      </c>
      <c r="C949" s="110">
        <v>0.024533540453850543</v>
      </c>
      <c r="D949" s="83" t="s">
        <v>1380</v>
      </c>
      <c r="E949" s="83" t="b">
        <v>0</v>
      </c>
      <c r="F949" s="83" t="b">
        <v>0</v>
      </c>
      <c r="G949" s="83" t="b">
        <v>0</v>
      </c>
    </row>
    <row r="950" spans="1:7" ht="15">
      <c r="A950" s="84" t="s">
        <v>1453</v>
      </c>
      <c r="B950" s="83">
        <v>10</v>
      </c>
      <c r="C950" s="110">
        <v>0.024533540453850543</v>
      </c>
      <c r="D950" s="83" t="s">
        <v>1380</v>
      </c>
      <c r="E950" s="83" t="b">
        <v>0</v>
      </c>
      <c r="F950" s="83" t="b">
        <v>0</v>
      </c>
      <c r="G950" s="83" t="b">
        <v>0</v>
      </c>
    </row>
    <row r="951" spans="1:7" ht="15">
      <c r="A951" s="84" t="s">
        <v>1428</v>
      </c>
      <c r="B951" s="83">
        <v>6</v>
      </c>
      <c r="C951" s="110">
        <v>0.014720124272310326</v>
      </c>
      <c r="D951" s="83" t="s">
        <v>1380</v>
      </c>
      <c r="E951" s="83" t="b">
        <v>0</v>
      </c>
      <c r="F951" s="83" t="b">
        <v>0</v>
      </c>
      <c r="G951" s="83" t="b">
        <v>0</v>
      </c>
    </row>
    <row r="952" spans="1:7" ht="15">
      <c r="A952" s="84" t="s">
        <v>1432</v>
      </c>
      <c r="B952" s="83">
        <v>6</v>
      </c>
      <c r="C952" s="110">
        <v>0.022573080680935925</v>
      </c>
      <c r="D952" s="83" t="s">
        <v>1380</v>
      </c>
      <c r="E952" s="83" t="b">
        <v>0</v>
      </c>
      <c r="F952" s="83" t="b">
        <v>0</v>
      </c>
      <c r="G952" s="83" t="b">
        <v>0</v>
      </c>
    </row>
    <row r="953" spans="1:7" ht="15">
      <c r="A953" s="84" t="s">
        <v>1573</v>
      </c>
      <c r="B953" s="83">
        <v>5</v>
      </c>
      <c r="C953" s="110">
        <v>0.018810900567446602</v>
      </c>
      <c r="D953" s="83" t="s">
        <v>1380</v>
      </c>
      <c r="E953" s="83" t="b">
        <v>0</v>
      </c>
      <c r="F953" s="83" t="b">
        <v>0</v>
      </c>
      <c r="G953" s="83" t="b">
        <v>0</v>
      </c>
    </row>
    <row r="954" spans="1:7" ht="15">
      <c r="A954" s="84" t="s">
        <v>1574</v>
      </c>
      <c r="B954" s="83">
        <v>5</v>
      </c>
      <c r="C954" s="110">
        <v>0.018810900567446602</v>
      </c>
      <c r="D954" s="83" t="s">
        <v>1380</v>
      </c>
      <c r="E954" s="83" t="b">
        <v>0</v>
      </c>
      <c r="F954" s="83" t="b">
        <v>0</v>
      </c>
      <c r="G954" s="83" t="b">
        <v>0</v>
      </c>
    </row>
    <row r="955" spans="1:7" ht="15">
      <c r="A955" s="84" t="s">
        <v>1434</v>
      </c>
      <c r="B955" s="83">
        <v>4</v>
      </c>
      <c r="C955" s="110">
        <v>0.015048720453957283</v>
      </c>
      <c r="D955" s="83" t="s">
        <v>1380</v>
      </c>
      <c r="E955" s="83" t="b">
        <v>0</v>
      </c>
      <c r="F955" s="83" t="b">
        <v>0</v>
      </c>
      <c r="G955" s="83" t="b">
        <v>0</v>
      </c>
    </row>
    <row r="956" spans="1:7" ht="15">
      <c r="A956" s="84" t="s">
        <v>1431</v>
      </c>
      <c r="B956" s="83">
        <v>4</v>
      </c>
      <c r="C956" s="110">
        <v>0.015048720453957283</v>
      </c>
      <c r="D956" s="83" t="s">
        <v>1380</v>
      </c>
      <c r="E956" s="83" t="b">
        <v>0</v>
      </c>
      <c r="F956" s="83" t="b">
        <v>0</v>
      </c>
      <c r="G956" s="83" t="b">
        <v>0</v>
      </c>
    </row>
    <row r="957" spans="1:7" ht="15">
      <c r="A957" s="84" t="s">
        <v>1436</v>
      </c>
      <c r="B957" s="83">
        <v>4</v>
      </c>
      <c r="C957" s="110">
        <v>0.015048720453957283</v>
      </c>
      <c r="D957" s="83" t="s">
        <v>1380</v>
      </c>
      <c r="E957" s="83" t="b">
        <v>0</v>
      </c>
      <c r="F957" s="83" t="b">
        <v>0</v>
      </c>
      <c r="G957" s="83" t="b">
        <v>0</v>
      </c>
    </row>
    <row r="958" spans="1:7" ht="15">
      <c r="A958" s="84" t="s">
        <v>1447</v>
      </c>
      <c r="B958" s="83">
        <v>4</v>
      </c>
      <c r="C958" s="110">
        <v>0.01287587286076946</v>
      </c>
      <c r="D958" s="83" t="s">
        <v>1380</v>
      </c>
      <c r="E958" s="83" t="b">
        <v>0</v>
      </c>
      <c r="F958" s="83" t="b">
        <v>0</v>
      </c>
      <c r="G958" s="83" t="b">
        <v>0</v>
      </c>
    </row>
    <row r="959" spans="1:7" ht="15">
      <c r="A959" s="84" t="s">
        <v>1439</v>
      </c>
      <c r="B959" s="83">
        <v>3</v>
      </c>
      <c r="C959" s="110">
        <v>0.011286540340467962</v>
      </c>
      <c r="D959" s="83" t="s">
        <v>1380</v>
      </c>
      <c r="E959" s="83" t="b">
        <v>1</v>
      </c>
      <c r="F959" s="83" t="b">
        <v>0</v>
      </c>
      <c r="G959" s="83" t="b">
        <v>0</v>
      </c>
    </row>
    <row r="960" spans="1:7" ht="15">
      <c r="A960" s="84" t="s">
        <v>1456</v>
      </c>
      <c r="B960" s="83">
        <v>3</v>
      </c>
      <c r="C960" s="110">
        <v>0.011286540340467962</v>
      </c>
      <c r="D960" s="83" t="s">
        <v>1380</v>
      </c>
      <c r="E960" s="83" t="b">
        <v>1</v>
      </c>
      <c r="F960" s="83" t="b">
        <v>0</v>
      </c>
      <c r="G960" s="83" t="b">
        <v>0</v>
      </c>
    </row>
    <row r="961" spans="1:7" ht="15">
      <c r="A961" s="84" t="s">
        <v>1441</v>
      </c>
      <c r="B961" s="83">
        <v>3</v>
      </c>
      <c r="C961" s="110">
        <v>0.011286540340467962</v>
      </c>
      <c r="D961" s="83" t="s">
        <v>1380</v>
      </c>
      <c r="E961" s="83" t="b">
        <v>0</v>
      </c>
      <c r="F961" s="83" t="b">
        <v>0</v>
      </c>
      <c r="G961" s="83" t="b">
        <v>0</v>
      </c>
    </row>
    <row r="962" spans="1:7" ht="15">
      <c r="A962" s="84" t="s">
        <v>1597</v>
      </c>
      <c r="B962" s="83">
        <v>3</v>
      </c>
      <c r="C962" s="110">
        <v>0.011286540340467962</v>
      </c>
      <c r="D962" s="83" t="s">
        <v>1380</v>
      </c>
      <c r="E962" s="83" t="b">
        <v>0</v>
      </c>
      <c r="F962" s="83" t="b">
        <v>0</v>
      </c>
      <c r="G962" s="83" t="b">
        <v>0</v>
      </c>
    </row>
    <row r="963" spans="1:7" ht="15">
      <c r="A963" s="84" t="s">
        <v>1496</v>
      </c>
      <c r="B963" s="83">
        <v>3</v>
      </c>
      <c r="C963" s="110">
        <v>0.011286540340467962</v>
      </c>
      <c r="D963" s="83" t="s">
        <v>1380</v>
      </c>
      <c r="E963" s="83" t="b">
        <v>0</v>
      </c>
      <c r="F963" s="83" t="b">
        <v>0</v>
      </c>
      <c r="G963" s="83" t="b">
        <v>0</v>
      </c>
    </row>
    <row r="964" spans="1:7" ht="15">
      <c r="A964" s="84" t="s">
        <v>1660</v>
      </c>
      <c r="B964" s="83">
        <v>3</v>
      </c>
      <c r="C964" s="110">
        <v>0.011286540340467962</v>
      </c>
      <c r="D964" s="83" t="s">
        <v>1380</v>
      </c>
      <c r="E964" s="83" t="b">
        <v>0</v>
      </c>
      <c r="F964" s="83" t="b">
        <v>0</v>
      </c>
      <c r="G964" s="83" t="b">
        <v>0</v>
      </c>
    </row>
    <row r="965" spans="1:7" ht="15">
      <c r="A965" s="84" t="s">
        <v>1661</v>
      </c>
      <c r="B965" s="83">
        <v>3</v>
      </c>
      <c r="C965" s="110">
        <v>0.011286540340467962</v>
      </c>
      <c r="D965" s="83" t="s">
        <v>1380</v>
      </c>
      <c r="E965" s="83" t="b">
        <v>0</v>
      </c>
      <c r="F965" s="83" t="b">
        <v>0</v>
      </c>
      <c r="G965" s="83" t="b">
        <v>0</v>
      </c>
    </row>
    <row r="966" spans="1:7" ht="15">
      <c r="A966" s="84" t="s">
        <v>1662</v>
      </c>
      <c r="B966" s="83">
        <v>3</v>
      </c>
      <c r="C966" s="110">
        <v>0.011286540340467962</v>
      </c>
      <c r="D966" s="83" t="s">
        <v>1380</v>
      </c>
      <c r="E966" s="83" t="b">
        <v>0</v>
      </c>
      <c r="F966" s="83" t="b">
        <v>0</v>
      </c>
      <c r="G966" s="83" t="b">
        <v>0</v>
      </c>
    </row>
    <row r="967" spans="1:7" ht="15">
      <c r="A967" s="84" t="s">
        <v>1663</v>
      </c>
      <c r="B967" s="83">
        <v>3</v>
      </c>
      <c r="C967" s="110">
        <v>0.011286540340467962</v>
      </c>
      <c r="D967" s="83" t="s">
        <v>1380</v>
      </c>
      <c r="E967" s="83" t="b">
        <v>0</v>
      </c>
      <c r="F967" s="83" t="b">
        <v>0</v>
      </c>
      <c r="G967" s="83" t="b">
        <v>0</v>
      </c>
    </row>
    <row r="968" spans="1:7" ht="15">
      <c r="A968" s="84" t="s">
        <v>1512</v>
      </c>
      <c r="B968" s="83">
        <v>3</v>
      </c>
      <c r="C968" s="110">
        <v>0.011286540340467962</v>
      </c>
      <c r="D968" s="83" t="s">
        <v>1380</v>
      </c>
      <c r="E968" s="83" t="b">
        <v>0</v>
      </c>
      <c r="F968" s="83" t="b">
        <v>0</v>
      </c>
      <c r="G968" s="83" t="b">
        <v>0</v>
      </c>
    </row>
    <row r="969" spans="1:7" ht="15">
      <c r="A969" s="84" t="s">
        <v>1699</v>
      </c>
      <c r="B969" s="83">
        <v>3</v>
      </c>
      <c r="C969" s="110">
        <v>0.011286540340467962</v>
      </c>
      <c r="D969" s="83" t="s">
        <v>1380</v>
      </c>
      <c r="E969" s="83" t="b">
        <v>0</v>
      </c>
      <c r="F969" s="83" t="b">
        <v>0</v>
      </c>
      <c r="G969" s="83" t="b">
        <v>0</v>
      </c>
    </row>
    <row r="970" spans="1:7" ht="15">
      <c r="A970" s="84" t="s">
        <v>1700</v>
      </c>
      <c r="B970" s="83">
        <v>3</v>
      </c>
      <c r="C970" s="110">
        <v>0.011286540340467962</v>
      </c>
      <c r="D970" s="83" t="s">
        <v>1380</v>
      </c>
      <c r="E970" s="83" t="b">
        <v>0</v>
      </c>
      <c r="F970" s="83" t="b">
        <v>0</v>
      </c>
      <c r="G970" s="83" t="b">
        <v>0</v>
      </c>
    </row>
    <row r="971" spans="1:7" ht="15">
      <c r="A971" s="84" t="s">
        <v>1613</v>
      </c>
      <c r="B971" s="83">
        <v>3</v>
      </c>
      <c r="C971" s="110">
        <v>0.011286540340467962</v>
      </c>
      <c r="D971" s="83" t="s">
        <v>1380</v>
      </c>
      <c r="E971" s="83" t="b">
        <v>0</v>
      </c>
      <c r="F971" s="83" t="b">
        <v>0</v>
      </c>
      <c r="G971" s="83" t="b">
        <v>0</v>
      </c>
    </row>
    <row r="972" spans="1:7" ht="15">
      <c r="A972" s="84" t="s">
        <v>1520</v>
      </c>
      <c r="B972" s="83">
        <v>3</v>
      </c>
      <c r="C972" s="110">
        <v>0.011286540340467962</v>
      </c>
      <c r="D972" s="83" t="s">
        <v>1380</v>
      </c>
      <c r="E972" s="83" t="b">
        <v>0</v>
      </c>
      <c r="F972" s="83" t="b">
        <v>1</v>
      </c>
      <c r="G972" s="83" t="b">
        <v>0</v>
      </c>
    </row>
    <row r="973" spans="1:7" ht="15">
      <c r="A973" s="84" t="s">
        <v>1589</v>
      </c>
      <c r="B973" s="83">
        <v>2</v>
      </c>
      <c r="C973" s="110">
        <v>0.009055588566593262</v>
      </c>
      <c r="D973" s="83" t="s">
        <v>1380</v>
      </c>
      <c r="E973" s="83" t="b">
        <v>0</v>
      </c>
      <c r="F973" s="83" t="b">
        <v>0</v>
      </c>
      <c r="G973" s="83" t="b">
        <v>0</v>
      </c>
    </row>
    <row r="974" spans="1:7" ht="15">
      <c r="A974" s="84" t="s">
        <v>1768</v>
      </c>
      <c r="B974" s="83">
        <v>2</v>
      </c>
      <c r="C974" s="110">
        <v>0.009055588566593262</v>
      </c>
      <c r="D974" s="83" t="s">
        <v>1380</v>
      </c>
      <c r="E974" s="83" t="b">
        <v>0</v>
      </c>
      <c r="F974" s="83" t="b">
        <v>0</v>
      </c>
      <c r="G974" s="83" t="b">
        <v>0</v>
      </c>
    </row>
    <row r="975" spans="1:7" ht="15">
      <c r="A975" s="84" t="s">
        <v>1770</v>
      </c>
      <c r="B975" s="83">
        <v>2</v>
      </c>
      <c r="C975" s="110">
        <v>0.009055588566593262</v>
      </c>
      <c r="D975" s="83" t="s">
        <v>1380</v>
      </c>
      <c r="E975" s="83" t="b">
        <v>0</v>
      </c>
      <c r="F975" s="83" t="b">
        <v>0</v>
      </c>
      <c r="G975" s="83" t="b">
        <v>0</v>
      </c>
    </row>
    <row r="976" spans="1:7" ht="15">
      <c r="A976" s="84" t="s">
        <v>1648</v>
      </c>
      <c r="B976" s="83">
        <v>2</v>
      </c>
      <c r="C976" s="110">
        <v>0.009055588566593262</v>
      </c>
      <c r="D976" s="83" t="s">
        <v>1380</v>
      </c>
      <c r="E976" s="83" t="b">
        <v>0</v>
      </c>
      <c r="F976" s="83" t="b">
        <v>0</v>
      </c>
      <c r="G976" s="83" t="b">
        <v>0</v>
      </c>
    </row>
    <row r="977" spans="1:7" ht="15">
      <c r="A977" s="84" t="s">
        <v>1476</v>
      </c>
      <c r="B977" s="83">
        <v>2</v>
      </c>
      <c r="C977" s="110">
        <v>0.009055588566593262</v>
      </c>
      <c r="D977" s="83" t="s">
        <v>1380</v>
      </c>
      <c r="E977" s="83" t="b">
        <v>0</v>
      </c>
      <c r="F977" s="83" t="b">
        <v>0</v>
      </c>
      <c r="G977" s="83" t="b">
        <v>0</v>
      </c>
    </row>
    <row r="978" spans="1:7" ht="15">
      <c r="A978" s="84" t="s">
        <v>1771</v>
      </c>
      <c r="B978" s="83">
        <v>2</v>
      </c>
      <c r="C978" s="110">
        <v>0.009055588566593262</v>
      </c>
      <c r="D978" s="83" t="s">
        <v>1380</v>
      </c>
      <c r="E978" s="83" t="b">
        <v>0</v>
      </c>
      <c r="F978" s="83" t="b">
        <v>0</v>
      </c>
      <c r="G978" s="83" t="b">
        <v>0</v>
      </c>
    </row>
    <row r="979" spans="1:7" ht="15">
      <c r="A979" s="84" t="s">
        <v>1493</v>
      </c>
      <c r="B979" s="83">
        <v>2</v>
      </c>
      <c r="C979" s="110">
        <v>0.009055588566593262</v>
      </c>
      <c r="D979" s="83" t="s">
        <v>1380</v>
      </c>
      <c r="E979" s="83" t="b">
        <v>1</v>
      </c>
      <c r="F979" s="83" t="b">
        <v>0</v>
      </c>
      <c r="G979" s="83" t="b">
        <v>0</v>
      </c>
    </row>
    <row r="980" spans="1:7" ht="15">
      <c r="A980" s="84" t="s">
        <v>1553</v>
      </c>
      <c r="B980" s="83">
        <v>2</v>
      </c>
      <c r="C980" s="110">
        <v>0.009055588566593262</v>
      </c>
      <c r="D980" s="83" t="s">
        <v>1380</v>
      </c>
      <c r="E980" s="83" t="b">
        <v>0</v>
      </c>
      <c r="F980" s="83" t="b">
        <v>0</v>
      </c>
      <c r="G980" s="83" t="b">
        <v>0</v>
      </c>
    </row>
    <row r="981" spans="1:7" ht="15">
      <c r="A981" s="84" t="s">
        <v>1773</v>
      </c>
      <c r="B981" s="83">
        <v>2</v>
      </c>
      <c r="C981" s="110">
        <v>0.011673240702801792</v>
      </c>
      <c r="D981" s="83" t="s">
        <v>1380</v>
      </c>
      <c r="E981" s="83" t="b">
        <v>0</v>
      </c>
      <c r="F981" s="83" t="b">
        <v>0</v>
      </c>
      <c r="G981" s="83" t="b">
        <v>0</v>
      </c>
    </row>
    <row r="982" spans="1:7" ht="15">
      <c r="A982" s="84" t="s">
        <v>1596</v>
      </c>
      <c r="B982" s="83">
        <v>2</v>
      </c>
      <c r="C982" s="110">
        <v>0.011673240702801792</v>
      </c>
      <c r="D982" s="83" t="s">
        <v>1380</v>
      </c>
      <c r="E982" s="83" t="b">
        <v>0</v>
      </c>
      <c r="F982" s="83" t="b">
        <v>0</v>
      </c>
      <c r="G982" s="83" t="b">
        <v>0</v>
      </c>
    </row>
    <row r="983" spans="1:7" ht="15">
      <c r="A983" s="84" t="s">
        <v>1780</v>
      </c>
      <c r="B983" s="83">
        <v>2</v>
      </c>
      <c r="C983" s="110">
        <v>0.009055588566593262</v>
      </c>
      <c r="D983" s="83" t="s">
        <v>1380</v>
      </c>
      <c r="E983" s="83" t="b">
        <v>0</v>
      </c>
      <c r="F983" s="83" t="b">
        <v>0</v>
      </c>
      <c r="G983" s="83" t="b">
        <v>0</v>
      </c>
    </row>
    <row r="984" spans="1:7" ht="15">
      <c r="A984" s="84" t="s">
        <v>1781</v>
      </c>
      <c r="B984" s="83">
        <v>2</v>
      </c>
      <c r="C984" s="110">
        <v>0.009055588566593262</v>
      </c>
      <c r="D984" s="83" t="s">
        <v>1380</v>
      </c>
      <c r="E984" s="83" t="b">
        <v>0</v>
      </c>
      <c r="F984" s="83" t="b">
        <v>0</v>
      </c>
      <c r="G984" s="83" t="b">
        <v>0</v>
      </c>
    </row>
    <row r="985" spans="1:7" ht="15">
      <c r="A985" s="84" t="s">
        <v>1782</v>
      </c>
      <c r="B985" s="83">
        <v>2</v>
      </c>
      <c r="C985" s="110">
        <v>0.009055588566593262</v>
      </c>
      <c r="D985" s="83" t="s">
        <v>1380</v>
      </c>
      <c r="E985" s="83" t="b">
        <v>0</v>
      </c>
      <c r="F985" s="83" t="b">
        <v>0</v>
      </c>
      <c r="G985" s="83" t="b">
        <v>0</v>
      </c>
    </row>
    <row r="986" spans="1:7" ht="15">
      <c r="A986" s="84" t="s">
        <v>1485</v>
      </c>
      <c r="B986" s="83">
        <v>2</v>
      </c>
      <c r="C986" s="110">
        <v>0.009055588566593262</v>
      </c>
      <c r="D986" s="83" t="s">
        <v>1380</v>
      </c>
      <c r="E986" s="83" t="b">
        <v>0</v>
      </c>
      <c r="F986" s="83" t="b">
        <v>0</v>
      </c>
      <c r="G986" s="83" t="b">
        <v>0</v>
      </c>
    </row>
    <row r="987" spans="1:7" ht="15">
      <c r="A987" s="84" t="s">
        <v>1866</v>
      </c>
      <c r="B987" s="83">
        <v>2</v>
      </c>
      <c r="C987" s="110">
        <v>0.009055588566593262</v>
      </c>
      <c r="D987" s="83" t="s">
        <v>1380</v>
      </c>
      <c r="E987" s="83" t="b">
        <v>1</v>
      </c>
      <c r="F987" s="83" t="b">
        <v>0</v>
      </c>
      <c r="G987" s="83" t="b">
        <v>0</v>
      </c>
    </row>
    <row r="988" spans="1:7" ht="15">
      <c r="A988" s="84" t="s">
        <v>1867</v>
      </c>
      <c r="B988" s="83">
        <v>2</v>
      </c>
      <c r="C988" s="110">
        <v>0.009055588566593262</v>
      </c>
      <c r="D988" s="83" t="s">
        <v>1380</v>
      </c>
      <c r="E988" s="83" t="b">
        <v>0</v>
      </c>
      <c r="F988" s="83" t="b">
        <v>0</v>
      </c>
      <c r="G988" s="83" t="b">
        <v>0</v>
      </c>
    </row>
    <row r="989" spans="1:7" ht="15">
      <c r="A989" s="84" t="s">
        <v>1868</v>
      </c>
      <c r="B989" s="83">
        <v>2</v>
      </c>
      <c r="C989" s="110">
        <v>0.009055588566593262</v>
      </c>
      <c r="D989" s="83" t="s">
        <v>1380</v>
      </c>
      <c r="E989" s="83" t="b">
        <v>0</v>
      </c>
      <c r="F989" s="83" t="b">
        <v>0</v>
      </c>
      <c r="G989" s="83" t="b">
        <v>0</v>
      </c>
    </row>
    <row r="990" spans="1:7" ht="15">
      <c r="A990" s="84" t="s">
        <v>1869</v>
      </c>
      <c r="B990" s="83">
        <v>2</v>
      </c>
      <c r="C990" s="110">
        <v>0.009055588566593262</v>
      </c>
      <c r="D990" s="83" t="s">
        <v>1380</v>
      </c>
      <c r="E990" s="83" t="b">
        <v>0</v>
      </c>
      <c r="F990" s="83" t="b">
        <v>0</v>
      </c>
      <c r="G990" s="83" t="b">
        <v>0</v>
      </c>
    </row>
    <row r="991" spans="1:7" ht="15">
      <c r="A991" s="84" t="s">
        <v>1870</v>
      </c>
      <c r="B991" s="83">
        <v>2</v>
      </c>
      <c r="C991" s="110">
        <v>0.009055588566593262</v>
      </c>
      <c r="D991" s="83" t="s">
        <v>1380</v>
      </c>
      <c r="E991" s="83" t="b">
        <v>0</v>
      </c>
      <c r="F991" s="83" t="b">
        <v>0</v>
      </c>
      <c r="G991" s="83" t="b">
        <v>0</v>
      </c>
    </row>
    <row r="992" spans="1:7" ht="15">
      <c r="A992" s="84" t="s">
        <v>1675</v>
      </c>
      <c r="B992" s="83">
        <v>2</v>
      </c>
      <c r="C992" s="110">
        <v>0.009055588566593262</v>
      </c>
      <c r="D992" s="83" t="s">
        <v>1380</v>
      </c>
      <c r="E992" s="83" t="b">
        <v>0</v>
      </c>
      <c r="F992" s="83" t="b">
        <v>0</v>
      </c>
      <c r="G992" s="83" t="b">
        <v>0</v>
      </c>
    </row>
    <row r="993" spans="1:7" ht="15">
      <c r="A993" s="84" t="s">
        <v>1693</v>
      </c>
      <c r="B993" s="83">
        <v>2</v>
      </c>
      <c r="C993" s="110">
        <v>0.009055588566593262</v>
      </c>
      <c r="D993" s="83" t="s">
        <v>1380</v>
      </c>
      <c r="E993" s="83" t="b">
        <v>0</v>
      </c>
      <c r="F993" s="83" t="b">
        <v>0</v>
      </c>
      <c r="G993" s="83" t="b">
        <v>0</v>
      </c>
    </row>
    <row r="994" spans="1:7" ht="15">
      <c r="A994" s="84" t="s">
        <v>1871</v>
      </c>
      <c r="B994" s="83">
        <v>2</v>
      </c>
      <c r="C994" s="110">
        <v>0.009055588566593262</v>
      </c>
      <c r="D994" s="83" t="s">
        <v>1380</v>
      </c>
      <c r="E994" s="83" t="b">
        <v>0</v>
      </c>
      <c r="F994" s="83" t="b">
        <v>0</v>
      </c>
      <c r="G994" s="83" t="b">
        <v>0</v>
      </c>
    </row>
    <row r="995" spans="1:7" ht="15">
      <c r="A995" s="84" t="s">
        <v>1872</v>
      </c>
      <c r="B995" s="83">
        <v>2</v>
      </c>
      <c r="C995" s="110">
        <v>0.009055588566593262</v>
      </c>
      <c r="D995" s="83" t="s">
        <v>1380</v>
      </c>
      <c r="E995" s="83" t="b">
        <v>0</v>
      </c>
      <c r="F995" s="83" t="b">
        <v>0</v>
      </c>
      <c r="G995" s="83" t="b">
        <v>0</v>
      </c>
    </row>
    <row r="996" spans="1:7" ht="15">
      <c r="A996" s="84" t="s">
        <v>1873</v>
      </c>
      <c r="B996" s="83">
        <v>2</v>
      </c>
      <c r="C996" s="110">
        <v>0.009055588566593262</v>
      </c>
      <c r="D996" s="83" t="s">
        <v>1380</v>
      </c>
      <c r="E996" s="83" t="b">
        <v>0</v>
      </c>
      <c r="F996" s="83" t="b">
        <v>0</v>
      </c>
      <c r="G996" s="83" t="b">
        <v>0</v>
      </c>
    </row>
    <row r="997" spans="1:7" ht="15">
      <c r="A997" s="84" t="s">
        <v>1874</v>
      </c>
      <c r="B997" s="83">
        <v>2</v>
      </c>
      <c r="C997" s="110">
        <v>0.009055588566593262</v>
      </c>
      <c r="D997" s="83" t="s">
        <v>1380</v>
      </c>
      <c r="E997" s="83" t="b">
        <v>0</v>
      </c>
      <c r="F997" s="83" t="b">
        <v>0</v>
      </c>
      <c r="G997" s="83" t="b">
        <v>0</v>
      </c>
    </row>
    <row r="998" spans="1:7" ht="15">
      <c r="A998" s="84" t="s">
        <v>1514</v>
      </c>
      <c r="B998" s="83">
        <v>2</v>
      </c>
      <c r="C998" s="110">
        <v>0.009055588566593262</v>
      </c>
      <c r="D998" s="83" t="s">
        <v>1380</v>
      </c>
      <c r="E998" s="83" t="b">
        <v>0</v>
      </c>
      <c r="F998" s="83" t="b">
        <v>0</v>
      </c>
      <c r="G998" s="83" t="b">
        <v>0</v>
      </c>
    </row>
    <row r="999" spans="1:7" ht="15">
      <c r="A999" s="84" t="s">
        <v>1433</v>
      </c>
      <c r="B999" s="83">
        <v>2</v>
      </c>
      <c r="C999" s="110">
        <v>0.009055588566593262</v>
      </c>
      <c r="D999" s="83" t="s">
        <v>1380</v>
      </c>
      <c r="E999" s="83" t="b">
        <v>0</v>
      </c>
      <c r="F999" s="83" t="b">
        <v>0</v>
      </c>
      <c r="G999" s="83" t="b">
        <v>0</v>
      </c>
    </row>
    <row r="1000" spans="1:7" ht="15">
      <c r="A1000" s="84" t="s">
        <v>1430</v>
      </c>
      <c r="B1000" s="83">
        <v>2</v>
      </c>
      <c r="C1000" s="110">
        <v>0.011673240702801792</v>
      </c>
      <c r="D1000" s="83" t="s">
        <v>1380</v>
      </c>
      <c r="E1000" s="83" t="b">
        <v>0</v>
      </c>
      <c r="F1000" s="83" t="b">
        <v>0</v>
      </c>
      <c r="G1000" s="83" t="b">
        <v>0</v>
      </c>
    </row>
    <row r="1001" spans="1:7" ht="15">
      <c r="A1001" s="84" t="s">
        <v>1466</v>
      </c>
      <c r="B1001" s="83">
        <v>2</v>
      </c>
      <c r="C1001" s="110">
        <v>0.009055588566593262</v>
      </c>
      <c r="D1001" s="83" t="s">
        <v>1380</v>
      </c>
      <c r="E1001" s="83" t="b">
        <v>0</v>
      </c>
      <c r="F1001" s="83" t="b">
        <v>0</v>
      </c>
      <c r="G1001" s="83" t="b">
        <v>0</v>
      </c>
    </row>
    <row r="1002" spans="1:7" ht="15">
      <c r="A1002" s="84" t="s">
        <v>1439</v>
      </c>
      <c r="B1002" s="83">
        <v>14</v>
      </c>
      <c r="C1002" s="110">
        <v>0.030874871350151916</v>
      </c>
      <c r="D1002" s="83" t="s">
        <v>1381</v>
      </c>
      <c r="E1002" s="83" t="b">
        <v>1</v>
      </c>
      <c r="F1002" s="83" t="b">
        <v>0</v>
      </c>
      <c r="G1002" s="83" t="b">
        <v>0</v>
      </c>
    </row>
    <row r="1003" spans="1:7" ht="15">
      <c r="A1003" s="84" t="s">
        <v>1468</v>
      </c>
      <c r="B1003" s="83">
        <v>10</v>
      </c>
      <c r="C1003" s="110">
        <v>0.016379415067480557</v>
      </c>
      <c r="D1003" s="83" t="s">
        <v>1381</v>
      </c>
      <c r="E1003" s="83" t="b">
        <v>0</v>
      </c>
      <c r="F1003" s="83" t="b">
        <v>0</v>
      </c>
      <c r="G1003" s="83" t="b">
        <v>0</v>
      </c>
    </row>
    <row r="1004" spans="1:7" ht="15">
      <c r="A1004" s="84" t="s">
        <v>1473</v>
      </c>
      <c r="B1004" s="83">
        <v>8</v>
      </c>
      <c r="C1004" s="110">
        <v>0.021924923868313562</v>
      </c>
      <c r="D1004" s="83" t="s">
        <v>1381</v>
      </c>
      <c r="E1004" s="83" t="b">
        <v>0</v>
      </c>
      <c r="F1004" s="83" t="b">
        <v>0</v>
      </c>
      <c r="G1004" s="83" t="b">
        <v>0</v>
      </c>
    </row>
    <row r="1005" spans="1:7" ht="15">
      <c r="A1005" s="84" t="s">
        <v>1482</v>
      </c>
      <c r="B1005" s="83">
        <v>7</v>
      </c>
      <c r="C1005" s="110">
        <v>0.015437435675075958</v>
      </c>
      <c r="D1005" s="83" t="s">
        <v>1381</v>
      </c>
      <c r="E1005" s="83" t="b">
        <v>0</v>
      </c>
      <c r="F1005" s="83" t="b">
        <v>0</v>
      </c>
      <c r="G1005" s="83" t="b">
        <v>0</v>
      </c>
    </row>
    <row r="1006" spans="1:7" ht="15">
      <c r="A1006" s="84" t="s">
        <v>1509</v>
      </c>
      <c r="B1006" s="83">
        <v>7</v>
      </c>
      <c r="C1006" s="110">
        <v>0.015437435675075958</v>
      </c>
      <c r="D1006" s="83" t="s">
        <v>1381</v>
      </c>
      <c r="E1006" s="83" t="b">
        <v>1</v>
      </c>
      <c r="F1006" s="83" t="b">
        <v>0</v>
      </c>
      <c r="G1006" s="83" t="b">
        <v>0</v>
      </c>
    </row>
    <row r="1007" spans="1:7" ht="15">
      <c r="A1007" s="84" t="s">
        <v>1461</v>
      </c>
      <c r="B1007" s="83">
        <v>7</v>
      </c>
      <c r="C1007" s="110">
        <v>0.015437435675075958</v>
      </c>
      <c r="D1007" s="83" t="s">
        <v>1381</v>
      </c>
      <c r="E1007" s="83" t="b">
        <v>1</v>
      </c>
      <c r="F1007" s="83" t="b">
        <v>0</v>
      </c>
      <c r="G1007" s="83" t="b">
        <v>0</v>
      </c>
    </row>
    <row r="1008" spans="1:7" ht="15">
      <c r="A1008" s="84" t="s">
        <v>1483</v>
      </c>
      <c r="B1008" s="83">
        <v>7</v>
      </c>
      <c r="C1008" s="110">
        <v>0.015437435675075958</v>
      </c>
      <c r="D1008" s="83" t="s">
        <v>1381</v>
      </c>
      <c r="E1008" s="83" t="b">
        <v>0</v>
      </c>
      <c r="F1008" s="83" t="b">
        <v>0</v>
      </c>
      <c r="G1008" s="83" t="b">
        <v>0</v>
      </c>
    </row>
    <row r="1009" spans="1:7" ht="15">
      <c r="A1009" s="84" t="s">
        <v>1510</v>
      </c>
      <c r="B1009" s="83">
        <v>7</v>
      </c>
      <c r="C1009" s="110">
        <v>0.015437435675075958</v>
      </c>
      <c r="D1009" s="83" t="s">
        <v>1381</v>
      </c>
      <c r="E1009" s="83" t="b">
        <v>0</v>
      </c>
      <c r="F1009" s="83" t="b">
        <v>0</v>
      </c>
      <c r="G1009" s="83" t="b">
        <v>0</v>
      </c>
    </row>
    <row r="1010" spans="1:7" ht="15">
      <c r="A1010" s="84" t="s">
        <v>1428</v>
      </c>
      <c r="B1010" s="83">
        <v>7</v>
      </c>
      <c r="C1010" s="110">
        <v>0.019184308384774366</v>
      </c>
      <c r="D1010" s="83" t="s">
        <v>1381</v>
      </c>
      <c r="E1010" s="83" t="b">
        <v>0</v>
      </c>
      <c r="F1010" s="83" t="b">
        <v>0</v>
      </c>
      <c r="G1010" s="83" t="b">
        <v>0</v>
      </c>
    </row>
    <row r="1011" spans="1:7" ht="15">
      <c r="A1011" s="84" t="s">
        <v>1475</v>
      </c>
      <c r="B1011" s="83">
        <v>6</v>
      </c>
      <c r="C1011" s="110">
        <v>0.01470344573535331</v>
      </c>
      <c r="D1011" s="83" t="s">
        <v>1381</v>
      </c>
      <c r="E1011" s="83" t="b">
        <v>0</v>
      </c>
      <c r="F1011" s="83" t="b">
        <v>0</v>
      </c>
      <c r="G1011" s="83" t="b">
        <v>0</v>
      </c>
    </row>
    <row r="1012" spans="1:7" ht="15">
      <c r="A1012" s="84" t="s">
        <v>1491</v>
      </c>
      <c r="B1012" s="83">
        <v>6</v>
      </c>
      <c r="C1012" s="110">
        <v>0.01470344573535331</v>
      </c>
      <c r="D1012" s="83" t="s">
        <v>1381</v>
      </c>
      <c r="E1012" s="83" t="b">
        <v>0</v>
      </c>
      <c r="F1012" s="83" t="b">
        <v>0</v>
      </c>
      <c r="G1012" s="83" t="b">
        <v>0</v>
      </c>
    </row>
    <row r="1013" spans="1:7" ht="15">
      <c r="A1013" s="84" t="s">
        <v>1528</v>
      </c>
      <c r="B1013" s="83">
        <v>6</v>
      </c>
      <c r="C1013" s="110">
        <v>0.01470344573535331</v>
      </c>
      <c r="D1013" s="83" t="s">
        <v>1381</v>
      </c>
      <c r="E1013" s="83" t="b">
        <v>0</v>
      </c>
      <c r="F1013" s="83" t="b">
        <v>0</v>
      </c>
      <c r="G1013" s="83" t="b">
        <v>0</v>
      </c>
    </row>
    <row r="1014" spans="1:7" ht="15">
      <c r="A1014" s="84" t="s">
        <v>1492</v>
      </c>
      <c r="B1014" s="83">
        <v>6</v>
      </c>
      <c r="C1014" s="110">
        <v>0.01470344573535331</v>
      </c>
      <c r="D1014" s="83" t="s">
        <v>1381</v>
      </c>
      <c r="E1014" s="83" t="b">
        <v>0</v>
      </c>
      <c r="F1014" s="83" t="b">
        <v>1</v>
      </c>
      <c r="G1014" s="83" t="b">
        <v>0</v>
      </c>
    </row>
    <row r="1015" spans="1:7" ht="15">
      <c r="A1015" s="84" t="s">
        <v>1345</v>
      </c>
      <c r="B1015" s="83">
        <v>4</v>
      </c>
      <c r="C1015" s="110">
        <v>0.016793084771842316</v>
      </c>
      <c r="D1015" s="83" t="s">
        <v>1381</v>
      </c>
      <c r="E1015" s="83" t="b">
        <v>0</v>
      </c>
      <c r="F1015" s="83" t="b">
        <v>0</v>
      </c>
      <c r="G1015" s="83" t="b">
        <v>0</v>
      </c>
    </row>
    <row r="1016" spans="1:7" ht="15">
      <c r="A1016" s="84" t="s">
        <v>1484</v>
      </c>
      <c r="B1016" s="83">
        <v>3</v>
      </c>
      <c r="C1016" s="110">
        <v>0.010659744798050076</v>
      </c>
      <c r="D1016" s="83" t="s">
        <v>1381</v>
      </c>
      <c r="E1016" s="83" t="b">
        <v>1</v>
      </c>
      <c r="F1016" s="83" t="b">
        <v>0</v>
      </c>
      <c r="G1016" s="83" t="b">
        <v>0</v>
      </c>
    </row>
    <row r="1017" spans="1:7" ht="15">
      <c r="A1017" s="84" t="s">
        <v>1590</v>
      </c>
      <c r="B1017" s="83">
        <v>3</v>
      </c>
      <c r="C1017" s="110">
        <v>0.010659744798050076</v>
      </c>
      <c r="D1017" s="83" t="s">
        <v>1381</v>
      </c>
      <c r="E1017" s="83" t="b">
        <v>0</v>
      </c>
      <c r="F1017" s="83" t="b">
        <v>0</v>
      </c>
      <c r="G1017" s="83" t="b">
        <v>0</v>
      </c>
    </row>
    <row r="1018" spans="1:7" ht="15">
      <c r="A1018" s="84" t="s">
        <v>1647</v>
      </c>
      <c r="B1018" s="83">
        <v>3</v>
      </c>
      <c r="C1018" s="110">
        <v>0.010659744798050076</v>
      </c>
      <c r="D1018" s="83" t="s">
        <v>1381</v>
      </c>
      <c r="E1018" s="83" t="b">
        <v>0</v>
      </c>
      <c r="F1018" s="83" t="b">
        <v>0</v>
      </c>
      <c r="G1018" s="83" t="b">
        <v>0</v>
      </c>
    </row>
    <row r="1019" spans="1:7" ht="15">
      <c r="A1019" s="84" t="s">
        <v>1525</v>
      </c>
      <c r="B1019" s="83">
        <v>3</v>
      </c>
      <c r="C1019" s="110">
        <v>0.015902835509255156</v>
      </c>
      <c r="D1019" s="83" t="s">
        <v>1381</v>
      </c>
      <c r="E1019" s="83" t="b">
        <v>0</v>
      </c>
      <c r="F1019" s="83" t="b">
        <v>0</v>
      </c>
      <c r="G1019" s="83" t="b">
        <v>0</v>
      </c>
    </row>
    <row r="1020" spans="1:7" ht="15">
      <c r="A1020" s="84" t="s">
        <v>1429</v>
      </c>
      <c r="B1020" s="83">
        <v>3</v>
      </c>
      <c r="C1020" s="110">
        <v>0.012594813578881738</v>
      </c>
      <c r="D1020" s="83" t="s">
        <v>1381</v>
      </c>
      <c r="E1020" s="83" t="b">
        <v>0</v>
      </c>
      <c r="F1020" s="83" t="b">
        <v>0</v>
      </c>
      <c r="G1020" s="83" t="b">
        <v>0</v>
      </c>
    </row>
    <row r="1021" spans="1:7" ht="15">
      <c r="A1021" s="84" t="s">
        <v>1761</v>
      </c>
      <c r="B1021" s="83">
        <v>3</v>
      </c>
      <c r="C1021" s="110">
        <v>0.015902835509255156</v>
      </c>
      <c r="D1021" s="83" t="s">
        <v>1381</v>
      </c>
      <c r="E1021" s="83" t="b">
        <v>0</v>
      </c>
      <c r="F1021" s="83" t="b">
        <v>0</v>
      </c>
      <c r="G1021" s="83" t="b">
        <v>0</v>
      </c>
    </row>
    <row r="1022" spans="1:7" ht="15">
      <c r="A1022" s="84" t="s">
        <v>1713</v>
      </c>
      <c r="B1022" s="83">
        <v>3</v>
      </c>
      <c r="C1022" s="110">
        <v>0.012594813578881738</v>
      </c>
      <c r="D1022" s="83" t="s">
        <v>1381</v>
      </c>
      <c r="E1022" s="83" t="b">
        <v>0</v>
      </c>
      <c r="F1022" s="83" t="b">
        <v>0</v>
      </c>
      <c r="G1022" s="83" t="b">
        <v>0</v>
      </c>
    </row>
    <row r="1023" spans="1:7" ht="15">
      <c r="A1023" s="84" t="s">
        <v>1711</v>
      </c>
      <c r="B1023" s="83">
        <v>3</v>
      </c>
      <c r="C1023" s="110">
        <v>0.010659744798050076</v>
      </c>
      <c r="D1023" s="83" t="s">
        <v>1381</v>
      </c>
      <c r="E1023" s="83" t="b">
        <v>0</v>
      </c>
      <c r="F1023" s="83" t="b">
        <v>0</v>
      </c>
      <c r="G1023" s="83" t="b">
        <v>0</v>
      </c>
    </row>
    <row r="1024" spans="1:7" ht="15">
      <c r="A1024" s="84" t="s">
        <v>1622</v>
      </c>
      <c r="B1024" s="83">
        <v>2</v>
      </c>
      <c r="C1024" s="110">
        <v>0.010601890339503437</v>
      </c>
      <c r="D1024" s="83" t="s">
        <v>1381</v>
      </c>
      <c r="E1024" s="83" t="b">
        <v>0</v>
      </c>
      <c r="F1024" s="83" t="b">
        <v>0</v>
      </c>
      <c r="G1024" s="83" t="b">
        <v>0</v>
      </c>
    </row>
    <row r="1025" spans="1:7" ht="15">
      <c r="A1025" s="84" t="s">
        <v>1504</v>
      </c>
      <c r="B1025" s="83">
        <v>2</v>
      </c>
      <c r="C1025" s="110">
        <v>0.010601890339503437</v>
      </c>
      <c r="D1025" s="83" t="s">
        <v>1381</v>
      </c>
      <c r="E1025" s="83" t="b">
        <v>0</v>
      </c>
      <c r="F1025" s="83" t="b">
        <v>0</v>
      </c>
      <c r="G1025" s="83" t="b">
        <v>0</v>
      </c>
    </row>
    <row r="1026" spans="1:7" ht="15">
      <c r="A1026" s="84" t="s">
        <v>1446</v>
      </c>
      <c r="B1026" s="83">
        <v>2</v>
      </c>
      <c r="C1026" s="110">
        <v>0.010601890339503437</v>
      </c>
      <c r="D1026" s="83" t="s">
        <v>1381</v>
      </c>
      <c r="E1026" s="83" t="b">
        <v>0</v>
      </c>
      <c r="F1026" s="83" t="b">
        <v>0</v>
      </c>
      <c r="G1026" s="83" t="b">
        <v>0</v>
      </c>
    </row>
    <row r="1027" spans="1:7" ht="15">
      <c r="A1027" s="84" t="s">
        <v>1894</v>
      </c>
      <c r="B1027" s="83">
        <v>2</v>
      </c>
      <c r="C1027" s="110">
        <v>0.010601890339503437</v>
      </c>
      <c r="D1027" s="83" t="s">
        <v>1381</v>
      </c>
      <c r="E1027" s="83" t="b">
        <v>0</v>
      </c>
      <c r="F1027" s="83" t="b">
        <v>0</v>
      </c>
      <c r="G1027" s="83" t="b">
        <v>0</v>
      </c>
    </row>
    <row r="1028" spans="1:7" ht="15">
      <c r="A1028" s="84" t="s">
        <v>1712</v>
      </c>
      <c r="B1028" s="83">
        <v>2</v>
      </c>
      <c r="C1028" s="110">
        <v>0.010601890339503437</v>
      </c>
      <c r="D1028" s="83" t="s">
        <v>1381</v>
      </c>
      <c r="E1028" s="83" t="b">
        <v>0</v>
      </c>
      <c r="F1028" s="83" t="b">
        <v>0</v>
      </c>
      <c r="G1028" s="83" t="b">
        <v>0</v>
      </c>
    </row>
    <row r="1029" spans="1:7" ht="15">
      <c r="A1029" s="84" t="s">
        <v>1895</v>
      </c>
      <c r="B1029" s="83">
        <v>2</v>
      </c>
      <c r="C1029" s="110">
        <v>0.010601890339503437</v>
      </c>
      <c r="D1029" s="83" t="s">
        <v>1381</v>
      </c>
      <c r="E1029" s="83" t="b">
        <v>0</v>
      </c>
      <c r="F1029" s="83" t="b">
        <v>0</v>
      </c>
      <c r="G1029" s="83" t="b">
        <v>0</v>
      </c>
    </row>
    <row r="1030" spans="1:7" ht="15">
      <c r="A1030" s="84" t="s">
        <v>1498</v>
      </c>
      <c r="B1030" s="83">
        <v>2</v>
      </c>
      <c r="C1030" s="110">
        <v>0.010601890339503437</v>
      </c>
      <c r="D1030" s="83" t="s">
        <v>1381</v>
      </c>
      <c r="E1030" s="83" t="b">
        <v>0</v>
      </c>
      <c r="F1030" s="83" t="b">
        <v>0</v>
      </c>
      <c r="G1030" s="83" t="b">
        <v>0</v>
      </c>
    </row>
    <row r="1031" spans="1:7" ht="15">
      <c r="A1031" s="84" t="s">
        <v>1896</v>
      </c>
      <c r="B1031" s="83">
        <v>2</v>
      </c>
      <c r="C1031" s="110">
        <v>0.010601890339503437</v>
      </c>
      <c r="D1031" s="83" t="s">
        <v>1381</v>
      </c>
      <c r="E1031" s="83" t="b">
        <v>0</v>
      </c>
      <c r="F1031" s="83" t="b">
        <v>0</v>
      </c>
      <c r="G1031" s="83" t="b">
        <v>0</v>
      </c>
    </row>
    <row r="1032" spans="1:7" ht="15">
      <c r="A1032" s="84" t="s">
        <v>1707</v>
      </c>
      <c r="B1032" s="83">
        <v>2</v>
      </c>
      <c r="C1032" s="110">
        <v>0.010601890339503437</v>
      </c>
      <c r="D1032" s="83" t="s">
        <v>1381</v>
      </c>
      <c r="E1032" s="83" t="b">
        <v>0</v>
      </c>
      <c r="F1032" s="83" t="b">
        <v>0</v>
      </c>
      <c r="G1032" s="83" t="b">
        <v>0</v>
      </c>
    </row>
    <row r="1033" spans="1:7" ht="15">
      <c r="A1033" s="84" t="s">
        <v>2049</v>
      </c>
      <c r="B1033" s="83">
        <v>2</v>
      </c>
      <c r="C1033" s="110">
        <v>0.010601890339503437</v>
      </c>
      <c r="D1033" s="83" t="s">
        <v>1381</v>
      </c>
      <c r="E1033" s="83" t="b">
        <v>0</v>
      </c>
      <c r="F1033" s="83" t="b">
        <v>0</v>
      </c>
      <c r="G1033" s="83" t="b">
        <v>0</v>
      </c>
    </row>
    <row r="1034" spans="1:7" ht="15">
      <c r="A1034" s="84" t="s">
        <v>1481</v>
      </c>
      <c r="B1034" s="83">
        <v>2</v>
      </c>
      <c r="C1034" s="110">
        <v>0.010601890339503437</v>
      </c>
      <c r="D1034" s="83" t="s">
        <v>1381</v>
      </c>
      <c r="E1034" s="83" t="b">
        <v>0</v>
      </c>
      <c r="F1034" s="83" t="b">
        <v>0</v>
      </c>
      <c r="G1034" s="83" t="b">
        <v>0</v>
      </c>
    </row>
    <row r="1035" spans="1:7" ht="15">
      <c r="A1035" s="84" t="s">
        <v>1670</v>
      </c>
      <c r="B1035" s="83">
        <v>2</v>
      </c>
      <c r="C1035" s="110">
        <v>0.010601890339503437</v>
      </c>
      <c r="D1035" s="83" t="s">
        <v>1381</v>
      </c>
      <c r="E1035" s="83" t="b">
        <v>0</v>
      </c>
      <c r="F1035" s="83" t="b">
        <v>0</v>
      </c>
      <c r="G1035" s="83" t="b">
        <v>0</v>
      </c>
    </row>
    <row r="1036" spans="1:7" ht="15">
      <c r="A1036" s="84" t="s">
        <v>2050</v>
      </c>
      <c r="B1036" s="83">
        <v>2</v>
      </c>
      <c r="C1036" s="110">
        <v>0.010601890339503437</v>
      </c>
      <c r="D1036" s="83" t="s">
        <v>1381</v>
      </c>
      <c r="E1036" s="83" t="b">
        <v>0</v>
      </c>
      <c r="F1036" s="83" t="b">
        <v>0</v>
      </c>
      <c r="G1036" s="83" t="b">
        <v>0</v>
      </c>
    </row>
    <row r="1037" spans="1:7" ht="15">
      <c r="A1037" s="84" t="s">
        <v>2051</v>
      </c>
      <c r="B1037" s="83">
        <v>2</v>
      </c>
      <c r="C1037" s="110">
        <v>0.010601890339503437</v>
      </c>
      <c r="D1037" s="83" t="s">
        <v>1381</v>
      </c>
      <c r="E1037" s="83" t="b">
        <v>0</v>
      </c>
      <c r="F1037" s="83" t="b">
        <v>0</v>
      </c>
      <c r="G1037" s="83" t="b">
        <v>0</v>
      </c>
    </row>
    <row r="1038" spans="1:7" ht="15">
      <c r="A1038" s="84" t="s">
        <v>1544</v>
      </c>
      <c r="B1038" s="83">
        <v>2</v>
      </c>
      <c r="C1038" s="110">
        <v>0.010601890339503437</v>
      </c>
      <c r="D1038" s="83" t="s">
        <v>1381</v>
      </c>
      <c r="E1038" s="83" t="b">
        <v>0</v>
      </c>
      <c r="F1038" s="83" t="b">
        <v>0</v>
      </c>
      <c r="G1038" s="83" t="b">
        <v>0</v>
      </c>
    </row>
    <row r="1039" spans="1:7" ht="15">
      <c r="A1039" s="84" t="s">
        <v>1465</v>
      </c>
      <c r="B1039" s="83">
        <v>2</v>
      </c>
      <c r="C1039" s="110">
        <v>0.010601890339503437</v>
      </c>
      <c r="D1039" s="83" t="s">
        <v>1381</v>
      </c>
      <c r="E1039" s="83" t="b">
        <v>0</v>
      </c>
      <c r="F1039" s="83" t="b">
        <v>0</v>
      </c>
      <c r="G1039" s="83" t="b">
        <v>0</v>
      </c>
    </row>
    <row r="1040" spans="1:7" ht="15">
      <c r="A1040" s="84" t="s">
        <v>2046</v>
      </c>
      <c r="B1040" s="83">
        <v>2</v>
      </c>
      <c r="C1040" s="110">
        <v>0.010601890339503437</v>
      </c>
      <c r="D1040" s="83" t="s">
        <v>1381</v>
      </c>
      <c r="E1040" s="83" t="b">
        <v>0</v>
      </c>
      <c r="F1040" s="83" t="b">
        <v>0</v>
      </c>
      <c r="G1040" s="83" t="b">
        <v>0</v>
      </c>
    </row>
    <row r="1041" spans="1:7" ht="15">
      <c r="A1041" s="84" t="s">
        <v>2047</v>
      </c>
      <c r="B1041" s="83">
        <v>2</v>
      </c>
      <c r="C1041" s="110">
        <v>0.010601890339503437</v>
      </c>
      <c r="D1041" s="83" t="s">
        <v>1381</v>
      </c>
      <c r="E1041" s="83" t="b">
        <v>0</v>
      </c>
      <c r="F1041" s="83" t="b">
        <v>0</v>
      </c>
      <c r="G1041" s="83" t="b">
        <v>0</v>
      </c>
    </row>
    <row r="1042" spans="1:7" ht="15">
      <c r="A1042" s="84" t="s">
        <v>2048</v>
      </c>
      <c r="B1042" s="83">
        <v>2</v>
      </c>
      <c r="C1042" s="110">
        <v>0.010601890339503437</v>
      </c>
      <c r="D1042" s="83" t="s">
        <v>1381</v>
      </c>
      <c r="E1042" s="83" t="b">
        <v>0</v>
      </c>
      <c r="F1042" s="83" t="b">
        <v>0</v>
      </c>
      <c r="G1042" s="83" t="b">
        <v>0</v>
      </c>
    </row>
    <row r="1043" spans="1:7" ht="15">
      <c r="A1043" s="84" t="s">
        <v>1455</v>
      </c>
      <c r="B1043" s="83">
        <v>2</v>
      </c>
      <c r="C1043" s="110">
        <v>0.008396542385921158</v>
      </c>
      <c r="D1043" s="83" t="s">
        <v>1381</v>
      </c>
      <c r="E1043" s="83" t="b">
        <v>0</v>
      </c>
      <c r="F1043" s="83" t="b">
        <v>0</v>
      </c>
      <c r="G1043" s="83" t="b">
        <v>0</v>
      </c>
    </row>
    <row r="1044" spans="1:7" ht="15">
      <c r="A1044" s="84" t="s">
        <v>1899</v>
      </c>
      <c r="B1044" s="83">
        <v>2</v>
      </c>
      <c r="C1044" s="110">
        <v>0.008396542385921158</v>
      </c>
      <c r="D1044" s="83" t="s">
        <v>1381</v>
      </c>
      <c r="E1044" s="83" t="b">
        <v>0</v>
      </c>
      <c r="F1044" s="83" t="b">
        <v>0</v>
      </c>
      <c r="G1044" s="83" t="b">
        <v>0</v>
      </c>
    </row>
    <row r="1045" spans="1:7" ht="15">
      <c r="A1045" s="84" t="s">
        <v>1901</v>
      </c>
      <c r="B1045" s="83">
        <v>2</v>
      </c>
      <c r="C1045" s="110">
        <v>0.010601890339503437</v>
      </c>
      <c r="D1045" s="83" t="s">
        <v>1381</v>
      </c>
      <c r="E1045" s="83" t="b">
        <v>0</v>
      </c>
      <c r="F1045" s="83" t="b">
        <v>0</v>
      </c>
      <c r="G1045" s="83" t="b">
        <v>0</v>
      </c>
    </row>
    <row r="1046" spans="1:7" ht="15">
      <c r="A1046" s="84" t="s">
        <v>1902</v>
      </c>
      <c r="B1046" s="83">
        <v>2</v>
      </c>
      <c r="C1046" s="110">
        <v>0.010601890339503437</v>
      </c>
      <c r="D1046" s="83" t="s">
        <v>1381</v>
      </c>
      <c r="E1046" s="83" t="b">
        <v>0</v>
      </c>
      <c r="F1046" s="83" t="b">
        <v>0</v>
      </c>
      <c r="G1046" s="83" t="b">
        <v>0</v>
      </c>
    </row>
    <row r="1047" spans="1:7" ht="15">
      <c r="A1047" s="84" t="s">
        <v>1443</v>
      </c>
      <c r="B1047" s="83">
        <v>11</v>
      </c>
      <c r="C1047" s="110">
        <v>0.017678460947706972</v>
      </c>
      <c r="D1047" s="83" t="s">
        <v>1382</v>
      </c>
      <c r="E1047" s="83" t="b">
        <v>0</v>
      </c>
      <c r="F1047" s="83" t="b">
        <v>0</v>
      </c>
      <c r="G1047" s="83" t="b">
        <v>0</v>
      </c>
    </row>
    <row r="1048" spans="1:7" ht="15">
      <c r="A1048" s="84" t="s">
        <v>1490</v>
      </c>
      <c r="B1048" s="83">
        <v>9</v>
      </c>
      <c r="C1048" s="110">
        <v>0.008869969136256147</v>
      </c>
      <c r="D1048" s="83" t="s">
        <v>1382</v>
      </c>
      <c r="E1048" s="83" t="b">
        <v>0</v>
      </c>
      <c r="F1048" s="83" t="b">
        <v>0</v>
      </c>
      <c r="G1048" s="83" t="b">
        <v>0</v>
      </c>
    </row>
    <row r="1049" spans="1:7" ht="15">
      <c r="A1049" s="84" t="s">
        <v>1543</v>
      </c>
      <c r="B1049" s="83">
        <v>6</v>
      </c>
      <c r="C1049" s="110">
        <v>0.006940629222423994</v>
      </c>
      <c r="D1049" s="83" t="s">
        <v>1382</v>
      </c>
      <c r="E1049" s="83" t="b">
        <v>0</v>
      </c>
      <c r="F1049" s="83" t="b">
        <v>0</v>
      </c>
      <c r="G1049" s="83" t="b">
        <v>0</v>
      </c>
    </row>
    <row r="1050" spans="1:7" ht="15">
      <c r="A1050" s="84" t="s">
        <v>1581</v>
      </c>
      <c r="B1050" s="83">
        <v>5</v>
      </c>
      <c r="C1050" s="110">
        <v>0.011885152502740316</v>
      </c>
      <c r="D1050" s="83" t="s">
        <v>1382</v>
      </c>
      <c r="E1050" s="83" t="b">
        <v>0</v>
      </c>
      <c r="F1050" s="83" t="b">
        <v>0</v>
      </c>
      <c r="G1050" s="83" t="b">
        <v>0</v>
      </c>
    </row>
    <row r="1051" spans="1:7" ht="15">
      <c r="A1051" s="84" t="s">
        <v>1633</v>
      </c>
      <c r="B1051" s="83">
        <v>4</v>
      </c>
      <c r="C1051" s="110">
        <v>0.006428531253711627</v>
      </c>
      <c r="D1051" s="83" t="s">
        <v>1382</v>
      </c>
      <c r="E1051" s="83" t="b">
        <v>0</v>
      </c>
      <c r="F1051" s="83" t="b">
        <v>0</v>
      </c>
      <c r="G1051" s="83" t="b">
        <v>0</v>
      </c>
    </row>
    <row r="1052" spans="1:7" ht="15">
      <c r="A1052" s="84" t="s">
        <v>1634</v>
      </c>
      <c r="B1052" s="83">
        <v>4</v>
      </c>
      <c r="C1052" s="110">
        <v>0.0077066768967632895</v>
      </c>
      <c r="D1052" s="83" t="s">
        <v>1382</v>
      </c>
      <c r="E1052" s="83" t="b">
        <v>0</v>
      </c>
      <c r="F1052" s="83" t="b">
        <v>0</v>
      </c>
      <c r="G1052" s="83" t="b">
        <v>0</v>
      </c>
    </row>
    <row r="1053" spans="1:7" ht="15">
      <c r="A1053" s="84" t="s">
        <v>1635</v>
      </c>
      <c r="B1053" s="83">
        <v>4</v>
      </c>
      <c r="C1053" s="110">
        <v>0.006428531253711627</v>
      </c>
      <c r="D1053" s="83" t="s">
        <v>1382</v>
      </c>
      <c r="E1053" s="83" t="b">
        <v>0</v>
      </c>
      <c r="F1053" s="83" t="b">
        <v>0</v>
      </c>
      <c r="G1053" s="83" t="b">
        <v>0</v>
      </c>
    </row>
    <row r="1054" spans="1:7" ht="15">
      <c r="A1054" s="84" t="s">
        <v>1441</v>
      </c>
      <c r="B1054" s="83">
        <v>4</v>
      </c>
      <c r="C1054" s="110">
        <v>0.012587712750672879</v>
      </c>
      <c r="D1054" s="83" t="s">
        <v>1382</v>
      </c>
      <c r="E1054" s="83" t="b">
        <v>0</v>
      </c>
      <c r="F1054" s="83" t="b">
        <v>0</v>
      </c>
      <c r="G1054" s="83" t="b">
        <v>0</v>
      </c>
    </row>
    <row r="1055" spans="1:7" ht="15">
      <c r="A1055" s="84" t="s">
        <v>1488</v>
      </c>
      <c r="B1055" s="83">
        <v>4</v>
      </c>
      <c r="C1055" s="110">
        <v>0.012587712750672879</v>
      </c>
      <c r="D1055" s="83" t="s">
        <v>1382</v>
      </c>
      <c r="E1055" s="83" t="b">
        <v>0</v>
      </c>
      <c r="F1055" s="83" t="b">
        <v>0</v>
      </c>
      <c r="G1055" s="83" t="b">
        <v>0</v>
      </c>
    </row>
    <row r="1056" spans="1:7" ht="15">
      <c r="A1056" s="84" t="s">
        <v>1637</v>
      </c>
      <c r="B1056" s="83">
        <v>4</v>
      </c>
      <c r="C1056" s="110">
        <v>0.006428531253711627</v>
      </c>
      <c r="D1056" s="83" t="s">
        <v>1382</v>
      </c>
      <c r="E1056" s="83" t="b">
        <v>0</v>
      </c>
      <c r="F1056" s="83" t="b">
        <v>0</v>
      </c>
      <c r="G1056" s="83" t="b">
        <v>0</v>
      </c>
    </row>
    <row r="1057" spans="1:7" ht="15">
      <c r="A1057" s="84" t="s">
        <v>1428</v>
      </c>
      <c r="B1057" s="83">
        <v>4</v>
      </c>
      <c r="C1057" s="110">
        <v>0.012587712750672879</v>
      </c>
      <c r="D1057" s="83" t="s">
        <v>1382</v>
      </c>
      <c r="E1057" s="83" t="b">
        <v>0</v>
      </c>
      <c r="F1057" s="83" t="b">
        <v>0</v>
      </c>
      <c r="G1057" s="83" t="b">
        <v>0</v>
      </c>
    </row>
    <row r="1058" spans="1:7" ht="15">
      <c r="A1058" s="84" t="s">
        <v>1721</v>
      </c>
      <c r="B1058" s="83">
        <v>3</v>
      </c>
      <c r="C1058" s="110">
        <v>0.005780007672572467</v>
      </c>
      <c r="D1058" s="83" t="s">
        <v>1382</v>
      </c>
      <c r="E1058" s="83" t="b">
        <v>0</v>
      </c>
      <c r="F1058" s="83" t="b">
        <v>0</v>
      </c>
      <c r="G1058" s="83" t="b">
        <v>0</v>
      </c>
    </row>
    <row r="1059" spans="1:7" ht="15">
      <c r="A1059" s="84" t="s">
        <v>1724</v>
      </c>
      <c r="B1059" s="83">
        <v>3</v>
      </c>
      <c r="C1059" s="110">
        <v>0.00713109150164419</v>
      </c>
      <c r="D1059" s="83" t="s">
        <v>1382</v>
      </c>
      <c r="E1059" s="83" t="b">
        <v>0</v>
      </c>
      <c r="F1059" s="83" t="b">
        <v>0</v>
      </c>
      <c r="G1059" s="83" t="b">
        <v>0</v>
      </c>
    </row>
    <row r="1060" spans="1:7" ht="15">
      <c r="A1060" s="84" t="s">
        <v>1722</v>
      </c>
      <c r="B1060" s="83">
        <v>3</v>
      </c>
      <c r="C1060" s="110">
        <v>0.00713109150164419</v>
      </c>
      <c r="D1060" s="83" t="s">
        <v>1382</v>
      </c>
      <c r="E1060" s="83" t="b">
        <v>0</v>
      </c>
      <c r="F1060" s="83" t="b">
        <v>0</v>
      </c>
      <c r="G1060" s="83" t="b">
        <v>0</v>
      </c>
    </row>
    <row r="1061" spans="1:7" ht="15">
      <c r="A1061" s="84" t="s">
        <v>1725</v>
      </c>
      <c r="B1061" s="83">
        <v>3</v>
      </c>
      <c r="C1061" s="110">
        <v>0.00713109150164419</v>
      </c>
      <c r="D1061" s="83" t="s">
        <v>1382</v>
      </c>
      <c r="E1061" s="83" t="b">
        <v>0</v>
      </c>
      <c r="F1061" s="83" t="b">
        <v>0</v>
      </c>
      <c r="G1061" s="83" t="b">
        <v>0</v>
      </c>
    </row>
    <row r="1062" spans="1:7" ht="15">
      <c r="A1062" s="84" t="s">
        <v>1726</v>
      </c>
      <c r="B1062" s="83">
        <v>3</v>
      </c>
      <c r="C1062" s="110">
        <v>0.005780007672572467</v>
      </c>
      <c r="D1062" s="83" t="s">
        <v>1382</v>
      </c>
      <c r="E1062" s="83" t="b">
        <v>0</v>
      </c>
      <c r="F1062" s="83" t="b">
        <v>0</v>
      </c>
      <c r="G1062" s="83" t="b">
        <v>0</v>
      </c>
    </row>
    <row r="1063" spans="1:7" ht="15">
      <c r="A1063" s="84" t="s">
        <v>1723</v>
      </c>
      <c r="B1063" s="83">
        <v>3</v>
      </c>
      <c r="C1063" s="110">
        <v>0.005780007672572467</v>
      </c>
      <c r="D1063" s="83" t="s">
        <v>1382</v>
      </c>
      <c r="E1063" s="83" t="b">
        <v>0</v>
      </c>
      <c r="F1063" s="83" t="b">
        <v>0</v>
      </c>
      <c r="G1063" s="83" t="b">
        <v>0</v>
      </c>
    </row>
    <row r="1064" spans="1:7" ht="15">
      <c r="A1064" s="84" t="s">
        <v>1727</v>
      </c>
      <c r="B1064" s="83">
        <v>3</v>
      </c>
      <c r="C1064" s="110">
        <v>0.005780007672572467</v>
      </c>
      <c r="D1064" s="83" t="s">
        <v>1382</v>
      </c>
      <c r="E1064" s="83" t="b">
        <v>0</v>
      </c>
      <c r="F1064" s="83" t="b">
        <v>0</v>
      </c>
      <c r="G1064" s="83" t="b">
        <v>0</v>
      </c>
    </row>
    <row r="1065" spans="1:7" ht="15">
      <c r="A1065" s="84" t="s">
        <v>1430</v>
      </c>
      <c r="B1065" s="83">
        <v>3</v>
      </c>
      <c r="C1065" s="110">
        <v>0.005780007672572467</v>
      </c>
      <c r="D1065" s="83" t="s">
        <v>1382</v>
      </c>
      <c r="E1065" s="83" t="b">
        <v>0</v>
      </c>
      <c r="F1065" s="83" t="b">
        <v>0</v>
      </c>
      <c r="G1065" s="83" t="b">
        <v>0</v>
      </c>
    </row>
    <row r="1066" spans="1:7" ht="15">
      <c r="A1066" s="84" t="s">
        <v>1923</v>
      </c>
      <c r="B1066" s="83">
        <v>2</v>
      </c>
      <c r="C1066" s="110">
        <v>0.004754061001096127</v>
      </c>
      <c r="D1066" s="83" t="s">
        <v>1382</v>
      </c>
      <c r="E1066" s="83" t="b">
        <v>0</v>
      </c>
      <c r="F1066" s="83" t="b">
        <v>0</v>
      </c>
      <c r="G1066" s="83" t="b">
        <v>0</v>
      </c>
    </row>
    <row r="1067" spans="1:7" ht="15">
      <c r="A1067" s="84" t="s">
        <v>1925</v>
      </c>
      <c r="B1067" s="83">
        <v>2</v>
      </c>
      <c r="C1067" s="110">
        <v>0.004754061001096127</v>
      </c>
      <c r="D1067" s="83" t="s">
        <v>1382</v>
      </c>
      <c r="E1067" s="83" t="b">
        <v>0</v>
      </c>
      <c r="F1067" s="83" t="b">
        <v>0</v>
      </c>
      <c r="G1067" s="83" t="b">
        <v>0</v>
      </c>
    </row>
    <row r="1068" spans="1:7" ht="15">
      <c r="A1068" s="84" t="s">
        <v>1926</v>
      </c>
      <c r="B1068" s="83">
        <v>2</v>
      </c>
      <c r="C1068" s="110">
        <v>0.004754061001096127</v>
      </c>
      <c r="D1068" s="83" t="s">
        <v>1382</v>
      </c>
      <c r="E1068" s="83" t="b">
        <v>0</v>
      </c>
      <c r="F1068" s="83" t="b">
        <v>0</v>
      </c>
      <c r="G1068" s="83" t="b">
        <v>0</v>
      </c>
    </row>
    <row r="1069" spans="1:7" ht="15">
      <c r="A1069" s="84" t="s">
        <v>1927</v>
      </c>
      <c r="B1069" s="83">
        <v>2</v>
      </c>
      <c r="C1069" s="110">
        <v>0.004754061001096127</v>
      </c>
      <c r="D1069" s="83" t="s">
        <v>1382</v>
      </c>
      <c r="E1069" s="83" t="b">
        <v>0</v>
      </c>
      <c r="F1069" s="83" t="b">
        <v>0</v>
      </c>
      <c r="G1069" s="83" t="b">
        <v>0</v>
      </c>
    </row>
    <row r="1070" spans="1:7" ht="15">
      <c r="A1070" s="84" t="s">
        <v>1928</v>
      </c>
      <c r="B1070" s="83">
        <v>2</v>
      </c>
      <c r="C1070" s="110">
        <v>0.004754061001096127</v>
      </c>
      <c r="D1070" s="83" t="s">
        <v>1382</v>
      </c>
      <c r="E1070" s="83" t="b">
        <v>0</v>
      </c>
      <c r="F1070" s="83" t="b">
        <v>0</v>
      </c>
      <c r="G1070" s="83" t="b">
        <v>0</v>
      </c>
    </row>
    <row r="1071" spans="1:7" ht="15">
      <c r="A1071" s="84" t="s">
        <v>1929</v>
      </c>
      <c r="B1071" s="83">
        <v>2</v>
      </c>
      <c r="C1071" s="110">
        <v>0.004754061001096127</v>
      </c>
      <c r="D1071" s="83" t="s">
        <v>1382</v>
      </c>
      <c r="E1071" s="83" t="b">
        <v>0</v>
      </c>
      <c r="F1071" s="83" t="b">
        <v>0</v>
      </c>
      <c r="G1071" s="83" t="b">
        <v>0</v>
      </c>
    </row>
    <row r="1072" spans="1:7" ht="15">
      <c r="A1072" s="84" t="s">
        <v>1930</v>
      </c>
      <c r="B1072" s="83">
        <v>2</v>
      </c>
      <c r="C1072" s="110">
        <v>0.004754061001096127</v>
      </c>
      <c r="D1072" s="83" t="s">
        <v>1382</v>
      </c>
      <c r="E1072" s="83" t="b">
        <v>0</v>
      </c>
      <c r="F1072" s="83" t="b">
        <v>0</v>
      </c>
      <c r="G1072" s="83" t="b">
        <v>0</v>
      </c>
    </row>
    <row r="1073" spans="1:7" ht="15">
      <c r="A1073" s="84" t="s">
        <v>1931</v>
      </c>
      <c r="B1073" s="83">
        <v>2</v>
      </c>
      <c r="C1073" s="110">
        <v>0.004754061001096127</v>
      </c>
      <c r="D1073" s="83" t="s">
        <v>1382</v>
      </c>
      <c r="E1073" s="83" t="b">
        <v>0</v>
      </c>
      <c r="F1073" s="83" t="b">
        <v>0</v>
      </c>
      <c r="G1073" s="83" t="b">
        <v>0</v>
      </c>
    </row>
    <row r="1074" spans="1:7" ht="15">
      <c r="A1074" s="84" t="s">
        <v>1932</v>
      </c>
      <c r="B1074" s="83">
        <v>2</v>
      </c>
      <c r="C1074" s="110">
        <v>0.004754061001096127</v>
      </c>
      <c r="D1074" s="83" t="s">
        <v>1382</v>
      </c>
      <c r="E1074" s="83" t="b">
        <v>0</v>
      </c>
      <c r="F1074" s="83" t="b">
        <v>0</v>
      </c>
      <c r="G1074" s="83" t="b">
        <v>0</v>
      </c>
    </row>
    <row r="1075" spans="1:7" ht="15">
      <c r="A1075" s="84" t="s">
        <v>1933</v>
      </c>
      <c r="B1075" s="83">
        <v>2</v>
      </c>
      <c r="C1075" s="110">
        <v>0.004754061001096127</v>
      </c>
      <c r="D1075" s="83" t="s">
        <v>1382</v>
      </c>
      <c r="E1075" s="83" t="b">
        <v>0</v>
      </c>
      <c r="F1075" s="83" t="b">
        <v>0</v>
      </c>
      <c r="G1075" s="83" t="b">
        <v>0</v>
      </c>
    </row>
    <row r="1076" spans="1:7" ht="15">
      <c r="A1076" s="84" t="s">
        <v>1934</v>
      </c>
      <c r="B1076" s="83">
        <v>2</v>
      </c>
      <c r="C1076" s="110">
        <v>0.004754061001096127</v>
      </c>
      <c r="D1076" s="83" t="s">
        <v>1382</v>
      </c>
      <c r="E1076" s="83" t="b">
        <v>0</v>
      </c>
      <c r="F1076" s="83" t="b">
        <v>0</v>
      </c>
      <c r="G1076" s="83" t="b">
        <v>0</v>
      </c>
    </row>
    <row r="1077" spans="1:7" ht="15">
      <c r="A1077" s="84" t="s">
        <v>1935</v>
      </c>
      <c r="B1077" s="83">
        <v>2</v>
      </c>
      <c r="C1077" s="110">
        <v>0.0062938563753364395</v>
      </c>
      <c r="D1077" s="83" t="s">
        <v>1382</v>
      </c>
      <c r="E1077" s="83" t="b">
        <v>0</v>
      </c>
      <c r="F1077" s="83" t="b">
        <v>0</v>
      </c>
      <c r="G1077" s="83" t="b">
        <v>0</v>
      </c>
    </row>
    <row r="1078" spans="1:7" ht="15">
      <c r="A1078" s="84" t="s">
        <v>1936</v>
      </c>
      <c r="B1078" s="83">
        <v>2</v>
      </c>
      <c r="C1078" s="110">
        <v>0.0062938563753364395</v>
      </c>
      <c r="D1078" s="83" t="s">
        <v>1382</v>
      </c>
      <c r="E1078" s="83" t="b">
        <v>0</v>
      </c>
      <c r="F1078" s="83" t="b">
        <v>0</v>
      </c>
      <c r="G1078" s="83" t="b">
        <v>0</v>
      </c>
    </row>
    <row r="1079" spans="1:7" ht="15">
      <c r="A1079" s="84" t="s">
        <v>1636</v>
      </c>
      <c r="B1079" s="83">
        <v>2</v>
      </c>
      <c r="C1079" s="110">
        <v>0.0062938563753364395</v>
      </c>
      <c r="D1079" s="83" t="s">
        <v>1382</v>
      </c>
      <c r="E1079" s="83" t="b">
        <v>0</v>
      </c>
      <c r="F1079" s="83" t="b">
        <v>0</v>
      </c>
      <c r="G1079" s="83" t="b">
        <v>0</v>
      </c>
    </row>
    <row r="1080" spans="1:7" ht="15">
      <c r="A1080" s="84" t="s">
        <v>1937</v>
      </c>
      <c r="B1080" s="83">
        <v>2</v>
      </c>
      <c r="C1080" s="110">
        <v>0.0062938563753364395</v>
      </c>
      <c r="D1080" s="83" t="s">
        <v>1382</v>
      </c>
      <c r="E1080" s="83" t="b">
        <v>0</v>
      </c>
      <c r="F1080" s="83" t="b">
        <v>0</v>
      </c>
      <c r="G1080" s="83" t="b">
        <v>0</v>
      </c>
    </row>
    <row r="1081" spans="1:7" ht="15">
      <c r="A1081" s="84" t="s">
        <v>1938</v>
      </c>
      <c r="B1081" s="83">
        <v>2</v>
      </c>
      <c r="C1081" s="110">
        <v>0.0062938563753364395</v>
      </c>
      <c r="D1081" s="83" t="s">
        <v>1382</v>
      </c>
      <c r="E1081" s="83" t="b">
        <v>0</v>
      </c>
      <c r="F1081" s="83" t="b">
        <v>0</v>
      </c>
      <c r="G1081" s="83" t="b">
        <v>0</v>
      </c>
    </row>
    <row r="1082" spans="1:7" ht="15">
      <c r="A1082" s="84" t="s">
        <v>1506</v>
      </c>
      <c r="B1082" s="83">
        <v>2</v>
      </c>
      <c r="C1082" s="110">
        <v>0.0062938563753364395</v>
      </c>
      <c r="D1082" s="83" t="s">
        <v>1382</v>
      </c>
      <c r="E1082" s="83" t="b">
        <v>0</v>
      </c>
      <c r="F1082" s="83" t="b">
        <v>0</v>
      </c>
      <c r="G1082" s="83" t="b">
        <v>0</v>
      </c>
    </row>
    <row r="1083" spans="1:7" ht="15">
      <c r="A1083" s="84" t="s">
        <v>1481</v>
      </c>
      <c r="B1083" s="83">
        <v>2</v>
      </c>
      <c r="C1083" s="110">
        <v>0.0062938563753364395</v>
      </c>
      <c r="D1083" s="83" t="s">
        <v>1382</v>
      </c>
      <c r="E1083" s="83" t="b">
        <v>0</v>
      </c>
      <c r="F1083" s="83" t="b">
        <v>0</v>
      </c>
      <c r="G1083" s="83" t="b">
        <v>0</v>
      </c>
    </row>
    <row r="1084" spans="1:7" ht="15">
      <c r="A1084" s="84" t="s">
        <v>1450</v>
      </c>
      <c r="B1084" s="83">
        <v>2</v>
      </c>
      <c r="C1084" s="110">
        <v>0.0062938563753364395</v>
      </c>
      <c r="D1084" s="83" t="s">
        <v>1382</v>
      </c>
      <c r="E1084" s="83" t="b">
        <v>0</v>
      </c>
      <c r="F1084" s="83" t="b">
        <v>0</v>
      </c>
      <c r="G1084" s="83" t="b">
        <v>0</v>
      </c>
    </row>
    <row r="1085" spans="1:7" ht="15">
      <c r="A1085" s="84" t="s">
        <v>1939</v>
      </c>
      <c r="B1085" s="83">
        <v>2</v>
      </c>
      <c r="C1085" s="110">
        <v>0.0062938563753364395</v>
      </c>
      <c r="D1085" s="83" t="s">
        <v>1382</v>
      </c>
      <c r="E1085" s="83" t="b">
        <v>0</v>
      </c>
      <c r="F1085" s="83" t="b">
        <v>0</v>
      </c>
      <c r="G1085" s="83" t="b">
        <v>0</v>
      </c>
    </row>
    <row r="1086" spans="1:7" ht="15">
      <c r="A1086" s="84" t="s">
        <v>1558</v>
      </c>
      <c r="B1086" s="83">
        <v>2</v>
      </c>
      <c r="C1086" s="110">
        <v>0.0062938563753364395</v>
      </c>
      <c r="D1086" s="83" t="s">
        <v>1382</v>
      </c>
      <c r="E1086" s="83" t="b">
        <v>0</v>
      </c>
      <c r="F1086" s="83" t="b">
        <v>0</v>
      </c>
      <c r="G1086" s="83" t="b">
        <v>0</v>
      </c>
    </row>
    <row r="1087" spans="1:7" ht="15">
      <c r="A1087" s="84" t="s">
        <v>1544</v>
      </c>
      <c r="B1087" s="83">
        <v>2</v>
      </c>
      <c r="C1087" s="110">
        <v>0.0062938563753364395</v>
      </c>
      <c r="D1087" s="83" t="s">
        <v>1382</v>
      </c>
      <c r="E1087" s="83" t="b">
        <v>0</v>
      </c>
      <c r="F1087" s="83" t="b">
        <v>0</v>
      </c>
      <c r="G1087" s="83" t="b">
        <v>0</v>
      </c>
    </row>
    <row r="1088" spans="1:7" ht="15">
      <c r="A1088" s="84" t="s">
        <v>1465</v>
      </c>
      <c r="B1088" s="83">
        <v>2</v>
      </c>
      <c r="C1088" s="110">
        <v>0.0062938563753364395</v>
      </c>
      <c r="D1088" s="83" t="s">
        <v>1382</v>
      </c>
      <c r="E1088" s="83" t="b">
        <v>0</v>
      </c>
      <c r="F1088" s="83" t="b">
        <v>0</v>
      </c>
      <c r="G1088" s="83" t="b">
        <v>0</v>
      </c>
    </row>
    <row r="1089" spans="1:7" ht="15">
      <c r="A1089" s="84" t="s">
        <v>1924</v>
      </c>
      <c r="B1089" s="83">
        <v>2</v>
      </c>
      <c r="C1089" s="110">
        <v>0.004754061001096127</v>
      </c>
      <c r="D1089" s="83" t="s">
        <v>1382</v>
      </c>
      <c r="E1089" s="83" t="b">
        <v>0</v>
      </c>
      <c r="F1089" s="83" t="b">
        <v>0</v>
      </c>
      <c r="G1089" s="83" t="b">
        <v>0</v>
      </c>
    </row>
    <row r="1090" spans="1:7" ht="15">
      <c r="A1090" s="84" t="s">
        <v>1940</v>
      </c>
      <c r="B1090" s="83">
        <v>2</v>
      </c>
      <c r="C1090" s="110">
        <v>0.004754061001096127</v>
      </c>
      <c r="D1090" s="83" t="s">
        <v>1382</v>
      </c>
      <c r="E1090" s="83" t="b">
        <v>0</v>
      </c>
      <c r="F1090" s="83" t="b">
        <v>0</v>
      </c>
      <c r="G1090" s="83" t="b">
        <v>0</v>
      </c>
    </row>
    <row r="1091" spans="1:7" ht="15">
      <c r="A1091" s="84" t="s">
        <v>1941</v>
      </c>
      <c r="B1091" s="83">
        <v>2</v>
      </c>
      <c r="C1091" s="110">
        <v>0.004754061001096127</v>
      </c>
      <c r="D1091" s="83" t="s">
        <v>1382</v>
      </c>
      <c r="E1091" s="83" t="b">
        <v>0</v>
      </c>
      <c r="F1091" s="83" t="b">
        <v>0</v>
      </c>
      <c r="G1091" s="83" t="b">
        <v>0</v>
      </c>
    </row>
    <row r="1092" spans="1:7" ht="15">
      <c r="A1092" s="84" t="s">
        <v>1943</v>
      </c>
      <c r="B1092" s="83">
        <v>2</v>
      </c>
      <c r="C1092" s="110">
        <v>0.004754061001096127</v>
      </c>
      <c r="D1092" s="83" t="s">
        <v>1382</v>
      </c>
      <c r="E1092" s="83" t="b">
        <v>0</v>
      </c>
      <c r="F1092" s="83" t="b">
        <v>0</v>
      </c>
      <c r="G1092" s="83" t="b">
        <v>0</v>
      </c>
    </row>
    <row r="1093" spans="1:7" ht="15">
      <c r="A1093" s="84" t="s">
        <v>1944</v>
      </c>
      <c r="B1093" s="83">
        <v>2</v>
      </c>
      <c r="C1093" s="110">
        <v>0.004754061001096127</v>
      </c>
      <c r="D1093" s="83" t="s">
        <v>1382</v>
      </c>
      <c r="E1093" s="83" t="b">
        <v>0</v>
      </c>
      <c r="F1093" s="83" t="b">
        <v>0</v>
      </c>
      <c r="G1093" s="83" t="b">
        <v>0</v>
      </c>
    </row>
    <row r="1094" spans="1:7" ht="15">
      <c r="A1094" s="84" t="s">
        <v>1945</v>
      </c>
      <c r="B1094" s="83">
        <v>2</v>
      </c>
      <c r="C1094" s="110">
        <v>0.004754061001096127</v>
      </c>
      <c r="D1094" s="83" t="s">
        <v>1382</v>
      </c>
      <c r="E1094" s="83" t="b">
        <v>0</v>
      </c>
      <c r="F1094" s="83" t="b">
        <v>0</v>
      </c>
      <c r="G1094" s="83" t="b">
        <v>0</v>
      </c>
    </row>
    <row r="1095" spans="1:7" ht="15">
      <c r="A1095" s="84" t="s">
        <v>1946</v>
      </c>
      <c r="B1095" s="83">
        <v>2</v>
      </c>
      <c r="C1095" s="110">
        <v>0.004754061001096127</v>
      </c>
      <c r="D1095" s="83" t="s">
        <v>1382</v>
      </c>
      <c r="E1095" s="83" t="b">
        <v>0</v>
      </c>
      <c r="F1095" s="83" t="b">
        <v>0</v>
      </c>
      <c r="G1095" s="83" t="b">
        <v>0</v>
      </c>
    </row>
    <row r="1096" spans="1:7" ht="15">
      <c r="A1096" s="84" t="s">
        <v>1947</v>
      </c>
      <c r="B1096" s="83">
        <v>2</v>
      </c>
      <c r="C1096" s="110">
        <v>0.004754061001096127</v>
      </c>
      <c r="D1096" s="83" t="s">
        <v>1382</v>
      </c>
      <c r="E1096" s="83" t="b">
        <v>0</v>
      </c>
      <c r="F1096" s="83" t="b">
        <v>0</v>
      </c>
      <c r="G1096" s="83" t="b">
        <v>0</v>
      </c>
    </row>
    <row r="1097" spans="1:7" ht="15">
      <c r="A1097" s="84" t="s">
        <v>1472</v>
      </c>
      <c r="B1097" s="83">
        <v>2</v>
      </c>
      <c r="C1097" s="110">
        <v>0.0062938563753364395</v>
      </c>
      <c r="D1097" s="83" t="s">
        <v>1382</v>
      </c>
      <c r="E1097" s="83" t="b">
        <v>0</v>
      </c>
      <c r="F1097" s="83" t="b">
        <v>0</v>
      </c>
      <c r="G1097" s="83" t="b">
        <v>0</v>
      </c>
    </row>
    <row r="1098" spans="1:7" ht="15">
      <c r="A1098" s="84" t="s">
        <v>1582</v>
      </c>
      <c r="B1098" s="83">
        <v>2</v>
      </c>
      <c r="C1098" s="110">
        <v>0.0062938563753364395</v>
      </c>
      <c r="D1098" s="83" t="s">
        <v>1382</v>
      </c>
      <c r="E1098" s="83" t="b">
        <v>0</v>
      </c>
      <c r="F1098" s="83" t="b">
        <v>0</v>
      </c>
      <c r="G1098" s="83" t="b">
        <v>0</v>
      </c>
    </row>
    <row r="1099" spans="1:7" ht="15">
      <c r="A1099" s="84" t="s">
        <v>1954</v>
      </c>
      <c r="B1099" s="83">
        <v>2</v>
      </c>
      <c r="C1099" s="110">
        <v>0.004754061001096127</v>
      </c>
      <c r="D1099" s="83" t="s">
        <v>1382</v>
      </c>
      <c r="E1099" s="83" t="b">
        <v>0</v>
      </c>
      <c r="F1099" s="83" t="b">
        <v>0</v>
      </c>
      <c r="G1099" s="83" t="b">
        <v>0</v>
      </c>
    </row>
    <row r="1100" spans="1:7" ht="15">
      <c r="A1100" s="84" t="s">
        <v>1955</v>
      </c>
      <c r="B1100" s="83">
        <v>2</v>
      </c>
      <c r="C1100" s="110">
        <v>0.004754061001096127</v>
      </c>
      <c r="D1100" s="83" t="s">
        <v>1382</v>
      </c>
      <c r="E1100" s="83" t="b">
        <v>0</v>
      </c>
      <c r="F1100" s="83" t="b">
        <v>0</v>
      </c>
      <c r="G1100" s="83" t="b">
        <v>0</v>
      </c>
    </row>
    <row r="1101" spans="1:7" ht="15">
      <c r="A1101" s="84" t="s">
        <v>1479</v>
      </c>
      <c r="B1101" s="83">
        <v>2</v>
      </c>
      <c r="C1101" s="110">
        <v>0.0062938563753364395</v>
      </c>
      <c r="D1101" s="83" t="s">
        <v>1382</v>
      </c>
      <c r="E1101" s="83" t="b">
        <v>0</v>
      </c>
      <c r="F1101" s="83" t="b">
        <v>0</v>
      </c>
      <c r="G1101" s="83" t="b">
        <v>0</v>
      </c>
    </row>
    <row r="1102" spans="1:7" ht="15">
      <c r="A1102" s="84" t="s">
        <v>1446</v>
      </c>
      <c r="B1102" s="83">
        <v>2</v>
      </c>
      <c r="C1102" s="110">
        <v>0.0062938563753364395</v>
      </c>
      <c r="D1102" s="83" t="s">
        <v>1382</v>
      </c>
      <c r="E1102" s="83" t="b">
        <v>0</v>
      </c>
      <c r="F1102" s="83" t="b">
        <v>0</v>
      </c>
      <c r="G1102" s="83" t="b">
        <v>0</v>
      </c>
    </row>
    <row r="1103" spans="1:7" ht="15">
      <c r="A1103" s="84" t="s">
        <v>1480</v>
      </c>
      <c r="B1103" s="83">
        <v>2</v>
      </c>
      <c r="C1103" s="110">
        <v>0.0062938563753364395</v>
      </c>
      <c r="D1103" s="83" t="s">
        <v>1382</v>
      </c>
      <c r="E1103" s="83" t="b">
        <v>0</v>
      </c>
      <c r="F1103" s="83" t="b">
        <v>0</v>
      </c>
      <c r="G1103" s="83" t="b">
        <v>0</v>
      </c>
    </row>
    <row r="1104" spans="1:7" ht="15">
      <c r="A1104" s="84" t="s">
        <v>1538</v>
      </c>
      <c r="B1104" s="83">
        <v>2</v>
      </c>
      <c r="C1104" s="110">
        <v>0.0062938563753364395</v>
      </c>
      <c r="D1104" s="83" t="s">
        <v>1382</v>
      </c>
      <c r="E1104" s="83" t="b">
        <v>0</v>
      </c>
      <c r="F1104" s="83" t="b">
        <v>0</v>
      </c>
      <c r="G1104" s="83" t="b">
        <v>0</v>
      </c>
    </row>
    <row r="1105" spans="1:7" ht="15">
      <c r="A1105" s="84" t="s">
        <v>1956</v>
      </c>
      <c r="B1105" s="83">
        <v>2</v>
      </c>
      <c r="C1105" s="110">
        <v>0.004754061001096127</v>
      </c>
      <c r="D1105" s="83" t="s">
        <v>1382</v>
      </c>
      <c r="E1105" s="83" t="b">
        <v>0</v>
      </c>
      <c r="F1105" s="83" t="b">
        <v>0</v>
      </c>
      <c r="G1105" s="83" t="b">
        <v>0</v>
      </c>
    </row>
    <row r="1106" spans="1:7" ht="15">
      <c r="A1106" s="84" t="s">
        <v>1522</v>
      </c>
      <c r="B1106" s="83">
        <v>2</v>
      </c>
      <c r="C1106" s="110">
        <v>0.0062938563753364395</v>
      </c>
      <c r="D1106" s="83" t="s">
        <v>1382</v>
      </c>
      <c r="E1106" s="83" t="b">
        <v>0</v>
      </c>
      <c r="F1106" s="83" t="b">
        <v>0</v>
      </c>
      <c r="G1106" s="83" t="b">
        <v>0</v>
      </c>
    </row>
    <row r="1107" spans="1:7" ht="15">
      <c r="A1107" s="84" t="s">
        <v>1437</v>
      </c>
      <c r="B1107" s="83">
        <v>2</v>
      </c>
      <c r="C1107" s="110">
        <v>0.0062938563753364395</v>
      </c>
      <c r="D1107" s="83" t="s">
        <v>1382</v>
      </c>
      <c r="E1107" s="83" t="b">
        <v>0</v>
      </c>
      <c r="F1107" s="83" t="b">
        <v>0</v>
      </c>
      <c r="G1107" s="83" t="b">
        <v>0</v>
      </c>
    </row>
    <row r="1108" spans="1:7" ht="15">
      <c r="A1108" s="84" t="s">
        <v>1957</v>
      </c>
      <c r="B1108" s="83">
        <v>2</v>
      </c>
      <c r="C1108" s="110">
        <v>0.0062938563753364395</v>
      </c>
      <c r="D1108" s="83" t="s">
        <v>1382</v>
      </c>
      <c r="E1108" s="83" t="b">
        <v>0</v>
      </c>
      <c r="F1108" s="83" t="b">
        <v>0</v>
      </c>
      <c r="G1108" s="83" t="b">
        <v>0</v>
      </c>
    </row>
    <row r="1109" spans="1:7" ht="15">
      <c r="A1109" s="84" t="s">
        <v>1958</v>
      </c>
      <c r="B1109" s="83">
        <v>2</v>
      </c>
      <c r="C1109" s="110">
        <v>0.0062938563753364395</v>
      </c>
      <c r="D1109" s="83" t="s">
        <v>1382</v>
      </c>
      <c r="E1109" s="83" t="b">
        <v>0</v>
      </c>
      <c r="F1109" s="83" t="b">
        <v>0</v>
      </c>
      <c r="G1109" s="83" t="b">
        <v>0</v>
      </c>
    </row>
    <row r="1110" spans="1:7" ht="15">
      <c r="A1110" s="84" t="s">
        <v>1959</v>
      </c>
      <c r="B1110" s="83">
        <v>2</v>
      </c>
      <c r="C1110" s="110">
        <v>0.0062938563753364395</v>
      </c>
      <c r="D1110" s="83" t="s">
        <v>1382</v>
      </c>
      <c r="E1110" s="83" t="b">
        <v>0</v>
      </c>
      <c r="F1110" s="83" t="b">
        <v>0</v>
      </c>
      <c r="G1110" s="83" t="b">
        <v>0</v>
      </c>
    </row>
    <row r="1111" spans="1:7" ht="15">
      <c r="A1111" s="84" t="s">
        <v>1960</v>
      </c>
      <c r="B1111" s="83">
        <v>2</v>
      </c>
      <c r="C1111" s="110">
        <v>0.0062938563753364395</v>
      </c>
      <c r="D1111" s="83" t="s">
        <v>1382</v>
      </c>
      <c r="E1111" s="83" t="b">
        <v>0</v>
      </c>
      <c r="F1111" s="83" t="b">
        <v>0</v>
      </c>
      <c r="G1111" s="83" t="b">
        <v>0</v>
      </c>
    </row>
    <row r="1112" spans="1:7" ht="15">
      <c r="A1112" s="84" t="s">
        <v>1546</v>
      </c>
      <c r="B1112" s="83">
        <v>2</v>
      </c>
      <c r="C1112" s="110">
        <v>0.0062938563753364395</v>
      </c>
      <c r="D1112" s="83" t="s">
        <v>1382</v>
      </c>
      <c r="E1112" s="83" t="b">
        <v>0</v>
      </c>
      <c r="F1112" s="83" t="b">
        <v>0</v>
      </c>
      <c r="G1112" s="83" t="b">
        <v>0</v>
      </c>
    </row>
    <row r="1113" spans="1:7" ht="15">
      <c r="A1113" s="84" t="s">
        <v>1961</v>
      </c>
      <c r="B1113" s="83">
        <v>2</v>
      </c>
      <c r="C1113" s="110">
        <v>0.004754061001096127</v>
      </c>
      <c r="D1113" s="83" t="s">
        <v>1382</v>
      </c>
      <c r="E1113" s="83" t="b">
        <v>0</v>
      </c>
      <c r="F1113" s="83" t="b">
        <v>0</v>
      </c>
      <c r="G1113" s="83" t="b">
        <v>0</v>
      </c>
    </row>
    <row r="1114" spans="1:7" ht="15">
      <c r="A1114" s="84" t="s">
        <v>1962</v>
      </c>
      <c r="B1114" s="83">
        <v>2</v>
      </c>
      <c r="C1114" s="110">
        <v>0.004754061001096127</v>
      </c>
      <c r="D1114" s="83" t="s">
        <v>1382</v>
      </c>
      <c r="E1114" s="83" t="b">
        <v>0</v>
      </c>
      <c r="F1114" s="83" t="b">
        <v>0</v>
      </c>
      <c r="G1114" s="83" t="b">
        <v>0</v>
      </c>
    </row>
    <row r="1115" spans="1:7" ht="15">
      <c r="A1115" s="84" t="s">
        <v>1963</v>
      </c>
      <c r="B1115" s="83">
        <v>2</v>
      </c>
      <c r="C1115" s="110">
        <v>0.004754061001096127</v>
      </c>
      <c r="D1115" s="83" t="s">
        <v>1382</v>
      </c>
      <c r="E1115" s="83" t="b">
        <v>0</v>
      </c>
      <c r="F1115" s="83" t="b">
        <v>0</v>
      </c>
      <c r="G1115" s="83" t="b">
        <v>0</v>
      </c>
    </row>
    <row r="1116" spans="1:7" ht="15">
      <c r="A1116" s="84" t="s">
        <v>1428</v>
      </c>
      <c r="B1116" s="83">
        <v>8</v>
      </c>
      <c r="C1116" s="110">
        <v>0.04106173919624722</v>
      </c>
      <c r="D1116" s="83" t="s">
        <v>1383</v>
      </c>
      <c r="E1116" s="83" t="b">
        <v>0</v>
      </c>
      <c r="F1116" s="83" t="b">
        <v>0</v>
      </c>
      <c r="G1116" s="83" t="b">
        <v>0</v>
      </c>
    </row>
    <row r="1117" spans="1:7" ht="15">
      <c r="A1117" s="84" t="s">
        <v>1429</v>
      </c>
      <c r="B1117" s="83">
        <v>5</v>
      </c>
      <c r="C1117" s="110">
        <v>0.03155692363012149</v>
      </c>
      <c r="D1117" s="83" t="s">
        <v>1383</v>
      </c>
      <c r="E1117" s="83" t="b">
        <v>0</v>
      </c>
      <c r="F1117" s="83" t="b">
        <v>0</v>
      </c>
      <c r="G1117" s="83" t="b">
        <v>0</v>
      </c>
    </row>
    <row r="1118" spans="1:7" ht="15">
      <c r="A1118" s="84" t="s">
        <v>1437</v>
      </c>
      <c r="B1118" s="83">
        <v>4</v>
      </c>
      <c r="C1118" s="110">
        <v>0.04325011455389577</v>
      </c>
      <c r="D1118" s="83" t="s">
        <v>1383</v>
      </c>
      <c r="E1118" s="83" t="b">
        <v>0</v>
      </c>
      <c r="F1118" s="83" t="b">
        <v>0</v>
      </c>
      <c r="G1118" s="83" t="b">
        <v>0</v>
      </c>
    </row>
    <row r="1119" spans="1:7" ht="15">
      <c r="A1119" s="84" t="s">
        <v>1632</v>
      </c>
      <c r="B1119" s="83">
        <v>4</v>
      </c>
      <c r="C1119" s="110">
        <v>0.04325011455389577</v>
      </c>
      <c r="D1119" s="83" t="s">
        <v>1383</v>
      </c>
      <c r="E1119" s="83" t="b">
        <v>0</v>
      </c>
      <c r="F1119" s="83" t="b">
        <v>0</v>
      </c>
      <c r="G1119" s="83" t="b">
        <v>0</v>
      </c>
    </row>
    <row r="1120" spans="1:7" ht="15">
      <c r="A1120" s="84" t="s">
        <v>1507</v>
      </c>
      <c r="B1120" s="83">
        <v>3</v>
      </c>
      <c r="C1120" s="110">
        <v>0.03243758591542183</v>
      </c>
      <c r="D1120" s="83" t="s">
        <v>1383</v>
      </c>
      <c r="E1120" s="83" t="b">
        <v>0</v>
      </c>
      <c r="F1120" s="83" t="b">
        <v>0</v>
      </c>
      <c r="G1120" s="83" t="b">
        <v>0</v>
      </c>
    </row>
    <row r="1121" spans="1:7" ht="15">
      <c r="A1121" s="84" t="s">
        <v>1638</v>
      </c>
      <c r="B1121" s="83">
        <v>3</v>
      </c>
      <c r="C1121" s="110">
        <v>0.03243758591542183</v>
      </c>
      <c r="D1121" s="83" t="s">
        <v>1383</v>
      </c>
      <c r="E1121" s="83" t="b">
        <v>0</v>
      </c>
      <c r="F1121" s="83" t="b">
        <v>0</v>
      </c>
      <c r="G1121" s="83" t="b">
        <v>0</v>
      </c>
    </row>
    <row r="1122" spans="1:7" ht="15">
      <c r="A1122" s="84" t="s">
        <v>2052</v>
      </c>
      <c r="B1122" s="83">
        <v>2</v>
      </c>
      <c r="C1122" s="110">
        <v>0.021625057276947884</v>
      </c>
      <c r="D1122" s="83" t="s">
        <v>1383</v>
      </c>
      <c r="E1122" s="83" t="b">
        <v>0</v>
      </c>
      <c r="F1122" s="83" t="b">
        <v>0</v>
      </c>
      <c r="G1122" s="83" t="b">
        <v>0</v>
      </c>
    </row>
    <row r="1123" spans="1:7" ht="15">
      <c r="A1123" s="84" t="s">
        <v>1497</v>
      </c>
      <c r="B1123" s="83">
        <v>2</v>
      </c>
      <c r="C1123" s="110">
        <v>0.015945246038004846</v>
      </c>
      <c r="D1123" s="83" t="s">
        <v>1383</v>
      </c>
      <c r="E1123" s="83" t="b">
        <v>0</v>
      </c>
      <c r="F1123" s="83" t="b">
        <v>0</v>
      </c>
      <c r="G1123" s="83" t="b">
        <v>0</v>
      </c>
    </row>
    <row r="1124" spans="1:7" ht="15">
      <c r="A1124" s="84" t="s">
        <v>2053</v>
      </c>
      <c r="B1124" s="83">
        <v>2</v>
      </c>
      <c r="C1124" s="110">
        <v>0.021625057276947884</v>
      </c>
      <c r="D1124" s="83" t="s">
        <v>1383</v>
      </c>
      <c r="E1124" s="83" t="b">
        <v>0</v>
      </c>
      <c r="F1124" s="83" t="b">
        <v>0</v>
      </c>
      <c r="G1124" s="83" t="b">
        <v>0</v>
      </c>
    </row>
    <row r="1125" spans="1:7" ht="15">
      <c r="A1125" s="84" t="s">
        <v>1630</v>
      </c>
      <c r="B1125" s="83">
        <v>2</v>
      </c>
      <c r="C1125" s="110">
        <v>0.021625057276947884</v>
      </c>
      <c r="D1125" s="83" t="s">
        <v>1383</v>
      </c>
      <c r="E1125" s="83" t="b">
        <v>0</v>
      </c>
      <c r="F1125" s="83" t="b">
        <v>0</v>
      </c>
      <c r="G1125" s="83" t="b">
        <v>0</v>
      </c>
    </row>
    <row r="1126" spans="1:7" ht="15">
      <c r="A1126" s="84" t="s">
        <v>1602</v>
      </c>
      <c r="B1126" s="83">
        <v>2</v>
      </c>
      <c r="C1126" s="110">
        <v>0.015945246038004846</v>
      </c>
      <c r="D1126" s="83" t="s">
        <v>1383</v>
      </c>
      <c r="E1126" s="83" t="b">
        <v>0</v>
      </c>
      <c r="F1126" s="83" t="b">
        <v>0</v>
      </c>
      <c r="G1126" s="83" t="b">
        <v>0</v>
      </c>
    </row>
    <row r="1127" spans="1:7" ht="15">
      <c r="A1127" s="84" t="s">
        <v>1560</v>
      </c>
      <c r="B1127" s="83">
        <v>2</v>
      </c>
      <c r="C1127" s="110">
        <v>0.021625057276947884</v>
      </c>
      <c r="D1127" s="83" t="s">
        <v>1383</v>
      </c>
      <c r="E1127" s="83" t="b">
        <v>1</v>
      </c>
      <c r="F1127" s="83" t="b">
        <v>0</v>
      </c>
      <c r="G1127" s="83" t="b">
        <v>0</v>
      </c>
    </row>
    <row r="1128" spans="1:7" ht="15">
      <c r="A1128" s="84" t="s">
        <v>1434</v>
      </c>
      <c r="B1128" s="83">
        <v>2</v>
      </c>
      <c r="C1128" s="110">
        <v>0.021625057276947884</v>
      </c>
      <c r="D1128" s="83" t="s">
        <v>1383</v>
      </c>
      <c r="E1128" s="83" t="b">
        <v>0</v>
      </c>
      <c r="F1128" s="83" t="b">
        <v>0</v>
      </c>
      <c r="G1128" s="83" t="b">
        <v>0</v>
      </c>
    </row>
    <row r="1129" spans="1:7" ht="15">
      <c r="A1129" s="84" t="s">
        <v>1451</v>
      </c>
      <c r="B1129" s="83">
        <v>2</v>
      </c>
      <c r="C1129" s="110">
        <v>0.021625057276947884</v>
      </c>
      <c r="D1129" s="83" t="s">
        <v>1383</v>
      </c>
      <c r="E1129" s="83" t="b">
        <v>0</v>
      </c>
      <c r="F1129" s="83" t="b">
        <v>0</v>
      </c>
      <c r="G1129" s="83" t="b">
        <v>0</v>
      </c>
    </row>
    <row r="1130" spans="1:7" ht="15">
      <c r="A1130" s="84" t="s">
        <v>1625</v>
      </c>
      <c r="B1130" s="83">
        <v>2</v>
      </c>
      <c r="C1130" s="110">
        <v>0.021625057276947884</v>
      </c>
      <c r="D1130" s="83" t="s">
        <v>1383</v>
      </c>
      <c r="E1130" s="83" t="b">
        <v>0</v>
      </c>
      <c r="F1130" s="83" t="b">
        <v>0</v>
      </c>
      <c r="G1130" s="83" t="b">
        <v>0</v>
      </c>
    </row>
    <row r="1131" spans="1:7" ht="15">
      <c r="A1131" s="84" t="s">
        <v>1601</v>
      </c>
      <c r="B1131" s="83">
        <v>2</v>
      </c>
      <c r="C1131" s="110">
        <v>0.021625057276947884</v>
      </c>
      <c r="D1131" s="83" t="s">
        <v>1383</v>
      </c>
      <c r="E1131" s="83" t="b">
        <v>0</v>
      </c>
      <c r="F1131" s="83" t="b">
        <v>0</v>
      </c>
      <c r="G1131" s="83" t="b">
        <v>0</v>
      </c>
    </row>
    <row r="1132" spans="1:7" ht="15">
      <c r="A1132" s="84" t="s">
        <v>1620</v>
      </c>
      <c r="B1132" s="83">
        <v>2</v>
      </c>
      <c r="C1132" s="110">
        <v>0.015945246038004846</v>
      </c>
      <c r="D1132" s="83" t="s">
        <v>1383</v>
      </c>
      <c r="E1132" s="83" t="b">
        <v>0</v>
      </c>
      <c r="F1132" s="83" t="b">
        <v>0</v>
      </c>
      <c r="G1132" s="83" t="b">
        <v>0</v>
      </c>
    </row>
    <row r="1133" spans="1:7" ht="15">
      <c r="A1133" s="84" t="s">
        <v>1436</v>
      </c>
      <c r="B1133" s="83">
        <v>6</v>
      </c>
      <c r="C1133" s="110">
        <v>0.030848445395593494</v>
      </c>
      <c r="D1133" s="83" t="s">
        <v>1384</v>
      </c>
      <c r="E1133" s="83" t="b">
        <v>0</v>
      </c>
      <c r="F1133" s="83" t="b">
        <v>0</v>
      </c>
      <c r="G1133" s="83" t="b">
        <v>0</v>
      </c>
    </row>
    <row r="1134" spans="1:7" ht="15">
      <c r="A1134" s="84" t="s">
        <v>1517</v>
      </c>
      <c r="B1134" s="83">
        <v>6</v>
      </c>
      <c r="C1134" s="110">
        <v>0.030848445395593494</v>
      </c>
      <c r="D1134" s="83" t="s">
        <v>1384</v>
      </c>
      <c r="E1134" s="83" t="b">
        <v>1</v>
      </c>
      <c r="F1134" s="83" t="b">
        <v>0</v>
      </c>
      <c r="G1134" s="83" t="b">
        <v>0</v>
      </c>
    </row>
    <row r="1135" spans="1:7" ht="15">
      <c r="A1135" s="84" t="s">
        <v>1428</v>
      </c>
      <c r="B1135" s="83">
        <v>4</v>
      </c>
      <c r="C1135" s="110">
        <v>0.01567420640107118</v>
      </c>
      <c r="D1135" s="83" t="s">
        <v>1384</v>
      </c>
      <c r="E1135" s="83" t="b">
        <v>0</v>
      </c>
      <c r="F1135" s="83" t="b">
        <v>0</v>
      </c>
      <c r="G1135" s="83" t="b">
        <v>0</v>
      </c>
    </row>
    <row r="1136" spans="1:7" ht="15">
      <c r="A1136" s="84" t="s">
        <v>1515</v>
      </c>
      <c r="B1136" s="83">
        <v>4</v>
      </c>
      <c r="C1136" s="110">
        <v>0.020565630263728995</v>
      </c>
      <c r="D1136" s="83" t="s">
        <v>1384</v>
      </c>
      <c r="E1136" s="83" t="b">
        <v>0</v>
      </c>
      <c r="F1136" s="83" t="b">
        <v>0</v>
      </c>
      <c r="G1136" s="83" t="b">
        <v>0</v>
      </c>
    </row>
    <row r="1137" spans="1:7" ht="15">
      <c r="A1137" s="84" t="s">
        <v>1516</v>
      </c>
      <c r="B1137" s="83">
        <v>4</v>
      </c>
      <c r="C1137" s="110">
        <v>0.028927574587728475</v>
      </c>
      <c r="D1137" s="83" t="s">
        <v>1384</v>
      </c>
      <c r="E1137" s="83" t="b">
        <v>0</v>
      </c>
      <c r="F1137" s="83" t="b">
        <v>0</v>
      </c>
      <c r="G1137" s="83" t="b">
        <v>0</v>
      </c>
    </row>
    <row r="1138" spans="1:7" ht="15">
      <c r="A1138" s="84" t="s">
        <v>1496</v>
      </c>
      <c r="B1138" s="83">
        <v>4</v>
      </c>
      <c r="C1138" s="110">
        <v>0.020565630263728995</v>
      </c>
      <c r="D1138" s="83" t="s">
        <v>1384</v>
      </c>
      <c r="E1138" s="83" t="b">
        <v>0</v>
      </c>
      <c r="F1138" s="83" t="b">
        <v>0</v>
      </c>
      <c r="G1138" s="83" t="b">
        <v>0</v>
      </c>
    </row>
    <row r="1139" spans="1:7" ht="15">
      <c r="A1139" s="84" t="s">
        <v>1562</v>
      </c>
      <c r="B1139" s="83">
        <v>4</v>
      </c>
      <c r="C1139" s="110">
        <v>0.028927574587728475</v>
      </c>
      <c r="D1139" s="83" t="s">
        <v>1384</v>
      </c>
      <c r="E1139" s="83" t="b">
        <v>0</v>
      </c>
      <c r="F1139" s="83" t="b">
        <v>0</v>
      </c>
      <c r="G1139" s="83" t="b">
        <v>0</v>
      </c>
    </row>
    <row r="1140" spans="1:7" ht="15">
      <c r="A1140" s="84" t="s">
        <v>1454</v>
      </c>
      <c r="B1140" s="83">
        <v>3</v>
      </c>
      <c r="C1140" s="110">
        <v>0.011755654800803386</v>
      </c>
      <c r="D1140" s="83" t="s">
        <v>1384</v>
      </c>
      <c r="E1140" s="83" t="b">
        <v>1</v>
      </c>
      <c r="F1140" s="83" t="b">
        <v>0</v>
      </c>
      <c r="G1140" s="83" t="b">
        <v>0</v>
      </c>
    </row>
    <row r="1141" spans="1:7" ht="15">
      <c r="A1141" s="84" t="s">
        <v>1445</v>
      </c>
      <c r="B1141" s="83">
        <v>3</v>
      </c>
      <c r="C1141" s="110">
        <v>0.011755654800803386</v>
      </c>
      <c r="D1141" s="83" t="s">
        <v>1384</v>
      </c>
      <c r="E1141" s="83" t="b">
        <v>0</v>
      </c>
      <c r="F1141" s="83" t="b">
        <v>0</v>
      </c>
      <c r="G1141" s="83" t="b">
        <v>0</v>
      </c>
    </row>
    <row r="1142" spans="1:7" ht="15">
      <c r="A1142" s="84" t="s">
        <v>1588</v>
      </c>
      <c r="B1142" s="83">
        <v>2</v>
      </c>
      <c r="C1142" s="110">
        <v>0.014463787293864237</v>
      </c>
      <c r="D1142" s="83" t="s">
        <v>1384</v>
      </c>
      <c r="E1142" s="83" t="b">
        <v>0</v>
      </c>
      <c r="F1142" s="83" t="b">
        <v>0</v>
      </c>
      <c r="G1142" s="83" t="b">
        <v>0</v>
      </c>
    </row>
    <row r="1143" spans="1:7" ht="15">
      <c r="A1143" s="84" t="s">
        <v>1797</v>
      </c>
      <c r="B1143" s="83">
        <v>2</v>
      </c>
      <c r="C1143" s="110">
        <v>0.014463787293864237</v>
      </c>
      <c r="D1143" s="83" t="s">
        <v>1384</v>
      </c>
      <c r="E1143" s="83" t="b">
        <v>0</v>
      </c>
      <c r="F1143" s="83" t="b">
        <v>0</v>
      </c>
      <c r="G1143" s="83" t="b">
        <v>0</v>
      </c>
    </row>
    <row r="1144" spans="1:7" ht="15">
      <c r="A1144" s="84" t="s">
        <v>1798</v>
      </c>
      <c r="B1144" s="83">
        <v>2</v>
      </c>
      <c r="C1144" s="110">
        <v>0.010282815131864497</v>
      </c>
      <c r="D1144" s="83" t="s">
        <v>1384</v>
      </c>
      <c r="E1144" s="83" t="b">
        <v>0</v>
      </c>
      <c r="F1144" s="83" t="b">
        <v>0</v>
      </c>
      <c r="G1144" s="83" t="b">
        <v>0</v>
      </c>
    </row>
    <row r="1145" spans="1:7" ht="15">
      <c r="A1145" s="84" t="s">
        <v>1450</v>
      </c>
      <c r="B1145" s="83">
        <v>2</v>
      </c>
      <c r="C1145" s="110">
        <v>0.010282815131864497</v>
      </c>
      <c r="D1145" s="83" t="s">
        <v>1384</v>
      </c>
      <c r="E1145" s="83" t="b">
        <v>0</v>
      </c>
      <c r="F1145" s="83" t="b">
        <v>0</v>
      </c>
      <c r="G1145" s="83" t="b">
        <v>0</v>
      </c>
    </row>
    <row r="1146" spans="1:7" ht="15">
      <c r="A1146" s="84" t="s">
        <v>1602</v>
      </c>
      <c r="B1146" s="83">
        <v>2</v>
      </c>
      <c r="C1146" s="110">
        <v>0.010282815131864497</v>
      </c>
      <c r="D1146" s="83" t="s">
        <v>1384</v>
      </c>
      <c r="E1146" s="83" t="b">
        <v>0</v>
      </c>
      <c r="F1146" s="83" t="b">
        <v>0</v>
      </c>
      <c r="G1146" s="83" t="b">
        <v>0</v>
      </c>
    </row>
    <row r="1147" spans="1:7" ht="15">
      <c r="A1147" s="84" t="s">
        <v>1799</v>
      </c>
      <c r="B1147" s="83">
        <v>2</v>
      </c>
      <c r="C1147" s="110">
        <v>0.014463787293864237</v>
      </c>
      <c r="D1147" s="83" t="s">
        <v>1384</v>
      </c>
      <c r="E1147" s="83" t="b">
        <v>0</v>
      </c>
      <c r="F1147" s="83" t="b">
        <v>0</v>
      </c>
      <c r="G1147" s="83" t="b">
        <v>0</v>
      </c>
    </row>
    <row r="1148" spans="1:7" ht="15">
      <c r="A1148" s="84" t="s">
        <v>1800</v>
      </c>
      <c r="B1148" s="83">
        <v>2</v>
      </c>
      <c r="C1148" s="110">
        <v>0.014463787293864237</v>
      </c>
      <c r="D1148" s="83" t="s">
        <v>1384</v>
      </c>
      <c r="E1148" s="83" t="b">
        <v>0</v>
      </c>
      <c r="F1148" s="83" t="b">
        <v>0</v>
      </c>
      <c r="G1148" s="83" t="b">
        <v>0</v>
      </c>
    </row>
    <row r="1149" spans="1:7" ht="15">
      <c r="A1149" s="84" t="s">
        <v>1802</v>
      </c>
      <c r="B1149" s="83">
        <v>2</v>
      </c>
      <c r="C1149" s="110">
        <v>0.010282815131864497</v>
      </c>
      <c r="D1149" s="83" t="s">
        <v>1384</v>
      </c>
      <c r="E1149" s="83" t="b">
        <v>0</v>
      </c>
      <c r="F1149" s="83" t="b">
        <v>0</v>
      </c>
      <c r="G1149" s="83" t="b">
        <v>0</v>
      </c>
    </row>
    <row r="1150" spans="1:7" ht="15">
      <c r="A1150" s="84" t="s">
        <v>1804</v>
      </c>
      <c r="B1150" s="83">
        <v>2</v>
      </c>
      <c r="C1150" s="110">
        <v>0.014463787293864237</v>
      </c>
      <c r="D1150" s="83" t="s">
        <v>1384</v>
      </c>
      <c r="E1150" s="83" t="b">
        <v>0</v>
      </c>
      <c r="F1150" s="83" t="b">
        <v>0</v>
      </c>
      <c r="G1150" s="83" t="b">
        <v>0</v>
      </c>
    </row>
    <row r="1151" spans="1:7" ht="15">
      <c r="A1151" s="84" t="s">
        <v>1564</v>
      </c>
      <c r="B1151" s="83">
        <v>2</v>
      </c>
      <c r="C1151" s="110">
        <v>0.014463787293864237</v>
      </c>
      <c r="D1151" s="83" t="s">
        <v>1384</v>
      </c>
      <c r="E1151" s="83" t="b">
        <v>0</v>
      </c>
      <c r="F1151" s="83" t="b">
        <v>0</v>
      </c>
      <c r="G1151" s="83" t="b">
        <v>0</v>
      </c>
    </row>
    <row r="1152" spans="1:7" ht="15">
      <c r="A1152" s="84" t="s">
        <v>1434</v>
      </c>
      <c r="B1152" s="83">
        <v>2</v>
      </c>
      <c r="C1152" s="110">
        <v>0.010282815131864497</v>
      </c>
      <c r="D1152" s="83" t="s">
        <v>1384</v>
      </c>
      <c r="E1152" s="83" t="b">
        <v>0</v>
      </c>
      <c r="F1152" s="83" t="b">
        <v>0</v>
      </c>
      <c r="G1152" s="83" t="b">
        <v>0</v>
      </c>
    </row>
    <row r="1153" spans="1:7" ht="15">
      <c r="A1153" s="84" t="s">
        <v>1452</v>
      </c>
      <c r="B1153" s="83">
        <v>2</v>
      </c>
      <c r="C1153" s="110">
        <v>0.010282815131864497</v>
      </c>
      <c r="D1153" s="83" t="s">
        <v>1384</v>
      </c>
      <c r="E1153" s="83" t="b">
        <v>0</v>
      </c>
      <c r="F1153" s="83" t="b">
        <v>0</v>
      </c>
      <c r="G1153" s="83" t="b">
        <v>0</v>
      </c>
    </row>
    <row r="1154" spans="1:7" ht="15">
      <c r="A1154" s="84" t="s">
        <v>1526</v>
      </c>
      <c r="B1154" s="83">
        <v>7</v>
      </c>
      <c r="C1154" s="110">
        <v>0.014039065733191646</v>
      </c>
      <c r="D1154" s="83" t="s">
        <v>1385</v>
      </c>
      <c r="E1154" s="83" t="b">
        <v>0</v>
      </c>
      <c r="F1154" s="83" t="b">
        <v>0</v>
      </c>
      <c r="G1154" s="83" t="b">
        <v>0</v>
      </c>
    </row>
    <row r="1155" spans="1:7" ht="15">
      <c r="A1155" s="84" t="s">
        <v>1428</v>
      </c>
      <c r="B1155" s="83">
        <v>7</v>
      </c>
      <c r="C1155" s="110">
        <v>0.014039065733191646</v>
      </c>
      <c r="D1155" s="83" t="s">
        <v>1385</v>
      </c>
      <c r="E1155" s="83" t="b">
        <v>0</v>
      </c>
      <c r="F1155" s="83" t="b">
        <v>0</v>
      </c>
      <c r="G1155" s="83" t="b">
        <v>0</v>
      </c>
    </row>
    <row r="1156" spans="1:7" ht="15">
      <c r="A1156" s="84" t="s">
        <v>1550</v>
      </c>
      <c r="B1156" s="83">
        <v>6</v>
      </c>
      <c r="C1156" s="110">
        <v>0.01422767388793158</v>
      </c>
      <c r="D1156" s="83" t="s">
        <v>1385</v>
      </c>
      <c r="E1156" s="83" t="b">
        <v>0</v>
      </c>
      <c r="F1156" s="83" t="b">
        <v>0</v>
      </c>
      <c r="G1156" s="83" t="b">
        <v>0</v>
      </c>
    </row>
    <row r="1157" spans="1:7" ht="15">
      <c r="A1157" s="84" t="s">
        <v>1549</v>
      </c>
      <c r="B1157" s="83">
        <v>5</v>
      </c>
      <c r="C1157" s="110">
        <v>0.010027904095136889</v>
      </c>
      <c r="D1157" s="83" t="s">
        <v>1385</v>
      </c>
      <c r="E1157" s="83" t="b">
        <v>0</v>
      </c>
      <c r="F1157" s="83" t="b">
        <v>0</v>
      </c>
      <c r="G1157" s="83" t="b">
        <v>0</v>
      </c>
    </row>
    <row r="1158" spans="1:7" ht="15">
      <c r="A1158" s="84" t="s">
        <v>1583</v>
      </c>
      <c r="B1158" s="83">
        <v>5</v>
      </c>
      <c r="C1158" s="110">
        <v>0.010027904095136889</v>
      </c>
      <c r="D1158" s="83" t="s">
        <v>1385</v>
      </c>
      <c r="E1158" s="83" t="b">
        <v>0</v>
      </c>
      <c r="F1158" s="83" t="b">
        <v>0</v>
      </c>
      <c r="G1158" s="83" t="b">
        <v>0</v>
      </c>
    </row>
    <row r="1159" spans="1:7" ht="15">
      <c r="A1159" s="84" t="s">
        <v>1584</v>
      </c>
      <c r="B1159" s="83">
        <v>5</v>
      </c>
      <c r="C1159" s="110">
        <v>0.010027904095136889</v>
      </c>
      <c r="D1159" s="83" t="s">
        <v>1385</v>
      </c>
      <c r="E1159" s="83" t="b">
        <v>0</v>
      </c>
      <c r="F1159" s="83" t="b">
        <v>0</v>
      </c>
      <c r="G1159" s="83" t="b">
        <v>0</v>
      </c>
    </row>
    <row r="1160" spans="1:7" ht="15">
      <c r="A1160" s="84" t="s">
        <v>1641</v>
      </c>
      <c r="B1160" s="83">
        <v>4</v>
      </c>
      <c r="C1160" s="110">
        <v>0.00948511592528772</v>
      </c>
      <c r="D1160" s="83" t="s">
        <v>1385</v>
      </c>
      <c r="E1160" s="83" t="b">
        <v>0</v>
      </c>
      <c r="F1160" s="83" t="b">
        <v>0</v>
      </c>
      <c r="G1160" s="83" t="b">
        <v>0</v>
      </c>
    </row>
    <row r="1161" spans="1:7" ht="15">
      <c r="A1161" s="84" t="s">
        <v>1739</v>
      </c>
      <c r="B1161" s="83">
        <v>3</v>
      </c>
      <c r="C1161" s="110">
        <v>0.008528237735757865</v>
      </c>
      <c r="D1161" s="83" t="s">
        <v>1385</v>
      </c>
      <c r="E1161" s="83" t="b">
        <v>0</v>
      </c>
      <c r="F1161" s="83" t="b">
        <v>0</v>
      </c>
      <c r="G1161" s="83" t="b">
        <v>0</v>
      </c>
    </row>
    <row r="1162" spans="1:7" ht="15">
      <c r="A1162" s="84" t="s">
        <v>1740</v>
      </c>
      <c r="B1162" s="83">
        <v>3</v>
      </c>
      <c r="C1162" s="110">
        <v>0.008528237735757865</v>
      </c>
      <c r="D1162" s="83" t="s">
        <v>1385</v>
      </c>
      <c r="E1162" s="83" t="b">
        <v>0</v>
      </c>
      <c r="F1162" s="83" t="b">
        <v>0</v>
      </c>
      <c r="G1162" s="83" t="b">
        <v>0</v>
      </c>
    </row>
    <row r="1163" spans="1:7" ht="15">
      <c r="A1163" s="84" t="s">
        <v>1741</v>
      </c>
      <c r="B1163" s="83">
        <v>3</v>
      </c>
      <c r="C1163" s="110">
        <v>0.010521723687331615</v>
      </c>
      <c r="D1163" s="83" t="s">
        <v>1385</v>
      </c>
      <c r="E1163" s="83" t="b">
        <v>0</v>
      </c>
      <c r="F1163" s="83" t="b">
        <v>0</v>
      </c>
      <c r="G1163" s="83" t="b">
        <v>0</v>
      </c>
    </row>
    <row r="1164" spans="1:7" ht="15">
      <c r="A1164" s="84" t="s">
        <v>1742</v>
      </c>
      <c r="B1164" s="83">
        <v>3</v>
      </c>
      <c r="C1164" s="110">
        <v>0.008528237735757865</v>
      </c>
      <c r="D1164" s="83" t="s">
        <v>1385</v>
      </c>
      <c r="E1164" s="83" t="b">
        <v>0</v>
      </c>
      <c r="F1164" s="83" t="b">
        <v>0</v>
      </c>
      <c r="G1164" s="83" t="b">
        <v>0</v>
      </c>
    </row>
    <row r="1165" spans="1:7" ht="15">
      <c r="A1165" s="84" t="s">
        <v>1623</v>
      </c>
      <c r="B1165" s="83">
        <v>3</v>
      </c>
      <c r="C1165" s="110">
        <v>0.008528237735757865</v>
      </c>
      <c r="D1165" s="83" t="s">
        <v>1385</v>
      </c>
      <c r="E1165" s="83" t="b">
        <v>0</v>
      </c>
      <c r="F1165" s="83" t="b">
        <v>0</v>
      </c>
      <c r="G1165" s="83" t="b">
        <v>0</v>
      </c>
    </row>
    <row r="1166" spans="1:7" ht="15">
      <c r="A1166" s="84" t="s">
        <v>1743</v>
      </c>
      <c r="B1166" s="83">
        <v>3</v>
      </c>
      <c r="C1166" s="110">
        <v>0.008528237735757865</v>
      </c>
      <c r="D1166" s="83" t="s">
        <v>1385</v>
      </c>
      <c r="E1166" s="83" t="b">
        <v>0</v>
      </c>
      <c r="F1166" s="83" t="b">
        <v>0</v>
      </c>
      <c r="G1166" s="83" t="b">
        <v>0</v>
      </c>
    </row>
    <row r="1167" spans="1:7" ht="15">
      <c r="A1167" s="84" t="s">
        <v>1640</v>
      </c>
      <c r="B1167" s="83">
        <v>3</v>
      </c>
      <c r="C1167" s="110">
        <v>0.008528237735757865</v>
      </c>
      <c r="D1167" s="83" t="s">
        <v>1385</v>
      </c>
      <c r="E1167" s="83" t="b">
        <v>0</v>
      </c>
      <c r="F1167" s="83" t="b">
        <v>0</v>
      </c>
      <c r="G1167" s="83" t="b">
        <v>0</v>
      </c>
    </row>
    <row r="1168" spans="1:7" ht="15">
      <c r="A1168" s="84" t="s">
        <v>1744</v>
      </c>
      <c r="B1168" s="83">
        <v>3</v>
      </c>
      <c r="C1168" s="110">
        <v>0.008528237735757865</v>
      </c>
      <c r="D1168" s="83" t="s">
        <v>1385</v>
      </c>
      <c r="E1168" s="83" t="b">
        <v>0</v>
      </c>
      <c r="F1168" s="83" t="b">
        <v>0</v>
      </c>
      <c r="G1168" s="83" t="b">
        <v>0</v>
      </c>
    </row>
    <row r="1169" spans="1:7" ht="15">
      <c r="A1169" s="84" t="s">
        <v>1747</v>
      </c>
      <c r="B1169" s="83">
        <v>3</v>
      </c>
      <c r="C1169" s="110">
        <v>0.008528237735757865</v>
      </c>
      <c r="D1169" s="83" t="s">
        <v>1385</v>
      </c>
      <c r="E1169" s="83" t="b">
        <v>0</v>
      </c>
      <c r="F1169" s="83" t="b">
        <v>0</v>
      </c>
      <c r="G1169" s="83" t="b">
        <v>0</v>
      </c>
    </row>
    <row r="1170" spans="1:7" ht="15">
      <c r="A1170" s="84" t="s">
        <v>1752</v>
      </c>
      <c r="B1170" s="83">
        <v>3</v>
      </c>
      <c r="C1170" s="110">
        <v>0.008528237735757865</v>
      </c>
      <c r="D1170" s="83" t="s">
        <v>1385</v>
      </c>
      <c r="E1170" s="83" t="b">
        <v>0</v>
      </c>
      <c r="F1170" s="83" t="b">
        <v>0</v>
      </c>
      <c r="G1170" s="83" t="b">
        <v>0</v>
      </c>
    </row>
    <row r="1171" spans="1:7" ht="15">
      <c r="A1171" s="84" t="s">
        <v>1750</v>
      </c>
      <c r="B1171" s="83">
        <v>3</v>
      </c>
      <c r="C1171" s="110">
        <v>0.01392961043069744</v>
      </c>
      <c r="D1171" s="83" t="s">
        <v>1385</v>
      </c>
      <c r="E1171" s="83" t="b">
        <v>0</v>
      </c>
      <c r="F1171" s="83" t="b">
        <v>0</v>
      </c>
      <c r="G1171" s="83" t="b">
        <v>0</v>
      </c>
    </row>
    <row r="1172" spans="1:7" ht="15">
      <c r="A1172" s="84" t="s">
        <v>1751</v>
      </c>
      <c r="B1172" s="83">
        <v>3</v>
      </c>
      <c r="C1172" s="110">
        <v>0.01392961043069744</v>
      </c>
      <c r="D1172" s="83" t="s">
        <v>1385</v>
      </c>
      <c r="E1172" s="83" t="b">
        <v>0</v>
      </c>
      <c r="F1172" s="83" t="b">
        <v>0</v>
      </c>
      <c r="G1172" s="83" t="b">
        <v>0</v>
      </c>
    </row>
    <row r="1173" spans="1:7" ht="15">
      <c r="A1173" s="84" t="s">
        <v>1745</v>
      </c>
      <c r="B1173" s="83">
        <v>3</v>
      </c>
      <c r="C1173" s="110">
        <v>0.008528237735757865</v>
      </c>
      <c r="D1173" s="83" t="s">
        <v>1385</v>
      </c>
      <c r="E1173" s="83" t="b">
        <v>0</v>
      </c>
      <c r="F1173" s="83" t="b">
        <v>0</v>
      </c>
      <c r="G1173" s="83" t="b">
        <v>0</v>
      </c>
    </row>
    <row r="1174" spans="1:7" ht="15">
      <c r="A1174" s="84" t="s">
        <v>1746</v>
      </c>
      <c r="B1174" s="83">
        <v>3</v>
      </c>
      <c r="C1174" s="110">
        <v>0.008528237735757865</v>
      </c>
      <c r="D1174" s="83" t="s">
        <v>1385</v>
      </c>
      <c r="E1174" s="83" t="b">
        <v>0</v>
      </c>
      <c r="F1174" s="83" t="b">
        <v>0</v>
      </c>
      <c r="G1174" s="83" t="b">
        <v>0</v>
      </c>
    </row>
    <row r="1175" spans="1:7" ht="15">
      <c r="A1175" s="84" t="s">
        <v>1749</v>
      </c>
      <c r="B1175" s="83">
        <v>3</v>
      </c>
      <c r="C1175" s="110">
        <v>0.010521723687331615</v>
      </c>
      <c r="D1175" s="83" t="s">
        <v>1385</v>
      </c>
      <c r="E1175" s="83" t="b">
        <v>0</v>
      </c>
      <c r="F1175" s="83" t="b">
        <v>0</v>
      </c>
      <c r="G1175" s="83" t="b">
        <v>0</v>
      </c>
    </row>
    <row r="1176" spans="1:7" ht="15">
      <c r="A1176" s="84" t="s">
        <v>1980</v>
      </c>
      <c r="B1176" s="83">
        <v>2</v>
      </c>
      <c r="C1176" s="110">
        <v>0.007014482458221077</v>
      </c>
      <c r="D1176" s="83" t="s">
        <v>1385</v>
      </c>
      <c r="E1176" s="83" t="b">
        <v>0</v>
      </c>
      <c r="F1176" s="83" t="b">
        <v>0</v>
      </c>
      <c r="G1176" s="83" t="b">
        <v>0</v>
      </c>
    </row>
    <row r="1177" spans="1:7" ht="15">
      <c r="A1177" s="84" t="s">
        <v>1982</v>
      </c>
      <c r="B1177" s="83">
        <v>2</v>
      </c>
      <c r="C1177" s="110">
        <v>0.007014482458221077</v>
      </c>
      <c r="D1177" s="83" t="s">
        <v>1385</v>
      </c>
      <c r="E1177" s="83" t="b">
        <v>0</v>
      </c>
      <c r="F1177" s="83" t="b">
        <v>0</v>
      </c>
      <c r="G1177" s="83" t="b">
        <v>0</v>
      </c>
    </row>
    <row r="1178" spans="1:7" ht="15">
      <c r="A1178" s="84" t="s">
        <v>1983</v>
      </c>
      <c r="B1178" s="83">
        <v>2</v>
      </c>
      <c r="C1178" s="110">
        <v>0.007014482458221077</v>
      </c>
      <c r="D1178" s="83" t="s">
        <v>1385</v>
      </c>
      <c r="E1178" s="83" t="b">
        <v>0</v>
      </c>
      <c r="F1178" s="83" t="b">
        <v>0</v>
      </c>
      <c r="G1178" s="83" t="b">
        <v>0</v>
      </c>
    </row>
    <row r="1179" spans="1:7" ht="15">
      <c r="A1179" s="84" t="s">
        <v>1985</v>
      </c>
      <c r="B1179" s="83">
        <v>2</v>
      </c>
      <c r="C1179" s="110">
        <v>0.007014482458221077</v>
      </c>
      <c r="D1179" s="83" t="s">
        <v>1385</v>
      </c>
      <c r="E1179" s="83" t="b">
        <v>0</v>
      </c>
      <c r="F1179" s="83" t="b">
        <v>0</v>
      </c>
      <c r="G1179" s="83" t="b">
        <v>0</v>
      </c>
    </row>
    <row r="1180" spans="1:7" ht="15">
      <c r="A1180" s="84" t="s">
        <v>1458</v>
      </c>
      <c r="B1180" s="83">
        <v>2</v>
      </c>
      <c r="C1180" s="110">
        <v>0.007014482458221077</v>
      </c>
      <c r="D1180" s="83" t="s">
        <v>1385</v>
      </c>
      <c r="E1180" s="83" t="b">
        <v>1</v>
      </c>
      <c r="F1180" s="83" t="b">
        <v>0</v>
      </c>
      <c r="G1180" s="83" t="b">
        <v>0</v>
      </c>
    </row>
    <row r="1181" spans="1:7" ht="15">
      <c r="A1181" s="84" t="s">
        <v>1986</v>
      </c>
      <c r="B1181" s="83">
        <v>2</v>
      </c>
      <c r="C1181" s="110">
        <v>0.007014482458221077</v>
      </c>
      <c r="D1181" s="83" t="s">
        <v>1385</v>
      </c>
      <c r="E1181" s="83" t="b">
        <v>0</v>
      </c>
      <c r="F1181" s="83" t="b">
        <v>0</v>
      </c>
      <c r="G1181" s="83" t="b">
        <v>0</v>
      </c>
    </row>
    <row r="1182" spans="1:7" ht="15">
      <c r="A1182" s="84" t="s">
        <v>1987</v>
      </c>
      <c r="B1182" s="83">
        <v>2</v>
      </c>
      <c r="C1182" s="110">
        <v>0.009286406953798294</v>
      </c>
      <c r="D1182" s="83" t="s">
        <v>1385</v>
      </c>
      <c r="E1182" s="83" t="b">
        <v>0</v>
      </c>
      <c r="F1182" s="83" t="b">
        <v>0</v>
      </c>
      <c r="G1182" s="83" t="b">
        <v>0</v>
      </c>
    </row>
    <row r="1183" spans="1:7" ht="15">
      <c r="A1183" s="84" t="s">
        <v>1988</v>
      </c>
      <c r="B1183" s="83">
        <v>2</v>
      </c>
      <c r="C1183" s="110">
        <v>0.007014482458221077</v>
      </c>
      <c r="D1183" s="83" t="s">
        <v>1385</v>
      </c>
      <c r="E1183" s="83" t="b">
        <v>0</v>
      </c>
      <c r="F1183" s="83" t="b">
        <v>0</v>
      </c>
      <c r="G1183" s="83" t="b">
        <v>0</v>
      </c>
    </row>
    <row r="1184" spans="1:7" ht="15">
      <c r="A1184" s="84" t="s">
        <v>1989</v>
      </c>
      <c r="B1184" s="83">
        <v>2</v>
      </c>
      <c r="C1184" s="110">
        <v>0.007014482458221077</v>
      </c>
      <c r="D1184" s="83" t="s">
        <v>1385</v>
      </c>
      <c r="E1184" s="83" t="b">
        <v>0</v>
      </c>
      <c r="F1184" s="83" t="b">
        <v>0</v>
      </c>
      <c r="G1184" s="83" t="b">
        <v>0</v>
      </c>
    </row>
    <row r="1185" spans="1:7" ht="15">
      <c r="A1185" s="84" t="s">
        <v>1990</v>
      </c>
      <c r="B1185" s="83">
        <v>2</v>
      </c>
      <c r="C1185" s="110">
        <v>0.007014482458221077</v>
      </c>
      <c r="D1185" s="83" t="s">
        <v>1385</v>
      </c>
      <c r="E1185" s="83" t="b">
        <v>0</v>
      </c>
      <c r="F1185" s="83" t="b">
        <v>0</v>
      </c>
      <c r="G1185" s="83" t="b">
        <v>0</v>
      </c>
    </row>
    <row r="1186" spans="1:7" ht="15">
      <c r="A1186" s="84" t="s">
        <v>1991</v>
      </c>
      <c r="B1186" s="83">
        <v>2</v>
      </c>
      <c r="C1186" s="110">
        <v>0.007014482458221077</v>
      </c>
      <c r="D1186" s="83" t="s">
        <v>1385</v>
      </c>
      <c r="E1186" s="83" t="b">
        <v>0</v>
      </c>
      <c r="F1186" s="83" t="b">
        <v>0</v>
      </c>
      <c r="G1186" s="83" t="b">
        <v>0</v>
      </c>
    </row>
    <row r="1187" spans="1:7" ht="15">
      <c r="A1187" s="84" t="s">
        <v>1992</v>
      </c>
      <c r="B1187" s="83">
        <v>2</v>
      </c>
      <c r="C1187" s="110">
        <v>0.007014482458221077</v>
      </c>
      <c r="D1187" s="83" t="s">
        <v>1385</v>
      </c>
      <c r="E1187" s="83" t="b">
        <v>0</v>
      </c>
      <c r="F1187" s="83" t="b">
        <v>0</v>
      </c>
      <c r="G1187" s="83" t="b">
        <v>0</v>
      </c>
    </row>
    <row r="1188" spans="1:7" ht="15">
      <c r="A1188" s="84" t="s">
        <v>1993</v>
      </c>
      <c r="B1188" s="83">
        <v>2</v>
      </c>
      <c r="C1188" s="110">
        <v>0.007014482458221077</v>
      </c>
      <c r="D1188" s="83" t="s">
        <v>1385</v>
      </c>
      <c r="E1188" s="83" t="b">
        <v>0</v>
      </c>
      <c r="F1188" s="83" t="b">
        <v>0</v>
      </c>
      <c r="G1188" s="83" t="b">
        <v>0</v>
      </c>
    </row>
    <row r="1189" spans="1:7" ht="15">
      <c r="A1189" s="84" t="s">
        <v>1995</v>
      </c>
      <c r="B1189" s="83">
        <v>2</v>
      </c>
      <c r="C1189" s="110">
        <v>0.007014482458221077</v>
      </c>
      <c r="D1189" s="83" t="s">
        <v>1385</v>
      </c>
      <c r="E1189" s="83" t="b">
        <v>0</v>
      </c>
      <c r="F1189" s="83" t="b">
        <v>0</v>
      </c>
      <c r="G1189" s="83" t="b">
        <v>0</v>
      </c>
    </row>
    <row r="1190" spans="1:7" ht="15">
      <c r="A1190" s="84" t="s">
        <v>2004</v>
      </c>
      <c r="B1190" s="83">
        <v>2</v>
      </c>
      <c r="C1190" s="110">
        <v>0.007014482458221077</v>
      </c>
      <c r="D1190" s="83" t="s">
        <v>1385</v>
      </c>
      <c r="E1190" s="83" t="b">
        <v>0</v>
      </c>
      <c r="F1190" s="83" t="b">
        <v>0</v>
      </c>
      <c r="G1190" s="83" t="b">
        <v>0</v>
      </c>
    </row>
    <row r="1191" spans="1:7" ht="15">
      <c r="A1191" s="84" t="s">
        <v>1998</v>
      </c>
      <c r="B1191" s="83">
        <v>2</v>
      </c>
      <c r="C1191" s="110">
        <v>0.007014482458221077</v>
      </c>
      <c r="D1191" s="83" t="s">
        <v>1385</v>
      </c>
      <c r="E1191" s="83" t="b">
        <v>0</v>
      </c>
      <c r="F1191" s="83" t="b">
        <v>0</v>
      </c>
      <c r="G1191" s="83" t="b">
        <v>0</v>
      </c>
    </row>
    <row r="1192" spans="1:7" ht="15">
      <c r="A1192" s="84" t="s">
        <v>1996</v>
      </c>
      <c r="B1192" s="83">
        <v>2</v>
      </c>
      <c r="C1192" s="110">
        <v>0.007014482458221077</v>
      </c>
      <c r="D1192" s="83" t="s">
        <v>1385</v>
      </c>
      <c r="E1192" s="83" t="b">
        <v>0</v>
      </c>
      <c r="F1192" s="83" t="b">
        <v>0</v>
      </c>
      <c r="G1192" s="83" t="b">
        <v>0</v>
      </c>
    </row>
    <row r="1193" spans="1:7" ht="15">
      <c r="A1193" s="84" t="s">
        <v>1997</v>
      </c>
      <c r="B1193" s="83">
        <v>2</v>
      </c>
      <c r="C1193" s="110">
        <v>0.009286406953798294</v>
      </c>
      <c r="D1193" s="83" t="s">
        <v>1385</v>
      </c>
      <c r="E1193" s="83" t="b">
        <v>0</v>
      </c>
      <c r="F1193" s="83" t="b">
        <v>0</v>
      </c>
      <c r="G1193" s="83" t="b">
        <v>0</v>
      </c>
    </row>
    <row r="1194" spans="1:7" ht="15">
      <c r="A1194" s="84" t="s">
        <v>1748</v>
      </c>
      <c r="B1194" s="83">
        <v>2</v>
      </c>
      <c r="C1194" s="110">
        <v>0.009286406953798294</v>
      </c>
      <c r="D1194" s="83" t="s">
        <v>1385</v>
      </c>
      <c r="E1194" s="83" t="b">
        <v>0</v>
      </c>
      <c r="F1194" s="83" t="b">
        <v>0</v>
      </c>
      <c r="G1194" s="83" t="b">
        <v>0</v>
      </c>
    </row>
    <row r="1195" spans="1:7" ht="15">
      <c r="A1195" s="84" t="s">
        <v>1999</v>
      </c>
      <c r="B1195" s="83">
        <v>2</v>
      </c>
      <c r="C1195" s="110">
        <v>0.009286406953798294</v>
      </c>
      <c r="D1195" s="83" t="s">
        <v>1385</v>
      </c>
      <c r="E1195" s="83" t="b">
        <v>0</v>
      </c>
      <c r="F1195" s="83" t="b">
        <v>0</v>
      </c>
      <c r="G1195" s="83" t="b">
        <v>0</v>
      </c>
    </row>
    <row r="1196" spans="1:7" ht="15">
      <c r="A1196" s="84" t="s">
        <v>2000</v>
      </c>
      <c r="B1196" s="83">
        <v>2</v>
      </c>
      <c r="C1196" s="110">
        <v>0.007014482458221077</v>
      </c>
      <c r="D1196" s="83" t="s">
        <v>1385</v>
      </c>
      <c r="E1196" s="83" t="b">
        <v>0</v>
      </c>
      <c r="F1196" s="83" t="b">
        <v>0</v>
      </c>
      <c r="G1196" s="83" t="b">
        <v>0</v>
      </c>
    </row>
    <row r="1197" spans="1:7" ht="15">
      <c r="A1197" s="84" t="s">
        <v>2001</v>
      </c>
      <c r="B1197" s="83">
        <v>2</v>
      </c>
      <c r="C1197" s="110">
        <v>0.009286406953798294</v>
      </c>
      <c r="D1197" s="83" t="s">
        <v>1385</v>
      </c>
      <c r="E1197" s="83" t="b">
        <v>0</v>
      </c>
      <c r="F1197" s="83" t="b">
        <v>0</v>
      </c>
      <c r="G1197" s="83" t="b">
        <v>0</v>
      </c>
    </row>
    <row r="1198" spans="1:7" ht="15">
      <c r="A1198" s="84" t="s">
        <v>1437</v>
      </c>
      <c r="B1198" s="83">
        <v>4</v>
      </c>
      <c r="C1198" s="110">
        <v>0.029614507579769755</v>
      </c>
      <c r="D1198" s="83" t="s">
        <v>1386</v>
      </c>
      <c r="E1198" s="83" t="b">
        <v>0</v>
      </c>
      <c r="F1198" s="83" t="b">
        <v>0</v>
      </c>
      <c r="G1198" s="83" t="b">
        <v>0</v>
      </c>
    </row>
    <row r="1199" spans="1:7" ht="15">
      <c r="A1199" s="84" t="s">
        <v>1580</v>
      </c>
      <c r="B1199" s="83">
        <v>4</v>
      </c>
      <c r="C1199" s="110">
        <v>0.029614507579769755</v>
      </c>
      <c r="D1199" s="83" t="s">
        <v>1386</v>
      </c>
      <c r="E1199" s="83" t="b">
        <v>0</v>
      </c>
      <c r="F1199" s="83" t="b">
        <v>0</v>
      </c>
      <c r="G1199" s="83" t="b">
        <v>0</v>
      </c>
    </row>
    <row r="1200" spans="1:7" ht="15">
      <c r="A1200" s="84" t="s">
        <v>1478</v>
      </c>
      <c r="B1200" s="83">
        <v>4</v>
      </c>
      <c r="C1200" s="110">
        <v>0.017573307753210504</v>
      </c>
      <c r="D1200" s="83" t="s">
        <v>1386</v>
      </c>
      <c r="E1200" s="83" t="b">
        <v>0</v>
      </c>
      <c r="F1200" s="83" t="b">
        <v>0</v>
      </c>
      <c r="G1200" s="83" t="b">
        <v>0</v>
      </c>
    </row>
    <row r="1201" spans="1:7" ht="15">
      <c r="A1201" s="84" t="s">
        <v>1644</v>
      </c>
      <c r="B1201" s="83">
        <v>4</v>
      </c>
      <c r="C1201" s="110">
        <v>0.029614507579769755</v>
      </c>
      <c r="D1201" s="83" t="s">
        <v>1386</v>
      </c>
      <c r="E1201" s="83" t="b">
        <v>0</v>
      </c>
      <c r="F1201" s="83" t="b">
        <v>0</v>
      </c>
      <c r="G1201" s="83" t="b">
        <v>0</v>
      </c>
    </row>
    <row r="1202" spans="1:7" ht="15">
      <c r="A1202" s="84" t="s">
        <v>1645</v>
      </c>
      <c r="B1202" s="83">
        <v>4</v>
      </c>
      <c r="C1202" s="110">
        <v>0.029614507579769755</v>
      </c>
      <c r="D1202" s="83" t="s">
        <v>1386</v>
      </c>
      <c r="E1202" s="83" t="b">
        <v>0</v>
      </c>
      <c r="F1202" s="83" t="b">
        <v>0</v>
      </c>
      <c r="G1202" s="83" t="b">
        <v>0</v>
      </c>
    </row>
    <row r="1203" spans="1:7" ht="15">
      <c r="A1203" s="84" t="s">
        <v>1507</v>
      </c>
      <c r="B1203" s="83">
        <v>4</v>
      </c>
      <c r="C1203" s="110">
        <v>0.029614507579769755</v>
      </c>
      <c r="D1203" s="83" t="s">
        <v>1386</v>
      </c>
      <c r="E1203" s="83" t="b">
        <v>0</v>
      </c>
      <c r="F1203" s="83" t="b">
        <v>0</v>
      </c>
      <c r="G1203" s="83" t="b">
        <v>0</v>
      </c>
    </row>
    <row r="1204" spans="1:7" ht="15">
      <c r="A1204" s="84" t="s">
        <v>1445</v>
      </c>
      <c r="B1204" s="83">
        <v>3</v>
      </c>
      <c r="C1204" s="110">
        <v>0.022210880684827315</v>
      </c>
      <c r="D1204" s="83" t="s">
        <v>1386</v>
      </c>
      <c r="E1204" s="83" t="b">
        <v>0</v>
      </c>
      <c r="F1204" s="83" t="b">
        <v>0</v>
      </c>
      <c r="G1204" s="83" t="b">
        <v>0</v>
      </c>
    </row>
    <row r="1205" spans="1:7" ht="15">
      <c r="A1205" s="84" t="s">
        <v>1514</v>
      </c>
      <c r="B1205" s="83">
        <v>2</v>
      </c>
      <c r="C1205" s="110">
        <v>0.014807253789884877</v>
      </c>
      <c r="D1205" s="83" t="s">
        <v>1386</v>
      </c>
      <c r="E1205" s="83" t="b">
        <v>0</v>
      </c>
      <c r="F1205" s="83" t="b">
        <v>0</v>
      </c>
      <c r="G1205" s="83" t="b">
        <v>0</v>
      </c>
    </row>
    <row r="1206" spans="1:7" ht="15">
      <c r="A1206" s="84" t="s">
        <v>1473</v>
      </c>
      <c r="B1206" s="83">
        <v>2</v>
      </c>
      <c r="C1206" s="110">
        <v>0.014807253789884877</v>
      </c>
      <c r="D1206" s="83" t="s">
        <v>1386</v>
      </c>
      <c r="E1206" s="83" t="b">
        <v>0</v>
      </c>
      <c r="F1206" s="83" t="b">
        <v>0</v>
      </c>
      <c r="G1206" s="83" t="b">
        <v>0</v>
      </c>
    </row>
    <row r="1207" spans="1:7" ht="15">
      <c r="A1207" s="84" t="s">
        <v>1754</v>
      </c>
      <c r="B1207" s="83">
        <v>2</v>
      </c>
      <c r="C1207" s="110">
        <v>0.014807253789884877</v>
      </c>
      <c r="D1207" s="83" t="s">
        <v>1386</v>
      </c>
      <c r="E1207" s="83" t="b">
        <v>1</v>
      </c>
      <c r="F1207" s="83" t="b">
        <v>0</v>
      </c>
      <c r="G1207" s="83" t="b">
        <v>0</v>
      </c>
    </row>
    <row r="1208" spans="1:7" ht="15">
      <c r="A1208" s="84" t="s">
        <v>1541</v>
      </c>
      <c r="B1208" s="83">
        <v>2</v>
      </c>
      <c r="C1208" s="110">
        <v>0.014807253789884877</v>
      </c>
      <c r="D1208" s="83" t="s">
        <v>1386</v>
      </c>
      <c r="E1208" s="83" t="b">
        <v>0</v>
      </c>
      <c r="F1208" s="83" t="b">
        <v>0</v>
      </c>
      <c r="G1208" s="83" t="b">
        <v>0</v>
      </c>
    </row>
    <row r="1209" spans="1:7" ht="15">
      <c r="A1209" s="84" t="s">
        <v>1438</v>
      </c>
      <c r="B1209" s="83">
        <v>2</v>
      </c>
      <c r="C1209" s="110">
        <v>0.014807253789884877</v>
      </c>
      <c r="D1209" s="83" t="s">
        <v>1386</v>
      </c>
      <c r="E1209" s="83" t="b">
        <v>1</v>
      </c>
      <c r="F1209" s="83" t="b">
        <v>0</v>
      </c>
      <c r="G1209" s="83" t="b">
        <v>0</v>
      </c>
    </row>
    <row r="1210" spans="1:7" ht="15">
      <c r="A1210" s="84" t="s">
        <v>2021</v>
      </c>
      <c r="B1210" s="83">
        <v>2</v>
      </c>
      <c r="C1210" s="110">
        <v>0.014807253789884877</v>
      </c>
      <c r="D1210" s="83" t="s">
        <v>1386</v>
      </c>
      <c r="E1210" s="83" t="b">
        <v>0</v>
      </c>
      <c r="F1210" s="83" t="b">
        <v>0</v>
      </c>
      <c r="G1210" s="83" t="b">
        <v>0</v>
      </c>
    </row>
    <row r="1211" spans="1:7" ht="15">
      <c r="A1211" s="84" t="s">
        <v>2022</v>
      </c>
      <c r="B1211" s="83">
        <v>2</v>
      </c>
      <c r="C1211" s="110">
        <v>0.014807253789884877</v>
      </c>
      <c r="D1211" s="83" t="s">
        <v>1386</v>
      </c>
      <c r="E1211" s="83" t="b">
        <v>0</v>
      </c>
      <c r="F1211" s="83" t="b">
        <v>0</v>
      </c>
      <c r="G1211" s="83" t="b">
        <v>0</v>
      </c>
    </row>
    <row r="1212" spans="1:7" ht="15">
      <c r="A1212" s="84" t="s">
        <v>2023</v>
      </c>
      <c r="B1212" s="83">
        <v>2</v>
      </c>
      <c r="C1212" s="110">
        <v>0.014807253789884877</v>
      </c>
      <c r="D1212" s="83" t="s">
        <v>1386</v>
      </c>
      <c r="E1212" s="83" t="b">
        <v>0</v>
      </c>
      <c r="F1212" s="83" t="b">
        <v>0</v>
      </c>
      <c r="G1212" s="83" t="b">
        <v>0</v>
      </c>
    </row>
    <row r="1213" spans="1:7" ht="15">
      <c r="A1213" s="84" t="s">
        <v>1730</v>
      </c>
      <c r="B1213" s="83">
        <v>2</v>
      </c>
      <c r="C1213" s="110">
        <v>0.014807253789884877</v>
      </c>
      <c r="D1213" s="83" t="s">
        <v>1386</v>
      </c>
      <c r="E1213" s="83" t="b">
        <v>0</v>
      </c>
      <c r="F1213" s="83" t="b">
        <v>0</v>
      </c>
      <c r="G1213" s="83" t="b">
        <v>0</v>
      </c>
    </row>
    <row r="1214" spans="1:7" ht="15">
      <c r="A1214" s="84" t="s">
        <v>1515</v>
      </c>
      <c r="B1214" s="83">
        <v>2</v>
      </c>
      <c r="C1214" s="110">
        <v>0.014807253789884877</v>
      </c>
      <c r="D1214" s="83" t="s">
        <v>1386</v>
      </c>
      <c r="E1214" s="83" t="b">
        <v>0</v>
      </c>
      <c r="F1214" s="83" t="b">
        <v>0</v>
      </c>
      <c r="G1214" s="83" t="b">
        <v>0</v>
      </c>
    </row>
    <row r="1215" spans="1:7" ht="15">
      <c r="A1215" s="84" t="s">
        <v>1718</v>
      </c>
      <c r="B1215" s="83">
        <v>2</v>
      </c>
      <c r="C1215" s="110">
        <v>0.014807253789884877</v>
      </c>
      <c r="D1215" s="83" t="s">
        <v>1386</v>
      </c>
      <c r="E1215" s="83" t="b">
        <v>0</v>
      </c>
      <c r="F1215" s="83" t="b">
        <v>0</v>
      </c>
      <c r="G1215" s="83" t="b">
        <v>0</v>
      </c>
    </row>
    <row r="1216" spans="1:7" ht="15">
      <c r="A1216" s="84" t="s">
        <v>1715</v>
      </c>
      <c r="B1216" s="83">
        <v>2</v>
      </c>
      <c r="C1216" s="110">
        <v>0.014807253789884877</v>
      </c>
      <c r="D1216" s="83" t="s">
        <v>1386</v>
      </c>
      <c r="E1216" s="83" t="b">
        <v>0</v>
      </c>
      <c r="F1216" s="83" t="b">
        <v>0</v>
      </c>
      <c r="G1216" s="83" t="b">
        <v>0</v>
      </c>
    </row>
    <row r="1217" spans="1:7" ht="15">
      <c r="A1217" s="84" t="s">
        <v>1551</v>
      </c>
      <c r="B1217" s="83">
        <v>2</v>
      </c>
      <c r="C1217" s="110">
        <v>0.020827853703164503</v>
      </c>
      <c r="D1217" s="83" t="s">
        <v>1386</v>
      </c>
      <c r="E1217" s="83" t="b">
        <v>0</v>
      </c>
      <c r="F1217" s="83" t="b">
        <v>0</v>
      </c>
      <c r="G1217" s="83" t="b">
        <v>0</v>
      </c>
    </row>
    <row r="1218" spans="1:7" ht="15">
      <c r="A1218" s="84" t="s">
        <v>1428</v>
      </c>
      <c r="B1218" s="83">
        <v>2</v>
      </c>
      <c r="C1218" s="110">
        <v>0.014807253789884877</v>
      </c>
      <c r="D1218" s="83" t="s">
        <v>1386</v>
      </c>
      <c r="E1218" s="83" t="b">
        <v>0</v>
      </c>
      <c r="F1218" s="83" t="b">
        <v>0</v>
      </c>
      <c r="G1218" s="83" t="b">
        <v>0</v>
      </c>
    </row>
    <row r="1219" spans="1:7" ht="15">
      <c r="A1219" s="84" t="s">
        <v>1542</v>
      </c>
      <c r="B1219" s="83">
        <v>2</v>
      </c>
      <c r="C1219" s="110">
        <v>0.014807253789884877</v>
      </c>
      <c r="D1219" s="83" t="s">
        <v>1386</v>
      </c>
      <c r="E1219" s="83" t="b">
        <v>1</v>
      </c>
      <c r="F1219" s="83" t="b">
        <v>0</v>
      </c>
      <c r="G1219" s="83" t="b">
        <v>0</v>
      </c>
    </row>
    <row r="1220" spans="1:7" ht="15">
      <c r="A1220" s="84" t="s">
        <v>1429</v>
      </c>
      <c r="B1220" s="83">
        <v>2</v>
      </c>
      <c r="C1220" s="110">
        <v>0.014807253789884877</v>
      </c>
      <c r="D1220" s="83" t="s">
        <v>1386</v>
      </c>
      <c r="E1220" s="83" t="b">
        <v>0</v>
      </c>
      <c r="F1220" s="83" t="b">
        <v>0</v>
      </c>
      <c r="G1220" s="83" t="b">
        <v>0</v>
      </c>
    </row>
    <row r="1221" spans="1:7" ht="15">
      <c r="A1221" s="84" t="s">
        <v>1428</v>
      </c>
      <c r="B1221" s="83">
        <v>6</v>
      </c>
      <c r="C1221" s="110">
        <v>0.05022328997049078</v>
      </c>
      <c r="D1221" s="83" t="s">
        <v>1387</v>
      </c>
      <c r="E1221" s="83" t="b">
        <v>0</v>
      </c>
      <c r="F1221" s="83" t="b">
        <v>0</v>
      </c>
      <c r="G1221" s="83" t="b">
        <v>0</v>
      </c>
    </row>
    <row r="1222" spans="1:7" ht="15">
      <c r="A1222" s="84" t="s">
        <v>1546</v>
      </c>
      <c r="B1222" s="83">
        <v>4</v>
      </c>
      <c r="C1222" s="110">
        <v>0.054607105290080254</v>
      </c>
      <c r="D1222" s="83" t="s">
        <v>1387</v>
      </c>
      <c r="E1222" s="83" t="b">
        <v>0</v>
      </c>
      <c r="F1222" s="83" t="b">
        <v>0</v>
      </c>
      <c r="G1222" s="83" t="b">
        <v>0</v>
      </c>
    </row>
    <row r="1223" spans="1:7" ht="15">
      <c r="A1223" s="84" t="s">
        <v>1734</v>
      </c>
      <c r="B1223" s="83">
        <v>3</v>
      </c>
      <c r="C1223" s="110">
        <v>0.04095532896756019</v>
      </c>
      <c r="D1223" s="83" t="s">
        <v>1387</v>
      </c>
      <c r="E1223" s="83" t="b">
        <v>0</v>
      </c>
      <c r="F1223" s="83" t="b">
        <v>0</v>
      </c>
      <c r="G1223" s="83" t="b">
        <v>0</v>
      </c>
    </row>
    <row r="1224" spans="1:7" ht="15">
      <c r="A1224" s="84" t="s">
        <v>1535</v>
      </c>
      <c r="B1224" s="83">
        <v>2</v>
      </c>
      <c r="C1224" s="110">
        <v>0.027303552645040127</v>
      </c>
      <c r="D1224" s="83" t="s">
        <v>1387</v>
      </c>
      <c r="E1224" s="83" t="b">
        <v>0</v>
      </c>
      <c r="F1224" s="83" t="b">
        <v>0</v>
      </c>
      <c r="G1224" s="83" t="b">
        <v>0</v>
      </c>
    </row>
    <row r="1225" spans="1:7" ht="15">
      <c r="A1225" s="84" t="s">
        <v>1437</v>
      </c>
      <c r="B1225" s="83">
        <v>2</v>
      </c>
      <c r="C1225" s="110">
        <v>0.027303552645040127</v>
      </c>
      <c r="D1225" s="83" t="s">
        <v>1387</v>
      </c>
      <c r="E1225" s="83" t="b">
        <v>0</v>
      </c>
      <c r="F1225" s="83" t="b">
        <v>0</v>
      </c>
      <c r="G1225" s="83" t="b">
        <v>0</v>
      </c>
    </row>
    <row r="1226" spans="1:7" ht="15">
      <c r="A1226" s="84" t="s">
        <v>1965</v>
      </c>
      <c r="B1226" s="83">
        <v>2</v>
      </c>
      <c r="C1226" s="110">
        <v>0.01674109665683026</v>
      </c>
      <c r="D1226" s="83" t="s">
        <v>1387</v>
      </c>
      <c r="E1226" s="83" t="b">
        <v>1</v>
      </c>
      <c r="F1226" s="83" t="b">
        <v>0</v>
      </c>
      <c r="G1226" s="83" t="b">
        <v>0</v>
      </c>
    </row>
    <row r="1227" spans="1:7" ht="15">
      <c r="A1227" s="84" t="s">
        <v>1540</v>
      </c>
      <c r="B1227" s="83">
        <v>2</v>
      </c>
      <c r="C1227" s="110">
        <v>0.01674109665683026</v>
      </c>
      <c r="D1227" s="83" t="s">
        <v>1387</v>
      </c>
      <c r="E1227" s="83" t="b">
        <v>0</v>
      </c>
      <c r="F1227" s="83" t="b">
        <v>0</v>
      </c>
      <c r="G1227" s="83" t="b">
        <v>0</v>
      </c>
    </row>
    <row r="1228" spans="1:7" ht="15">
      <c r="A1228" s="84" t="s">
        <v>1436</v>
      </c>
      <c r="B1228" s="83">
        <v>3</v>
      </c>
      <c r="C1228" s="110">
        <v>0.05428962211978909</v>
      </c>
      <c r="D1228" s="83" t="s">
        <v>1388</v>
      </c>
      <c r="E1228" s="83" t="b">
        <v>0</v>
      </c>
      <c r="F1228" s="83" t="b">
        <v>0</v>
      </c>
      <c r="G1228" s="83" t="b">
        <v>0</v>
      </c>
    </row>
    <row r="1229" spans="1:7" ht="15">
      <c r="A1229" s="84" t="s">
        <v>1611</v>
      </c>
      <c r="B1229" s="83">
        <v>3</v>
      </c>
      <c r="C1229" s="110">
        <v>0.05428962211978909</v>
      </c>
      <c r="D1229" s="83" t="s">
        <v>1388</v>
      </c>
      <c r="E1229" s="83" t="b">
        <v>0</v>
      </c>
      <c r="F1229" s="83" t="b">
        <v>0</v>
      </c>
      <c r="G1229" s="83" t="b">
        <v>0</v>
      </c>
    </row>
    <row r="1230" spans="1:7" ht="15">
      <c r="A1230" s="84" t="s">
        <v>1471</v>
      </c>
      <c r="B1230" s="83">
        <v>2</v>
      </c>
      <c r="C1230" s="110">
        <v>0.02219168626603081</v>
      </c>
      <c r="D1230" s="83" t="s">
        <v>1388</v>
      </c>
      <c r="E1230" s="83" t="b">
        <v>0</v>
      </c>
      <c r="F1230" s="83" t="b">
        <v>0</v>
      </c>
      <c r="G1230" s="83" t="b">
        <v>0</v>
      </c>
    </row>
    <row r="1231" spans="1:7" ht="15">
      <c r="A1231" s="84" t="s">
        <v>1466</v>
      </c>
      <c r="B1231" s="83">
        <v>2</v>
      </c>
      <c r="C1231" s="110">
        <v>0.036193081413192725</v>
      </c>
      <c r="D1231" s="83" t="s">
        <v>1388</v>
      </c>
      <c r="E1231" s="83" t="b">
        <v>0</v>
      </c>
      <c r="F1231" s="83" t="b">
        <v>0</v>
      </c>
      <c r="G1231" s="83" t="b">
        <v>0</v>
      </c>
    </row>
    <row r="1232" spans="1:7" ht="15">
      <c r="A1232" s="84" t="s">
        <v>1569</v>
      </c>
      <c r="B1232" s="83">
        <v>2</v>
      </c>
      <c r="C1232" s="110">
        <v>0.036193081413192725</v>
      </c>
      <c r="D1232" s="83" t="s">
        <v>1388</v>
      </c>
      <c r="E1232" s="83" t="b">
        <v>0</v>
      </c>
      <c r="F1232" s="83" t="b">
        <v>0</v>
      </c>
      <c r="G1232" s="83" t="b">
        <v>0</v>
      </c>
    </row>
    <row r="1233" spans="1:7" ht="15">
      <c r="A1233" s="84" t="s">
        <v>1919</v>
      </c>
      <c r="B1233" s="83">
        <v>2</v>
      </c>
      <c r="C1233" s="110">
        <v>0.008190291118868894</v>
      </c>
      <c r="D1233" s="83" t="s">
        <v>1389</v>
      </c>
      <c r="E1233" s="83" t="b">
        <v>0</v>
      </c>
      <c r="F1233" s="83" t="b">
        <v>0</v>
      </c>
      <c r="G1233" s="83" t="b">
        <v>0</v>
      </c>
    </row>
    <row r="1234" spans="1:7" ht="15">
      <c r="A1234" s="84" t="s">
        <v>1920</v>
      </c>
      <c r="B1234" s="83">
        <v>2</v>
      </c>
      <c r="C1234" s="110">
        <v>0.02219168626603081</v>
      </c>
      <c r="D1234" s="83" t="s">
        <v>1389</v>
      </c>
      <c r="E1234" s="83" t="b">
        <v>0</v>
      </c>
      <c r="F1234" s="83" t="b">
        <v>0</v>
      </c>
      <c r="G1234" s="83" t="b">
        <v>0</v>
      </c>
    </row>
    <row r="1235" spans="1:7" ht="15">
      <c r="A1235" s="84" t="s">
        <v>1753</v>
      </c>
      <c r="B1235" s="83">
        <v>3</v>
      </c>
      <c r="C1235" s="110">
        <v>0.031074928068649633</v>
      </c>
      <c r="D1235" s="83" t="s">
        <v>1390</v>
      </c>
      <c r="E1235" s="83" t="b">
        <v>0</v>
      </c>
      <c r="F1235" s="83" t="b">
        <v>0</v>
      </c>
      <c r="G1235" s="83" t="b">
        <v>0</v>
      </c>
    </row>
    <row r="1236" spans="1:7" ht="15">
      <c r="A1236" s="84" t="s">
        <v>1459</v>
      </c>
      <c r="B1236" s="83">
        <v>2</v>
      </c>
      <c r="C1236" s="110">
        <v>0</v>
      </c>
      <c r="D1236" s="83" t="s">
        <v>1392</v>
      </c>
      <c r="E1236" s="83" t="b">
        <v>0</v>
      </c>
      <c r="F1236" s="83" t="b">
        <v>0</v>
      </c>
      <c r="G1236" s="83" t="b">
        <v>0</v>
      </c>
    </row>
    <row r="1237" spans="1:7" ht="15">
      <c r="A1237" s="84" t="s">
        <v>1976</v>
      </c>
      <c r="B1237" s="83">
        <v>2</v>
      </c>
      <c r="C1237" s="110">
        <v>0</v>
      </c>
      <c r="D1237" s="83" t="s">
        <v>1393</v>
      </c>
      <c r="E1237" s="83" t="b">
        <v>0</v>
      </c>
      <c r="F1237" s="83" t="b">
        <v>0</v>
      </c>
      <c r="G1237" s="83" t="b">
        <v>0</v>
      </c>
    </row>
    <row r="1238" spans="1:7" ht="15">
      <c r="A1238" s="84" t="s">
        <v>1429</v>
      </c>
      <c r="B1238" s="83">
        <v>6</v>
      </c>
      <c r="C1238" s="110">
        <v>0.015155905660299642</v>
      </c>
      <c r="D1238" s="83" t="s">
        <v>1394</v>
      </c>
      <c r="E1238" s="83" t="b">
        <v>0</v>
      </c>
      <c r="F1238" s="83" t="b">
        <v>0</v>
      </c>
      <c r="G1238" s="83" t="b">
        <v>0</v>
      </c>
    </row>
    <row r="1239" spans="1:7" ht="15">
      <c r="A1239" s="84" t="s">
        <v>1432</v>
      </c>
      <c r="B1239" s="83">
        <v>6</v>
      </c>
      <c r="C1239" s="110">
        <v>0.028985507246376812</v>
      </c>
      <c r="D1239" s="83" t="s">
        <v>1394</v>
      </c>
      <c r="E1239" s="83" t="b">
        <v>0</v>
      </c>
      <c r="F1239" s="83" t="b">
        <v>0</v>
      </c>
      <c r="G1239" s="83" t="b">
        <v>0</v>
      </c>
    </row>
    <row r="1240" spans="1:7" ht="15">
      <c r="A1240" s="84" t="s">
        <v>1527</v>
      </c>
      <c r="B1240" s="83">
        <v>5</v>
      </c>
      <c r="C1240" s="110">
        <v>0.01688333343806809</v>
      </c>
      <c r="D1240" s="83" t="s">
        <v>1394</v>
      </c>
      <c r="E1240" s="83" t="b">
        <v>0</v>
      </c>
      <c r="F1240" s="83" t="b">
        <v>0</v>
      </c>
      <c r="G1240" s="83" t="b">
        <v>0</v>
      </c>
    </row>
    <row r="1241" spans="1:7" ht="15">
      <c r="A1241" s="84" t="s">
        <v>1430</v>
      </c>
      <c r="B1241" s="83">
        <v>5</v>
      </c>
      <c r="C1241" s="110">
        <v>0.01688333343806809</v>
      </c>
      <c r="D1241" s="83" t="s">
        <v>1394</v>
      </c>
      <c r="E1241" s="83" t="b">
        <v>0</v>
      </c>
      <c r="F1241" s="83" t="b">
        <v>0</v>
      </c>
      <c r="G1241" s="83" t="b">
        <v>0</v>
      </c>
    </row>
    <row r="1242" spans="1:7" ht="15">
      <c r="A1242" s="84" t="s">
        <v>1481</v>
      </c>
      <c r="B1242" s="83">
        <v>5</v>
      </c>
      <c r="C1242" s="110">
        <v>0.01688333343806809</v>
      </c>
      <c r="D1242" s="83" t="s">
        <v>1394</v>
      </c>
      <c r="E1242" s="83" t="b">
        <v>0</v>
      </c>
      <c r="F1242" s="83" t="b">
        <v>0</v>
      </c>
      <c r="G1242" s="83" t="b">
        <v>0</v>
      </c>
    </row>
    <row r="1243" spans="1:7" ht="15">
      <c r="A1243" s="84" t="s">
        <v>1506</v>
      </c>
      <c r="B1243" s="83">
        <v>5</v>
      </c>
      <c r="C1243" s="110">
        <v>0.01688333343806809</v>
      </c>
      <c r="D1243" s="83" t="s">
        <v>1394</v>
      </c>
      <c r="E1243" s="83" t="b">
        <v>0</v>
      </c>
      <c r="F1243" s="83" t="b">
        <v>0</v>
      </c>
      <c r="G1243" s="83" t="b">
        <v>0</v>
      </c>
    </row>
    <row r="1244" spans="1:7" ht="15">
      <c r="A1244" s="84" t="s">
        <v>1471</v>
      </c>
      <c r="B1244" s="83">
        <v>4</v>
      </c>
      <c r="C1244" s="110">
        <v>0.010103937106866428</v>
      </c>
      <c r="D1244" s="83" t="s">
        <v>1394</v>
      </c>
      <c r="E1244" s="83" t="b">
        <v>0</v>
      </c>
      <c r="F1244" s="83" t="b">
        <v>0</v>
      </c>
      <c r="G1244" s="83" t="b">
        <v>0</v>
      </c>
    </row>
    <row r="1245" spans="1:7" ht="15">
      <c r="A1245" s="84" t="s">
        <v>1434</v>
      </c>
      <c r="B1245" s="83">
        <v>4</v>
      </c>
      <c r="C1245" s="110">
        <v>0.01350666675045447</v>
      </c>
      <c r="D1245" s="83" t="s">
        <v>1394</v>
      </c>
      <c r="E1245" s="83" t="b">
        <v>0</v>
      </c>
      <c r="F1245" s="83" t="b">
        <v>0</v>
      </c>
      <c r="G1245" s="83" t="b">
        <v>0</v>
      </c>
    </row>
    <row r="1246" spans="1:7" ht="15">
      <c r="A1246" s="84" t="s">
        <v>1431</v>
      </c>
      <c r="B1246" s="83">
        <v>4</v>
      </c>
      <c r="C1246" s="110">
        <v>0.01932367149758454</v>
      </c>
      <c r="D1246" s="83" t="s">
        <v>1394</v>
      </c>
      <c r="E1246" s="83" t="b">
        <v>0</v>
      </c>
      <c r="F1246" s="83" t="b">
        <v>0</v>
      </c>
      <c r="G1246" s="83" t="b">
        <v>0</v>
      </c>
    </row>
    <row r="1247" spans="1:7" ht="15">
      <c r="A1247" s="84" t="s">
        <v>1450</v>
      </c>
      <c r="B1247" s="83">
        <v>4</v>
      </c>
      <c r="C1247" s="110">
        <v>0.010103937106866428</v>
      </c>
      <c r="D1247" s="83" t="s">
        <v>1394</v>
      </c>
      <c r="E1247" s="83" t="b">
        <v>0</v>
      </c>
      <c r="F1247" s="83" t="b">
        <v>0</v>
      </c>
      <c r="G1247" s="83" t="b">
        <v>0</v>
      </c>
    </row>
    <row r="1248" spans="1:7" ht="15">
      <c r="A1248" s="84" t="s">
        <v>1646</v>
      </c>
      <c r="B1248" s="83">
        <v>4</v>
      </c>
      <c r="C1248" s="110">
        <v>0.01350666675045447</v>
      </c>
      <c r="D1248" s="83" t="s">
        <v>1394</v>
      </c>
      <c r="E1248" s="83" t="b">
        <v>0</v>
      </c>
      <c r="F1248" s="83" t="b">
        <v>0</v>
      </c>
      <c r="G1248" s="83" t="b">
        <v>0</v>
      </c>
    </row>
    <row r="1249" spans="1:7" ht="15">
      <c r="A1249" s="84" t="s">
        <v>1428</v>
      </c>
      <c r="B1249" s="83">
        <v>3</v>
      </c>
      <c r="C1249" s="110">
        <v>0.010130000062840852</v>
      </c>
      <c r="D1249" s="83" t="s">
        <v>1394</v>
      </c>
      <c r="E1249" s="83" t="b">
        <v>0</v>
      </c>
      <c r="F1249" s="83" t="b">
        <v>0</v>
      </c>
      <c r="G1249" s="83" t="b">
        <v>0</v>
      </c>
    </row>
    <row r="1250" spans="1:7" ht="15">
      <c r="A1250" s="84" t="s">
        <v>1582</v>
      </c>
      <c r="B1250" s="83">
        <v>3</v>
      </c>
      <c r="C1250" s="110">
        <v>0.014492753623188406</v>
      </c>
      <c r="D1250" s="83" t="s">
        <v>1394</v>
      </c>
      <c r="E1250" s="83" t="b">
        <v>0</v>
      </c>
      <c r="F1250" s="83" t="b">
        <v>0</v>
      </c>
      <c r="G1250" s="83" t="b">
        <v>0</v>
      </c>
    </row>
    <row r="1251" spans="1:7" ht="15">
      <c r="A1251" s="84" t="s">
        <v>1758</v>
      </c>
      <c r="B1251" s="83">
        <v>3</v>
      </c>
      <c r="C1251" s="110">
        <v>0.014492753623188406</v>
      </c>
      <c r="D1251" s="83" t="s">
        <v>1394</v>
      </c>
      <c r="E1251" s="83" t="b">
        <v>0</v>
      </c>
      <c r="F1251" s="83" t="b">
        <v>0</v>
      </c>
      <c r="G1251" s="83" t="b">
        <v>0</v>
      </c>
    </row>
    <row r="1252" spans="1:7" ht="15">
      <c r="A1252" s="84" t="s">
        <v>1759</v>
      </c>
      <c r="B1252" s="83">
        <v>3</v>
      </c>
      <c r="C1252" s="110">
        <v>0.014492753623188406</v>
      </c>
      <c r="D1252" s="83" t="s">
        <v>1394</v>
      </c>
      <c r="E1252" s="83" t="b">
        <v>0</v>
      </c>
      <c r="F1252" s="83" t="b">
        <v>0</v>
      </c>
      <c r="G1252" s="83" t="b">
        <v>0</v>
      </c>
    </row>
    <row r="1253" spans="1:7" ht="15">
      <c r="A1253" s="84" t="s">
        <v>1460</v>
      </c>
      <c r="B1253" s="83">
        <v>3</v>
      </c>
      <c r="C1253" s="110">
        <v>0.014492753623188406</v>
      </c>
      <c r="D1253" s="83" t="s">
        <v>1394</v>
      </c>
      <c r="E1253" s="83" t="b">
        <v>0</v>
      </c>
      <c r="F1253" s="83" t="b">
        <v>0</v>
      </c>
      <c r="G1253" s="83" t="b">
        <v>0</v>
      </c>
    </row>
    <row r="1254" spans="1:7" ht="15">
      <c r="A1254" s="84" t="s">
        <v>1448</v>
      </c>
      <c r="B1254" s="83">
        <v>3</v>
      </c>
      <c r="C1254" s="110">
        <v>0.014492753623188406</v>
      </c>
      <c r="D1254" s="83" t="s">
        <v>1394</v>
      </c>
      <c r="E1254" s="83" t="b">
        <v>0</v>
      </c>
      <c r="F1254" s="83" t="b">
        <v>0</v>
      </c>
      <c r="G1254" s="83" t="b">
        <v>0</v>
      </c>
    </row>
    <row r="1255" spans="1:7" ht="15">
      <c r="A1255" s="84" t="s">
        <v>1465</v>
      </c>
      <c r="B1255" s="83">
        <v>3</v>
      </c>
      <c r="C1255" s="110">
        <v>0.010130000062840852</v>
      </c>
      <c r="D1255" s="83" t="s">
        <v>1394</v>
      </c>
      <c r="E1255" s="83" t="b">
        <v>0</v>
      </c>
      <c r="F1255" s="83" t="b">
        <v>0</v>
      </c>
      <c r="G1255" s="83" t="b">
        <v>0</v>
      </c>
    </row>
    <row r="1256" spans="1:7" ht="15">
      <c r="A1256" s="84" t="s">
        <v>1760</v>
      </c>
      <c r="B1256" s="83">
        <v>3</v>
      </c>
      <c r="C1256" s="110">
        <v>0.010130000062840852</v>
      </c>
      <c r="D1256" s="83" t="s">
        <v>1394</v>
      </c>
      <c r="E1256" s="83" t="b">
        <v>0</v>
      </c>
      <c r="F1256" s="83" t="b">
        <v>0</v>
      </c>
      <c r="G1256" s="83" t="b">
        <v>0</v>
      </c>
    </row>
    <row r="1257" spans="1:7" ht="15">
      <c r="A1257" s="84" t="s">
        <v>1511</v>
      </c>
      <c r="B1257" s="83">
        <v>2</v>
      </c>
      <c r="C1257" s="110">
        <v>0.006753333375227235</v>
      </c>
      <c r="D1257" s="83" t="s">
        <v>1394</v>
      </c>
      <c r="E1257" s="83" t="b">
        <v>0</v>
      </c>
      <c r="F1257" s="83" t="b">
        <v>0</v>
      </c>
      <c r="G1257" s="83" t="b">
        <v>0</v>
      </c>
    </row>
    <row r="1258" spans="1:7" ht="15">
      <c r="A1258" s="84" t="s">
        <v>1459</v>
      </c>
      <c r="B1258" s="83">
        <v>2</v>
      </c>
      <c r="C1258" s="110">
        <v>0.006753333375227235</v>
      </c>
      <c r="D1258" s="83" t="s">
        <v>1394</v>
      </c>
      <c r="E1258" s="83" t="b">
        <v>0</v>
      </c>
      <c r="F1258" s="83" t="b">
        <v>0</v>
      </c>
      <c r="G1258" s="83" t="b">
        <v>0</v>
      </c>
    </row>
    <row r="1259" spans="1:7" ht="15">
      <c r="A1259" s="84" t="s">
        <v>1501</v>
      </c>
      <c r="B1259" s="83">
        <v>2</v>
      </c>
      <c r="C1259" s="110">
        <v>0.00966183574879227</v>
      </c>
      <c r="D1259" s="83" t="s">
        <v>1394</v>
      </c>
      <c r="E1259" s="83" t="b">
        <v>0</v>
      </c>
      <c r="F1259" s="83" t="b">
        <v>0</v>
      </c>
      <c r="G1259" s="83" t="b">
        <v>0</v>
      </c>
    </row>
    <row r="1260" spans="1:7" ht="15">
      <c r="A1260" s="84" t="s">
        <v>1477</v>
      </c>
      <c r="B1260" s="83">
        <v>2</v>
      </c>
      <c r="C1260" s="110">
        <v>0.00966183574879227</v>
      </c>
      <c r="D1260" s="83" t="s">
        <v>1394</v>
      </c>
      <c r="E1260" s="83" t="b">
        <v>0</v>
      </c>
      <c r="F1260" s="83" t="b">
        <v>0</v>
      </c>
      <c r="G1260" s="83" t="b">
        <v>0</v>
      </c>
    </row>
    <row r="1261" spans="1:7" ht="15">
      <c r="A1261" s="84" t="s">
        <v>2035</v>
      </c>
      <c r="B1261" s="83">
        <v>2</v>
      </c>
      <c r="C1261" s="110">
        <v>0.00966183574879227</v>
      </c>
      <c r="D1261" s="83" t="s">
        <v>1394</v>
      </c>
      <c r="E1261" s="83" t="b">
        <v>0</v>
      </c>
      <c r="F1261" s="83" t="b">
        <v>0</v>
      </c>
      <c r="G1261" s="83" t="b">
        <v>0</v>
      </c>
    </row>
    <row r="1262" spans="1:7" ht="15">
      <c r="A1262" s="84" t="s">
        <v>2036</v>
      </c>
      <c r="B1262" s="83">
        <v>2</v>
      </c>
      <c r="C1262" s="110">
        <v>0.00966183574879227</v>
      </c>
      <c r="D1262" s="83" t="s">
        <v>1394</v>
      </c>
      <c r="E1262" s="83" t="b">
        <v>0</v>
      </c>
      <c r="F1262" s="83" t="b">
        <v>0</v>
      </c>
      <c r="G1262" s="83" t="b">
        <v>0</v>
      </c>
    </row>
    <row r="1263" spans="1:7" ht="15">
      <c r="A1263" s="84" t="s">
        <v>1738</v>
      </c>
      <c r="B1263" s="83">
        <v>2</v>
      </c>
      <c r="C1263" s="110">
        <v>0.00966183574879227</v>
      </c>
      <c r="D1263" s="83" t="s">
        <v>1394</v>
      </c>
      <c r="E1263" s="83" t="b">
        <v>0</v>
      </c>
      <c r="F1263" s="83" t="b">
        <v>0</v>
      </c>
      <c r="G1263" s="83" t="b">
        <v>0</v>
      </c>
    </row>
    <row r="1264" spans="1:7" ht="15">
      <c r="A1264" s="84" t="s">
        <v>1701</v>
      </c>
      <c r="B1264" s="83">
        <v>2</v>
      </c>
      <c r="C1264" s="110">
        <v>0.00966183574879227</v>
      </c>
      <c r="D1264" s="83" t="s">
        <v>1394</v>
      </c>
      <c r="E1264" s="83" t="b">
        <v>0</v>
      </c>
      <c r="F1264" s="83" t="b">
        <v>0</v>
      </c>
      <c r="G1264" s="83" t="b">
        <v>0</v>
      </c>
    </row>
    <row r="1265" spans="1:7" ht="15">
      <c r="A1265" s="84" t="s">
        <v>2037</v>
      </c>
      <c r="B1265" s="83">
        <v>2</v>
      </c>
      <c r="C1265" s="110">
        <v>0.00966183574879227</v>
      </c>
      <c r="D1265" s="83" t="s">
        <v>1394</v>
      </c>
      <c r="E1265" s="83" t="b">
        <v>0</v>
      </c>
      <c r="F1265" s="83" t="b">
        <v>0</v>
      </c>
      <c r="G1265" s="83" t="b">
        <v>0</v>
      </c>
    </row>
    <row r="1266" spans="1:7" ht="15">
      <c r="A1266" s="84" t="s">
        <v>1449</v>
      </c>
      <c r="B1266" s="83">
        <v>2</v>
      </c>
      <c r="C1266" s="110">
        <v>0.00966183574879227</v>
      </c>
      <c r="D1266" s="83" t="s">
        <v>1394</v>
      </c>
      <c r="E1266" s="83" t="b">
        <v>0</v>
      </c>
      <c r="F1266" s="83" t="b">
        <v>0</v>
      </c>
      <c r="G1266" s="83" t="b">
        <v>0</v>
      </c>
    </row>
    <row r="1267" spans="1:7" ht="15">
      <c r="A1267" s="84" t="s">
        <v>1474</v>
      </c>
      <c r="B1267" s="83">
        <v>2</v>
      </c>
      <c r="C1267" s="110">
        <v>0.00966183574879227</v>
      </c>
      <c r="D1267" s="83" t="s">
        <v>1394</v>
      </c>
      <c r="E1267" s="83" t="b">
        <v>0</v>
      </c>
      <c r="F1267" s="83" t="b">
        <v>0</v>
      </c>
      <c r="G1267" s="83" t="b">
        <v>0</v>
      </c>
    </row>
    <row r="1268" spans="1:7" ht="15">
      <c r="A1268" s="84" t="s">
        <v>2038</v>
      </c>
      <c r="B1268" s="83">
        <v>2</v>
      </c>
      <c r="C1268" s="110">
        <v>0.00966183574879227</v>
      </c>
      <c r="D1268" s="83" t="s">
        <v>1394</v>
      </c>
      <c r="E1268" s="83" t="b">
        <v>0</v>
      </c>
      <c r="F1268" s="83" t="b">
        <v>0</v>
      </c>
      <c r="G1268" s="83" t="b">
        <v>0</v>
      </c>
    </row>
    <row r="1269" spans="1:7" ht="15">
      <c r="A1269" s="84" t="s">
        <v>1545</v>
      </c>
      <c r="B1269" s="83">
        <v>2</v>
      </c>
      <c r="C1269" s="110">
        <v>0.00966183574879227</v>
      </c>
      <c r="D1269" s="83" t="s">
        <v>1394</v>
      </c>
      <c r="E1269" s="83" t="b">
        <v>0</v>
      </c>
      <c r="F1269" s="83" t="b">
        <v>0</v>
      </c>
      <c r="G1269" s="83" t="b">
        <v>0</v>
      </c>
    </row>
    <row r="1270" spans="1:7" ht="15">
      <c r="A1270" s="84" t="s">
        <v>2044</v>
      </c>
      <c r="B1270" s="83">
        <v>2</v>
      </c>
      <c r="C1270" s="110">
        <v>0.00966183574879227</v>
      </c>
      <c r="D1270" s="83" t="s">
        <v>1394</v>
      </c>
      <c r="E1270" s="83" t="b">
        <v>0</v>
      </c>
      <c r="F1270" s="83" t="b">
        <v>0</v>
      </c>
      <c r="G1270" s="83" t="b">
        <v>0</v>
      </c>
    </row>
    <row r="1271" spans="1:7" ht="15">
      <c r="A1271" s="84" t="s">
        <v>2045</v>
      </c>
      <c r="B1271" s="83">
        <v>2</v>
      </c>
      <c r="C1271" s="110">
        <v>0.00966183574879227</v>
      </c>
      <c r="D1271" s="83" t="s">
        <v>1394</v>
      </c>
      <c r="E1271" s="83" t="b">
        <v>0</v>
      </c>
      <c r="F1271" s="83" t="b">
        <v>0</v>
      </c>
      <c r="G1271" s="83" t="b">
        <v>0</v>
      </c>
    </row>
    <row r="1272" spans="1:7" ht="15">
      <c r="A1272" s="84" t="s">
        <v>1558</v>
      </c>
      <c r="B1272" s="83">
        <v>2</v>
      </c>
      <c r="C1272" s="110">
        <v>0.00966183574879227</v>
      </c>
      <c r="D1272" s="83" t="s">
        <v>1394</v>
      </c>
      <c r="E1272" s="83" t="b">
        <v>0</v>
      </c>
      <c r="F1272" s="83" t="b">
        <v>0</v>
      </c>
      <c r="G1272" s="83" t="b">
        <v>0</v>
      </c>
    </row>
    <row r="1273" spans="1:7" ht="15">
      <c r="A1273" s="84" t="s">
        <v>1544</v>
      </c>
      <c r="B1273" s="83">
        <v>2</v>
      </c>
      <c r="C1273" s="110">
        <v>0.00966183574879227</v>
      </c>
      <c r="D1273" s="83" t="s">
        <v>1394</v>
      </c>
      <c r="E1273" s="83" t="b">
        <v>0</v>
      </c>
      <c r="F1273" s="83" t="b">
        <v>0</v>
      </c>
      <c r="G1273" s="83" t="b">
        <v>0</v>
      </c>
    </row>
    <row r="1274" spans="1:7" ht="15">
      <c r="A1274" s="84" t="s">
        <v>2043</v>
      </c>
      <c r="B1274" s="83">
        <v>2</v>
      </c>
      <c r="C1274" s="110">
        <v>0.00966183574879227</v>
      </c>
      <c r="D1274" s="83" t="s">
        <v>1394</v>
      </c>
      <c r="E1274" s="83" t="b">
        <v>0</v>
      </c>
      <c r="F1274" s="83" t="b">
        <v>0</v>
      </c>
      <c r="G1274" s="83" t="b">
        <v>0</v>
      </c>
    </row>
    <row r="1275" spans="1:7" ht="15">
      <c r="A1275" s="84" t="s">
        <v>1457</v>
      </c>
      <c r="B1275" s="83">
        <v>2</v>
      </c>
      <c r="C1275" s="110">
        <v>0.00966183574879227</v>
      </c>
      <c r="D1275" s="83" t="s">
        <v>1394</v>
      </c>
      <c r="E1275" s="83" t="b">
        <v>0</v>
      </c>
      <c r="F1275" s="83" t="b">
        <v>0</v>
      </c>
      <c r="G1275" s="83" t="b">
        <v>0</v>
      </c>
    </row>
    <row r="1276" spans="1:7" ht="15">
      <c r="A1276" s="84" t="s">
        <v>1696</v>
      </c>
      <c r="B1276" s="83">
        <v>2</v>
      </c>
      <c r="C1276" s="110">
        <v>0.00966183574879227</v>
      </c>
      <c r="D1276" s="83" t="s">
        <v>1394</v>
      </c>
      <c r="E1276" s="83" t="b">
        <v>0</v>
      </c>
      <c r="F1276" s="83" t="b">
        <v>0</v>
      </c>
      <c r="G1276" s="83" t="b">
        <v>0</v>
      </c>
    </row>
    <row r="1277" spans="1:7" ht="15">
      <c r="A1277" s="84" t="s">
        <v>2042</v>
      </c>
      <c r="B1277" s="83">
        <v>2</v>
      </c>
      <c r="C1277" s="110">
        <v>0.00966183574879227</v>
      </c>
      <c r="D1277" s="83" t="s">
        <v>1394</v>
      </c>
      <c r="E1277" s="83" t="b">
        <v>0</v>
      </c>
      <c r="F1277" s="83" t="b">
        <v>0</v>
      </c>
      <c r="G1277" s="83" t="b">
        <v>0</v>
      </c>
    </row>
    <row r="1278" spans="1:7" ht="15">
      <c r="A1278" s="84" t="s">
        <v>1479</v>
      </c>
      <c r="B1278" s="83">
        <v>2</v>
      </c>
      <c r="C1278" s="110">
        <v>0.00966183574879227</v>
      </c>
      <c r="D1278" s="83" t="s">
        <v>1394</v>
      </c>
      <c r="E1278" s="83" t="b">
        <v>0</v>
      </c>
      <c r="F1278" s="83" t="b">
        <v>0</v>
      </c>
      <c r="G1278" s="83" t="b">
        <v>0</v>
      </c>
    </row>
    <row r="1279" spans="1:7" ht="15">
      <c r="A1279" s="84" t="s">
        <v>1446</v>
      </c>
      <c r="B1279" s="83">
        <v>2</v>
      </c>
      <c r="C1279" s="110">
        <v>0.00966183574879227</v>
      </c>
      <c r="D1279" s="83" t="s">
        <v>1394</v>
      </c>
      <c r="E1279" s="83" t="b">
        <v>0</v>
      </c>
      <c r="F1279" s="83" t="b">
        <v>0</v>
      </c>
      <c r="G1279" s="83" t="b">
        <v>0</v>
      </c>
    </row>
    <row r="1280" spans="1:7" ht="15">
      <c r="A1280" s="84" t="s">
        <v>1480</v>
      </c>
      <c r="B1280" s="83">
        <v>2</v>
      </c>
      <c r="C1280" s="110">
        <v>0.00966183574879227</v>
      </c>
      <c r="D1280" s="83" t="s">
        <v>1394</v>
      </c>
      <c r="E1280" s="83" t="b">
        <v>0</v>
      </c>
      <c r="F1280" s="83" t="b">
        <v>0</v>
      </c>
      <c r="G1280" s="83" t="b">
        <v>0</v>
      </c>
    </row>
    <row r="1281" spans="1:7" ht="15">
      <c r="A1281" s="84" t="s">
        <v>1639</v>
      </c>
      <c r="B1281" s="83">
        <v>2</v>
      </c>
      <c r="C1281" s="110">
        <v>0.00966183574879227</v>
      </c>
      <c r="D1281" s="83" t="s">
        <v>1394</v>
      </c>
      <c r="E1281" s="83" t="b">
        <v>0</v>
      </c>
      <c r="F1281" s="83" t="b">
        <v>0</v>
      </c>
      <c r="G1281" s="83" t="b">
        <v>0</v>
      </c>
    </row>
    <row r="1282" spans="1:7" ht="15">
      <c r="A1282" s="84" t="s">
        <v>2041</v>
      </c>
      <c r="B1282" s="83">
        <v>2</v>
      </c>
      <c r="C1282" s="110">
        <v>0.00966183574879227</v>
      </c>
      <c r="D1282" s="83" t="s">
        <v>1394</v>
      </c>
      <c r="E1282" s="83" t="b">
        <v>0</v>
      </c>
      <c r="F1282" s="83" t="b">
        <v>0</v>
      </c>
      <c r="G1282" s="83" t="b">
        <v>0</v>
      </c>
    </row>
    <row r="1283" spans="1:7" ht="15">
      <c r="A1283" s="84" t="s">
        <v>2039</v>
      </c>
      <c r="B1283" s="83">
        <v>2</v>
      </c>
      <c r="C1283" s="110">
        <v>0.00966183574879227</v>
      </c>
      <c r="D1283" s="83" t="s">
        <v>1394</v>
      </c>
      <c r="E1283" s="83" t="b">
        <v>0</v>
      </c>
      <c r="F1283" s="83" t="b">
        <v>0</v>
      </c>
      <c r="G1283" s="83" t="b">
        <v>0</v>
      </c>
    </row>
    <row r="1284" spans="1:7" ht="15">
      <c r="A1284" s="84" t="s">
        <v>2040</v>
      </c>
      <c r="B1284" s="83">
        <v>2</v>
      </c>
      <c r="C1284" s="110">
        <v>0.00966183574879227</v>
      </c>
      <c r="D1284" s="83" t="s">
        <v>1394</v>
      </c>
      <c r="E1284" s="83" t="b">
        <v>0</v>
      </c>
      <c r="F1284" s="83" t="b">
        <v>0</v>
      </c>
      <c r="G1284" s="83" t="b">
        <v>0</v>
      </c>
    </row>
    <row r="1285" spans="1:7" ht="15">
      <c r="A1285" s="84" t="s">
        <v>1433</v>
      </c>
      <c r="B1285" s="83">
        <v>4</v>
      </c>
      <c r="C1285" s="110">
        <v>0</v>
      </c>
      <c r="D1285" s="83" t="s">
        <v>1395</v>
      </c>
      <c r="E1285" s="83" t="b">
        <v>0</v>
      </c>
      <c r="F1285" s="83" t="b">
        <v>0</v>
      </c>
      <c r="G1285" s="83" t="b">
        <v>0</v>
      </c>
    </row>
    <row r="1286" spans="1:7" ht="15">
      <c r="A1286" s="84" t="s">
        <v>1435</v>
      </c>
      <c r="B1286" s="83">
        <v>3</v>
      </c>
      <c r="C1286" s="110">
        <v>0.012924696890513785</v>
      </c>
      <c r="D1286" s="83" t="s">
        <v>1395</v>
      </c>
      <c r="E1286" s="83" t="b">
        <v>0</v>
      </c>
      <c r="F1286" s="83" t="b">
        <v>0</v>
      </c>
      <c r="G1286" s="83" t="b">
        <v>0</v>
      </c>
    </row>
    <row r="1287" spans="1:7" ht="15">
      <c r="A1287" s="84" t="s">
        <v>1463</v>
      </c>
      <c r="B1287" s="83">
        <v>2</v>
      </c>
      <c r="C1287" s="110">
        <v>0.020760689356136633</v>
      </c>
      <c r="D1287" s="83" t="s">
        <v>1395</v>
      </c>
      <c r="E1287" s="83" t="b">
        <v>0</v>
      </c>
      <c r="F1287" s="83" t="b">
        <v>0</v>
      </c>
      <c r="G1287" s="83" t="b">
        <v>0</v>
      </c>
    </row>
    <row r="1288" spans="1:7" ht="15">
      <c r="A1288" s="84" t="s">
        <v>1547</v>
      </c>
      <c r="B1288" s="83">
        <v>2</v>
      </c>
      <c r="C1288" s="110">
        <v>0.020760689356136633</v>
      </c>
      <c r="D1288" s="83" t="s">
        <v>1395</v>
      </c>
      <c r="E1288" s="83" t="b">
        <v>0</v>
      </c>
      <c r="F1288" s="83" t="b">
        <v>0</v>
      </c>
      <c r="G1288" s="83" t="b">
        <v>0</v>
      </c>
    </row>
    <row r="1289" spans="1:7" ht="15">
      <c r="A1289" s="84" t="s">
        <v>1978</v>
      </c>
      <c r="B1289" s="83">
        <v>2</v>
      </c>
      <c r="C1289" s="110">
        <v>0</v>
      </c>
      <c r="D1289" s="83" t="s">
        <v>1397</v>
      </c>
      <c r="E1289" s="83" t="b">
        <v>0</v>
      </c>
      <c r="F1289" s="83" t="b">
        <v>0</v>
      </c>
      <c r="G1289" s="83" t="b">
        <v>0</v>
      </c>
    </row>
    <row r="1290" spans="1:7" ht="15">
      <c r="A1290" s="84" t="s">
        <v>1979</v>
      </c>
      <c r="B1290" s="83">
        <v>2</v>
      </c>
      <c r="C1290" s="110">
        <v>0</v>
      </c>
      <c r="D1290" s="83" t="s">
        <v>1397</v>
      </c>
      <c r="E1290" s="83" t="b">
        <v>0</v>
      </c>
      <c r="F1290" s="83" t="b">
        <v>0</v>
      </c>
      <c r="G1290" s="83" t="b">
        <v>0</v>
      </c>
    </row>
    <row r="1291" spans="1:7" ht="15">
      <c r="A1291" s="84" t="s">
        <v>1629</v>
      </c>
      <c r="B1291" s="83">
        <v>2</v>
      </c>
      <c r="C1291" s="110">
        <v>0.012542916485999216</v>
      </c>
      <c r="D1291" s="83" t="s">
        <v>1398</v>
      </c>
      <c r="E1291" s="83" t="b">
        <v>0</v>
      </c>
      <c r="F1291" s="83" t="b">
        <v>0</v>
      </c>
      <c r="G1291" s="83" t="b">
        <v>0</v>
      </c>
    </row>
    <row r="1292" spans="1:7" ht="15">
      <c r="A1292" s="84" t="s">
        <v>2005</v>
      </c>
      <c r="B1292" s="83">
        <v>2</v>
      </c>
      <c r="C1292" s="110">
        <v>0.012542916485999216</v>
      </c>
      <c r="D1292" s="83" t="s">
        <v>1398</v>
      </c>
      <c r="E1292" s="83" t="b">
        <v>0</v>
      </c>
      <c r="F1292" s="83" t="b">
        <v>0</v>
      </c>
      <c r="G1292" s="83" t="b">
        <v>0</v>
      </c>
    </row>
    <row r="1293" spans="1:7" ht="15">
      <c r="A1293" s="84" t="s">
        <v>2006</v>
      </c>
      <c r="B1293" s="83">
        <v>2</v>
      </c>
      <c r="C1293" s="110">
        <v>0.012542916485999216</v>
      </c>
      <c r="D1293" s="83" t="s">
        <v>1398</v>
      </c>
      <c r="E1293" s="83" t="b">
        <v>0</v>
      </c>
      <c r="F1293" s="83" t="b">
        <v>0</v>
      </c>
      <c r="G1293" s="83" t="b">
        <v>0</v>
      </c>
    </row>
    <row r="1294" spans="1:7" ht="15">
      <c r="A1294" s="84" t="s">
        <v>2007</v>
      </c>
      <c r="B1294" s="83">
        <v>2</v>
      </c>
      <c r="C1294" s="110">
        <v>0.012542916485999216</v>
      </c>
      <c r="D1294" s="83" t="s">
        <v>1398</v>
      </c>
      <c r="E1294" s="83" t="b">
        <v>0</v>
      </c>
      <c r="F1294" s="83" t="b">
        <v>0</v>
      </c>
      <c r="G1294" s="83" t="b">
        <v>0</v>
      </c>
    </row>
    <row r="1295" spans="1:7" ht="15">
      <c r="A1295" s="84" t="s">
        <v>2008</v>
      </c>
      <c r="B1295" s="83">
        <v>2</v>
      </c>
      <c r="C1295" s="110">
        <v>0.012542916485999216</v>
      </c>
      <c r="D1295" s="83" t="s">
        <v>1398</v>
      </c>
      <c r="E1295" s="83" t="b">
        <v>0</v>
      </c>
      <c r="F1295" s="83" t="b">
        <v>0</v>
      </c>
      <c r="G1295" s="83" t="b">
        <v>0</v>
      </c>
    </row>
    <row r="1296" spans="1:7" ht="15">
      <c r="A1296" s="84" t="s">
        <v>2009</v>
      </c>
      <c r="B1296" s="83">
        <v>2</v>
      </c>
      <c r="C1296" s="110">
        <v>0.012542916485999216</v>
      </c>
      <c r="D1296" s="83" t="s">
        <v>1398</v>
      </c>
      <c r="E1296" s="83" t="b">
        <v>0</v>
      </c>
      <c r="F1296" s="83" t="b">
        <v>0</v>
      </c>
      <c r="G1296" s="83" t="b">
        <v>0</v>
      </c>
    </row>
    <row r="1297" spans="1:7" ht="15">
      <c r="A1297" s="84" t="s">
        <v>2010</v>
      </c>
      <c r="B1297" s="83">
        <v>2</v>
      </c>
      <c r="C1297" s="110">
        <v>0.012542916485999216</v>
      </c>
      <c r="D1297" s="83" t="s">
        <v>1398</v>
      </c>
      <c r="E1297" s="83" t="b">
        <v>0</v>
      </c>
      <c r="F1297" s="83" t="b">
        <v>0</v>
      </c>
      <c r="G1297" s="83" t="b">
        <v>0</v>
      </c>
    </row>
    <row r="1298" spans="1:7" ht="15">
      <c r="A1298" s="84" t="s">
        <v>2011</v>
      </c>
      <c r="B1298" s="83">
        <v>2</v>
      </c>
      <c r="C1298" s="110">
        <v>0.012542916485999216</v>
      </c>
      <c r="D1298" s="83" t="s">
        <v>1398</v>
      </c>
      <c r="E1298" s="83" t="b">
        <v>0</v>
      </c>
      <c r="F1298" s="83" t="b">
        <v>0</v>
      </c>
      <c r="G1298" s="83" t="b">
        <v>0</v>
      </c>
    </row>
    <row r="1299" spans="1:7" ht="15">
      <c r="A1299" s="84" t="s">
        <v>2012</v>
      </c>
      <c r="B1299" s="83">
        <v>2</v>
      </c>
      <c r="C1299" s="110">
        <v>0.012542916485999216</v>
      </c>
      <c r="D1299" s="83" t="s">
        <v>1398</v>
      </c>
      <c r="E1299" s="83" t="b">
        <v>0</v>
      </c>
      <c r="F1299" s="83" t="b">
        <v>0</v>
      </c>
      <c r="G1299" s="83" t="b">
        <v>0</v>
      </c>
    </row>
    <row r="1300" spans="1:7" ht="15">
      <c r="A1300" s="84" t="s">
        <v>2013</v>
      </c>
      <c r="B1300" s="83">
        <v>2</v>
      </c>
      <c r="C1300" s="110">
        <v>0.012542916485999216</v>
      </c>
      <c r="D1300" s="83" t="s">
        <v>1398</v>
      </c>
      <c r="E1300" s="83" t="b">
        <v>0</v>
      </c>
      <c r="F1300" s="83" t="b">
        <v>0</v>
      </c>
      <c r="G1300" s="83" t="b">
        <v>0</v>
      </c>
    </row>
    <row r="1301" spans="1:7" ht="15">
      <c r="A1301" s="84" t="s">
        <v>2014</v>
      </c>
      <c r="B1301" s="83">
        <v>2</v>
      </c>
      <c r="C1301" s="110">
        <v>0.012542916485999216</v>
      </c>
      <c r="D1301" s="83" t="s">
        <v>1398</v>
      </c>
      <c r="E1301" s="83" t="b">
        <v>0</v>
      </c>
      <c r="F1301" s="83" t="b">
        <v>0</v>
      </c>
      <c r="G1301" s="83" t="b">
        <v>0</v>
      </c>
    </row>
    <row r="1302" spans="1:7" ht="15">
      <c r="A1302" s="84" t="s">
        <v>2015</v>
      </c>
      <c r="B1302" s="83">
        <v>2</v>
      </c>
      <c r="C1302" s="110">
        <v>0.012542916485999216</v>
      </c>
      <c r="D1302" s="83" t="s">
        <v>1398</v>
      </c>
      <c r="E1302" s="83" t="b">
        <v>0</v>
      </c>
      <c r="F1302" s="83" t="b">
        <v>0</v>
      </c>
      <c r="G1302" s="83" t="b">
        <v>0</v>
      </c>
    </row>
    <row r="1303" spans="1:7" ht="15">
      <c r="A1303" s="84" t="s">
        <v>2016</v>
      </c>
      <c r="B1303" s="83">
        <v>2</v>
      </c>
      <c r="C1303" s="110">
        <v>0.012542916485999216</v>
      </c>
      <c r="D1303" s="83" t="s">
        <v>1398</v>
      </c>
      <c r="E1303" s="83" t="b">
        <v>0</v>
      </c>
      <c r="F1303" s="83" t="b">
        <v>0</v>
      </c>
      <c r="G1303" s="83" t="b">
        <v>0</v>
      </c>
    </row>
    <row r="1304" spans="1:7" ht="15">
      <c r="A1304" s="84" t="s">
        <v>1428</v>
      </c>
      <c r="B1304" s="83">
        <v>2</v>
      </c>
      <c r="C1304" s="110">
        <v>0.012542916485999216</v>
      </c>
      <c r="D1304" s="83" t="s">
        <v>1398</v>
      </c>
      <c r="E1304" s="83" t="b">
        <v>0</v>
      </c>
      <c r="F1304" s="83" t="b">
        <v>0</v>
      </c>
      <c r="G1304" s="83" t="b">
        <v>0</v>
      </c>
    </row>
    <row r="1305" spans="1:7" ht="15">
      <c r="A1305" s="84" t="s">
        <v>1430</v>
      </c>
      <c r="B1305" s="83">
        <v>3</v>
      </c>
      <c r="C1305" s="110">
        <v>0.0265614702056454</v>
      </c>
      <c r="D1305" s="83" t="s">
        <v>1399</v>
      </c>
      <c r="E1305" s="83" t="b">
        <v>0</v>
      </c>
      <c r="F1305" s="83" t="b">
        <v>0</v>
      </c>
      <c r="G1305" s="83" t="b">
        <v>0</v>
      </c>
    </row>
    <row r="1306" spans="1:7" ht="15">
      <c r="A1306" s="84" t="s">
        <v>1487</v>
      </c>
      <c r="B1306" s="83">
        <v>3</v>
      </c>
      <c r="C1306" s="110">
        <v>0.0265614702056454</v>
      </c>
      <c r="D1306" s="83" t="s">
        <v>1399</v>
      </c>
      <c r="E1306" s="83" t="b">
        <v>0</v>
      </c>
      <c r="F1306" s="83" t="b">
        <v>0</v>
      </c>
      <c r="G1306" s="83" t="b">
        <v>0</v>
      </c>
    </row>
    <row r="1307" spans="1:7" ht="15">
      <c r="A1307" s="84" t="s">
        <v>1757</v>
      </c>
      <c r="B1307" s="83">
        <v>3</v>
      </c>
      <c r="C1307" s="110">
        <v>0.0265614702056454</v>
      </c>
      <c r="D1307" s="83" t="s">
        <v>1399</v>
      </c>
      <c r="E1307" s="83" t="b">
        <v>0</v>
      </c>
      <c r="F1307" s="83" t="b">
        <v>0</v>
      </c>
      <c r="G1307" s="83" t="b">
        <v>0</v>
      </c>
    </row>
    <row r="1308" spans="1:7" ht="15">
      <c r="A1308" s="84" t="s">
        <v>2031</v>
      </c>
      <c r="B1308" s="83">
        <v>2</v>
      </c>
      <c r="C1308" s="110">
        <v>0.0177076468037636</v>
      </c>
      <c r="D1308" s="83" t="s">
        <v>1399</v>
      </c>
      <c r="E1308" s="83" t="b">
        <v>0</v>
      </c>
      <c r="F1308" s="83" t="b">
        <v>0</v>
      </c>
      <c r="G1308" s="83" t="b">
        <v>0</v>
      </c>
    </row>
    <row r="1309" spans="1:7" ht="15">
      <c r="A1309" s="84" t="s">
        <v>1428</v>
      </c>
      <c r="B1309" s="83">
        <v>2</v>
      </c>
      <c r="C1309" s="110">
        <v>0.0177076468037636</v>
      </c>
      <c r="D1309" s="83" t="s">
        <v>1399</v>
      </c>
      <c r="E1309" s="83" t="b">
        <v>0</v>
      </c>
      <c r="F1309" s="83" t="b">
        <v>0</v>
      </c>
      <c r="G1309" s="83" t="b">
        <v>0</v>
      </c>
    </row>
    <row r="1310" spans="1:7" ht="15">
      <c r="A1310" s="84" t="s">
        <v>1451</v>
      </c>
      <c r="B1310" s="83">
        <v>2</v>
      </c>
      <c r="C1310" s="110">
        <v>0.0177076468037636</v>
      </c>
      <c r="D1310" s="83" t="s">
        <v>1399</v>
      </c>
      <c r="E1310" s="83" t="b">
        <v>0</v>
      </c>
      <c r="F1310" s="83" t="b">
        <v>0</v>
      </c>
      <c r="G1310" s="83" t="b">
        <v>0</v>
      </c>
    </row>
    <row r="1311" spans="1:7" ht="15">
      <c r="A1311" s="84" t="s">
        <v>1733</v>
      </c>
      <c r="B1311" s="83">
        <v>2</v>
      </c>
      <c r="C1311" s="110">
        <v>0.0177076468037636</v>
      </c>
      <c r="D1311" s="83" t="s">
        <v>1399</v>
      </c>
      <c r="E1311" s="83" t="b">
        <v>0</v>
      </c>
      <c r="F1311" s="83" t="b">
        <v>0</v>
      </c>
      <c r="G1311"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A8D4C-582B-4712-B362-F836D4410155}">
  <dimension ref="A1:L64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2063</v>
      </c>
      <c r="B1" s="13" t="s">
        <v>2064</v>
      </c>
      <c r="C1" s="13" t="s">
        <v>2054</v>
      </c>
      <c r="D1" s="13" t="s">
        <v>2058</v>
      </c>
      <c r="E1" s="13" t="s">
        <v>2065</v>
      </c>
      <c r="F1" s="13" t="s">
        <v>144</v>
      </c>
      <c r="G1" s="13" t="s">
        <v>2066</v>
      </c>
      <c r="H1" s="13" t="s">
        <v>2067</v>
      </c>
      <c r="I1" s="13" t="s">
        <v>2068</v>
      </c>
      <c r="J1" s="13" t="s">
        <v>2069</v>
      </c>
      <c r="K1" s="13" t="s">
        <v>2070</v>
      </c>
      <c r="L1" s="13" t="s">
        <v>2071</v>
      </c>
    </row>
    <row r="2" spans="1:12" ht="15">
      <c r="A2" s="83" t="s">
        <v>1444</v>
      </c>
      <c r="B2" s="83" t="s">
        <v>1453</v>
      </c>
      <c r="C2" s="83">
        <v>15</v>
      </c>
      <c r="D2" s="110">
        <v>0.0056651464990253135</v>
      </c>
      <c r="E2" s="110">
        <v>2.315387164918228</v>
      </c>
      <c r="F2" s="83" t="s">
        <v>2059</v>
      </c>
      <c r="G2" s="83" t="b">
        <v>0</v>
      </c>
      <c r="H2" s="83" t="b">
        <v>0</v>
      </c>
      <c r="I2" s="83" t="b">
        <v>0</v>
      </c>
      <c r="J2" s="83" t="b">
        <v>0</v>
      </c>
      <c r="K2" s="83" t="b">
        <v>0</v>
      </c>
      <c r="L2" s="83" t="b">
        <v>0</v>
      </c>
    </row>
    <row r="3" spans="1:12" ht="15">
      <c r="A3" s="84" t="s">
        <v>1433</v>
      </c>
      <c r="B3" s="83" t="s">
        <v>1435</v>
      </c>
      <c r="C3" s="83">
        <v>14</v>
      </c>
      <c r="D3" s="110">
        <v>0.0046173784301009905</v>
      </c>
      <c r="E3" s="110">
        <v>1.841726442308072</v>
      </c>
      <c r="F3" s="83" t="s">
        <v>2059</v>
      </c>
      <c r="G3" s="83" t="b">
        <v>0</v>
      </c>
      <c r="H3" s="83" t="b">
        <v>0</v>
      </c>
      <c r="I3" s="83" t="b">
        <v>0</v>
      </c>
      <c r="J3" s="83" t="b">
        <v>0</v>
      </c>
      <c r="K3" s="83" t="b">
        <v>0</v>
      </c>
      <c r="L3" s="83" t="b">
        <v>0</v>
      </c>
    </row>
    <row r="4" spans="1:12" ht="15">
      <c r="A4" s="84" t="s">
        <v>1479</v>
      </c>
      <c r="B4" s="83" t="s">
        <v>1446</v>
      </c>
      <c r="C4" s="83">
        <v>10</v>
      </c>
      <c r="D4" s="110">
        <v>0.004413512911140281</v>
      </c>
      <c r="E4" s="110">
        <v>2.315387164918228</v>
      </c>
      <c r="F4" s="83" t="s">
        <v>2059</v>
      </c>
      <c r="G4" s="83" t="b">
        <v>0</v>
      </c>
      <c r="H4" s="83" t="b">
        <v>0</v>
      </c>
      <c r="I4" s="83" t="b">
        <v>0</v>
      </c>
      <c r="J4" s="83" t="b">
        <v>0</v>
      </c>
      <c r="K4" s="83" t="b">
        <v>0</v>
      </c>
      <c r="L4" s="83" t="b">
        <v>0</v>
      </c>
    </row>
    <row r="5" spans="1:12" ht="15">
      <c r="A5" s="84" t="s">
        <v>1446</v>
      </c>
      <c r="B5" s="83" t="s">
        <v>1480</v>
      </c>
      <c r="C5" s="83">
        <v>10</v>
      </c>
      <c r="D5" s="110">
        <v>0.004413512911140281</v>
      </c>
      <c r="E5" s="110">
        <v>2.315387164918228</v>
      </c>
      <c r="F5" s="83" t="s">
        <v>2059</v>
      </c>
      <c r="G5" s="83" t="b">
        <v>0</v>
      </c>
      <c r="H5" s="83" t="b">
        <v>0</v>
      </c>
      <c r="I5" s="83" t="b">
        <v>0</v>
      </c>
      <c r="J5" s="83" t="b">
        <v>0</v>
      </c>
      <c r="K5" s="83" t="b">
        <v>0</v>
      </c>
      <c r="L5" s="83" t="b">
        <v>0</v>
      </c>
    </row>
    <row r="6" spans="1:12" ht="15">
      <c r="A6" s="84" t="s">
        <v>1441</v>
      </c>
      <c r="B6" s="83" t="s">
        <v>1488</v>
      </c>
      <c r="C6" s="83">
        <v>9</v>
      </c>
      <c r="D6" s="110">
        <v>0.004189719643741022</v>
      </c>
      <c r="E6" s="110">
        <v>2.34021074864326</v>
      </c>
      <c r="F6" s="83" t="s">
        <v>2059</v>
      </c>
      <c r="G6" s="83" t="b">
        <v>0</v>
      </c>
      <c r="H6" s="83" t="b">
        <v>0</v>
      </c>
      <c r="I6" s="83" t="b">
        <v>0</v>
      </c>
      <c r="J6" s="83" t="b">
        <v>0</v>
      </c>
      <c r="K6" s="83" t="b">
        <v>0</v>
      </c>
      <c r="L6" s="83" t="b">
        <v>0</v>
      </c>
    </row>
    <row r="7" spans="1:12" ht="15">
      <c r="A7" s="84" t="s">
        <v>1431</v>
      </c>
      <c r="B7" s="83" t="s">
        <v>1442</v>
      </c>
      <c r="C7" s="83">
        <v>8</v>
      </c>
      <c r="D7" s="110">
        <v>0.003372803352513871</v>
      </c>
      <c r="E7" s="110">
        <v>1.595227861512271</v>
      </c>
      <c r="F7" s="83" t="s">
        <v>2059</v>
      </c>
      <c r="G7" s="83" t="b">
        <v>0</v>
      </c>
      <c r="H7" s="83" t="b">
        <v>0</v>
      </c>
      <c r="I7" s="83" t="b">
        <v>0</v>
      </c>
      <c r="J7" s="83" t="b">
        <v>0</v>
      </c>
      <c r="K7" s="83" t="b">
        <v>0</v>
      </c>
      <c r="L7" s="83" t="b">
        <v>0</v>
      </c>
    </row>
    <row r="8" spans="1:12" ht="15">
      <c r="A8" s="84" t="s">
        <v>1460</v>
      </c>
      <c r="B8" s="83" t="s">
        <v>1451</v>
      </c>
      <c r="C8" s="83">
        <v>8</v>
      </c>
      <c r="D8" s="110">
        <v>0.003724195238880908</v>
      </c>
      <c r="E8" s="110">
        <v>2.155686322050716</v>
      </c>
      <c r="F8" s="83" t="s">
        <v>2059</v>
      </c>
      <c r="G8" s="83" t="b">
        <v>0</v>
      </c>
      <c r="H8" s="83" t="b">
        <v>0</v>
      </c>
      <c r="I8" s="83" t="b">
        <v>0</v>
      </c>
      <c r="J8" s="83" t="b">
        <v>0</v>
      </c>
      <c r="K8" s="83" t="b">
        <v>0</v>
      </c>
      <c r="L8" s="83" t="b">
        <v>0</v>
      </c>
    </row>
    <row r="9" spans="1:12" ht="15">
      <c r="A9" s="84" t="s">
        <v>1504</v>
      </c>
      <c r="B9" s="83" t="s">
        <v>1446</v>
      </c>
      <c r="C9" s="83">
        <v>8</v>
      </c>
      <c r="D9" s="110">
        <v>0.003724195238880908</v>
      </c>
      <c r="E9" s="110">
        <v>2.315387164918228</v>
      </c>
      <c r="F9" s="83" t="s">
        <v>2059</v>
      </c>
      <c r="G9" s="83" t="b">
        <v>0</v>
      </c>
      <c r="H9" s="83" t="b">
        <v>0</v>
      </c>
      <c r="I9" s="83" t="b">
        <v>0</v>
      </c>
      <c r="J9" s="83" t="b">
        <v>0</v>
      </c>
      <c r="K9" s="83" t="b">
        <v>0</v>
      </c>
      <c r="L9" s="83" t="b">
        <v>0</v>
      </c>
    </row>
    <row r="10" spans="1:12" ht="15">
      <c r="A10" s="84" t="s">
        <v>1439</v>
      </c>
      <c r="B10" s="83" t="s">
        <v>1482</v>
      </c>
      <c r="C10" s="83">
        <v>7</v>
      </c>
      <c r="D10" s="110">
        <v>0.0028343090628050144</v>
      </c>
      <c r="E10" s="110">
        <v>2.182761599643637</v>
      </c>
      <c r="F10" s="83" t="s">
        <v>2059</v>
      </c>
      <c r="G10" s="83" t="b">
        <v>1</v>
      </c>
      <c r="H10" s="83" t="b">
        <v>0</v>
      </c>
      <c r="I10" s="83" t="b">
        <v>0</v>
      </c>
      <c r="J10" s="83" t="b">
        <v>0</v>
      </c>
      <c r="K10" s="83" t="b">
        <v>0</v>
      </c>
      <c r="L10" s="83" t="b">
        <v>0</v>
      </c>
    </row>
    <row r="11" spans="1:12" ht="15">
      <c r="A11" s="84" t="s">
        <v>1482</v>
      </c>
      <c r="B11" s="83" t="s">
        <v>1509</v>
      </c>
      <c r="C11" s="83">
        <v>7</v>
      </c>
      <c r="D11" s="110">
        <v>0.0028343090628050144</v>
      </c>
      <c r="E11" s="110">
        <v>2.616417160582209</v>
      </c>
      <c r="F11" s="83" t="s">
        <v>2059</v>
      </c>
      <c r="G11" s="83" t="b">
        <v>0</v>
      </c>
      <c r="H11" s="83" t="b">
        <v>0</v>
      </c>
      <c r="I11" s="83" t="b">
        <v>0</v>
      </c>
      <c r="J11" s="83" t="b">
        <v>1</v>
      </c>
      <c r="K11" s="83" t="b">
        <v>0</v>
      </c>
      <c r="L11" s="83" t="b">
        <v>0</v>
      </c>
    </row>
    <row r="12" spans="1:12" ht="15">
      <c r="A12" s="84" t="s">
        <v>1461</v>
      </c>
      <c r="B12" s="83" t="s">
        <v>1483</v>
      </c>
      <c r="C12" s="83">
        <v>7</v>
      </c>
      <c r="D12" s="110">
        <v>0.0028343090628050144</v>
      </c>
      <c r="E12" s="110">
        <v>2.420122515438241</v>
      </c>
      <c r="F12" s="83" t="s">
        <v>2059</v>
      </c>
      <c r="G12" s="83" t="b">
        <v>1</v>
      </c>
      <c r="H12" s="83" t="b">
        <v>0</v>
      </c>
      <c r="I12" s="83" t="b">
        <v>0</v>
      </c>
      <c r="J12" s="83" t="b">
        <v>0</v>
      </c>
      <c r="K12" s="83" t="b">
        <v>0</v>
      </c>
      <c r="L12" s="83" t="b">
        <v>0</v>
      </c>
    </row>
    <row r="13" spans="1:12" ht="15">
      <c r="A13" s="84" t="s">
        <v>1485</v>
      </c>
      <c r="B13" s="83" t="s">
        <v>1435</v>
      </c>
      <c r="C13" s="83">
        <v>7</v>
      </c>
      <c r="D13" s="110">
        <v>0.0028343090628050144</v>
      </c>
      <c r="E13" s="110">
        <v>2.0635751919244285</v>
      </c>
      <c r="F13" s="83" t="s">
        <v>2059</v>
      </c>
      <c r="G13" s="83" t="b">
        <v>0</v>
      </c>
      <c r="H13" s="83" t="b">
        <v>0</v>
      </c>
      <c r="I13" s="83" t="b">
        <v>0</v>
      </c>
      <c r="J13" s="83" t="b">
        <v>0</v>
      </c>
      <c r="K13" s="83" t="b">
        <v>0</v>
      </c>
      <c r="L13" s="83" t="b">
        <v>0</v>
      </c>
    </row>
    <row r="14" spans="1:12" ht="15">
      <c r="A14" s="84" t="s">
        <v>1455</v>
      </c>
      <c r="B14" s="83" t="s">
        <v>1431</v>
      </c>
      <c r="C14" s="83">
        <v>6</v>
      </c>
      <c r="D14" s="110">
        <v>0.0026481077466841683</v>
      </c>
      <c r="E14" s="110">
        <v>1.5914148916121535</v>
      </c>
      <c r="F14" s="83" t="s">
        <v>2059</v>
      </c>
      <c r="G14" s="83" t="b">
        <v>0</v>
      </c>
      <c r="H14" s="83" t="b">
        <v>0</v>
      </c>
      <c r="I14" s="83" t="b">
        <v>0</v>
      </c>
      <c r="J14" s="83" t="b">
        <v>0</v>
      </c>
      <c r="K14" s="83" t="b">
        <v>0</v>
      </c>
      <c r="L14" s="83" t="b">
        <v>0</v>
      </c>
    </row>
    <row r="15" spans="1:12" ht="15">
      <c r="A15" s="84" t="s">
        <v>1455</v>
      </c>
      <c r="B15" s="83" t="s">
        <v>1508</v>
      </c>
      <c r="C15" s="83">
        <v>6</v>
      </c>
      <c r="D15" s="110">
        <v>0.0027931464291606808</v>
      </c>
      <c r="E15" s="110">
        <v>2.3897695280840843</v>
      </c>
      <c r="F15" s="83" t="s">
        <v>2059</v>
      </c>
      <c r="G15" s="83" t="b">
        <v>0</v>
      </c>
      <c r="H15" s="83" t="b">
        <v>0</v>
      </c>
      <c r="I15" s="83" t="b">
        <v>0</v>
      </c>
      <c r="J15" s="83" t="b">
        <v>0</v>
      </c>
      <c r="K15" s="83" t="b">
        <v>0</v>
      </c>
      <c r="L15" s="83" t="b">
        <v>0</v>
      </c>
    </row>
    <row r="16" spans="1:12" ht="15">
      <c r="A16" s="84" t="s">
        <v>1468</v>
      </c>
      <c r="B16" s="83" t="s">
        <v>1439</v>
      </c>
      <c r="C16" s="83">
        <v>6</v>
      </c>
      <c r="D16" s="110">
        <v>0.002529602514385403</v>
      </c>
      <c r="E16" s="110">
        <v>2.1727196613494963</v>
      </c>
      <c r="F16" s="83" t="s">
        <v>2059</v>
      </c>
      <c r="G16" s="83" t="b">
        <v>0</v>
      </c>
      <c r="H16" s="83" t="b">
        <v>0</v>
      </c>
      <c r="I16" s="83" t="b">
        <v>0</v>
      </c>
      <c r="J16" s="83" t="b">
        <v>1</v>
      </c>
      <c r="K16" s="83" t="b">
        <v>0</v>
      </c>
      <c r="L16" s="83" t="b">
        <v>0</v>
      </c>
    </row>
    <row r="17" spans="1:12" ht="15">
      <c r="A17" s="84" t="s">
        <v>1509</v>
      </c>
      <c r="B17" s="83" t="s">
        <v>1461</v>
      </c>
      <c r="C17" s="83">
        <v>6</v>
      </c>
      <c r="D17" s="110">
        <v>0.002529602514385403</v>
      </c>
      <c r="E17" s="110">
        <v>2.462320195232696</v>
      </c>
      <c r="F17" s="83" t="s">
        <v>2059</v>
      </c>
      <c r="G17" s="83" t="b">
        <v>1</v>
      </c>
      <c r="H17" s="83" t="b">
        <v>0</v>
      </c>
      <c r="I17" s="83" t="b">
        <v>0</v>
      </c>
      <c r="J17" s="83" t="b">
        <v>1</v>
      </c>
      <c r="K17" s="83" t="b">
        <v>0</v>
      </c>
      <c r="L17" s="83" t="b">
        <v>0</v>
      </c>
    </row>
    <row r="18" spans="1:12" ht="15">
      <c r="A18" s="84" t="s">
        <v>1483</v>
      </c>
      <c r="B18" s="83" t="s">
        <v>1475</v>
      </c>
      <c r="C18" s="83">
        <v>6</v>
      </c>
      <c r="D18" s="110">
        <v>0.002529602514385403</v>
      </c>
      <c r="E18" s="110">
        <v>2.4403259015265277</v>
      </c>
      <c r="F18" s="83" t="s">
        <v>2059</v>
      </c>
      <c r="G18" s="83" t="b">
        <v>0</v>
      </c>
      <c r="H18" s="83" t="b">
        <v>0</v>
      </c>
      <c r="I18" s="83" t="b">
        <v>0</v>
      </c>
      <c r="J18" s="83" t="b">
        <v>0</v>
      </c>
      <c r="K18" s="83" t="b">
        <v>0</v>
      </c>
      <c r="L18" s="83" t="b">
        <v>0</v>
      </c>
    </row>
    <row r="19" spans="1:12" ht="15">
      <c r="A19" s="84" t="s">
        <v>1475</v>
      </c>
      <c r="B19" s="83" t="s">
        <v>1491</v>
      </c>
      <c r="C19" s="83">
        <v>6</v>
      </c>
      <c r="D19" s="110">
        <v>0.002529602514385403</v>
      </c>
      <c r="E19" s="110">
        <v>2.4457209334132344</v>
      </c>
      <c r="F19" s="83" t="s">
        <v>2059</v>
      </c>
      <c r="G19" s="83" t="b">
        <v>0</v>
      </c>
      <c r="H19" s="83" t="b">
        <v>0</v>
      </c>
      <c r="I19" s="83" t="b">
        <v>0</v>
      </c>
      <c r="J19" s="83" t="b">
        <v>0</v>
      </c>
      <c r="K19" s="83" t="b">
        <v>0</v>
      </c>
      <c r="L19" s="83" t="b">
        <v>0</v>
      </c>
    </row>
    <row r="20" spans="1:12" ht="15">
      <c r="A20" s="84" t="s">
        <v>1491</v>
      </c>
      <c r="B20" s="83" t="s">
        <v>1439</v>
      </c>
      <c r="C20" s="83">
        <v>6</v>
      </c>
      <c r="D20" s="110">
        <v>0.002529602514385403</v>
      </c>
      <c r="E20" s="110">
        <v>2.269629674357553</v>
      </c>
      <c r="F20" s="83" t="s">
        <v>2059</v>
      </c>
      <c r="G20" s="83" t="b">
        <v>0</v>
      </c>
      <c r="H20" s="83" t="b">
        <v>0</v>
      </c>
      <c r="I20" s="83" t="b">
        <v>0</v>
      </c>
      <c r="J20" s="83" t="b">
        <v>1</v>
      </c>
      <c r="K20" s="83" t="b">
        <v>0</v>
      </c>
      <c r="L20" s="83" t="b">
        <v>0</v>
      </c>
    </row>
    <row r="21" spans="1:12" ht="15">
      <c r="A21" s="84" t="s">
        <v>1439</v>
      </c>
      <c r="B21" s="83" t="s">
        <v>1528</v>
      </c>
      <c r="C21" s="83">
        <v>6</v>
      </c>
      <c r="D21" s="110">
        <v>0.002529602514385403</v>
      </c>
      <c r="E21" s="110">
        <v>2.291906069068705</v>
      </c>
      <c r="F21" s="83" t="s">
        <v>2059</v>
      </c>
      <c r="G21" s="83" t="b">
        <v>1</v>
      </c>
      <c r="H21" s="83" t="b">
        <v>0</v>
      </c>
      <c r="I21" s="83" t="b">
        <v>0</v>
      </c>
      <c r="J21" s="83" t="b">
        <v>0</v>
      </c>
      <c r="K21" s="83" t="b">
        <v>0</v>
      </c>
      <c r="L21" s="83" t="b">
        <v>0</v>
      </c>
    </row>
    <row r="22" spans="1:12" ht="15">
      <c r="A22" s="84" t="s">
        <v>1528</v>
      </c>
      <c r="B22" s="83" t="s">
        <v>1492</v>
      </c>
      <c r="C22" s="83">
        <v>6</v>
      </c>
      <c r="D22" s="110">
        <v>0.002529602514385403</v>
      </c>
      <c r="E22" s="110">
        <v>2.7255616300072774</v>
      </c>
      <c r="F22" s="83" t="s">
        <v>2059</v>
      </c>
      <c r="G22" s="83" t="b">
        <v>0</v>
      </c>
      <c r="H22" s="83" t="b">
        <v>0</v>
      </c>
      <c r="I22" s="83" t="b">
        <v>0</v>
      </c>
      <c r="J22" s="83" t="b">
        <v>0</v>
      </c>
      <c r="K22" s="83" t="b">
        <v>1</v>
      </c>
      <c r="L22" s="83" t="b">
        <v>0</v>
      </c>
    </row>
    <row r="23" spans="1:12" ht="15">
      <c r="A23" s="84" t="s">
        <v>1492</v>
      </c>
      <c r="B23" s="83" t="s">
        <v>1510</v>
      </c>
      <c r="C23" s="83">
        <v>6</v>
      </c>
      <c r="D23" s="110">
        <v>0.002529602514385403</v>
      </c>
      <c r="E23" s="110">
        <v>2.6006228933989775</v>
      </c>
      <c r="F23" s="83" t="s">
        <v>2059</v>
      </c>
      <c r="G23" s="83" t="b">
        <v>0</v>
      </c>
      <c r="H23" s="83" t="b">
        <v>1</v>
      </c>
      <c r="I23" s="83" t="b">
        <v>0</v>
      </c>
      <c r="J23" s="83" t="b">
        <v>0</v>
      </c>
      <c r="K23" s="83" t="b">
        <v>0</v>
      </c>
      <c r="L23" s="83" t="b">
        <v>0</v>
      </c>
    </row>
    <row r="24" spans="1:12" ht="15">
      <c r="A24" s="84" t="s">
        <v>1430</v>
      </c>
      <c r="B24" s="83" t="s">
        <v>1487</v>
      </c>
      <c r="C24" s="83">
        <v>6</v>
      </c>
      <c r="D24" s="110">
        <v>0.0027931464291606808</v>
      </c>
      <c r="E24" s="110">
        <v>1.6463803839596525</v>
      </c>
      <c r="F24" s="83" t="s">
        <v>2059</v>
      </c>
      <c r="G24" s="83" t="b">
        <v>0</v>
      </c>
      <c r="H24" s="83" t="b">
        <v>0</v>
      </c>
      <c r="I24" s="83" t="b">
        <v>0</v>
      </c>
      <c r="J24" s="83" t="b">
        <v>0</v>
      </c>
      <c r="K24" s="83" t="b">
        <v>0</v>
      </c>
      <c r="L24" s="83" t="b">
        <v>0</v>
      </c>
    </row>
    <row r="25" spans="1:12" ht="15">
      <c r="A25" s="84" t="s">
        <v>1502</v>
      </c>
      <c r="B25" s="83" t="s">
        <v>1536</v>
      </c>
      <c r="C25" s="83">
        <v>6</v>
      </c>
      <c r="D25" s="110">
        <v>0.002529602514385403</v>
      </c>
      <c r="E25" s="110">
        <v>2.6675696830295905</v>
      </c>
      <c r="F25" s="83" t="s">
        <v>2059</v>
      </c>
      <c r="G25" s="83" t="b">
        <v>0</v>
      </c>
      <c r="H25" s="83" t="b">
        <v>0</v>
      </c>
      <c r="I25" s="83" t="b">
        <v>0</v>
      </c>
      <c r="J25" s="83" t="b">
        <v>0</v>
      </c>
      <c r="K25" s="83" t="b">
        <v>0</v>
      </c>
      <c r="L25" s="83" t="b">
        <v>0</v>
      </c>
    </row>
    <row r="26" spans="1:12" ht="15">
      <c r="A26" s="84" t="s">
        <v>1480</v>
      </c>
      <c r="B26" s="83" t="s">
        <v>1538</v>
      </c>
      <c r="C26" s="83">
        <v>6</v>
      </c>
      <c r="D26" s="110">
        <v>0.0029801338124607053</v>
      </c>
      <c r="E26" s="110">
        <v>2.570659670021534</v>
      </c>
      <c r="F26" s="83" t="s">
        <v>2059</v>
      </c>
      <c r="G26" s="83" t="b">
        <v>0</v>
      </c>
      <c r="H26" s="83" t="b">
        <v>0</v>
      </c>
      <c r="I26" s="83" t="b">
        <v>0</v>
      </c>
      <c r="J26" s="83" t="b">
        <v>0</v>
      </c>
      <c r="K26" s="83" t="b">
        <v>0</v>
      </c>
      <c r="L26" s="83" t="b">
        <v>0</v>
      </c>
    </row>
    <row r="27" spans="1:12" ht="15">
      <c r="A27" s="84" t="s">
        <v>1506</v>
      </c>
      <c r="B27" s="83" t="s">
        <v>1481</v>
      </c>
      <c r="C27" s="83">
        <v>6</v>
      </c>
      <c r="D27" s="110">
        <v>0.0029801338124607053</v>
      </c>
      <c r="E27" s="110">
        <v>2.4457209334132344</v>
      </c>
      <c r="F27" s="83" t="s">
        <v>2059</v>
      </c>
      <c r="G27" s="83" t="b">
        <v>0</v>
      </c>
      <c r="H27" s="83" t="b">
        <v>0</v>
      </c>
      <c r="I27" s="83" t="b">
        <v>0</v>
      </c>
      <c r="J27" s="83" t="b">
        <v>0</v>
      </c>
      <c r="K27" s="83" t="b">
        <v>0</v>
      </c>
      <c r="L27" s="83" t="b">
        <v>0</v>
      </c>
    </row>
    <row r="28" spans="1:12" ht="15">
      <c r="A28" s="84" t="s">
        <v>1544</v>
      </c>
      <c r="B28" s="83" t="s">
        <v>1465</v>
      </c>
      <c r="C28" s="83">
        <v>6</v>
      </c>
      <c r="D28" s="110">
        <v>0.0029801338124607053</v>
      </c>
      <c r="E28" s="110">
        <v>2.570659670021534</v>
      </c>
      <c r="F28" s="83" t="s">
        <v>2059</v>
      </c>
      <c r="G28" s="83" t="b">
        <v>0</v>
      </c>
      <c r="H28" s="83" t="b">
        <v>0</v>
      </c>
      <c r="I28" s="83" t="b">
        <v>0</v>
      </c>
      <c r="J28" s="83" t="b">
        <v>0</v>
      </c>
      <c r="K28" s="83" t="b">
        <v>0</v>
      </c>
      <c r="L28" s="83" t="b">
        <v>0</v>
      </c>
    </row>
    <row r="29" spans="1:12" ht="15">
      <c r="A29" s="84" t="s">
        <v>1430</v>
      </c>
      <c r="B29" s="83" t="s">
        <v>1521</v>
      </c>
      <c r="C29" s="83">
        <v>5</v>
      </c>
      <c r="D29" s="110">
        <v>0.0023276220243005677</v>
      </c>
      <c r="E29" s="110">
        <v>1.6763436073370956</v>
      </c>
      <c r="F29" s="83" t="s">
        <v>2059</v>
      </c>
      <c r="G29" s="83" t="b">
        <v>0</v>
      </c>
      <c r="H29" s="83" t="b">
        <v>0</v>
      </c>
      <c r="I29" s="83" t="b">
        <v>0</v>
      </c>
      <c r="J29" s="83" t="b">
        <v>0</v>
      </c>
      <c r="K29" s="83" t="b">
        <v>0</v>
      </c>
      <c r="L29" s="83" t="b">
        <v>0</v>
      </c>
    </row>
    <row r="30" spans="1:12" ht="15">
      <c r="A30" s="84" t="s">
        <v>1453</v>
      </c>
      <c r="B30" s="83" t="s">
        <v>1573</v>
      </c>
      <c r="C30" s="83">
        <v>5</v>
      </c>
      <c r="D30" s="110">
        <v>0.002483444843717255</v>
      </c>
      <c r="E30" s="110">
        <v>2.394568410965853</v>
      </c>
      <c r="F30" s="83" t="s">
        <v>2059</v>
      </c>
      <c r="G30" s="83" t="b">
        <v>0</v>
      </c>
      <c r="H30" s="83" t="b">
        <v>0</v>
      </c>
      <c r="I30" s="83" t="b">
        <v>0</v>
      </c>
      <c r="J30" s="83" t="b">
        <v>0</v>
      </c>
      <c r="K30" s="83" t="b">
        <v>0</v>
      </c>
      <c r="L30" s="83" t="b">
        <v>0</v>
      </c>
    </row>
    <row r="31" spans="1:12" ht="15">
      <c r="A31" s="84" t="s">
        <v>1573</v>
      </c>
      <c r="B31" s="83" t="s">
        <v>1574</v>
      </c>
      <c r="C31" s="83">
        <v>5</v>
      </c>
      <c r="D31" s="110">
        <v>0.002483444843717255</v>
      </c>
      <c r="E31" s="110">
        <v>2.871689665685515</v>
      </c>
      <c r="F31" s="83" t="s">
        <v>2059</v>
      </c>
      <c r="G31" s="83" t="b">
        <v>0</v>
      </c>
      <c r="H31" s="83" t="b">
        <v>0</v>
      </c>
      <c r="I31" s="83" t="b">
        <v>0</v>
      </c>
      <c r="J31" s="83" t="b">
        <v>0</v>
      </c>
      <c r="K31" s="83" t="b">
        <v>0</v>
      </c>
      <c r="L31" s="83" t="b">
        <v>0</v>
      </c>
    </row>
    <row r="32" spans="1:12" ht="15">
      <c r="A32" s="84" t="s">
        <v>1463</v>
      </c>
      <c r="B32" s="83" t="s">
        <v>1547</v>
      </c>
      <c r="C32" s="83">
        <v>5</v>
      </c>
      <c r="D32" s="110">
        <v>0.0022067564555701405</v>
      </c>
      <c r="E32" s="110">
        <v>2.4500857388156843</v>
      </c>
      <c r="F32" s="83" t="s">
        <v>2059</v>
      </c>
      <c r="G32" s="83" t="b">
        <v>0</v>
      </c>
      <c r="H32" s="83" t="b">
        <v>0</v>
      </c>
      <c r="I32" s="83" t="b">
        <v>0</v>
      </c>
      <c r="J32" s="83" t="b">
        <v>0</v>
      </c>
      <c r="K32" s="83" t="b">
        <v>0</v>
      </c>
      <c r="L32" s="83" t="b">
        <v>0</v>
      </c>
    </row>
    <row r="33" spans="1:12" ht="15">
      <c r="A33" s="84" t="s">
        <v>1495</v>
      </c>
      <c r="B33" s="83" t="s">
        <v>1555</v>
      </c>
      <c r="C33" s="83">
        <v>4</v>
      </c>
      <c r="D33" s="110">
        <v>0.0021624518181573224</v>
      </c>
      <c r="E33" s="110">
        <v>2.5706596700215343</v>
      </c>
      <c r="F33" s="83" t="s">
        <v>2059</v>
      </c>
      <c r="G33" s="83" t="b">
        <v>0</v>
      </c>
      <c r="H33" s="83" t="b">
        <v>0</v>
      </c>
      <c r="I33" s="83" t="b">
        <v>0</v>
      </c>
      <c r="J33" s="83" t="b">
        <v>0</v>
      </c>
      <c r="K33" s="83" t="b">
        <v>0</v>
      </c>
      <c r="L33" s="83" t="b">
        <v>0</v>
      </c>
    </row>
    <row r="34" spans="1:12" ht="15">
      <c r="A34" s="84" t="s">
        <v>1428</v>
      </c>
      <c r="B34" s="83" t="s">
        <v>1429</v>
      </c>
      <c r="C34" s="83">
        <v>4</v>
      </c>
      <c r="D34" s="110">
        <v>0.001986755874973804</v>
      </c>
      <c r="E34" s="110">
        <v>0.3678989826283341</v>
      </c>
      <c r="F34" s="83" t="s">
        <v>2059</v>
      </c>
      <c r="G34" s="83" t="b">
        <v>0</v>
      </c>
      <c r="H34" s="83" t="b">
        <v>0</v>
      </c>
      <c r="I34" s="83" t="b">
        <v>0</v>
      </c>
      <c r="J34" s="83" t="b">
        <v>0</v>
      </c>
      <c r="K34" s="83" t="b">
        <v>0</v>
      </c>
      <c r="L34" s="83" t="b">
        <v>0</v>
      </c>
    </row>
    <row r="35" spans="1:12" ht="15">
      <c r="A35" s="84" t="s">
        <v>1517</v>
      </c>
      <c r="B35" s="83" t="s">
        <v>1562</v>
      </c>
      <c r="C35" s="83">
        <v>4</v>
      </c>
      <c r="D35" s="110">
        <v>0.0024628060168741905</v>
      </c>
      <c r="E35" s="110">
        <v>2.6286516169992207</v>
      </c>
      <c r="F35" s="83" t="s">
        <v>2059</v>
      </c>
      <c r="G35" s="83" t="b">
        <v>1</v>
      </c>
      <c r="H35" s="83" t="b">
        <v>0</v>
      </c>
      <c r="I35" s="83" t="b">
        <v>0</v>
      </c>
      <c r="J35" s="83" t="b">
        <v>0</v>
      </c>
      <c r="K35" s="83" t="b">
        <v>0</v>
      </c>
      <c r="L35" s="83" t="b">
        <v>0</v>
      </c>
    </row>
    <row r="36" spans="1:12" ht="15">
      <c r="A36" s="84" t="s">
        <v>1430</v>
      </c>
      <c r="B36" s="83" t="s">
        <v>1500</v>
      </c>
      <c r="C36" s="83">
        <v>4</v>
      </c>
      <c r="D36" s="110">
        <v>0.001862097619440454</v>
      </c>
      <c r="E36" s="110">
        <v>1.5214416473513523</v>
      </c>
      <c r="F36" s="83" t="s">
        <v>2059</v>
      </c>
      <c r="G36" s="83" t="b">
        <v>0</v>
      </c>
      <c r="H36" s="83" t="b">
        <v>0</v>
      </c>
      <c r="I36" s="83" t="b">
        <v>0</v>
      </c>
      <c r="J36" s="83" t="b">
        <v>0</v>
      </c>
      <c r="K36" s="83" t="b">
        <v>0</v>
      </c>
      <c r="L36" s="83" t="b">
        <v>0</v>
      </c>
    </row>
    <row r="37" spans="1:12" ht="15">
      <c r="A37" s="84" t="s">
        <v>1487</v>
      </c>
      <c r="B37" s="83" t="s">
        <v>1431</v>
      </c>
      <c r="C37" s="83">
        <v>4</v>
      </c>
      <c r="D37" s="110">
        <v>0.001862097619440454</v>
      </c>
      <c r="E37" s="110">
        <v>1.5750244754239842</v>
      </c>
      <c r="F37" s="83" t="s">
        <v>2059</v>
      </c>
      <c r="G37" s="83" t="b">
        <v>0</v>
      </c>
      <c r="H37" s="83" t="b">
        <v>0</v>
      </c>
      <c r="I37" s="83" t="b">
        <v>0</v>
      </c>
      <c r="J37" s="83" t="b">
        <v>0</v>
      </c>
      <c r="K37" s="83" t="b">
        <v>0</v>
      </c>
      <c r="L37" s="83" t="b">
        <v>0</v>
      </c>
    </row>
    <row r="38" spans="1:12" ht="15">
      <c r="A38" s="84" t="s">
        <v>1429</v>
      </c>
      <c r="B38" s="83" t="s">
        <v>1477</v>
      </c>
      <c r="C38" s="83">
        <v>4</v>
      </c>
      <c r="D38" s="110">
        <v>0.001986755874973804</v>
      </c>
      <c r="E38" s="110">
        <v>1.4323569718552525</v>
      </c>
      <c r="F38" s="83" t="s">
        <v>2059</v>
      </c>
      <c r="G38" s="83" t="b">
        <v>0</v>
      </c>
      <c r="H38" s="83" t="b">
        <v>0</v>
      </c>
      <c r="I38" s="83" t="b">
        <v>0</v>
      </c>
      <c r="J38" s="83" t="b">
        <v>0</v>
      </c>
      <c r="K38" s="83" t="b">
        <v>0</v>
      </c>
      <c r="L38" s="83" t="b">
        <v>0</v>
      </c>
    </row>
    <row r="39" spans="1:12" ht="15">
      <c r="A39" s="84" t="s">
        <v>1458</v>
      </c>
      <c r="B39" s="83" t="s">
        <v>1450</v>
      </c>
      <c r="C39" s="83">
        <v>4</v>
      </c>
      <c r="D39" s="110">
        <v>0.001862097619440454</v>
      </c>
      <c r="E39" s="110">
        <v>1.8224716430153336</v>
      </c>
      <c r="F39" s="83" t="s">
        <v>2059</v>
      </c>
      <c r="G39" s="83" t="b">
        <v>1</v>
      </c>
      <c r="H39" s="83" t="b">
        <v>0</v>
      </c>
      <c r="I39" s="83" t="b">
        <v>0</v>
      </c>
      <c r="J39" s="83" t="b">
        <v>0</v>
      </c>
      <c r="K39" s="83" t="b">
        <v>0</v>
      </c>
      <c r="L39" s="83" t="b">
        <v>0</v>
      </c>
    </row>
    <row r="40" spans="1:12" ht="15">
      <c r="A40" s="84" t="s">
        <v>1446</v>
      </c>
      <c r="B40" s="83" t="s">
        <v>1428</v>
      </c>
      <c r="C40" s="83">
        <v>4</v>
      </c>
      <c r="D40" s="110">
        <v>0.0021624518181573224</v>
      </c>
      <c r="E40" s="110">
        <v>0.8567493158925786</v>
      </c>
      <c r="F40" s="83" t="s">
        <v>2059</v>
      </c>
      <c r="G40" s="83" t="b">
        <v>0</v>
      </c>
      <c r="H40" s="83" t="b">
        <v>0</v>
      </c>
      <c r="I40" s="83" t="b">
        <v>0</v>
      </c>
      <c r="J40" s="83" t="b">
        <v>0</v>
      </c>
      <c r="K40" s="83" t="b">
        <v>0</v>
      </c>
      <c r="L40" s="83" t="b">
        <v>0</v>
      </c>
    </row>
    <row r="41" spans="1:12" ht="15">
      <c r="A41" s="84" t="s">
        <v>1428</v>
      </c>
      <c r="B41" s="83" t="s">
        <v>1577</v>
      </c>
      <c r="C41" s="83">
        <v>4</v>
      </c>
      <c r="D41" s="110">
        <v>0.0021624518181573224</v>
      </c>
      <c r="E41" s="110">
        <v>1.4323569718552525</v>
      </c>
      <c r="F41" s="83" t="s">
        <v>2059</v>
      </c>
      <c r="G41" s="83" t="b">
        <v>0</v>
      </c>
      <c r="H41" s="83" t="b">
        <v>0</v>
      </c>
      <c r="I41" s="83" t="b">
        <v>0</v>
      </c>
      <c r="J41" s="83" t="b">
        <v>0</v>
      </c>
      <c r="K41" s="83" t="b">
        <v>0</v>
      </c>
      <c r="L41" s="83" t="b">
        <v>0</v>
      </c>
    </row>
    <row r="42" spans="1:12" ht="15">
      <c r="A42" s="84" t="s">
        <v>1459</v>
      </c>
      <c r="B42" s="83" t="s">
        <v>1437</v>
      </c>
      <c r="C42" s="83">
        <v>4</v>
      </c>
      <c r="D42" s="110">
        <v>0.001862097619440454</v>
      </c>
      <c r="E42" s="110">
        <v>1.6648637896536655</v>
      </c>
      <c r="F42" s="83" t="s">
        <v>2059</v>
      </c>
      <c r="G42" s="83" t="b">
        <v>0</v>
      </c>
      <c r="H42" s="83" t="b">
        <v>0</v>
      </c>
      <c r="I42" s="83" t="b">
        <v>0</v>
      </c>
      <c r="J42" s="83" t="b">
        <v>0</v>
      </c>
      <c r="K42" s="83" t="b">
        <v>0</v>
      </c>
      <c r="L42" s="83" t="b">
        <v>0</v>
      </c>
    </row>
    <row r="43" spans="1:12" ht="15">
      <c r="A43" s="84" t="s">
        <v>1508</v>
      </c>
      <c r="B43" s="83" t="s">
        <v>1539</v>
      </c>
      <c r="C43" s="83">
        <v>4</v>
      </c>
      <c r="D43" s="110">
        <v>0.0021624518181573224</v>
      </c>
      <c r="E43" s="110">
        <v>2.549470370951596</v>
      </c>
      <c r="F43" s="83" t="s">
        <v>2059</v>
      </c>
      <c r="G43" s="83" t="b">
        <v>0</v>
      </c>
      <c r="H43" s="83" t="b">
        <v>0</v>
      </c>
      <c r="I43" s="83" t="b">
        <v>0</v>
      </c>
      <c r="J43" s="83" t="b">
        <v>0</v>
      </c>
      <c r="K43" s="83" t="b">
        <v>0</v>
      </c>
      <c r="L43" s="83" t="b">
        <v>0</v>
      </c>
    </row>
    <row r="44" spans="1:12" ht="15">
      <c r="A44" s="84" t="s">
        <v>1481</v>
      </c>
      <c r="B44" s="83" t="s">
        <v>1450</v>
      </c>
      <c r="C44" s="83">
        <v>4</v>
      </c>
      <c r="D44" s="110">
        <v>0.0021624518181573224</v>
      </c>
      <c r="E44" s="110">
        <v>1.9685996786935718</v>
      </c>
      <c r="F44" s="83" t="s">
        <v>2059</v>
      </c>
      <c r="G44" s="83" t="b">
        <v>0</v>
      </c>
      <c r="H44" s="83" t="b">
        <v>0</v>
      </c>
      <c r="I44" s="83" t="b">
        <v>0</v>
      </c>
      <c r="J44" s="83" t="b">
        <v>0</v>
      </c>
      <c r="K44" s="83" t="b">
        <v>0</v>
      </c>
      <c r="L44" s="83" t="b">
        <v>0</v>
      </c>
    </row>
    <row r="45" spans="1:12" ht="15">
      <c r="A45" s="84" t="s">
        <v>1558</v>
      </c>
      <c r="B45" s="83" t="s">
        <v>1544</v>
      </c>
      <c r="C45" s="83">
        <v>4</v>
      </c>
      <c r="D45" s="110">
        <v>0.0021624518181573224</v>
      </c>
      <c r="E45" s="110">
        <v>2.6955984066298337</v>
      </c>
      <c r="F45" s="83" t="s">
        <v>2059</v>
      </c>
      <c r="G45" s="83" t="b">
        <v>0</v>
      </c>
      <c r="H45" s="83" t="b">
        <v>0</v>
      </c>
      <c r="I45" s="83" t="b">
        <v>0</v>
      </c>
      <c r="J45" s="83" t="b">
        <v>0</v>
      </c>
      <c r="K45" s="83" t="b">
        <v>0</v>
      </c>
      <c r="L45" s="83" t="b">
        <v>0</v>
      </c>
    </row>
    <row r="46" spans="1:12" ht="15">
      <c r="A46" s="84" t="s">
        <v>1553</v>
      </c>
      <c r="B46" s="83" t="s">
        <v>1452</v>
      </c>
      <c r="C46" s="83">
        <v>4</v>
      </c>
      <c r="D46" s="110">
        <v>0.001986755874973804</v>
      </c>
      <c r="E46" s="110">
        <v>2.3276216213352394</v>
      </c>
      <c r="F46" s="83" t="s">
        <v>2059</v>
      </c>
      <c r="G46" s="83" t="b">
        <v>0</v>
      </c>
      <c r="H46" s="83" t="b">
        <v>0</v>
      </c>
      <c r="I46" s="83" t="b">
        <v>0</v>
      </c>
      <c r="J46" s="83" t="b">
        <v>0</v>
      </c>
      <c r="K46" s="83" t="b">
        <v>0</v>
      </c>
      <c r="L46" s="83" t="b">
        <v>0</v>
      </c>
    </row>
    <row r="47" spans="1:12" ht="15">
      <c r="A47" s="84" t="s">
        <v>1428</v>
      </c>
      <c r="B47" s="83" t="s">
        <v>1546</v>
      </c>
      <c r="C47" s="83">
        <v>4</v>
      </c>
      <c r="D47" s="110">
        <v>0.0021624518181573224</v>
      </c>
      <c r="E47" s="110">
        <v>1.3531757258076278</v>
      </c>
      <c r="F47" s="83" t="s">
        <v>2059</v>
      </c>
      <c r="G47" s="83" t="b">
        <v>0</v>
      </c>
      <c r="H47" s="83" t="b">
        <v>0</v>
      </c>
      <c r="I47" s="83" t="b">
        <v>0</v>
      </c>
      <c r="J47" s="83" t="b">
        <v>0</v>
      </c>
      <c r="K47" s="83" t="b">
        <v>0</v>
      </c>
      <c r="L47" s="83" t="b">
        <v>0</v>
      </c>
    </row>
    <row r="48" spans="1:12" ht="15">
      <c r="A48" s="84" t="s">
        <v>1546</v>
      </c>
      <c r="B48" s="83" t="s">
        <v>1428</v>
      </c>
      <c r="C48" s="83">
        <v>4</v>
      </c>
      <c r="D48" s="110">
        <v>0.0021624518181573224</v>
      </c>
      <c r="E48" s="110">
        <v>1.3338705706122411</v>
      </c>
      <c r="F48" s="83" t="s">
        <v>2059</v>
      </c>
      <c r="G48" s="83" t="b">
        <v>0</v>
      </c>
      <c r="H48" s="83" t="b">
        <v>0</v>
      </c>
      <c r="I48" s="83" t="b">
        <v>0</v>
      </c>
      <c r="J48" s="83" t="b">
        <v>0</v>
      </c>
      <c r="K48" s="83" t="b">
        <v>0</v>
      </c>
      <c r="L48" s="83" t="b">
        <v>0</v>
      </c>
    </row>
    <row r="49" spans="1:12" ht="15">
      <c r="A49" s="84" t="s">
        <v>1480</v>
      </c>
      <c r="B49" s="83" t="s">
        <v>1434</v>
      </c>
      <c r="C49" s="83">
        <v>4</v>
      </c>
      <c r="D49" s="110">
        <v>0.0021624518181573224</v>
      </c>
      <c r="E49" s="110">
        <v>1.7413558971905092</v>
      </c>
      <c r="F49" s="83" t="s">
        <v>2059</v>
      </c>
      <c r="G49" s="83" t="b">
        <v>0</v>
      </c>
      <c r="H49" s="83" t="b">
        <v>0</v>
      </c>
      <c r="I49" s="83" t="b">
        <v>0</v>
      </c>
      <c r="J49" s="83" t="b">
        <v>0</v>
      </c>
      <c r="K49" s="83" t="b">
        <v>0</v>
      </c>
      <c r="L49" s="83" t="b">
        <v>0</v>
      </c>
    </row>
    <row r="50" spans="1:12" ht="15">
      <c r="A50" s="84" t="s">
        <v>1434</v>
      </c>
      <c r="B50" s="83" t="s">
        <v>1639</v>
      </c>
      <c r="C50" s="83">
        <v>4</v>
      </c>
      <c r="D50" s="110">
        <v>0.0021624518181573224</v>
      </c>
      <c r="E50" s="110">
        <v>2.1727196613494963</v>
      </c>
      <c r="F50" s="83" t="s">
        <v>2059</v>
      </c>
      <c r="G50" s="83" t="b">
        <v>0</v>
      </c>
      <c r="H50" s="83" t="b">
        <v>0</v>
      </c>
      <c r="I50" s="83" t="b">
        <v>0</v>
      </c>
      <c r="J50" s="83" t="b">
        <v>0</v>
      </c>
      <c r="K50" s="83" t="b">
        <v>0</v>
      </c>
      <c r="L50" s="83" t="b">
        <v>0</v>
      </c>
    </row>
    <row r="51" spans="1:12" ht="15">
      <c r="A51" s="84" t="s">
        <v>1578</v>
      </c>
      <c r="B51" s="83" t="s">
        <v>1432</v>
      </c>
      <c r="C51" s="83">
        <v>4</v>
      </c>
      <c r="D51" s="110">
        <v>0.0021624518181573224</v>
      </c>
      <c r="E51" s="110">
        <v>1.95523571713559</v>
      </c>
      <c r="F51" s="83" t="s">
        <v>2059</v>
      </c>
      <c r="G51" s="83" t="b">
        <v>0</v>
      </c>
      <c r="H51" s="83" t="b">
        <v>0</v>
      </c>
      <c r="I51" s="83" t="b">
        <v>0</v>
      </c>
      <c r="J51" s="83" t="b">
        <v>0</v>
      </c>
      <c r="K51" s="83" t="b">
        <v>0</v>
      </c>
      <c r="L51" s="83" t="b">
        <v>0</v>
      </c>
    </row>
    <row r="52" spans="1:12" ht="15">
      <c r="A52" s="84" t="s">
        <v>1437</v>
      </c>
      <c r="B52" s="83" t="s">
        <v>1580</v>
      </c>
      <c r="C52" s="83">
        <v>4</v>
      </c>
      <c r="D52" s="110">
        <v>0.0021624518181573224</v>
      </c>
      <c r="E52" s="110">
        <v>2.05877630904266</v>
      </c>
      <c r="F52" s="83" t="s">
        <v>2059</v>
      </c>
      <c r="G52" s="83" t="b">
        <v>0</v>
      </c>
      <c r="H52" s="83" t="b">
        <v>0</v>
      </c>
      <c r="I52" s="83" t="b">
        <v>0</v>
      </c>
      <c r="J52" s="83" t="b">
        <v>0</v>
      </c>
      <c r="K52" s="83" t="b">
        <v>0</v>
      </c>
      <c r="L52" s="83" t="b">
        <v>0</v>
      </c>
    </row>
    <row r="53" spans="1:12" ht="15">
      <c r="A53" s="84" t="s">
        <v>1468</v>
      </c>
      <c r="B53" s="83" t="s">
        <v>1484</v>
      </c>
      <c r="C53" s="83">
        <v>3</v>
      </c>
      <c r="D53" s="110">
        <v>0.0014900669062303527</v>
      </c>
      <c r="E53" s="110">
        <v>2.0935384153018717</v>
      </c>
      <c r="F53" s="83" t="s">
        <v>2059</v>
      </c>
      <c r="G53" s="83" t="b">
        <v>0</v>
      </c>
      <c r="H53" s="83" t="b">
        <v>0</v>
      </c>
      <c r="I53" s="83" t="b">
        <v>0</v>
      </c>
      <c r="J53" s="83" t="b">
        <v>1</v>
      </c>
      <c r="K53" s="83" t="b">
        <v>0</v>
      </c>
      <c r="L53" s="83" t="b">
        <v>0</v>
      </c>
    </row>
    <row r="54" spans="1:12" ht="15">
      <c r="A54" s="84" t="s">
        <v>1484</v>
      </c>
      <c r="B54" s="83" t="s">
        <v>1590</v>
      </c>
      <c r="C54" s="83">
        <v>3</v>
      </c>
      <c r="D54" s="110">
        <v>0.0014900669062303527</v>
      </c>
      <c r="E54" s="110">
        <v>2.6675696830295905</v>
      </c>
      <c r="F54" s="83" t="s">
        <v>2059</v>
      </c>
      <c r="G54" s="83" t="b">
        <v>1</v>
      </c>
      <c r="H54" s="83" t="b">
        <v>0</v>
      </c>
      <c r="I54" s="83" t="b">
        <v>0</v>
      </c>
      <c r="J54" s="83" t="b">
        <v>0</v>
      </c>
      <c r="K54" s="83" t="b">
        <v>0</v>
      </c>
      <c r="L54" s="83" t="b">
        <v>0</v>
      </c>
    </row>
    <row r="55" spans="1:12" ht="15">
      <c r="A55" s="84" t="s">
        <v>1590</v>
      </c>
      <c r="B55" s="83" t="s">
        <v>1647</v>
      </c>
      <c r="C55" s="83">
        <v>3</v>
      </c>
      <c r="D55" s="110">
        <v>0.0014900669062303527</v>
      </c>
      <c r="E55" s="110">
        <v>2.9685996786935718</v>
      </c>
      <c r="F55" s="83" t="s">
        <v>2059</v>
      </c>
      <c r="G55" s="83" t="b">
        <v>0</v>
      </c>
      <c r="H55" s="83" t="b">
        <v>0</v>
      </c>
      <c r="I55" s="83" t="b">
        <v>0</v>
      </c>
      <c r="J55" s="83" t="b">
        <v>0</v>
      </c>
      <c r="K55" s="83" t="b">
        <v>0</v>
      </c>
      <c r="L55" s="83" t="b">
        <v>0</v>
      </c>
    </row>
    <row r="56" spans="1:12" ht="15">
      <c r="A56" s="84" t="s">
        <v>1597</v>
      </c>
      <c r="B56" s="83" t="s">
        <v>1496</v>
      </c>
      <c r="C56" s="83">
        <v>3</v>
      </c>
      <c r="D56" s="110">
        <v>0.0014900669062303527</v>
      </c>
      <c r="E56" s="110">
        <v>2.6675696830295905</v>
      </c>
      <c r="F56" s="83" t="s">
        <v>2059</v>
      </c>
      <c r="G56" s="83" t="b">
        <v>0</v>
      </c>
      <c r="H56" s="83" t="b">
        <v>0</v>
      </c>
      <c r="I56" s="83" t="b">
        <v>0</v>
      </c>
      <c r="J56" s="83" t="b">
        <v>0</v>
      </c>
      <c r="K56" s="83" t="b">
        <v>0</v>
      </c>
      <c r="L56" s="83" t="b">
        <v>0</v>
      </c>
    </row>
    <row r="57" spans="1:12" ht="15">
      <c r="A57" s="84" t="s">
        <v>1496</v>
      </c>
      <c r="B57" s="83" t="s">
        <v>1432</v>
      </c>
      <c r="C57" s="83">
        <v>3</v>
      </c>
      <c r="D57" s="110">
        <v>0.0014900669062303527</v>
      </c>
      <c r="E57" s="110">
        <v>1.6261769978713654</v>
      </c>
      <c r="F57" s="83" t="s">
        <v>2059</v>
      </c>
      <c r="G57" s="83" t="b">
        <v>0</v>
      </c>
      <c r="H57" s="83" t="b">
        <v>0</v>
      </c>
      <c r="I57" s="83" t="b">
        <v>0</v>
      </c>
      <c r="J57" s="83" t="b">
        <v>0</v>
      </c>
      <c r="K57" s="83" t="b">
        <v>0</v>
      </c>
      <c r="L57" s="83" t="b">
        <v>0</v>
      </c>
    </row>
    <row r="58" spans="1:12" ht="15">
      <c r="A58" s="84" t="s">
        <v>1428</v>
      </c>
      <c r="B58" s="83" t="s">
        <v>1660</v>
      </c>
      <c r="C58" s="83">
        <v>3</v>
      </c>
      <c r="D58" s="110">
        <v>0.0014900669062303527</v>
      </c>
      <c r="E58" s="110">
        <v>1.5292669848633091</v>
      </c>
      <c r="F58" s="83" t="s">
        <v>2059</v>
      </c>
      <c r="G58" s="83" t="b">
        <v>0</v>
      </c>
      <c r="H58" s="83" t="b">
        <v>0</v>
      </c>
      <c r="I58" s="83" t="b">
        <v>0</v>
      </c>
      <c r="J58" s="83" t="b">
        <v>0</v>
      </c>
      <c r="K58" s="83" t="b">
        <v>0</v>
      </c>
      <c r="L58" s="83" t="b">
        <v>0</v>
      </c>
    </row>
    <row r="59" spans="1:12" ht="15">
      <c r="A59" s="84" t="s">
        <v>1660</v>
      </c>
      <c r="B59" s="83" t="s">
        <v>1444</v>
      </c>
      <c r="C59" s="83">
        <v>3</v>
      </c>
      <c r="D59" s="110">
        <v>0.0014900669062303527</v>
      </c>
      <c r="E59" s="110">
        <v>2.315387164918228</v>
      </c>
      <c r="F59" s="83" t="s">
        <v>2059</v>
      </c>
      <c r="G59" s="83" t="b">
        <v>0</v>
      </c>
      <c r="H59" s="83" t="b">
        <v>0</v>
      </c>
      <c r="I59" s="83" t="b">
        <v>0</v>
      </c>
      <c r="J59" s="83" t="b">
        <v>0</v>
      </c>
      <c r="K59" s="83" t="b">
        <v>0</v>
      </c>
      <c r="L59" s="83" t="b">
        <v>0</v>
      </c>
    </row>
    <row r="60" spans="1:12" ht="15">
      <c r="A60" s="84" t="s">
        <v>1453</v>
      </c>
      <c r="B60" s="83" t="s">
        <v>1661</v>
      </c>
      <c r="C60" s="83">
        <v>3</v>
      </c>
      <c r="D60" s="110">
        <v>0.0014900669062303527</v>
      </c>
      <c r="E60" s="110">
        <v>2.394568410965853</v>
      </c>
      <c r="F60" s="83" t="s">
        <v>2059</v>
      </c>
      <c r="G60" s="83" t="b">
        <v>0</v>
      </c>
      <c r="H60" s="83" t="b">
        <v>0</v>
      </c>
      <c r="I60" s="83" t="b">
        <v>0</v>
      </c>
      <c r="J60" s="83" t="b">
        <v>0</v>
      </c>
      <c r="K60" s="83" t="b">
        <v>0</v>
      </c>
      <c r="L60" s="83" t="b">
        <v>0</v>
      </c>
    </row>
    <row r="61" spans="1:12" ht="15">
      <c r="A61" s="84" t="s">
        <v>1661</v>
      </c>
      <c r="B61" s="83" t="s">
        <v>1662</v>
      </c>
      <c r="C61" s="83">
        <v>3</v>
      </c>
      <c r="D61" s="110">
        <v>0.0014900669062303527</v>
      </c>
      <c r="E61" s="110">
        <v>3.0935384153018717</v>
      </c>
      <c r="F61" s="83" t="s">
        <v>2059</v>
      </c>
      <c r="G61" s="83" t="b">
        <v>0</v>
      </c>
      <c r="H61" s="83" t="b">
        <v>0</v>
      </c>
      <c r="I61" s="83" t="b">
        <v>0</v>
      </c>
      <c r="J61" s="83" t="b">
        <v>0</v>
      </c>
      <c r="K61" s="83" t="b">
        <v>0</v>
      </c>
      <c r="L61" s="83" t="b">
        <v>0</v>
      </c>
    </row>
    <row r="62" spans="1:12" ht="15">
      <c r="A62" s="84" t="s">
        <v>1662</v>
      </c>
      <c r="B62" s="83" t="s">
        <v>1432</v>
      </c>
      <c r="C62" s="83">
        <v>3</v>
      </c>
      <c r="D62" s="110">
        <v>0.0014900669062303527</v>
      </c>
      <c r="E62" s="110">
        <v>2.0521457301436468</v>
      </c>
      <c r="F62" s="83" t="s">
        <v>2059</v>
      </c>
      <c r="G62" s="83" t="b">
        <v>0</v>
      </c>
      <c r="H62" s="83" t="b">
        <v>0</v>
      </c>
      <c r="I62" s="83" t="b">
        <v>0</v>
      </c>
      <c r="J62" s="83" t="b">
        <v>0</v>
      </c>
      <c r="K62" s="83" t="b">
        <v>0</v>
      </c>
      <c r="L62" s="83" t="b">
        <v>0</v>
      </c>
    </row>
    <row r="63" spans="1:12" ht="15">
      <c r="A63" s="84" t="s">
        <v>1432</v>
      </c>
      <c r="B63" s="83" t="s">
        <v>1663</v>
      </c>
      <c r="C63" s="83">
        <v>3</v>
      </c>
      <c r="D63" s="110">
        <v>0.0014900669062303527</v>
      </c>
      <c r="E63" s="110">
        <v>2.065509691701628</v>
      </c>
      <c r="F63" s="83" t="s">
        <v>2059</v>
      </c>
      <c r="G63" s="83" t="b">
        <v>0</v>
      </c>
      <c r="H63" s="83" t="b">
        <v>0</v>
      </c>
      <c r="I63" s="83" t="b">
        <v>0</v>
      </c>
      <c r="J63" s="83" t="b">
        <v>0</v>
      </c>
      <c r="K63" s="83" t="b">
        <v>0</v>
      </c>
      <c r="L63" s="83" t="b">
        <v>0</v>
      </c>
    </row>
    <row r="64" spans="1:12" ht="15">
      <c r="A64" s="84" t="s">
        <v>1457</v>
      </c>
      <c r="B64" s="83" t="s">
        <v>1664</v>
      </c>
      <c r="C64" s="83">
        <v>3</v>
      </c>
      <c r="D64" s="110">
        <v>0.0014900669062303527</v>
      </c>
      <c r="E64" s="110">
        <v>2.424531634343296</v>
      </c>
      <c r="F64" s="83" t="s">
        <v>2059</v>
      </c>
      <c r="G64" s="83" t="b">
        <v>0</v>
      </c>
      <c r="H64" s="83" t="b">
        <v>0</v>
      </c>
      <c r="I64" s="83" t="b">
        <v>0</v>
      </c>
      <c r="J64" s="83" t="b">
        <v>0</v>
      </c>
      <c r="K64" s="83" t="b">
        <v>0</v>
      </c>
      <c r="L64" s="83" t="b">
        <v>0</v>
      </c>
    </row>
    <row r="65" spans="1:12" ht="15">
      <c r="A65" s="84" t="s">
        <v>1464</v>
      </c>
      <c r="B65" s="83" t="s">
        <v>1464</v>
      </c>
      <c r="C65" s="83">
        <v>3</v>
      </c>
      <c r="D65" s="110">
        <v>0.0014900669062303527</v>
      </c>
      <c r="E65" s="110">
        <v>1.9272069935353466</v>
      </c>
      <c r="F65" s="83" t="s">
        <v>2059</v>
      </c>
      <c r="G65" s="83" t="b">
        <v>0</v>
      </c>
      <c r="H65" s="83" t="b">
        <v>0</v>
      </c>
      <c r="I65" s="83" t="b">
        <v>0</v>
      </c>
      <c r="J65" s="83" t="b">
        <v>0</v>
      </c>
      <c r="K65" s="83" t="b">
        <v>0</v>
      </c>
      <c r="L65" s="83" t="b">
        <v>0</v>
      </c>
    </row>
    <row r="66" spans="1:12" ht="15">
      <c r="A66" s="84" t="s">
        <v>1435</v>
      </c>
      <c r="B66" s="83" t="s">
        <v>1557</v>
      </c>
      <c r="C66" s="83">
        <v>3</v>
      </c>
      <c r="D66" s="110">
        <v>0.0014900669062303527</v>
      </c>
      <c r="E66" s="110">
        <v>1.9016528890629585</v>
      </c>
      <c r="F66" s="83" t="s">
        <v>2059</v>
      </c>
      <c r="G66" s="83" t="b">
        <v>0</v>
      </c>
      <c r="H66" s="83" t="b">
        <v>0</v>
      </c>
      <c r="I66" s="83" t="b">
        <v>0</v>
      </c>
      <c r="J66" s="83" t="b">
        <v>0</v>
      </c>
      <c r="K66" s="83" t="b">
        <v>0</v>
      </c>
      <c r="L66" s="83" t="b">
        <v>0</v>
      </c>
    </row>
    <row r="67" spans="1:12" ht="15">
      <c r="A67" s="84" t="s">
        <v>1428</v>
      </c>
      <c r="B67" s="83" t="s">
        <v>1450</v>
      </c>
      <c r="C67" s="83">
        <v>3</v>
      </c>
      <c r="D67" s="110">
        <v>0.0014900669062303527</v>
      </c>
      <c r="E67" s="110">
        <v>0.8022682569270467</v>
      </c>
      <c r="F67" s="83" t="s">
        <v>2059</v>
      </c>
      <c r="G67" s="83" t="b">
        <v>0</v>
      </c>
      <c r="H67" s="83" t="b">
        <v>0</v>
      </c>
      <c r="I67" s="83" t="b">
        <v>0</v>
      </c>
      <c r="J67" s="83" t="b">
        <v>0</v>
      </c>
      <c r="K67" s="83" t="b">
        <v>0</v>
      </c>
      <c r="L67" s="83" t="b">
        <v>0</v>
      </c>
    </row>
    <row r="68" spans="1:12" ht="15">
      <c r="A68" s="84" t="s">
        <v>1428</v>
      </c>
      <c r="B68" s="83" t="s">
        <v>1430</v>
      </c>
      <c r="C68" s="83">
        <v>3</v>
      </c>
      <c r="D68" s="110">
        <v>0.0014900669062303527</v>
      </c>
      <c r="E68" s="110">
        <v>0.27399447976000296</v>
      </c>
      <c r="F68" s="83" t="s">
        <v>2059</v>
      </c>
      <c r="G68" s="83" t="b">
        <v>0</v>
      </c>
      <c r="H68" s="83" t="b">
        <v>0</v>
      </c>
      <c r="I68" s="83" t="b">
        <v>0</v>
      </c>
      <c r="J68" s="83" t="b">
        <v>0</v>
      </c>
      <c r="K68" s="83" t="b">
        <v>0</v>
      </c>
      <c r="L68" s="83" t="b">
        <v>0</v>
      </c>
    </row>
    <row r="69" spans="1:12" ht="15">
      <c r="A69" s="84" t="s">
        <v>1500</v>
      </c>
      <c r="B69" s="83" t="s">
        <v>1431</v>
      </c>
      <c r="C69" s="83">
        <v>3</v>
      </c>
      <c r="D69" s="110">
        <v>0.0014900669062303527</v>
      </c>
      <c r="E69" s="110">
        <v>1.559230208240752</v>
      </c>
      <c r="F69" s="83" t="s">
        <v>2059</v>
      </c>
      <c r="G69" s="83" t="b">
        <v>0</v>
      </c>
      <c r="H69" s="83" t="b">
        <v>0</v>
      </c>
      <c r="I69" s="83" t="b">
        <v>0</v>
      </c>
      <c r="J69" s="83" t="b">
        <v>0</v>
      </c>
      <c r="K69" s="83" t="b">
        <v>0</v>
      </c>
      <c r="L69" s="83" t="b">
        <v>0</v>
      </c>
    </row>
    <row r="70" spans="1:12" ht="15">
      <c r="A70" s="84" t="s">
        <v>1431</v>
      </c>
      <c r="B70" s="83" t="s">
        <v>1430</v>
      </c>
      <c r="C70" s="83">
        <v>3</v>
      </c>
      <c r="D70" s="110">
        <v>0.0014900669062303527</v>
      </c>
      <c r="E70" s="110">
        <v>0.6921378745203276</v>
      </c>
      <c r="F70" s="83" t="s">
        <v>2059</v>
      </c>
      <c r="G70" s="83" t="b">
        <v>0</v>
      </c>
      <c r="H70" s="83" t="b">
        <v>0</v>
      </c>
      <c r="I70" s="83" t="b">
        <v>0</v>
      </c>
      <c r="J70" s="83" t="b">
        <v>0</v>
      </c>
      <c r="K70" s="83" t="b">
        <v>0</v>
      </c>
      <c r="L70" s="83" t="b">
        <v>0</v>
      </c>
    </row>
    <row r="71" spans="1:12" ht="15">
      <c r="A71" s="84" t="s">
        <v>1565</v>
      </c>
      <c r="B71" s="83" t="s">
        <v>1435</v>
      </c>
      <c r="C71" s="83">
        <v>3</v>
      </c>
      <c r="D71" s="110">
        <v>0.0014900669062303527</v>
      </c>
      <c r="E71" s="110">
        <v>2.0477809247411964</v>
      </c>
      <c r="F71" s="83" t="s">
        <v>2059</v>
      </c>
      <c r="G71" s="83" t="b">
        <v>0</v>
      </c>
      <c r="H71" s="83" t="b">
        <v>0</v>
      </c>
      <c r="I71" s="83" t="b">
        <v>0</v>
      </c>
      <c r="J71" s="83" t="b">
        <v>0</v>
      </c>
      <c r="K71" s="83" t="b">
        <v>0</v>
      </c>
      <c r="L71" s="83" t="b">
        <v>0</v>
      </c>
    </row>
    <row r="72" spans="1:12" ht="15">
      <c r="A72" s="84" t="s">
        <v>1452</v>
      </c>
      <c r="B72" s="83" t="s">
        <v>1428</v>
      </c>
      <c r="C72" s="83">
        <v>3</v>
      </c>
      <c r="D72" s="110">
        <v>0.0016218388636179914</v>
      </c>
      <c r="E72" s="110">
        <v>0.873139732080748</v>
      </c>
      <c r="F72" s="83" t="s">
        <v>2059</v>
      </c>
      <c r="G72" s="83" t="b">
        <v>0</v>
      </c>
      <c r="H72" s="83" t="b">
        <v>0</v>
      </c>
      <c r="I72" s="83" t="b">
        <v>0</v>
      </c>
      <c r="J72" s="83" t="b">
        <v>0</v>
      </c>
      <c r="K72" s="83" t="b">
        <v>0</v>
      </c>
      <c r="L72" s="83" t="b">
        <v>0</v>
      </c>
    </row>
    <row r="73" spans="1:12" ht="15">
      <c r="A73" s="84" t="s">
        <v>1440</v>
      </c>
      <c r="B73" s="83" t="s">
        <v>1430</v>
      </c>
      <c r="C73" s="83">
        <v>3</v>
      </c>
      <c r="D73" s="110">
        <v>0.0016218388636179914</v>
      </c>
      <c r="E73" s="110">
        <v>1.1392959058625467</v>
      </c>
      <c r="F73" s="83" t="s">
        <v>2059</v>
      </c>
      <c r="G73" s="83" t="b">
        <v>1</v>
      </c>
      <c r="H73" s="83" t="b">
        <v>0</v>
      </c>
      <c r="I73" s="83" t="b">
        <v>0</v>
      </c>
      <c r="J73" s="83" t="b">
        <v>0</v>
      </c>
      <c r="K73" s="83" t="b">
        <v>0</v>
      </c>
      <c r="L73" s="83" t="b">
        <v>0</v>
      </c>
    </row>
    <row r="74" spans="1:12" ht="15">
      <c r="A74" s="84" t="s">
        <v>1429</v>
      </c>
      <c r="B74" s="83" t="s">
        <v>1430</v>
      </c>
      <c r="C74" s="83">
        <v>3</v>
      </c>
      <c r="D74" s="110">
        <v>0.0014900669062303527</v>
      </c>
      <c r="E74" s="110">
        <v>0.5750244754239842</v>
      </c>
      <c r="F74" s="83" t="s">
        <v>2059</v>
      </c>
      <c r="G74" s="83" t="b">
        <v>0</v>
      </c>
      <c r="H74" s="83" t="b">
        <v>0</v>
      </c>
      <c r="I74" s="83" t="b">
        <v>0</v>
      </c>
      <c r="J74" s="83" t="b">
        <v>0</v>
      </c>
      <c r="K74" s="83" t="b">
        <v>0</v>
      </c>
      <c r="L74" s="83" t="b">
        <v>0</v>
      </c>
    </row>
    <row r="75" spans="1:12" ht="15">
      <c r="A75" s="84" t="s">
        <v>1488</v>
      </c>
      <c r="B75" s="83" t="s">
        <v>1498</v>
      </c>
      <c r="C75" s="83">
        <v>3</v>
      </c>
      <c r="D75" s="110">
        <v>0.0018471045126556426</v>
      </c>
      <c r="E75" s="110">
        <v>2.299592897734996</v>
      </c>
      <c r="F75" s="83" t="s">
        <v>2059</v>
      </c>
      <c r="G75" s="83" t="b">
        <v>0</v>
      </c>
      <c r="H75" s="83" t="b">
        <v>0</v>
      </c>
      <c r="I75" s="83" t="b">
        <v>0</v>
      </c>
      <c r="J75" s="83" t="b">
        <v>0</v>
      </c>
      <c r="K75" s="83" t="b">
        <v>0</v>
      </c>
      <c r="L75" s="83" t="b">
        <v>0</v>
      </c>
    </row>
    <row r="76" spans="1:12" ht="15">
      <c r="A76" s="84" t="s">
        <v>1431</v>
      </c>
      <c r="B76" s="83" t="s">
        <v>1429</v>
      </c>
      <c r="C76" s="83">
        <v>3</v>
      </c>
      <c r="D76" s="110">
        <v>0.0014900669062303527</v>
      </c>
      <c r="E76" s="110">
        <v>0.6611036407803588</v>
      </c>
      <c r="F76" s="83" t="s">
        <v>2059</v>
      </c>
      <c r="G76" s="83" t="b">
        <v>0</v>
      </c>
      <c r="H76" s="83" t="b">
        <v>0</v>
      </c>
      <c r="I76" s="83" t="b">
        <v>0</v>
      </c>
      <c r="J76" s="83" t="b">
        <v>0</v>
      </c>
      <c r="K76" s="83" t="b">
        <v>0</v>
      </c>
      <c r="L76" s="83" t="b">
        <v>0</v>
      </c>
    </row>
    <row r="77" spans="1:12" ht="15">
      <c r="A77" s="84" t="s">
        <v>1429</v>
      </c>
      <c r="B77" s="83" t="s">
        <v>1460</v>
      </c>
      <c r="C77" s="83">
        <v>3</v>
      </c>
      <c r="D77" s="110">
        <v>0.0014900669062303527</v>
      </c>
      <c r="E77" s="110">
        <v>1.1934748829401158</v>
      </c>
      <c r="F77" s="83" t="s">
        <v>2059</v>
      </c>
      <c r="G77" s="83" t="b">
        <v>0</v>
      </c>
      <c r="H77" s="83" t="b">
        <v>0</v>
      </c>
      <c r="I77" s="83" t="b">
        <v>0</v>
      </c>
      <c r="J77" s="83" t="b">
        <v>0</v>
      </c>
      <c r="K77" s="83" t="b">
        <v>0</v>
      </c>
      <c r="L77" s="83" t="b">
        <v>0</v>
      </c>
    </row>
    <row r="78" spans="1:12" ht="15">
      <c r="A78" s="84" t="s">
        <v>1571</v>
      </c>
      <c r="B78" s="83" t="s">
        <v>1460</v>
      </c>
      <c r="C78" s="83">
        <v>3</v>
      </c>
      <c r="D78" s="110">
        <v>0.0018471045126556426</v>
      </c>
      <c r="E78" s="110">
        <v>2.234867568098341</v>
      </c>
      <c r="F78" s="83" t="s">
        <v>2059</v>
      </c>
      <c r="G78" s="83" t="b">
        <v>0</v>
      </c>
      <c r="H78" s="83" t="b">
        <v>0</v>
      </c>
      <c r="I78" s="83" t="b">
        <v>0</v>
      </c>
      <c r="J78" s="83" t="b">
        <v>0</v>
      </c>
      <c r="K78" s="83" t="b">
        <v>0</v>
      </c>
      <c r="L78" s="83" t="b">
        <v>0</v>
      </c>
    </row>
    <row r="79" spans="1:12" ht="15">
      <c r="A79" s="84" t="s">
        <v>1429</v>
      </c>
      <c r="B79" s="83" t="s">
        <v>1571</v>
      </c>
      <c r="C79" s="83">
        <v>3</v>
      </c>
      <c r="D79" s="110">
        <v>0.0016218388636179914</v>
      </c>
      <c r="E79" s="110">
        <v>1.6084482309109338</v>
      </c>
      <c r="F79" s="83" t="s">
        <v>2059</v>
      </c>
      <c r="G79" s="83" t="b">
        <v>0</v>
      </c>
      <c r="H79" s="83" t="b">
        <v>0</v>
      </c>
      <c r="I79" s="83" t="b">
        <v>0</v>
      </c>
      <c r="J79" s="83" t="b">
        <v>0</v>
      </c>
      <c r="K79" s="83" t="b">
        <v>0</v>
      </c>
      <c r="L79" s="83" t="b">
        <v>0</v>
      </c>
    </row>
    <row r="80" spans="1:12" ht="15">
      <c r="A80" s="84" t="s">
        <v>1436</v>
      </c>
      <c r="B80" s="83" t="s">
        <v>1700</v>
      </c>
      <c r="C80" s="83">
        <v>3</v>
      </c>
      <c r="D80" s="110">
        <v>0.0014900669062303527</v>
      </c>
      <c r="E80" s="110">
        <v>2.123501638679315</v>
      </c>
      <c r="F80" s="83" t="s">
        <v>2059</v>
      </c>
      <c r="G80" s="83" t="b">
        <v>0</v>
      </c>
      <c r="H80" s="83" t="b">
        <v>0</v>
      </c>
      <c r="I80" s="83" t="b">
        <v>0</v>
      </c>
      <c r="J80" s="83" t="b">
        <v>0</v>
      </c>
      <c r="K80" s="83" t="b">
        <v>0</v>
      </c>
      <c r="L80" s="83" t="b">
        <v>0</v>
      </c>
    </row>
    <row r="81" spans="1:12" ht="15">
      <c r="A81" s="84" t="s">
        <v>1430</v>
      </c>
      <c r="B81" s="83" t="s">
        <v>1429</v>
      </c>
      <c r="C81" s="83">
        <v>3</v>
      </c>
      <c r="D81" s="110">
        <v>0.0014900669062303527</v>
      </c>
      <c r="E81" s="110">
        <v>0.5361649041720588</v>
      </c>
      <c r="F81" s="83" t="s">
        <v>2059</v>
      </c>
      <c r="G81" s="83" t="b">
        <v>0</v>
      </c>
      <c r="H81" s="83" t="b">
        <v>0</v>
      </c>
      <c r="I81" s="83" t="b">
        <v>0</v>
      </c>
      <c r="J81" s="83" t="b">
        <v>0</v>
      </c>
      <c r="K81" s="83" t="b">
        <v>0</v>
      </c>
      <c r="L81" s="83" t="b">
        <v>0</v>
      </c>
    </row>
    <row r="82" spans="1:12" ht="15">
      <c r="A82" s="84" t="s">
        <v>1428</v>
      </c>
      <c r="B82" s="83" t="s">
        <v>1498</v>
      </c>
      <c r="C82" s="83">
        <v>3</v>
      </c>
      <c r="D82" s="110">
        <v>0.0016218388636179914</v>
      </c>
      <c r="E82" s="110">
        <v>1.103298252591028</v>
      </c>
      <c r="F82" s="83" t="s">
        <v>2059</v>
      </c>
      <c r="G82" s="83" t="b">
        <v>0</v>
      </c>
      <c r="H82" s="83" t="b">
        <v>0</v>
      </c>
      <c r="I82" s="83" t="b">
        <v>0</v>
      </c>
      <c r="J82" s="83" t="b">
        <v>0</v>
      </c>
      <c r="K82" s="83" t="b">
        <v>0</v>
      </c>
      <c r="L82" s="83" t="b">
        <v>0</v>
      </c>
    </row>
    <row r="83" spans="1:12" ht="15">
      <c r="A83" s="84" t="s">
        <v>1473</v>
      </c>
      <c r="B83" s="83" t="s">
        <v>1429</v>
      </c>
      <c r="C83" s="83">
        <v>3</v>
      </c>
      <c r="D83" s="110">
        <v>0.0016218388636179914</v>
      </c>
      <c r="E83" s="110">
        <v>1.3301104217389343</v>
      </c>
      <c r="F83" s="83" t="s">
        <v>2059</v>
      </c>
      <c r="G83" s="83" t="b">
        <v>0</v>
      </c>
      <c r="H83" s="83" t="b">
        <v>0</v>
      </c>
      <c r="I83" s="83" t="b">
        <v>0</v>
      </c>
      <c r="J83" s="83" t="b">
        <v>0</v>
      </c>
      <c r="K83" s="83" t="b">
        <v>0</v>
      </c>
      <c r="L83" s="83" t="b">
        <v>0</v>
      </c>
    </row>
    <row r="84" spans="1:12" ht="15">
      <c r="A84" s="84" t="s">
        <v>1719</v>
      </c>
      <c r="B84" s="83" t="s">
        <v>1455</v>
      </c>
      <c r="C84" s="83">
        <v>3</v>
      </c>
      <c r="D84" s="110">
        <v>0.0018471045126556426</v>
      </c>
      <c r="E84" s="110">
        <v>2.424531634343296</v>
      </c>
      <c r="F84" s="83" t="s">
        <v>2059</v>
      </c>
      <c r="G84" s="83" t="b">
        <v>0</v>
      </c>
      <c r="H84" s="83" t="b">
        <v>0</v>
      </c>
      <c r="I84" s="83" t="b">
        <v>0</v>
      </c>
      <c r="J84" s="83" t="b">
        <v>0</v>
      </c>
      <c r="K84" s="83" t="b">
        <v>0</v>
      </c>
      <c r="L84" s="83" t="b">
        <v>0</v>
      </c>
    </row>
    <row r="85" spans="1:12" ht="15">
      <c r="A85" s="84" t="s">
        <v>1539</v>
      </c>
      <c r="B85" s="83" t="s">
        <v>1428</v>
      </c>
      <c r="C85" s="83">
        <v>3</v>
      </c>
      <c r="D85" s="110">
        <v>0.0018471045126556426</v>
      </c>
      <c r="E85" s="110">
        <v>1.288113080051566</v>
      </c>
      <c r="F85" s="83" t="s">
        <v>2059</v>
      </c>
      <c r="G85" s="83" t="b">
        <v>0</v>
      </c>
      <c r="H85" s="83" t="b">
        <v>0</v>
      </c>
      <c r="I85" s="83" t="b">
        <v>0</v>
      </c>
      <c r="J85" s="83" t="b">
        <v>0</v>
      </c>
      <c r="K85" s="83" t="b">
        <v>0</v>
      </c>
      <c r="L85" s="83" t="b">
        <v>0</v>
      </c>
    </row>
    <row r="86" spans="1:12" ht="15">
      <c r="A86" s="84" t="s">
        <v>1632</v>
      </c>
      <c r="B86" s="83" t="s">
        <v>1632</v>
      </c>
      <c r="C86" s="83">
        <v>3</v>
      </c>
      <c r="D86" s="110">
        <v>0.0018471045126556426</v>
      </c>
      <c r="E86" s="110">
        <v>2.9685996786935718</v>
      </c>
      <c r="F86" s="83" t="s">
        <v>2059</v>
      </c>
      <c r="G86" s="83" t="b">
        <v>0</v>
      </c>
      <c r="H86" s="83" t="b">
        <v>0</v>
      </c>
      <c r="I86" s="83" t="b">
        <v>0</v>
      </c>
      <c r="J86" s="83" t="b">
        <v>0</v>
      </c>
      <c r="K86" s="83" t="b">
        <v>0</v>
      </c>
      <c r="L86" s="83" t="b">
        <v>0</v>
      </c>
    </row>
    <row r="87" spans="1:12" ht="15">
      <c r="A87" s="84" t="s">
        <v>1735</v>
      </c>
      <c r="B87" s="83" t="s">
        <v>1736</v>
      </c>
      <c r="C87" s="83">
        <v>3</v>
      </c>
      <c r="D87" s="110">
        <v>0.0014900669062303527</v>
      </c>
      <c r="E87" s="110">
        <v>3.0935384153018717</v>
      </c>
      <c r="F87" s="83" t="s">
        <v>2059</v>
      </c>
      <c r="G87" s="83" t="b">
        <v>0</v>
      </c>
      <c r="H87" s="83" t="b">
        <v>0</v>
      </c>
      <c r="I87" s="83" t="b">
        <v>0</v>
      </c>
      <c r="J87" s="83" t="b">
        <v>0</v>
      </c>
      <c r="K87" s="83" t="b">
        <v>0</v>
      </c>
      <c r="L87" s="83" t="b">
        <v>0</v>
      </c>
    </row>
    <row r="88" spans="1:12" ht="15">
      <c r="A88" s="84" t="s">
        <v>1736</v>
      </c>
      <c r="B88" s="83" t="s">
        <v>1737</v>
      </c>
      <c r="C88" s="83">
        <v>3</v>
      </c>
      <c r="D88" s="110">
        <v>0.0014900669062303527</v>
      </c>
      <c r="E88" s="110">
        <v>3.0935384153018717</v>
      </c>
      <c r="F88" s="83" t="s">
        <v>2059</v>
      </c>
      <c r="G88" s="83" t="b">
        <v>0</v>
      </c>
      <c r="H88" s="83" t="b">
        <v>0</v>
      </c>
      <c r="I88" s="83" t="b">
        <v>0</v>
      </c>
      <c r="J88" s="83" t="b">
        <v>0</v>
      </c>
      <c r="K88" s="83" t="b">
        <v>0</v>
      </c>
      <c r="L88" s="83" t="b">
        <v>0</v>
      </c>
    </row>
    <row r="89" spans="1:12" ht="15">
      <c r="A89" s="84" t="s">
        <v>1457</v>
      </c>
      <c r="B89" s="83" t="s">
        <v>1548</v>
      </c>
      <c r="C89" s="83">
        <v>3</v>
      </c>
      <c r="D89" s="110">
        <v>0.0018471045126556426</v>
      </c>
      <c r="E89" s="110">
        <v>2.123501638679315</v>
      </c>
      <c r="F89" s="83" t="s">
        <v>2059</v>
      </c>
      <c r="G89" s="83" t="b">
        <v>0</v>
      </c>
      <c r="H89" s="83" t="b">
        <v>0</v>
      </c>
      <c r="I89" s="83" t="b">
        <v>0</v>
      </c>
      <c r="J89" s="83" t="b">
        <v>0</v>
      </c>
      <c r="K89" s="83" t="b">
        <v>0</v>
      </c>
      <c r="L89" s="83" t="b">
        <v>0</v>
      </c>
    </row>
    <row r="90" spans="1:12" ht="15">
      <c r="A90" s="84" t="s">
        <v>1750</v>
      </c>
      <c r="B90" s="83" t="s">
        <v>1751</v>
      </c>
      <c r="C90" s="83">
        <v>3</v>
      </c>
      <c r="D90" s="110">
        <v>0.0018471045126556426</v>
      </c>
      <c r="E90" s="110">
        <v>3.0935384153018717</v>
      </c>
      <c r="F90" s="83" t="s">
        <v>2059</v>
      </c>
      <c r="G90" s="83" t="b">
        <v>0</v>
      </c>
      <c r="H90" s="83" t="b">
        <v>0</v>
      </c>
      <c r="I90" s="83" t="b">
        <v>0</v>
      </c>
      <c r="J90" s="83" t="b">
        <v>0</v>
      </c>
      <c r="K90" s="83" t="b">
        <v>0</v>
      </c>
      <c r="L90" s="83" t="b">
        <v>0</v>
      </c>
    </row>
    <row r="91" spans="1:12" ht="15">
      <c r="A91" s="84" t="s">
        <v>1430</v>
      </c>
      <c r="B91" s="83" t="s">
        <v>1499</v>
      </c>
      <c r="C91" s="83">
        <v>3</v>
      </c>
      <c r="D91" s="110">
        <v>0.0014900669062303527</v>
      </c>
      <c r="E91" s="110">
        <v>1.3965029107430524</v>
      </c>
      <c r="F91" s="83" t="s">
        <v>2059</v>
      </c>
      <c r="G91" s="83" t="b">
        <v>0</v>
      </c>
      <c r="H91" s="83" t="b">
        <v>0</v>
      </c>
      <c r="I91" s="83" t="b">
        <v>0</v>
      </c>
      <c r="J91" s="83" t="b">
        <v>0</v>
      </c>
      <c r="K91" s="83" t="b">
        <v>0</v>
      </c>
      <c r="L91" s="83" t="b">
        <v>0</v>
      </c>
    </row>
    <row r="92" spans="1:12" ht="15">
      <c r="A92" s="84" t="s">
        <v>1755</v>
      </c>
      <c r="B92" s="83" t="s">
        <v>1458</v>
      </c>
      <c r="C92" s="83">
        <v>3</v>
      </c>
      <c r="D92" s="110">
        <v>0.0014900669062303527</v>
      </c>
      <c r="E92" s="110">
        <v>2.4567163177146973</v>
      </c>
      <c r="F92" s="83" t="s">
        <v>2059</v>
      </c>
      <c r="G92" s="83" t="b">
        <v>0</v>
      </c>
      <c r="H92" s="83" t="b">
        <v>0</v>
      </c>
      <c r="I92" s="83" t="b">
        <v>0</v>
      </c>
      <c r="J92" s="83" t="b">
        <v>1</v>
      </c>
      <c r="K92" s="83" t="b">
        <v>0</v>
      </c>
      <c r="L92" s="83" t="b">
        <v>0</v>
      </c>
    </row>
    <row r="93" spans="1:12" ht="15">
      <c r="A93" s="84" t="s">
        <v>1582</v>
      </c>
      <c r="B93" s="83" t="s">
        <v>1758</v>
      </c>
      <c r="C93" s="83">
        <v>3</v>
      </c>
      <c r="D93" s="110">
        <v>0.0018471045126556426</v>
      </c>
      <c r="E93" s="110">
        <v>2.871689665685515</v>
      </c>
      <c r="F93" s="83" t="s">
        <v>2059</v>
      </c>
      <c r="G93" s="83" t="b">
        <v>0</v>
      </c>
      <c r="H93" s="83" t="b">
        <v>0</v>
      </c>
      <c r="I93" s="83" t="b">
        <v>0</v>
      </c>
      <c r="J93" s="83" t="b">
        <v>0</v>
      </c>
      <c r="K93" s="83" t="b">
        <v>0</v>
      </c>
      <c r="L93" s="83" t="b">
        <v>0</v>
      </c>
    </row>
    <row r="94" spans="1:12" ht="15">
      <c r="A94" s="84" t="s">
        <v>1587</v>
      </c>
      <c r="B94" s="83" t="s">
        <v>1763</v>
      </c>
      <c r="C94" s="83">
        <v>2</v>
      </c>
      <c r="D94" s="110">
        <v>0.0010812259090786612</v>
      </c>
      <c r="E94" s="110">
        <v>2.9685996786935718</v>
      </c>
      <c r="F94" s="83" t="s">
        <v>2059</v>
      </c>
      <c r="G94" s="83" t="b">
        <v>0</v>
      </c>
      <c r="H94" s="83" t="b">
        <v>0</v>
      </c>
      <c r="I94" s="83" t="b">
        <v>0</v>
      </c>
      <c r="J94" s="83" t="b">
        <v>0</v>
      </c>
      <c r="K94" s="83" t="b">
        <v>0</v>
      </c>
      <c r="L94" s="83" t="b">
        <v>0</v>
      </c>
    </row>
    <row r="95" spans="1:12" ht="15">
      <c r="A95" s="84" t="s">
        <v>1589</v>
      </c>
      <c r="B95" s="83" t="s">
        <v>1768</v>
      </c>
      <c r="C95" s="83">
        <v>2</v>
      </c>
      <c r="D95" s="110">
        <v>0.0010812259090786612</v>
      </c>
      <c r="E95" s="110">
        <v>2.9685996786935718</v>
      </c>
      <c r="F95" s="83" t="s">
        <v>2059</v>
      </c>
      <c r="G95" s="83" t="b">
        <v>0</v>
      </c>
      <c r="H95" s="83" t="b">
        <v>0</v>
      </c>
      <c r="I95" s="83" t="b">
        <v>0</v>
      </c>
      <c r="J95" s="83" t="b">
        <v>0</v>
      </c>
      <c r="K95" s="83" t="b">
        <v>0</v>
      </c>
      <c r="L95" s="83" t="b">
        <v>0</v>
      </c>
    </row>
    <row r="96" spans="1:12" ht="15">
      <c r="A96" s="84" t="s">
        <v>1456</v>
      </c>
      <c r="B96" s="83" t="s">
        <v>1770</v>
      </c>
      <c r="C96" s="83">
        <v>2</v>
      </c>
      <c r="D96" s="110">
        <v>0.0010812259090786612</v>
      </c>
      <c r="E96" s="110">
        <v>2.491478423973909</v>
      </c>
      <c r="F96" s="83" t="s">
        <v>2059</v>
      </c>
      <c r="G96" s="83" t="b">
        <v>1</v>
      </c>
      <c r="H96" s="83" t="b">
        <v>0</v>
      </c>
      <c r="I96" s="83" t="b">
        <v>0</v>
      </c>
      <c r="J96" s="83" t="b">
        <v>0</v>
      </c>
      <c r="K96" s="83" t="b">
        <v>0</v>
      </c>
      <c r="L96" s="83" t="b">
        <v>0</v>
      </c>
    </row>
    <row r="97" spans="1:12" ht="15">
      <c r="A97" s="84" t="s">
        <v>1770</v>
      </c>
      <c r="B97" s="83" t="s">
        <v>1648</v>
      </c>
      <c r="C97" s="83">
        <v>2</v>
      </c>
      <c r="D97" s="110">
        <v>0.0010812259090786612</v>
      </c>
      <c r="E97" s="110">
        <v>3.0935384153018717</v>
      </c>
      <c r="F97" s="83" t="s">
        <v>2059</v>
      </c>
      <c r="G97" s="83" t="b">
        <v>0</v>
      </c>
      <c r="H97" s="83" t="b">
        <v>0</v>
      </c>
      <c r="I97" s="83" t="b">
        <v>0</v>
      </c>
      <c r="J97" s="83" t="b">
        <v>0</v>
      </c>
      <c r="K97" s="83" t="b">
        <v>0</v>
      </c>
      <c r="L97" s="83" t="b">
        <v>0</v>
      </c>
    </row>
    <row r="98" spans="1:12" ht="15">
      <c r="A98" s="84" t="s">
        <v>1648</v>
      </c>
      <c r="B98" s="83" t="s">
        <v>1476</v>
      </c>
      <c r="C98" s="83">
        <v>2</v>
      </c>
      <c r="D98" s="110">
        <v>0.0010812259090786612</v>
      </c>
      <c r="E98" s="110">
        <v>2.394568410965853</v>
      </c>
      <c r="F98" s="83" t="s">
        <v>2059</v>
      </c>
      <c r="G98" s="83" t="b">
        <v>0</v>
      </c>
      <c r="H98" s="83" t="b">
        <v>0</v>
      </c>
      <c r="I98" s="83" t="b">
        <v>0</v>
      </c>
      <c r="J98" s="83" t="b">
        <v>0</v>
      </c>
      <c r="K98" s="83" t="b">
        <v>0</v>
      </c>
      <c r="L98" s="83" t="b">
        <v>0</v>
      </c>
    </row>
    <row r="99" spans="1:12" ht="15">
      <c r="A99" s="84" t="s">
        <v>1441</v>
      </c>
      <c r="B99" s="83" t="s">
        <v>1649</v>
      </c>
      <c r="C99" s="83">
        <v>2</v>
      </c>
      <c r="D99" s="110">
        <v>0.0012314030084370953</v>
      </c>
      <c r="E99" s="110">
        <v>2.164119489587579</v>
      </c>
      <c r="F99" s="83" t="s">
        <v>2059</v>
      </c>
      <c r="G99" s="83" t="b">
        <v>0</v>
      </c>
      <c r="H99" s="83" t="b">
        <v>0</v>
      </c>
      <c r="I99" s="83" t="b">
        <v>0</v>
      </c>
      <c r="J99" s="83" t="b">
        <v>0</v>
      </c>
      <c r="K99" s="83" t="b">
        <v>0</v>
      </c>
      <c r="L99" s="83" t="b">
        <v>0</v>
      </c>
    </row>
    <row r="100" spans="1:12" ht="15">
      <c r="A100" s="84" t="s">
        <v>1654</v>
      </c>
      <c r="B100" s="83" t="s">
        <v>1449</v>
      </c>
      <c r="C100" s="83">
        <v>2</v>
      </c>
      <c r="D100" s="110">
        <v>0.0012314030084370953</v>
      </c>
      <c r="E100" s="110">
        <v>2.190448428309928</v>
      </c>
      <c r="F100" s="83" t="s">
        <v>2059</v>
      </c>
      <c r="G100" s="83" t="b">
        <v>0</v>
      </c>
      <c r="H100" s="83" t="b">
        <v>0</v>
      </c>
      <c r="I100" s="83" t="b">
        <v>0</v>
      </c>
      <c r="J100" s="83" t="b">
        <v>0</v>
      </c>
      <c r="K100" s="83" t="b">
        <v>0</v>
      </c>
      <c r="L100" s="83" t="b">
        <v>0</v>
      </c>
    </row>
    <row r="101" spans="1:12" ht="15">
      <c r="A101" s="84" t="s">
        <v>1775</v>
      </c>
      <c r="B101" s="83" t="s">
        <v>1592</v>
      </c>
      <c r="C101" s="83">
        <v>2</v>
      </c>
      <c r="D101" s="110">
        <v>0.0012314030084370953</v>
      </c>
      <c r="E101" s="110">
        <v>2.9685996786935718</v>
      </c>
      <c r="F101" s="83" t="s">
        <v>2059</v>
      </c>
      <c r="G101" s="83" t="b">
        <v>0</v>
      </c>
      <c r="H101" s="83" t="b">
        <v>0</v>
      </c>
      <c r="I101" s="83" t="b">
        <v>0</v>
      </c>
      <c r="J101" s="83" t="b">
        <v>0</v>
      </c>
      <c r="K101" s="83" t="b">
        <v>0</v>
      </c>
      <c r="L101" s="83" t="b">
        <v>0</v>
      </c>
    </row>
    <row r="102" spans="1:12" ht="15">
      <c r="A102" s="84" t="s">
        <v>1777</v>
      </c>
      <c r="B102" s="83" t="s">
        <v>1657</v>
      </c>
      <c r="C102" s="83">
        <v>2</v>
      </c>
      <c r="D102" s="110">
        <v>0.0010812259090786612</v>
      </c>
      <c r="E102" s="110">
        <v>3.0935384153018717</v>
      </c>
      <c r="F102" s="83" t="s">
        <v>2059</v>
      </c>
      <c r="G102" s="83" t="b">
        <v>0</v>
      </c>
      <c r="H102" s="83" t="b">
        <v>0</v>
      </c>
      <c r="I102" s="83" t="b">
        <v>0</v>
      </c>
      <c r="J102" s="83" t="b">
        <v>0</v>
      </c>
      <c r="K102" s="83" t="b">
        <v>0</v>
      </c>
      <c r="L102" s="83" t="b">
        <v>0</v>
      </c>
    </row>
    <row r="103" spans="1:12" ht="15">
      <c r="A103" s="84" t="s">
        <v>1432</v>
      </c>
      <c r="B103" s="83" t="s">
        <v>1781</v>
      </c>
      <c r="C103" s="83">
        <v>2</v>
      </c>
      <c r="D103" s="110">
        <v>0.0010812259090786612</v>
      </c>
      <c r="E103" s="110">
        <v>2.065509691701628</v>
      </c>
      <c r="F103" s="83" t="s">
        <v>2059</v>
      </c>
      <c r="G103" s="83" t="b">
        <v>0</v>
      </c>
      <c r="H103" s="83" t="b">
        <v>0</v>
      </c>
      <c r="I103" s="83" t="b">
        <v>0</v>
      </c>
      <c r="J103" s="83" t="b">
        <v>0</v>
      </c>
      <c r="K103" s="83" t="b">
        <v>0</v>
      </c>
      <c r="L103" s="83" t="b">
        <v>0</v>
      </c>
    </row>
    <row r="104" spans="1:12" ht="15">
      <c r="A104" s="84" t="s">
        <v>1781</v>
      </c>
      <c r="B104" s="83" t="s">
        <v>1428</v>
      </c>
      <c r="C104" s="83">
        <v>2</v>
      </c>
      <c r="D104" s="110">
        <v>0.0010812259090786612</v>
      </c>
      <c r="E104" s="110">
        <v>1.5099618296679225</v>
      </c>
      <c r="F104" s="83" t="s">
        <v>2059</v>
      </c>
      <c r="G104" s="83" t="b">
        <v>0</v>
      </c>
      <c r="H104" s="83" t="b">
        <v>0</v>
      </c>
      <c r="I104" s="83" t="b">
        <v>0</v>
      </c>
      <c r="J104" s="83" t="b">
        <v>0</v>
      </c>
      <c r="K104" s="83" t="b">
        <v>0</v>
      </c>
      <c r="L104" s="83" t="b">
        <v>0</v>
      </c>
    </row>
    <row r="105" spans="1:12" ht="15">
      <c r="A105" s="84" t="s">
        <v>1784</v>
      </c>
      <c r="B105" s="83" t="s">
        <v>1428</v>
      </c>
      <c r="C105" s="83">
        <v>2</v>
      </c>
      <c r="D105" s="110">
        <v>0.0010812259090786612</v>
      </c>
      <c r="E105" s="110">
        <v>1.5099618296679225</v>
      </c>
      <c r="F105" s="83" t="s">
        <v>2059</v>
      </c>
      <c r="G105" s="83" t="b">
        <v>0</v>
      </c>
      <c r="H105" s="83" t="b">
        <v>0</v>
      </c>
      <c r="I105" s="83" t="b">
        <v>0</v>
      </c>
      <c r="J105" s="83" t="b">
        <v>0</v>
      </c>
      <c r="K105" s="83" t="b">
        <v>0</v>
      </c>
      <c r="L105" s="83" t="b">
        <v>0</v>
      </c>
    </row>
    <row r="106" spans="1:12" ht="15">
      <c r="A106" s="84" t="s">
        <v>1429</v>
      </c>
      <c r="B106" s="83" t="s">
        <v>1464</v>
      </c>
      <c r="C106" s="83">
        <v>2</v>
      </c>
      <c r="D106" s="110">
        <v>0.0010812259090786612</v>
      </c>
      <c r="E106" s="110">
        <v>1.0521457301436465</v>
      </c>
      <c r="F106" s="83" t="s">
        <v>2059</v>
      </c>
      <c r="G106" s="83" t="b">
        <v>0</v>
      </c>
      <c r="H106" s="83" t="b">
        <v>0</v>
      </c>
      <c r="I106" s="83" t="b">
        <v>0</v>
      </c>
      <c r="J106" s="83" t="b">
        <v>0</v>
      </c>
      <c r="K106" s="83" t="b">
        <v>0</v>
      </c>
      <c r="L106" s="83" t="b">
        <v>0</v>
      </c>
    </row>
    <row r="107" spans="1:12" ht="15">
      <c r="A107" s="84" t="s">
        <v>1429</v>
      </c>
      <c r="B107" s="83" t="s">
        <v>1438</v>
      </c>
      <c r="C107" s="83">
        <v>2</v>
      </c>
      <c r="D107" s="110">
        <v>0.0010812259090786612</v>
      </c>
      <c r="E107" s="110">
        <v>0.8302969805272902</v>
      </c>
      <c r="F107" s="83" t="s">
        <v>2059</v>
      </c>
      <c r="G107" s="83" t="b">
        <v>0</v>
      </c>
      <c r="H107" s="83" t="b">
        <v>0</v>
      </c>
      <c r="I107" s="83" t="b">
        <v>0</v>
      </c>
      <c r="J107" s="83" t="b">
        <v>1</v>
      </c>
      <c r="K107" s="83" t="b">
        <v>0</v>
      </c>
      <c r="L107" s="83" t="b">
        <v>0</v>
      </c>
    </row>
    <row r="108" spans="1:12" ht="15">
      <c r="A108" s="84" t="s">
        <v>1557</v>
      </c>
      <c r="B108" s="83" t="s">
        <v>1557</v>
      </c>
      <c r="C108" s="83">
        <v>2</v>
      </c>
      <c r="D108" s="110">
        <v>0.0010812259090786612</v>
      </c>
      <c r="E108" s="110">
        <v>2.5706596700215343</v>
      </c>
      <c r="F108" s="83" t="s">
        <v>2059</v>
      </c>
      <c r="G108" s="83" t="b">
        <v>0</v>
      </c>
      <c r="H108" s="83" t="b">
        <v>0</v>
      </c>
      <c r="I108" s="83" t="b">
        <v>0</v>
      </c>
      <c r="J108" s="83" t="b">
        <v>0</v>
      </c>
      <c r="K108" s="83" t="b">
        <v>0</v>
      </c>
      <c r="L108" s="83" t="b">
        <v>0</v>
      </c>
    </row>
    <row r="109" spans="1:12" ht="15">
      <c r="A109" s="84" t="s">
        <v>1667</v>
      </c>
      <c r="B109" s="83" t="s">
        <v>1791</v>
      </c>
      <c r="C109" s="83">
        <v>2</v>
      </c>
      <c r="D109" s="110">
        <v>0.0010812259090786612</v>
      </c>
      <c r="E109" s="110">
        <v>3.269629674357553</v>
      </c>
      <c r="F109" s="83" t="s">
        <v>2059</v>
      </c>
      <c r="G109" s="83" t="b">
        <v>0</v>
      </c>
      <c r="H109" s="83" t="b">
        <v>0</v>
      </c>
      <c r="I109" s="83" t="b">
        <v>0</v>
      </c>
      <c r="J109" s="83" t="b">
        <v>1</v>
      </c>
      <c r="K109" s="83" t="b">
        <v>0</v>
      </c>
      <c r="L109" s="83" t="b">
        <v>0</v>
      </c>
    </row>
    <row r="110" spans="1:12" ht="15">
      <c r="A110" s="84" t="s">
        <v>1452</v>
      </c>
      <c r="B110" s="83" t="s">
        <v>1438</v>
      </c>
      <c r="C110" s="83">
        <v>2</v>
      </c>
      <c r="D110" s="110">
        <v>0.0010812259090786612</v>
      </c>
      <c r="E110" s="110">
        <v>1.4567163177146973</v>
      </c>
      <c r="F110" s="83" t="s">
        <v>2059</v>
      </c>
      <c r="G110" s="83" t="b">
        <v>0</v>
      </c>
      <c r="H110" s="83" t="b">
        <v>0</v>
      </c>
      <c r="I110" s="83" t="b">
        <v>0</v>
      </c>
      <c r="J110" s="83" t="b">
        <v>1</v>
      </c>
      <c r="K110" s="83" t="b">
        <v>0</v>
      </c>
      <c r="L110" s="83" t="b">
        <v>0</v>
      </c>
    </row>
    <row r="111" spans="1:12" ht="15">
      <c r="A111" s="84" t="s">
        <v>1438</v>
      </c>
      <c r="B111" s="83" t="s">
        <v>1430</v>
      </c>
      <c r="C111" s="83">
        <v>2</v>
      </c>
      <c r="D111" s="110">
        <v>0.0010812259090786612</v>
      </c>
      <c r="E111" s="110">
        <v>0.8170766111286275</v>
      </c>
      <c r="F111" s="83" t="s">
        <v>2059</v>
      </c>
      <c r="G111" s="83" t="b">
        <v>1</v>
      </c>
      <c r="H111" s="83" t="b">
        <v>0</v>
      </c>
      <c r="I111" s="83" t="b">
        <v>0</v>
      </c>
      <c r="J111" s="83" t="b">
        <v>0</v>
      </c>
      <c r="K111" s="83" t="b">
        <v>0</v>
      </c>
      <c r="L111" s="83" t="b">
        <v>0</v>
      </c>
    </row>
    <row r="112" spans="1:12" ht="15">
      <c r="A112" s="84" t="s">
        <v>1430</v>
      </c>
      <c r="B112" s="83" t="s">
        <v>1514</v>
      </c>
      <c r="C112" s="83">
        <v>2</v>
      </c>
      <c r="D112" s="110">
        <v>0.0010812259090786612</v>
      </c>
      <c r="E112" s="110">
        <v>1.278403598665058</v>
      </c>
      <c r="F112" s="83" t="s">
        <v>2059</v>
      </c>
      <c r="G112" s="83" t="b">
        <v>0</v>
      </c>
      <c r="H112" s="83" t="b">
        <v>0</v>
      </c>
      <c r="I112" s="83" t="b">
        <v>0</v>
      </c>
      <c r="J112" s="83" t="b">
        <v>0</v>
      </c>
      <c r="K112" s="83" t="b">
        <v>0</v>
      </c>
      <c r="L112" s="83" t="b">
        <v>0</v>
      </c>
    </row>
    <row r="113" spans="1:12" ht="15">
      <c r="A113" s="84" t="s">
        <v>1436</v>
      </c>
      <c r="B113" s="83" t="s">
        <v>1515</v>
      </c>
      <c r="C113" s="83">
        <v>2</v>
      </c>
      <c r="D113" s="110">
        <v>0.0010812259090786612</v>
      </c>
      <c r="E113" s="110">
        <v>1.5794335943290392</v>
      </c>
      <c r="F113" s="83" t="s">
        <v>2059</v>
      </c>
      <c r="G113" s="83" t="b">
        <v>0</v>
      </c>
      <c r="H113" s="83" t="b">
        <v>0</v>
      </c>
      <c r="I113" s="83" t="b">
        <v>0</v>
      </c>
      <c r="J113" s="83" t="b">
        <v>0</v>
      </c>
      <c r="K113" s="83" t="b">
        <v>0</v>
      </c>
      <c r="L113" s="83" t="b">
        <v>0</v>
      </c>
    </row>
    <row r="114" spans="1:12" ht="15">
      <c r="A114" s="84" t="s">
        <v>1797</v>
      </c>
      <c r="B114" s="83" t="s">
        <v>1436</v>
      </c>
      <c r="C114" s="83">
        <v>2</v>
      </c>
      <c r="D114" s="110">
        <v>0.0012314030084370953</v>
      </c>
      <c r="E114" s="110">
        <v>2.123501638679315</v>
      </c>
      <c r="F114" s="83" t="s">
        <v>2059</v>
      </c>
      <c r="G114" s="83" t="b">
        <v>0</v>
      </c>
      <c r="H114" s="83" t="b">
        <v>0</v>
      </c>
      <c r="I114" s="83" t="b">
        <v>0</v>
      </c>
      <c r="J114" s="83" t="b">
        <v>0</v>
      </c>
      <c r="K114" s="83" t="b">
        <v>0</v>
      </c>
      <c r="L114" s="83" t="b">
        <v>0</v>
      </c>
    </row>
    <row r="115" spans="1:12" ht="15">
      <c r="A115" s="84" t="s">
        <v>1517</v>
      </c>
      <c r="B115" s="83" t="s">
        <v>1496</v>
      </c>
      <c r="C115" s="83">
        <v>2</v>
      </c>
      <c r="D115" s="110">
        <v>0.0012314030084370953</v>
      </c>
      <c r="E115" s="110">
        <v>2.123501638679315</v>
      </c>
      <c r="F115" s="83" t="s">
        <v>2059</v>
      </c>
      <c r="G115" s="83" t="b">
        <v>1</v>
      </c>
      <c r="H115" s="83" t="b">
        <v>0</v>
      </c>
      <c r="I115" s="83" t="b">
        <v>0</v>
      </c>
      <c r="J115" s="83" t="b">
        <v>0</v>
      </c>
      <c r="K115" s="83" t="b">
        <v>0</v>
      </c>
      <c r="L115" s="83" t="b">
        <v>0</v>
      </c>
    </row>
    <row r="116" spans="1:12" ht="15">
      <c r="A116" s="84" t="s">
        <v>1799</v>
      </c>
      <c r="B116" s="83" t="s">
        <v>1800</v>
      </c>
      <c r="C116" s="83">
        <v>2</v>
      </c>
      <c r="D116" s="110">
        <v>0.0012314030084370953</v>
      </c>
      <c r="E116" s="110">
        <v>3.269629674357553</v>
      </c>
      <c r="F116" s="83" t="s">
        <v>2059</v>
      </c>
      <c r="G116" s="83" t="b">
        <v>0</v>
      </c>
      <c r="H116" s="83" t="b">
        <v>0</v>
      </c>
      <c r="I116" s="83" t="b">
        <v>0</v>
      </c>
      <c r="J116" s="83" t="b">
        <v>0</v>
      </c>
      <c r="K116" s="83" t="b">
        <v>0</v>
      </c>
      <c r="L116" s="83" t="b">
        <v>0</v>
      </c>
    </row>
    <row r="117" spans="1:12" ht="15">
      <c r="A117" s="84" t="s">
        <v>1562</v>
      </c>
      <c r="B117" s="83" t="s">
        <v>1564</v>
      </c>
      <c r="C117" s="83">
        <v>2</v>
      </c>
      <c r="D117" s="110">
        <v>0.0012314030084370953</v>
      </c>
      <c r="E117" s="110">
        <v>2.4737496570134776</v>
      </c>
      <c r="F117" s="83" t="s">
        <v>2059</v>
      </c>
      <c r="G117" s="83" t="b">
        <v>0</v>
      </c>
      <c r="H117" s="83" t="b">
        <v>0</v>
      </c>
      <c r="I117" s="83" t="b">
        <v>0</v>
      </c>
      <c r="J117" s="83" t="b">
        <v>0</v>
      </c>
      <c r="K117" s="83" t="b">
        <v>0</v>
      </c>
      <c r="L117" s="83" t="b">
        <v>0</v>
      </c>
    </row>
    <row r="118" spans="1:12" ht="15">
      <c r="A118" s="84" t="s">
        <v>1677</v>
      </c>
      <c r="B118" s="83" t="s">
        <v>1429</v>
      </c>
      <c r="C118" s="83">
        <v>2</v>
      </c>
      <c r="D118" s="110">
        <v>0.0010812259090786612</v>
      </c>
      <c r="E118" s="110">
        <v>1.6311404174029156</v>
      </c>
      <c r="F118" s="83" t="s">
        <v>2059</v>
      </c>
      <c r="G118" s="83" t="b">
        <v>0</v>
      </c>
      <c r="H118" s="83" t="b">
        <v>0</v>
      </c>
      <c r="I118" s="83" t="b">
        <v>0</v>
      </c>
      <c r="J118" s="83" t="b">
        <v>0</v>
      </c>
      <c r="K118" s="83" t="b">
        <v>0</v>
      </c>
      <c r="L118" s="83" t="b">
        <v>0</v>
      </c>
    </row>
    <row r="119" spans="1:12" ht="15">
      <c r="A119" s="84" t="s">
        <v>1430</v>
      </c>
      <c r="B119" s="83" t="s">
        <v>1430</v>
      </c>
      <c r="C119" s="83">
        <v>2</v>
      </c>
      <c r="D119" s="110">
        <v>0.0010812259090786612</v>
      </c>
      <c r="E119" s="110">
        <v>0.3911078788563463</v>
      </c>
      <c r="F119" s="83" t="s">
        <v>2059</v>
      </c>
      <c r="G119" s="83" t="b">
        <v>0</v>
      </c>
      <c r="H119" s="83" t="b">
        <v>0</v>
      </c>
      <c r="I119" s="83" t="b">
        <v>0</v>
      </c>
      <c r="J119" s="83" t="b">
        <v>0</v>
      </c>
      <c r="K119" s="83" t="b">
        <v>0</v>
      </c>
      <c r="L119" s="83" t="b">
        <v>0</v>
      </c>
    </row>
    <row r="120" spans="1:12" ht="15">
      <c r="A120" s="84" t="s">
        <v>1458</v>
      </c>
      <c r="B120" s="83" t="s">
        <v>1522</v>
      </c>
      <c r="C120" s="83">
        <v>2</v>
      </c>
      <c r="D120" s="110">
        <v>0.0010812259090786612</v>
      </c>
      <c r="E120" s="110">
        <v>1.8804635899930202</v>
      </c>
      <c r="F120" s="83" t="s">
        <v>2059</v>
      </c>
      <c r="G120" s="83" t="b">
        <v>1</v>
      </c>
      <c r="H120" s="83" t="b">
        <v>0</v>
      </c>
      <c r="I120" s="83" t="b">
        <v>0</v>
      </c>
      <c r="J120" s="83" t="b">
        <v>0</v>
      </c>
      <c r="K120" s="83" t="b">
        <v>0</v>
      </c>
      <c r="L120" s="83" t="b">
        <v>0</v>
      </c>
    </row>
    <row r="121" spans="1:12" ht="15">
      <c r="A121" s="84" t="s">
        <v>1470</v>
      </c>
      <c r="B121" s="83" t="s">
        <v>1430</v>
      </c>
      <c r="C121" s="83">
        <v>2</v>
      </c>
      <c r="D121" s="110">
        <v>0.0010812259090786612</v>
      </c>
      <c r="E121" s="110">
        <v>1.0979032207043218</v>
      </c>
      <c r="F121" s="83" t="s">
        <v>2059</v>
      </c>
      <c r="G121" s="83" t="b">
        <v>0</v>
      </c>
      <c r="H121" s="83" t="b">
        <v>0</v>
      </c>
      <c r="I121" s="83" t="b">
        <v>0</v>
      </c>
      <c r="J121" s="83" t="b">
        <v>0</v>
      </c>
      <c r="K121" s="83" t="b">
        <v>0</v>
      </c>
      <c r="L121" s="83" t="b">
        <v>0</v>
      </c>
    </row>
    <row r="122" spans="1:12" ht="15">
      <c r="A122" s="84" t="s">
        <v>1522</v>
      </c>
      <c r="B122" s="83" t="s">
        <v>1452</v>
      </c>
      <c r="C122" s="83">
        <v>2</v>
      </c>
      <c r="D122" s="110">
        <v>0.0010812259090786612</v>
      </c>
      <c r="E122" s="110">
        <v>1.8804635899930202</v>
      </c>
      <c r="F122" s="83" t="s">
        <v>2059</v>
      </c>
      <c r="G122" s="83" t="b">
        <v>0</v>
      </c>
      <c r="H122" s="83" t="b">
        <v>0</v>
      </c>
      <c r="I122" s="83" t="b">
        <v>0</v>
      </c>
      <c r="J122" s="83" t="b">
        <v>0</v>
      </c>
      <c r="K122" s="83" t="b">
        <v>0</v>
      </c>
      <c r="L122" s="83" t="b">
        <v>0</v>
      </c>
    </row>
    <row r="123" spans="1:12" ht="15">
      <c r="A123" s="84" t="s">
        <v>1428</v>
      </c>
      <c r="B123" s="83" t="s">
        <v>1669</v>
      </c>
      <c r="C123" s="83">
        <v>2</v>
      </c>
      <c r="D123" s="110">
        <v>0.0010812259090786612</v>
      </c>
      <c r="E123" s="110">
        <v>1.3531757258076278</v>
      </c>
      <c r="F123" s="83" t="s">
        <v>2059</v>
      </c>
      <c r="G123" s="83" t="b">
        <v>0</v>
      </c>
      <c r="H123" s="83" t="b">
        <v>0</v>
      </c>
      <c r="I123" s="83" t="b">
        <v>0</v>
      </c>
      <c r="J123" s="83" t="b">
        <v>1</v>
      </c>
      <c r="K123" s="83" t="b">
        <v>0</v>
      </c>
      <c r="L123" s="83" t="b">
        <v>0</v>
      </c>
    </row>
    <row r="124" spans="1:12" ht="15">
      <c r="A124" s="84" t="s">
        <v>1669</v>
      </c>
      <c r="B124" s="83" t="s">
        <v>1440</v>
      </c>
      <c r="C124" s="83">
        <v>2</v>
      </c>
      <c r="D124" s="110">
        <v>0.0010812259090786612</v>
      </c>
      <c r="E124" s="110">
        <v>2.0935384153018717</v>
      </c>
      <c r="F124" s="83" t="s">
        <v>2059</v>
      </c>
      <c r="G124" s="83" t="b">
        <v>1</v>
      </c>
      <c r="H124" s="83" t="b">
        <v>0</v>
      </c>
      <c r="I124" s="83" t="b">
        <v>0</v>
      </c>
      <c r="J124" s="83" t="b">
        <v>1</v>
      </c>
      <c r="K124" s="83" t="b">
        <v>0</v>
      </c>
      <c r="L124" s="83" t="b">
        <v>0</v>
      </c>
    </row>
    <row r="125" spans="1:12" ht="15">
      <c r="A125" s="84" t="s">
        <v>1680</v>
      </c>
      <c r="B125" s="83" t="s">
        <v>1452</v>
      </c>
      <c r="C125" s="83">
        <v>2</v>
      </c>
      <c r="D125" s="110">
        <v>0.0010812259090786612</v>
      </c>
      <c r="E125" s="110">
        <v>2.2484403752876148</v>
      </c>
      <c r="F125" s="83" t="s">
        <v>2059</v>
      </c>
      <c r="G125" s="83" t="b">
        <v>0</v>
      </c>
      <c r="H125" s="83" t="b">
        <v>0</v>
      </c>
      <c r="I125" s="83" t="b">
        <v>0</v>
      </c>
      <c r="J125" s="83" t="b">
        <v>0</v>
      </c>
      <c r="K125" s="83" t="b">
        <v>0</v>
      </c>
      <c r="L125" s="83" t="b">
        <v>0</v>
      </c>
    </row>
    <row r="126" spans="1:12" ht="15">
      <c r="A126" s="84" t="s">
        <v>1428</v>
      </c>
      <c r="B126" s="83" t="s">
        <v>1440</v>
      </c>
      <c r="C126" s="83">
        <v>2</v>
      </c>
      <c r="D126" s="110">
        <v>0.0010812259090786612</v>
      </c>
      <c r="E126" s="110">
        <v>0.529266984863309</v>
      </c>
      <c r="F126" s="83" t="s">
        <v>2059</v>
      </c>
      <c r="G126" s="83" t="b">
        <v>0</v>
      </c>
      <c r="H126" s="83" t="b">
        <v>0</v>
      </c>
      <c r="I126" s="83" t="b">
        <v>0</v>
      </c>
      <c r="J126" s="83" t="b">
        <v>1</v>
      </c>
      <c r="K126" s="83" t="b">
        <v>0</v>
      </c>
      <c r="L126" s="83" t="b">
        <v>0</v>
      </c>
    </row>
    <row r="127" spans="1:12" ht="15">
      <c r="A127" s="84" t="s">
        <v>1816</v>
      </c>
      <c r="B127" s="83" t="s">
        <v>1559</v>
      </c>
      <c r="C127" s="83">
        <v>2</v>
      </c>
      <c r="D127" s="110">
        <v>0.0010812259090786612</v>
      </c>
      <c r="E127" s="110">
        <v>2.871689665685515</v>
      </c>
      <c r="F127" s="83" t="s">
        <v>2059</v>
      </c>
      <c r="G127" s="83" t="b">
        <v>0</v>
      </c>
      <c r="H127" s="83" t="b">
        <v>0</v>
      </c>
      <c r="I127" s="83" t="b">
        <v>0</v>
      </c>
      <c r="J127" s="83" t="b">
        <v>0</v>
      </c>
      <c r="K127" s="83" t="b">
        <v>0</v>
      </c>
      <c r="L127" s="83" t="b">
        <v>0</v>
      </c>
    </row>
    <row r="128" spans="1:12" ht="15">
      <c r="A128" s="84" t="s">
        <v>1817</v>
      </c>
      <c r="B128" s="83" t="s">
        <v>1681</v>
      </c>
      <c r="C128" s="83">
        <v>2</v>
      </c>
      <c r="D128" s="110">
        <v>0.0010812259090786612</v>
      </c>
      <c r="E128" s="110">
        <v>3.0935384153018717</v>
      </c>
      <c r="F128" s="83" t="s">
        <v>2059</v>
      </c>
      <c r="G128" s="83" t="b">
        <v>1</v>
      </c>
      <c r="H128" s="83" t="b">
        <v>0</v>
      </c>
      <c r="I128" s="83" t="b">
        <v>0</v>
      </c>
      <c r="J128" s="83" t="b">
        <v>0</v>
      </c>
      <c r="K128" s="83" t="b">
        <v>0</v>
      </c>
      <c r="L128" s="83" t="b">
        <v>0</v>
      </c>
    </row>
    <row r="129" spans="1:12" ht="15">
      <c r="A129" s="84" t="s">
        <v>1471</v>
      </c>
      <c r="B129" s="83" t="s">
        <v>1442</v>
      </c>
      <c r="C129" s="83">
        <v>2</v>
      </c>
      <c r="D129" s="110">
        <v>0.0010812259090786612</v>
      </c>
      <c r="E129" s="110">
        <v>1.5750244754239842</v>
      </c>
      <c r="F129" s="83" t="s">
        <v>2059</v>
      </c>
      <c r="G129" s="83" t="b">
        <v>0</v>
      </c>
      <c r="H129" s="83" t="b">
        <v>0</v>
      </c>
      <c r="I129" s="83" t="b">
        <v>0</v>
      </c>
      <c r="J129" s="83" t="b">
        <v>0</v>
      </c>
      <c r="K129" s="83" t="b">
        <v>0</v>
      </c>
      <c r="L129" s="83" t="b">
        <v>0</v>
      </c>
    </row>
    <row r="130" spans="1:12" ht="15">
      <c r="A130" s="84" t="s">
        <v>1430</v>
      </c>
      <c r="B130" s="83" t="s">
        <v>1472</v>
      </c>
      <c r="C130" s="83">
        <v>2</v>
      </c>
      <c r="D130" s="110">
        <v>0.0010812259090786612</v>
      </c>
      <c r="E130" s="110">
        <v>1.0821089535210897</v>
      </c>
      <c r="F130" s="83" t="s">
        <v>2059</v>
      </c>
      <c r="G130" s="83" t="b">
        <v>0</v>
      </c>
      <c r="H130" s="83" t="b">
        <v>0</v>
      </c>
      <c r="I130" s="83" t="b">
        <v>0</v>
      </c>
      <c r="J130" s="83" t="b">
        <v>0</v>
      </c>
      <c r="K130" s="83" t="b">
        <v>0</v>
      </c>
      <c r="L130" s="83" t="b">
        <v>0</v>
      </c>
    </row>
    <row r="131" spans="1:12" ht="15">
      <c r="A131" s="84" t="s">
        <v>1606</v>
      </c>
      <c r="B131" s="83" t="s">
        <v>1445</v>
      </c>
      <c r="C131" s="83">
        <v>2</v>
      </c>
      <c r="D131" s="110">
        <v>0.0010812259090786612</v>
      </c>
      <c r="E131" s="110">
        <v>2.014357169254247</v>
      </c>
      <c r="F131" s="83" t="s">
        <v>2059</v>
      </c>
      <c r="G131" s="83" t="b">
        <v>1</v>
      </c>
      <c r="H131" s="83" t="b">
        <v>0</v>
      </c>
      <c r="I131" s="83" t="b">
        <v>0</v>
      </c>
      <c r="J131" s="83" t="b">
        <v>0</v>
      </c>
      <c r="K131" s="83" t="b">
        <v>0</v>
      </c>
      <c r="L131" s="83" t="b">
        <v>0</v>
      </c>
    </row>
    <row r="132" spans="1:12" ht="15">
      <c r="A132" s="84" t="s">
        <v>1821</v>
      </c>
      <c r="B132" s="83" t="s">
        <v>1822</v>
      </c>
      <c r="C132" s="83">
        <v>2</v>
      </c>
      <c r="D132" s="110">
        <v>0.0010812259090786612</v>
      </c>
      <c r="E132" s="110">
        <v>3.269629674357553</v>
      </c>
      <c r="F132" s="83" t="s">
        <v>2059</v>
      </c>
      <c r="G132" s="83" t="b">
        <v>0</v>
      </c>
      <c r="H132" s="83" t="b">
        <v>0</v>
      </c>
      <c r="I132" s="83" t="b">
        <v>0</v>
      </c>
      <c r="J132" s="83" t="b">
        <v>0</v>
      </c>
      <c r="K132" s="83" t="b">
        <v>0</v>
      </c>
      <c r="L132" s="83" t="b">
        <v>0</v>
      </c>
    </row>
    <row r="133" spans="1:12" ht="15">
      <c r="A133" s="84" t="s">
        <v>1824</v>
      </c>
      <c r="B133" s="83" t="s">
        <v>1449</v>
      </c>
      <c r="C133" s="83">
        <v>2</v>
      </c>
      <c r="D133" s="110">
        <v>0.0012314030084370953</v>
      </c>
      <c r="E133" s="110">
        <v>2.3665396873656093</v>
      </c>
      <c r="F133" s="83" t="s">
        <v>2059</v>
      </c>
      <c r="G133" s="83" t="b">
        <v>0</v>
      </c>
      <c r="H133" s="83" t="b">
        <v>0</v>
      </c>
      <c r="I133" s="83" t="b">
        <v>0</v>
      </c>
      <c r="J133" s="83" t="b">
        <v>0</v>
      </c>
      <c r="K133" s="83" t="b">
        <v>0</v>
      </c>
      <c r="L133" s="83" t="b">
        <v>0</v>
      </c>
    </row>
    <row r="134" spans="1:12" ht="15">
      <c r="A134" s="84" t="s">
        <v>1567</v>
      </c>
      <c r="B134" s="83" t="s">
        <v>1436</v>
      </c>
      <c r="C134" s="83">
        <v>2</v>
      </c>
      <c r="D134" s="110">
        <v>0.0010812259090786612</v>
      </c>
      <c r="E134" s="110">
        <v>1.7255616300072771</v>
      </c>
      <c r="F134" s="83" t="s">
        <v>2059</v>
      </c>
      <c r="G134" s="83" t="b">
        <v>0</v>
      </c>
      <c r="H134" s="83" t="b">
        <v>0</v>
      </c>
      <c r="I134" s="83" t="b">
        <v>0</v>
      </c>
      <c r="J134" s="83" t="b">
        <v>0</v>
      </c>
      <c r="K134" s="83" t="b">
        <v>0</v>
      </c>
      <c r="L134" s="83" t="b">
        <v>0</v>
      </c>
    </row>
    <row r="135" spans="1:12" ht="15">
      <c r="A135" s="84" t="s">
        <v>1436</v>
      </c>
      <c r="B135" s="83" t="s">
        <v>1469</v>
      </c>
      <c r="C135" s="83">
        <v>2</v>
      </c>
      <c r="D135" s="110">
        <v>0.0010812259090786612</v>
      </c>
      <c r="E135" s="110">
        <v>1.383138949185071</v>
      </c>
      <c r="F135" s="83" t="s">
        <v>2059</v>
      </c>
      <c r="G135" s="83" t="b">
        <v>0</v>
      </c>
      <c r="H135" s="83" t="b">
        <v>0</v>
      </c>
      <c r="I135" s="83" t="b">
        <v>0</v>
      </c>
      <c r="J135" s="83" t="b">
        <v>0</v>
      </c>
      <c r="K135" s="83" t="b">
        <v>0</v>
      </c>
      <c r="L135" s="83" t="b">
        <v>0</v>
      </c>
    </row>
    <row r="136" spans="1:12" ht="15">
      <c r="A136" s="84" t="s">
        <v>1428</v>
      </c>
      <c r="B136" s="83" t="s">
        <v>1608</v>
      </c>
      <c r="C136" s="83">
        <v>2</v>
      </c>
      <c r="D136" s="110">
        <v>0.0010812259090786612</v>
      </c>
      <c r="E136" s="110">
        <v>1.2282369891993279</v>
      </c>
      <c r="F136" s="83" t="s">
        <v>2059</v>
      </c>
      <c r="G136" s="83" t="b">
        <v>0</v>
      </c>
      <c r="H136" s="83" t="b">
        <v>0</v>
      </c>
      <c r="I136" s="83" t="b">
        <v>0</v>
      </c>
      <c r="J136" s="83" t="b">
        <v>0</v>
      </c>
      <c r="K136" s="83" t="b">
        <v>0</v>
      </c>
      <c r="L136" s="83" t="b">
        <v>0</v>
      </c>
    </row>
    <row r="137" spans="1:12" ht="15">
      <c r="A137" s="84" t="s">
        <v>1453</v>
      </c>
      <c r="B137" s="83" t="s">
        <v>1840</v>
      </c>
      <c r="C137" s="83">
        <v>2</v>
      </c>
      <c r="D137" s="110">
        <v>0.0012314030084370953</v>
      </c>
      <c r="E137" s="110">
        <v>2.394568410965853</v>
      </c>
      <c r="F137" s="83" t="s">
        <v>2059</v>
      </c>
      <c r="G137" s="83" t="b">
        <v>0</v>
      </c>
      <c r="H137" s="83" t="b">
        <v>0</v>
      </c>
      <c r="I137" s="83" t="b">
        <v>0</v>
      </c>
      <c r="J137" s="83" t="b">
        <v>0</v>
      </c>
      <c r="K137" s="83" t="b">
        <v>0</v>
      </c>
      <c r="L137" s="83" t="b">
        <v>0</v>
      </c>
    </row>
    <row r="138" spans="1:12" ht="15">
      <c r="A138" s="84" t="s">
        <v>1840</v>
      </c>
      <c r="B138" s="83" t="s">
        <v>1841</v>
      </c>
      <c r="C138" s="83">
        <v>2</v>
      </c>
      <c r="D138" s="110">
        <v>0.0012314030084370953</v>
      </c>
      <c r="E138" s="110">
        <v>3.269629674357553</v>
      </c>
      <c r="F138" s="83" t="s">
        <v>2059</v>
      </c>
      <c r="G138" s="83" t="b">
        <v>0</v>
      </c>
      <c r="H138" s="83" t="b">
        <v>0</v>
      </c>
      <c r="I138" s="83" t="b">
        <v>0</v>
      </c>
      <c r="J138" s="83" t="b">
        <v>0</v>
      </c>
      <c r="K138" s="83" t="b">
        <v>0</v>
      </c>
      <c r="L138" s="83" t="b">
        <v>0</v>
      </c>
    </row>
    <row r="139" spans="1:12" ht="15">
      <c r="A139" s="84" t="s">
        <v>1448</v>
      </c>
      <c r="B139" s="83" t="s">
        <v>1460</v>
      </c>
      <c r="C139" s="83">
        <v>2</v>
      </c>
      <c r="D139" s="110">
        <v>0.0010812259090786612</v>
      </c>
      <c r="E139" s="110">
        <v>1.5536263307227538</v>
      </c>
      <c r="F139" s="83" t="s">
        <v>2059</v>
      </c>
      <c r="G139" s="83" t="b">
        <v>0</v>
      </c>
      <c r="H139" s="83" t="b">
        <v>0</v>
      </c>
      <c r="I139" s="83" t="b">
        <v>0</v>
      </c>
      <c r="J139" s="83" t="b">
        <v>0</v>
      </c>
      <c r="K139" s="83" t="b">
        <v>0</v>
      </c>
      <c r="L139" s="83" t="b">
        <v>0</v>
      </c>
    </row>
    <row r="140" spans="1:12" ht="15">
      <c r="A140" s="84" t="s">
        <v>1690</v>
      </c>
      <c r="B140" s="83" t="s">
        <v>1464</v>
      </c>
      <c r="C140" s="83">
        <v>2</v>
      </c>
      <c r="D140" s="110">
        <v>0.0010812259090786612</v>
      </c>
      <c r="E140" s="110">
        <v>2.315387164918228</v>
      </c>
      <c r="F140" s="83" t="s">
        <v>2059</v>
      </c>
      <c r="G140" s="83" t="b">
        <v>0</v>
      </c>
      <c r="H140" s="83" t="b">
        <v>0</v>
      </c>
      <c r="I140" s="83" t="b">
        <v>0</v>
      </c>
      <c r="J140" s="83" t="b">
        <v>0</v>
      </c>
      <c r="K140" s="83" t="b">
        <v>0</v>
      </c>
      <c r="L140" s="83" t="b">
        <v>0</v>
      </c>
    </row>
    <row r="141" spans="1:12" ht="15">
      <c r="A141" s="84" t="s">
        <v>1472</v>
      </c>
      <c r="B141" s="83" t="s">
        <v>1431</v>
      </c>
      <c r="C141" s="83">
        <v>2</v>
      </c>
      <c r="D141" s="110">
        <v>0.0012314030084370953</v>
      </c>
      <c r="E141" s="110">
        <v>1.1868443040411027</v>
      </c>
      <c r="F141" s="83" t="s">
        <v>2059</v>
      </c>
      <c r="G141" s="83" t="b">
        <v>0</v>
      </c>
      <c r="H141" s="83" t="b">
        <v>0</v>
      </c>
      <c r="I141" s="83" t="b">
        <v>0</v>
      </c>
      <c r="J141" s="83" t="b">
        <v>0</v>
      </c>
      <c r="K141" s="83" t="b">
        <v>0</v>
      </c>
      <c r="L141" s="83" t="b">
        <v>0</v>
      </c>
    </row>
    <row r="142" spans="1:12" ht="15">
      <c r="A142" s="84" t="s">
        <v>1536</v>
      </c>
      <c r="B142" s="83" t="s">
        <v>1502</v>
      </c>
      <c r="C142" s="83">
        <v>2</v>
      </c>
      <c r="D142" s="110">
        <v>0.0010812259090786612</v>
      </c>
      <c r="E142" s="110">
        <v>2.7925084196378904</v>
      </c>
      <c r="F142" s="83" t="s">
        <v>2059</v>
      </c>
      <c r="G142" s="83" t="b">
        <v>0</v>
      </c>
      <c r="H142" s="83" t="b">
        <v>0</v>
      </c>
      <c r="I142" s="83" t="b">
        <v>0</v>
      </c>
      <c r="J142" s="83" t="b">
        <v>0</v>
      </c>
      <c r="K142" s="83" t="b">
        <v>0</v>
      </c>
      <c r="L142" s="83" t="b">
        <v>0</v>
      </c>
    </row>
    <row r="143" spans="1:12" ht="15">
      <c r="A143" s="84" t="s">
        <v>1514</v>
      </c>
      <c r="B143" s="83" t="s">
        <v>1432</v>
      </c>
      <c r="C143" s="83">
        <v>2</v>
      </c>
      <c r="D143" s="110">
        <v>0.0010812259090786612</v>
      </c>
      <c r="E143" s="110">
        <v>1.5080776857933709</v>
      </c>
      <c r="F143" s="83" t="s">
        <v>2059</v>
      </c>
      <c r="G143" s="83" t="b">
        <v>0</v>
      </c>
      <c r="H143" s="83" t="b">
        <v>0</v>
      </c>
      <c r="I143" s="83" t="b">
        <v>0</v>
      </c>
      <c r="J143" s="83" t="b">
        <v>0</v>
      </c>
      <c r="K143" s="83" t="b">
        <v>0</v>
      </c>
      <c r="L143" s="83" t="b">
        <v>0</v>
      </c>
    </row>
    <row r="144" spans="1:12" ht="15">
      <c r="A144" s="84" t="s">
        <v>1432</v>
      </c>
      <c r="B144" s="83" t="s">
        <v>1462</v>
      </c>
      <c r="C144" s="83">
        <v>2</v>
      </c>
      <c r="D144" s="110">
        <v>0.0010812259090786612</v>
      </c>
      <c r="E144" s="110">
        <v>1.2873584413179846</v>
      </c>
      <c r="F144" s="83" t="s">
        <v>2059</v>
      </c>
      <c r="G144" s="83" t="b">
        <v>0</v>
      </c>
      <c r="H144" s="83" t="b">
        <v>0</v>
      </c>
      <c r="I144" s="83" t="b">
        <v>0</v>
      </c>
      <c r="J144" s="83" t="b">
        <v>0</v>
      </c>
      <c r="K144" s="83" t="b">
        <v>0</v>
      </c>
      <c r="L144" s="83" t="b">
        <v>0</v>
      </c>
    </row>
    <row r="145" spans="1:12" ht="15">
      <c r="A145" s="84" t="s">
        <v>1432</v>
      </c>
      <c r="B145" s="83" t="s">
        <v>1501</v>
      </c>
      <c r="C145" s="83">
        <v>2</v>
      </c>
      <c r="D145" s="110">
        <v>0.0010812259090786612</v>
      </c>
      <c r="E145" s="110">
        <v>1.4634497003736657</v>
      </c>
      <c r="F145" s="83" t="s">
        <v>2059</v>
      </c>
      <c r="G145" s="83" t="b">
        <v>0</v>
      </c>
      <c r="H145" s="83" t="b">
        <v>0</v>
      </c>
      <c r="I145" s="83" t="b">
        <v>0</v>
      </c>
      <c r="J145" s="83" t="b">
        <v>0</v>
      </c>
      <c r="K145" s="83" t="b">
        <v>0</v>
      </c>
      <c r="L145" s="83" t="b">
        <v>0</v>
      </c>
    </row>
    <row r="146" spans="1:12" ht="15">
      <c r="A146" s="84" t="s">
        <v>1538</v>
      </c>
      <c r="B146" s="83" t="s">
        <v>1479</v>
      </c>
      <c r="C146" s="83">
        <v>2</v>
      </c>
      <c r="D146" s="110">
        <v>0.0010812259090786612</v>
      </c>
      <c r="E146" s="110">
        <v>2.1727196613494963</v>
      </c>
      <c r="F146" s="83" t="s">
        <v>2059</v>
      </c>
      <c r="G146" s="83" t="b">
        <v>0</v>
      </c>
      <c r="H146" s="83" t="b">
        <v>0</v>
      </c>
      <c r="I146" s="83" t="b">
        <v>0</v>
      </c>
      <c r="J146" s="83" t="b">
        <v>0</v>
      </c>
      <c r="K146" s="83" t="b">
        <v>0</v>
      </c>
      <c r="L146" s="83" t="b">
        <v>0</v>
      </c>
    </row>
    <row r="147" spans="1:12" ht="15">
      <c r="A147" s="84" t="s">
        <v>1572</v>
      </c>
      <c r="B147" s="83" t="s">
        <v>1434</v>
      </c>
      <c r="C147" s="83">
        <v>2</v>
      </c>
      <c r="D147" s="110">
        <v>0.0010812259090786612</v>
      </c>
      <c r="E147" s="110">
        <v>1.7413558971905092</v>
      </c>
      <c r="F147" s="83" t="s">
        <v>2059</v>
      </c>
      <c r="G147" s="83" t="b">
        <v>0</v>
      </c>
      <c r="H147" s="83" t="b">
        <v>0</v>
      </c>
      <c r="I147" s="83" t="b">
        <v>0</v>
      </c>
      <c r="J147" s="83" t="b">
        <v>0</v>
      </c>
      <c r="K147" s="83" t="b">
        <v>0</v>
      </c>
      <c r="L147" s="83" t="b">
        <v>0</v>
      </c>
    </row>
    <row r="148" spans="1:12" ht="15">
      <c r="A148" s="84" t="s">
        <v>1466</v>
      </c>
      <c r="B148" s="83" t="s">
        <v>1454</v>
      </c>
      <c r="C148" s="83">
        <v>2</v>
      </c>
      <c r="D148" s="110">
        <v>0.0010812259090786612</v>
      </c>
      <c r="E148" s="110">
        <v>1.9632046468068653</v>
      </c>
      <c r="F148" s="83" t="s">
        <v>2059</v>
      </c>
      <c r="G148" s="83" t="b">
        <v>0</v>
      </c>
      <c r="H148" s="83" t="b">
        <v>0</v>
      </c>
      <c r="I148" s="83" t="b">
        <v>0</v>
      </c>
      <c r="J148" s="83" t="b">
        <v>1</v>
      </c>
      <c r="K148" s="83" t="b">
        <v>0</v>
      </c>
      <c r="L148" s="83" t="b">
        <v>0</v>
      </c>
    </row>
    <row r="149" spans="1:12" ht="15">
      <c r="A149" s="84" t="s">
        <v>1454</v>
      </c>
      <c r="B149" s="83" t="s">
        <v>1428</v>
      </c>
      <c r="C149" s="83">
        <v>2</v>
      </c>
      <c r="D149" s="110">
        <v>0.0010812259090786612</v>
      </c>
      <c r="E149" s="110">
        <v>0.8567493158925786</v>
      </c>
      <c r="F149" s="83" t="s">
        <v>2059</v>
      </c>
      <c r="G149" s="83" t="b">
        <v>1</v>
      </c>
      <c r="H149" s="83" t="b">
        <v>0</v>
      </c>
      <c r="I149" s="83" t="b">
        <v>0</v>
      </c>
      <c r="J149" s="83" t="b">
        <v>0</v>
      </c>
      <c r="K149" s="83" t="b">
        <v>0</v>
      </c>
      <c r="L149" s="83" t="b">
        <v>0</v>
      </c>
    </row>
    <row r="150" spans="1:12" ht="15">
      <c r="A150" s="84" t="s">
        <v>1866</v>
      </c>
      <c r="B150" s="83" t="s">
        <v>1512</v>
      </c>
      <c r="C150" s="83">
        <v>2</v>
      </c>
      <c r="D150" s="110">
        <v>0.0010812259090786612</v>
      </c>
      <c r="E150" s="110">
        <v>2.7255616300072774</v>
      </c>
      <c r="F150" s="83" t="s">
        <v>2059</v>
      </c>
      <c r="G150" s="83" t="b">
        <v>1</v>
      </c>
      <c r="H150" s="83" t="b">
        <v>0</v>
      </c>
      <c r="I150" s="83" t="b">
        <v>0</v>
      </c>
      <c r="J150" s="83" t="b">
        <v>0</v>
      </c>
      <c r="K150" s="83" t="b">
        <v>0</v>
      </c>
      <c r="L150" s="83" t="b">
        <v>0</v>
      </c>
    </row>
    <row r="151" spans="1:12" ht="15">
      <c r="A151" s="84" t="s">
        <v>1512</v>
      </c>
      <c r="B151" s="83" t="s">
        <v>1867</v>
      </c>
      <c r="C151" s="83">
        <v>2</v>
      </c>
      <c r="D151" s="110">
        <v>0.0010812259090786612</v>
      </c>
      <c r="E151" s="110">
        <v>2.7255616300072774</v>
      </c>
      <c r="F151" s="83" t="s">
        <v>2059</v>
      </c>
      <c r="G151" s="83" t="b">
        <v>0</v>
      </c>
      <c r="H151" s="83" t="b">
        <v>0</v>
      </c>
      <c r="I151" s="83" t="b">
        <v>0</v>
      </c>
      <c r="J151" s="83" t="b">
        <v>0</v>
      </c>
      <c r="K151" s="83" t="b">
        <v>0</v>
      </c>
      <c r="L151" s="83" t="b">
        <v>0</v>
      </c>
    </row>
    <row r="152" spans="1:12" ht="15">
      <c r="A152" s="84" t="s">
        <v>1867</v>
      </c>
      <c r="B152" s="83" t="s">
        <v>1431</v>
      </c>
      <c r="C152" s="83">
        <v>2</v>
      </c>
      <c r="D152" s="110">
        <v>0.0010812259090786612</v>
      </c>
      <c r="E152" s="110">
        <v>1.9272069935353466</v>
      </c>
      <c r="F152" s="83" t="s">
        <v>2059</v>
      </c>
      <c r="G152" s="83" t="b">
        <v>0</v>
      </c>
      <c r="H152" s="83" t="b">
        <v>0</v>
      </c>
      <c r="I152" s="83" t="b">
        <v>0</v>
      </c>
      <c r="J152" s="83" t="b">
        <v>0</v>
      </c>
      <c r="K152" s="83" t="b">
        <v>0</v>
      </c>
      <c r="L152" s="83" t="b">
        <v>0</v>
      </c>
    </row>
    <row r="153" spans="1:12" ht="15">
      <c r="A153" s="84" t="s">
        <v>1431</v>
      </c>
      <c r="B153" s="83" t="s">
        <v>1699</v>
      </c>
      <c r="C153" s="83">
        <v>2</v>
      </c>
      <c r="D153" s="110">
        <v>0.0010812259090786612</v>
      </c>
      <c r="E153" s="110">
        <v>1.7713191205679524</v>
      </c>
      <c r="F153" s="83" t="s">
        <v>2059</v>
      </c>
      <c r="G153" s="83" t="b">
        <v>0</v>
      </c>
      <c r="H153" s="83" t="b">
        <v>0</v>
      </c>
      <c r="I153" s="83" t="b">
        <v>0</v>
      </c>
      <c r="J153" s="83" t="b">
        <v>0</v>
      </c>
      <c r="K153" s="83" t="b">
        <v>0</v>
      </c>
      <c r="L153" s="83" t="b">
        <v>0</v>
      </c>
    </row>
    <row r="154" spans="1:12" ht="15">
      <c r="A154" s="84" t="s">
        <v>1699</v>
      </c>
      <c r="B154" s="83" t="s">
        <v>1868</v>
      </c>
      <c r="C154" s="83">
        <v>2</v>
      </c>
      <c r="D154" s="110">
        <v>0.0010812259090786612</v>
      </c>
      <c r="E154" s="110">
        <v>3.0935384153018717</v>
      </c>
      <c r="F154" s="83" t="s">
        <v>2059</v>
      </c>
      <c r="G154" s="83" t="b">
        <v>0</v>
      </c>
      <c r="H154" s="83" t="b">
        <v>0</v>
      </c>
      <c r="I154" s="83" t="b">
        <v>0</v>
      </c>
      <c r="J154" s="83" t="b">
        <v>0</v>
      </c>
      <c r="K154" s="83" t="b">
        <v>0</v>
      </c>
      <c r="L154" s="83" t="b">
        <v>0</v>
      </c>
    </row>
    <row r="155" spans="1:12" ht="15">
      <c r="A155" s="84" t="s">
        <v>1868</v>
      </c>
      <c r="B155" s="83" t="s">
        <v>1869</v>
      </c>
      <c r="C155" s="83">
        <v>2</v>
      </c>
      <c r="D155" s="110">
        <v>0.0010812259090786612</v>
      </c>
      <c r="E155" s="110">
        <v>3.269629674357553</v>
      </c>
      <c r="F155" s="83" t="s">
        <v>2059</v>
      </c>
      <c r="G155" s="83" t="b">
        <v>0</v>
      </c>
      <c r="H155" s="83" t="b">
        <v>0</v>
      </c>
      <c r="I155" s="83" t="b">
        <v>0</v>
      </c>
      <c r="J155" s="83" t="b">
        <v>0</v>
      </c>
      <c r="K155" s="83" t="b">
        <v>0</v>
      </c>
      <c r="L155" s="83" t="b">
        <v>0</v>
      </c>
    </row>
    <row r="156" spans="1:12" ht="15">
      <c r="A156" s="84" t="s">
        <v>1869</v>
      </c>
      <c r="B156" s="83" t="s">
        <v>1444</v>
      </c>
      <c r="C156" s="83">
        <v>2</v>
      </c>
      <c r="D156" s="110">
        <v>0.0010812259090786612</v>
      </c>
      <c r="E156" s="110">
        <v>2.315387164918228</v>
      </c>
      <c r="F156" s="83" t="s">
        <v>2059</v>
      </c>
      <c r="G156" s="83" t="b">
        <v>0</v>
      </c>
      <c r="H156" s="83" t="b">
        <v>0</v>
      </c>
      <c r="I156" s="83" t="b">
        <v>0</v>
      </c>
      <c r="J156" s="83" t="b">
        <v>0</v>
      </c>
      <c r="K156" s="83" t="b">
        <v>0</v>
      </c>
      <c r="L156" s="83" t="b">
        <v>0</v>
      </c>
    </row>
    <row r="157" spans="1:12" ht="15">
      <c r="A157" s="84" t="s">
        <v>1574</v>
      </c>
      <c r="B157" s="83" t="s">
        <v>1870</v>
      </c>
      <c r="C157" s="83">
        <v>2</v>
      </c>
      <c r="D157" s="110">
        <v>0.0010812259090786612</v>
      </c>
      <c r="E157" s="110">
        <v>2.871689665685515</v>
      </c>
      <c r="F157" s="83" t="s">
        <v>2059</v>
      </c>
      <c r="G157" s="83" t="b">
        <v>0</v>
      </c>
      <c r="H157" s="83" t="b">
        <v>0</v>
      </c>
      <c r="I157" s="83" t="b">
        <v>0</v>
      </c>
      <c r="J157" s="83" t="b">
        <v>0</v>
      </c>
      <c r="K157" s="83" t="b">
        <v>0</v>
      </c>
      <c r="L157" s="83" t="b">
        <v>0</v>
      </c>
    </row>
    <row r="158" spans="1:12" ht="15">
      <c r="A158" s="84" t="s">
        <v>1870</v>
      </c>
      <c r="B158" s="83" t="s">
        <v>1675</v>
      </c>
      <c r="C158" s="83">
        <v>2</v>
      </c>
      <c r="D158" s="110">
        <v>0.0010812259090786612</v>
      </c>
      <c r="E158" s="110">
        <v>3.0935384153018717</v>
      </c>
      <c r="F158" s="83" t="s">
        <v>2059</v>
      </c>
      <c r="G158" s="83" t="b">
        <v>0</v>
      </c>
      <c r="H158" s="83" t="b">
        <v>0</v>
      </c>
      <c r="I158" s="83" t="b">
        <v>0</v>
      </c>
      <c r="J158" s="83" t="b">
        <v>0</v>
      </c>
      <c r="K158" s="83" t="b">
        <v>0</v>
      </c>
      <c r="L158" s="83" t="b">
        <v>0</v>
      </c>
    </row>
    <row r="159" spans="1:12" ht="15">
      <c r="A159" s="84" t="s">
        <v>1675</v>
      </c>
      <c r="B159" s="83" t="s">
        <v>1693</v>
      </c>
      <c r="C159" s="83">
        <v>2</v>
      </c>
      <c r="D159" s="110">
        <v>0.0010812259090786612</v>
      </c>
      <c r="E159" s="110">
        <v>2.9174471562461903</v>
      </c>
      <c r="F159" s="83" t="s">
        <v>2059</v>
      </c>
      <c r="G159" s="83" t="b">
        <v>0</v>
      </c>
      <c r="H159" s="83" t="b">
        <v>0</v>
      </c>
      <c r="I159" s="83" t="b">
        <v>0</v>
      </c>
      <c r="J159" s="83" t="b">
        <v>0</v>
      </c>
      <c r="K159" s="83" t="b">
        <v>0</v>
      </c>
      <c r="L159" s="83" t="b">
        <v>0</v>
      </c>
    </row>
    <row r="160" spans="1:12" ht="15">
      <c r="A160" s="84" t="s">
        <v>1693</v>
      </c>
      <c r="B160" s="83" t="s">
        <v>1436</v>
      </c>
      <c r="C160" s="83">
        <v>2</v>
      </c>
      <c r="D160" s="110">
        <v>0.0010812259090786612</v>
      </c>
      <c r="E160" s="110">
        <v>1.9474103796236335</v>
      </c>
      <c r="F160" s="83" t="s">
        <v>2059</v>
      </c>
      <c r="G160" s="83" t="b">
        <v>0</v>
      </c>
      <c r="H160" s="83" t="b">
        <v>0</v>
      </c>
      <c r="I160" s="83" t="b">
        <v>0</v>
      </c>
      <c r="J160" s="83" t="b">
        <v>0</v>
      </c>
      <c r="K160" s="83" t="b">
        <v>0</v>
      </c>
      <c r="L160" s="83" t="b">
        <v>0</v>
      </c>
    </row>
    <row r="161" spans="1:12" ht="15">
      <c r="A161" s="84" t="s">
        <v>1700</v>
      </c>
      <c r="B161" s="83" t="s">
        <v>1447</v>
      </c>
      <c r="C161" s="83">
        <v>2</v>
      </c>
      <c r="D161" s="110">
        <v>0.0010812259090786612</v>
      </c>
      <c r="E161" s="110">
        <v>2.2184771519101716</v>
      </c>
      <c r="F161" s="83" t="s">
        <v>2059</v>
      </c>
      <c r="G161" s="83" t="b">
        <v>0</v>
      </c>
      <c r="H161" s="83" t="b">
        <v>0</v>
      </c>
      <c r="I161" s="83" t="b">
        <v>0</v>
      </c>
      <c r="J161" s="83" t="b">
        <v>0</v>
      </c>
      <c r="K161" s="83" t="b">
        <v>0</v>
      </c>
      <c r="L161" s="83" t="b">
        <v>0</v>
      </c>
    </row>
    <row r="162" spans="1:12" ht="15">
      <c r="A162" s="84" t="s">
        <v>1447</v>
      </c>
      <c r="B162" s="83" t="s">
        <v>1444</v>
      </c>
      <c r="C162" s="83">
        <v>2</v>
      </c>
      <c r="D162" s="110">
        <v>0.0010812259090786612</v>
      </c>
      <c r="E162" s="110">
        <v>1.4122971779262845</v>
      </c>
      <c r="F162" s="83" t="s">
        <v>2059</v>
      </c>
      <c r="G162" s="83" t="b">
        <v>0</v>
      </c>
      <c r="H162" s="83" t="b">
        <v>0</v>
      </c>
      <c r="I162" s="83" t="b">
        <v>0</v>
      </c>
      <c r="J162" s="83" t="b">
        <v>0</v>
      </c>
      <c r="K162" s="83" t="b">
        <v>0</v>
      </c>
      <c r="L162" s="83" t="b">
        <v>0</v>
      </c>
    </row>
    <row r="163" spans="1:12" ht="15">
      <c r="A163" s="84" t="s">
        <v>1453</v>
      </c>
      <c r="B163" s="83" t="s">
        <v>1871</v>
      </c>
      <c r="C163" s="83">
        <v>2</v>
      </c>
      <c r="D163" s="110">
        <v>0.0010812259090786612</v>
      </c>
      <c r="E163" s="110">
        <v>2.394568410965853</v>
      </c>
      <c r="F163" s="83" t="s">
        <v>2059</v>
      </c>
      <c r="G163" s="83" t="b">
        <v>0</v>
      </c>
      <c r="H163" s="83" t="b">
        <v>0</v>
      </c>
      <c r="I163" s="83" t="b">
        <v>0</v>
      </c>
      <c r="J163" s="83" t="b">
        <v>0</v>
      </c>
      <c r="K163" s="83" t="b">
        <v>0</v>
      </c>
      <c r="L163" s="83" t="b">
        <v>0</v>
      </c>
    </row>
    <row r="164" spans="1:12" ht="15">
      <c r="A164" s="84" t="s">
        <v>1871</v>
      </c>
      <c r="B164" s="83" t="s">
        <v>1872</v>
      </c>
      <c r="C164" s="83">
        <v>2</v>
      </c>
      <c r="D164" s="110">
        <v>0.0010812259090786612</v>
      </c>
      <c r="E164" s="110">
        <v>3.269629674357553</v>
      </c>
      <c r="F164" s="83" t="s">
        <v>2059</v>
      </c>
      <c r="G164" s="83" t="b">
        <v>0</v>
      </c>
      <c r="H164" s="83" t="b">
        <v>0</v>
      </c>
      <c r="I164" s="83" t="b">
        <v>0</v>
      </c>
      <c r="J164" s="83" t="b">
        <v>0</v>
      </c>
      <c r="K164" s="83" t="b">
        <v>0</v>
      </c>
      <c r="L164" s="83" t="b">
        <v>0</v>
      </c>
    </row>
    <row r="165" spans="1:12" ht="15">
      <c r="A165" s="84" t="s">
        <v>1872</v>
      </c>
      <c r="B165" s="83" t="s">
        <v>1873</v>
      </c>
      <c r="C165" s="83">
        <v>2</v>
      </c>
      <c r="D165" s="110">
        <v>0.0010812259090786612</v>
      </c>
      <c r="E165" s="110">
        <v>3.269629674357553</v>
      </c>
      <c r="F165" s="83" t="s">
        <v>2059</v>
      </c>
      <c r="G165" s="83" t="b">
        <v>0</v>
      </c>
      <c r="H165" s="83" t="b">
        <v>0</v>
      </c>
      <c r="I165" s="83" t="b">
        <v>0</v>
      </c>
      <c r="J165" s="83" t="b">
        <v>0</v>
      </c>
      <c r="K165" s="83" t="b">
        <v>0</v>
      </c>
      <c r="L165" s="83" t="b">
        <v>0</v>
      </c>
    </row>
    <row r="166" spans="1:12" ht="15">
      <c r="A166" s="84" t="s">
        <v>1873</v>
      </c>
      <c r="B166" s="83" t="s">
        <v>1874</v>
      </c>
      <c r="C166" s="83">
        <v>2</v>
      </c>
      <c r="D166" s="110">
        <v>0.0010812259090786612</v>
      </c>
      <c r="E166" s="110">
        <v>3.269629674357553</v>
      </c>
      <c r="F166" s="83" t="s">
        <v>2059</v>
      </c>
      <c r="G166" s="83" t="b">
        <v>0</v>
      </c>
      <c r="H166" s="83" t="b">
        <v>0</v>
      </c>
      <c r="I166" s="83" t="b">
        <v>0</v>
      </c>
      <c r="J166" s="83" t="b">
        <v>0</v>
      </c>
      <c r="K166" s="83" t="b">
        <v>0</v>
      </c>
      <c r="L166" s="83" t="b">
        <v>0</v>
      </c>
    </row>
    <row r="167" spans="1:12" ht="15">
      <c r="A167" s="84" t="s">
        <v>1874</v>
      </c>
      <c r="B167" s="83" t="s">
        <v>1514</v>
      </c>
      <c r="C167" s="83">
        <v>2</v>
      </c>
      <c r="D167" s="110">
        <v>0.0010812259090786612</v>
      </c>
      <c r="E167" s="110">
        <v>2.7255616300072774</v>
      </c>
      <c r="F167" s="83" t="s">
        <v>2059</v>
      </c>
      <c r="G167" s="83" t="b">
        <v>0</v>
      </c>
      <c r="H167" s="83" t="b">
        <v>0</v>
      </c>
      <c r="I167" s="83" t="b">
        <v>0</v>
      </c>
      <c r="J167" s="83" t="b">
        <v>0</v>
      </c>
      <c r="K167" s="83" t="b">
        <v>0</v>
      </c>
      <c r="L167" s="83" t="b">
        <v>0</v>
      </c>
    </row>
    <row r="168" spans="1:12" ht="15">
      <c r="A168" s="84" t="s">
        <v>1514</v>
      </c>
      <c r="B168" s="83" t="s">
        <v>1613</v>
      </c>
      <c r="C168" s="83">
        <v>2</v>
      </c>
      <c r="D168" s="110">
        <v>0.0010812259090786612</v>
      </c>
      <c r="E168" s="110">
        <v>2.424531634343296</v>
      </c>
      <c r="F168" s="83" t="s">
        <v>2059</v>
      </c>
      <c r="G168" s="83" t="b">
        <v>0</v>
      </c>
      <c r="H168" s="83" t="b">
        <v>0</v>
      </c>
      <c r="I168" s="83" t="b">
        <v>0</v>
      </c>
      <c r="J168" s="83" t="b">
        <v>0</v>
      </c>
      <c r="K168" s="83" t="b">
        <v>0</v>
      </c>
      <c r="L168" s="83" t="b">
        <v>0</v>
      </c>
    </row>
    <row r="169" spans="1:12" ht="15">
      <c r="A169" s="84" t="s">
        <v>1613</v>
      </c>
      <c r="B169" s="83" t="s">
        <v>1520</v>
      </c>
      <c r="C169" s="83">
        <v>2</v>
      </c>
      <c r="D169" s="110">
        <v>0.0010812259090786612</v>
      </c>
      <c r="E169" s="110">
        <v>2.491478423973909</v>
      </c>
      <c r="F169" s="83" t="s">
        <v>2059</v>
      </c>
      <c r="G169" s="83" t="b">
        <v>0</v>
      </c>
      <c r="H169" s="83" t="b">
        <v>0</v>
      </c>
      <c r="I169" s="83" t="b">
        <v>0</v>
      </c>
      <c r="J169" s="83" t="b">
        <v>0</v>
      </c>
      <c r="K169" s="83" t="b">
        <v>1</v>
      </c>
      <c r="L169" s="83" t="b">
        <v>0</v>
      </c>
    </row>
    <row r="170" spans="1:12" ht="15">
      <c r="A170" s="84" t="s">
        <v>1500</v>
      </c>
      <c r="B170" s="83" t="s">
        <v>1444</v>
      </c>
      <c r="C170" s="83">
        <v>2</v>
      </c>
      <c r="D170" s="110">
        <v>0.0010812259090786612</v>
      </c>
      <c r="E170" s="110">
        <v>1.7713191205679524</v>
      </c>
      <c r="F170" s="83" t="s">
        <v>2059</v>
      </c>
      <c r="G170" s="83" t="b">
        <v>0</v>
      </c>
      <c r="H170" s="83" t="b">
        <v>0</v>
      </c>
      <c r="I170" s="83" t="b">
        <v>0</v>
      </c>
      <c r="J170" s="83" t="b">
        <v>0</v>
      </c>
      <c r="K170" s="83" t="b">
        <v>0</v>
      </c>
      <c r="L170" s="83" t="b">
        <v>0</v>
      </c>
    </row>
    <row r="171" spans="1:12" ht="15">
      <c r="A171" s="84" t="s">
        <v>1485</v>
      </c>
      <c r="B171" s="83" t="s">
        <v>1433</v>
      </c>
      <c r="C171" s="83">
        <v>2</v>
      </c>
      <c r="D171" s="110">
        <v>0.0010812259090786612</v>
      </c>
      <c r="E171" s="110">
        <v>2.139295905862547</v>
      </c>
      <c r="F171" s="83" t="s">
        <v>2059</v>
      </c>
      <c r="G171" s="83" t="b">
        <v>0</v>
      </c>
      <c r="H171" s="83" t="b">
        <v>0</v>
      </c>
      <c r="I171" s="83" t="b">
        <v>0</v>
      </c>
      <c r="J171" s="83" t="b">
        <v>0</v>
      </c>
      <c r="K171" s="83" t="b">
        <v>0</v>
      </c>
      <c r="L171" s="83" t="b">
        <v>0</v>
      </c>
    </row>
    <row r="172" spans="1:12" ht="15">
      <c r="A172" s="84" t="s">
        <v>1430</v>
      </c>
      <c r="B172" s="83" t="s">
        <v>1428</v>
      </c>
      <c r="C172" s="83">
        <v>2</v>
      </c>
      <c r="D172" s="110">
        <v>0.0010812259090786612</v>
      </c>
      <c r="E172" s="110">
        <v>0.06280379832570313</v>
      </c>
      <c r="F172" s="83" t="s">
        <v>2059</v>
      </c>
      <c r="G172" s="83" t="b">
        <v>0</v>
      </c>
      <c r="H172" s="83" t="b">
        <v>0</v>
      </c>
      <c r="I172" s="83" t="b">
        <v>0</v>
      </c>
      <c r="J172" s="83" t="b">
        <v>0</v>
      </c>
      <c r="K172" s="83" t="b">
        <v>0</v>
      </c>
      <c r="L172" s="83" t="b">
        <v>0</v>
      </c>
    </row>
    <row r="173" spans="1:12" ht="15">
      <c r="A173" s="84" t="s">
        <v>1476</v>
      </c>
      <c r="B173" s="83" t="s">
        <v>1438</v>
      </c>
      <c r="C173" s="83">
        <v>2</v>
      </c>
      <c r="D173" s="110">
        <v>0.0010812259090786612</v>
      </c>
      <c r="E173" s="110">
        <v>1.616417160582209</v>
      </c>
      <c r="F173" s="83" t="s">
        <v>2059</v>
      </c>
      <c r="G173" s="83" t="b">
        <v>0</v>
      </c>
      <c r="H173" s="83" t="b">
        <v>0</v>
      </c>
      <c r="I173" s="83" t="b">
        <v>0</v>
      </c>
      <c r="J173" s="83" t="b">
        <v>1</v>
      </c>
      <c r="K173" s="83" t="b">
        <v>0</v>
      </c>
      <c r="L173" s="83" t="b">
        <v>0</v>
      </c>
    </row>
    <row r="174" spans="1:12" ht="15">
      <c r="A174" s="84" t="s">
        <v>1706</v>
      </c>
      <c r="B174" s="83" t="s">
        <v>1447</v>
      </c>
      <c r="C174" s="83">
        <v>2</v>
      </c>
      <c r="D174" s="110">
        <v>0.0010812259090786612</v>
      </c>
      <c r="E174" s="110">
        <v>2.2184771519101716</v>
      </c>
      <c r="F174" s="83" t="s">
        <v>2059</v>
      </c>
      <c r="G174" s="83" t="b">
        <v>0</v>
      </c>
      <c r="H174" s="83" t="b">
        <v>0</v>
      </c>
      <c r="I174" s="83" t="b">
        <v>0</v>
      </c>
      <c r="J174" s="83" t="b">
        <v>0</v>
      </c>
      <c r="K174" s="83" t="b">
        <v>0</v>
      </c>
      <c r="L174" s="83" t="b">
        <v>0</v>
      </c>
    </row>
    <row r="175" spans="1:12" ht="15">
      <c r="A175" s="84" t="s">
        <v>1523</v>
      </c>
      <c r="B175" s="83" t="s">
        <v>1428</v>
      </c>
      <c r="C175" s="83">
        <v>2</v>
      </c>
      <c r="D175" s="110">
        <v>0.0010812259090786612</v>
      </c>
      <c r="E175" s="110">
        <v>0.9658937853176467</v>
      </c>
      <c r="F175" s="83" t="s">
        <v>2059</v>
      </c>
      <c r="G175" s="83" t="b">
        <v>0</v>
      </c>
      <c r="H175" s="83" t="b">
        <v>0</v>
      </c>
      <c r="I175" s="83" t="b">
        <v>0</v>
      </c>
      <c r="J175" s="83" t="b">
        <v>0</v>
      </c>
      <c r="K175" s="83" t="b">
        <v>0</v>
      </c>
      <c r="L175" s="83" t="b">
        <v>0</v>
      </c>
    </row>
    <row r="176" spans="1:12" ht="15">
      <c r="A176" s="84" t="s">
        <v>1447</v>
      </c>
      <c r="B176" s="83" t="s">
        <v>1518</v>
      </c>
      <c r="C176" s="83">
        <v>2</v>
      </c>
      <c r="D176" s="110">
        <v>0.0010812259090786612</v>
      </c>
      <c r="E176" s="110">
        <v>1.8224716430153336</v>
      </c>
      <c r="F176" s="83" t="s">
        <v>2059</v>
      </c>
      <c r="G176" s="83" t="b">
        <v>0</v>
      </c>
      <c r="H176" s="83" t="b">
        <v>0</v>
      </c>
      <c r="I176" s="83" t="b">
        <v>0</v>
      </c>
      <c r="J176" s="83" t="b">
        <v>0</v>
      </c>
      <c r="K176" s="83" t="b">
        <v>0</v>
      </c>
      <c r="L176" s="83" t="b">
        <v>0</v>
      </c>
    </row>
    <row r="177" spans="1:12" ht="15">
      <c r="A177" s="84" t="s">
        <v>1495</v>
      </c>
      <c r="B177" s="83" t="s">
        <v>1458</v>
      </c>
      <c r="C177" s="83">
        <v>2</v>
      </c>
      <c r="D177" s="110">
        <v>0.0010812259090786612</v>
      </c>
      <c r="E177" s="110">
        <v>1.8546563263867348</v>
      </c>
      <c r="F177" s="83" t="s">
        <v>2059</v>
      </c>
      <c r="G177" s="83" t="b">
        <v>0</v>
      </c>
      <c r="H177" s="83" t="b">
        <v>0</v>
      </c>
      <c r="I177" s="83" t="b">
        <v>0</v>
      </c>
      <c r="J177" s="83" t="b">
        <v>1</v>
      </c>
      <c r="K177" s="83" t="b">
        <v>0</v>
      </c>
      <c r="L177" s="83" t="b">
        <v>0</v>
      </c>
    </row>
    <row r="178" spans="1:12" ht="15">
      <c r="A178" s="84" t="s">
        <v>1538</v>
      </c>
      <c r="B178" s="83" t="s">
        <v>1891</v>
      </c>
      <c r="C178" s="83">
        <v>2</v>
      </c>
      <c r="D178" s="110">
        <v>0.0012314030084370953</v>
      </c>
      <c r="E178" s="110">
        <v>2.871689665685515</v>
      </c>
      <c r="F178" s="83" t="s">
        <v>2059</v>
      </c>
      <c r="G178" s="83" t="b">
        <v>0</v>
      </c>
      <c r="H178" s="83" t="b">
        <v>0</v>
      </c>
      <c r="I178" s="83" t="b">
        <v>0</v>
      </c>
      <c r="J178" s="83" t="b">
        <v>0</v>
      </c>
      <c r="K178" s="83" t="b">
        <v>0</v>
      </c>
      <c r="L178" s="83" t="b">
        <v>0</v>
      </c>
    </row>
    <row r="179" spans="1:12" ht="15">
      <c r="A179" s="84" t="s">
        <v>1513</v>
      </c>
      <c r="B179" s="83" t="s">
        <v>1504</v>
      </c>
      <c r="C179" s="83">
        <v>2</v>
      </c>
      <c r="D179" s="110">
        <v>0.0010812259090786612</v>
      </c>
      <c r="E179" s="110">
        <v>2.123501638679315</v>
      </c>
      <c r="F179" s="83" t="s">
        <v>2059</v>
      </c>
      <c r="G179" s="83" t="b">
        <v>0</v>
      </c>
      <c r="H179" s="83" t="b">
        <v>0</v>
      </c>
      <c r="I179" s="83" t="b">
        <v>0</v>
      </c>
      <c r="J179" s="83" t="b">
        <v>0</v>
      </c>
      <c r="K179" s="83" t="b">
        <v>0</v>
      </c>
      <c r="L179" s="83" t="b">
        <v>0</v>
      </c>
    </row>
    <row r="180" spans="1:12" ht="15">
      <c r="A180" s="84" t="s">
        <v>1577</v>
      </c>
      <c r="B180" s="83" t="s">
        <v>1504</v>
      </c>
      <c r="C180" s="83">
        <v>2</v>
      </c>
      <c r="D180" s="110">
        <v>0.0010812259090786612</v>
      </c>
      <c r="E180" s="110">
        <v>2.3665396873656093</v>
      </c>
      <c r="F180" s="83" t="s">
        <v>2059</v>
      </c>
      <c r="G180" s="83" t="b">
        <v>0</v>
      </c>
      <c r="H180" s="83" t="b">
        <v>0</v>
      </c>
      <c r="I180" s="83" t="b">
        <v>0</v>
      </c>
      <c r="J180" s="83" t="b">
        <v>0</v>
      </c>
      <c r="K180" s="83" t="b">
        <v>0</v>
      </c>
      <c r="L180" s="83" t="b">
        <v>0</v>
      </c>
    </row>
    <row r="181" spans="1:12" ht="15">
      <c r="A181" s="84" t="s">
        <v>1459</v>
      </c>
      <c r="B181" s="83" t="s">
        <v>1440</v>
      </c>
      <c r="C181" s="83">
        <v>2</v>
      </c>
      <c r="D181" s="110">
        <v>0.0010812259090786612</v>
      </c>
      <c r="E181" s="110">
        <v>1.4245316343432959</v>
      </c>
      <c r="F181" s="83" t="s">
        <v>2059</v>
      </c>
      <c r="G181" s="83" t="b">
        <v>0</v>
      </c>
      <c r="H181" s="83" t="b">
        <v>0</v>
      </c>
      <c r="I181" s="83" t="b">
        <v>0</v>
      </c>
      <c r="J181" s="83" t="b">
        <v>1</v>
      </c>
      <c r="K181" s="83" t="b">
        <v>0</v>
      </c>
      <c r="L181" s="83" t="b">
        <v>0</v>
      </c>
    </row>
    <row r="182" spans="1:12" ht="15">
      <c r="A182" s="84" t="s">
        <v>1446</v>
      </c>
      <c r="B182" s="83" t="s">
        <v>1894</v>
      </c>
      <c r="C182" s="83">
        <v>2</v>
      </c>
      <c r="D182" s="110">
        <v>0.0012314030084370953</v>
      </c>
      <c r="E182" s="110">
        <v>2.315387164918228</v>
      </c>
      <c r="F182" s="83" t="s">
        <v>2059</v>
      </c>
      <c r="G182" s="83" t="b">
        <v>0</v>
      </c>
      <c r="H182" s="83" t="b">
        <v>0</v>
      </c>
      <c r="I182" s="83" t="b">
        <v>0</v>
      </c>
      <c r="J182" s="83" t="b">
        <v>0</v>
      </c>
      <c r="K182" s="83" t="b">
        <v>0</v>
      </c>
      <c r="L182" s="83" t="b">
        <v>0</v>
      </c>
    </row>
    <row r="183" spans="1:12" ht="15">
      <c r="A183" s="84" t="s">
        <v>1894</v>
      </c>
      <c r="B183" s="83" t="s">
        <v>1712</v>
      </c>
      <c r="C183" s="83">
        <v>2</v>
      </c>
      <c r="D183" s="110">
        <v>0.0012314030084370953</v>
      </c>
      <c r="E183" s="110">
        <v>3.0935384153018717</v>
      </c>
      <c r="F183" s="83" t="s">
        <v>2059</v>
      </c>
      <c r="G183" s="83" t="b">
        <v>0</v>
      </c>
      <c r="H183" s="83" t="b">
        <v>0</v>
      </c>
      <c r="I183" s="83" t="b">
        <v>0</v>
      </c>
      <c r="J183" s="83" t="b">
        <v>0</v>
      </c>
      <c r="K183" s="83" t="b">
        <v>0</v>
      </c>
      <c r="L183" s="83" t="b">
        <v>0</v>
      </c>
    </row>
    <row r="184" spans="1:12" ht="15">
      <c r="A184" s="84" t="s">
        <v>1712</v>
      </c>
      <c r="B184" s="83" t="s">
        <v>1895</v>
      </c>
      <c r="C184" s="83">
        <v>2</v>
      </c>
      <c r="D184" s="110">
        <v>0.0012314030084370953</v>
      </c>
      <c r="E184" s="110">
        <v>3.0935384153018717</v>
      </c>
      <c r="F184" s="83" t="s">
        <v>2059</v>
      </c>
      <c r="G184" s="83" t="b">
        <v>0</v>
      </c>
      <c r="H184" s="83" t="b">
        <v>0</v>
      </c>
      <c r="I184" s="83" t="b">
        <v>0</v>
      </c>
      <c r="J184" s="83" t="b">
        <v>0</v>
      </c>
      <c r="K184" s="83" t="b">
        <v>0</v>
      </c>
      <c r="L184" s="83" t="b">
        <v>0</v>
      </c>
    </row>
    <row r="185" spans="1:12" ht="15">
      <c r="A185" s="84" t="s">
        <v>1895</v>
      </c>
      <c r="B185" s="83" t="s">
        <v>1428</v>
      </c>
      <c r="C185" s="83">
        <v>2</v>
      </c>
      <c r="D185" s="110">
        <v>0.0012314030084370953</v>
      </c>
      <c r="E185" s="110">
        <v>1.5099618296679225</v>
      </c>
      <c r="F185" s="83" t="s">
        <v>2059</v>
      </c>
      <c r="G185" s="83" t="b">
        <v>0</v>
      </c>
      <c r="H185" s="83" t="b">
        <v>0</v>
      </c>
      <c r="I185" s="83" t="b">
        <v>0</v>
      </c>
      <c r="J185" s="83" t="b">
        <v>0</v>
      </c>
      <c r="K185" s="83" t="b">
        <v>0</v>
      </c>
      <c r="L185" s="83" t="b">
        <v>0</v>
      </c>
    </row>
    <row r="186" spans="1:12" ht="15">
      <c r="A186" s="84" t="s">
        <v>1498</v>
      </c>
      <c r="B186" s="83" t="s">
        <v>1473</v>
      </c>
      <c r="C186" s="83">
        <v>2</v>
      </c>
      <c r="D186" s="110">
        <v>0.0012314030084370953</v>
      </c>
      <c r="E186" s="110">
        <v>1.9272069935353466</v>
      </c>
      <c r="F186" s="83" t="s">
        <v>2059</v>
      </c>
      <c r="G186" s="83" t="b">
        <v>0</v>
      </c>
      <c r="H186" s="83" t="b">
        <v>0</v>
      </c>
      <c r="I186" s="83" t="b">
        <v>0</v>
      </c>
      <c r="J186" s="83" t="b">
        <v>0</v>
      </c>
      <c r="K186" s="83" t="b">
        <v>0</v>
      </c>
      <c r="L186" s="83" t="b">
        <v>0</v>
      </c>
    </row>
    <row r="187" spans="1:12" ht="15">
      <c r="A187" s="84" t="s">
        <v>1429</v>
      </c>
      <c r="B187" s="83" t="s">
        <v>1896</v>
      </c>
      <c r="C187" s="83">
        <v>2</v>
      </c>
      <c r="D187" s="110">
        <v>0.0012314030084370953</v>
      </c>
      <c r="E187" s="110">
        <v>1.8302969805272902</v>
      </c>
      <c r="F187" s="83" t="s">
        <v>2059</v>
      </c>
      <c r="G187" s="83" t="b">
        <v>0</v>
      </c>
      <c r="H187" s="83" t="b">
        <v>0</v>
      </c>
      <c r="I187" s="83" t="b">
        <v>0</v>
      </c>
      <c r="J187" s="83" t="b">
        <v>0</v>
      </c>
      <c r="K187" s="83" t="b">
        <v>0</v>
      </c>
      <c r="L187" s="83" t="b">
        <v>0</v>
      </c>
    </row>
    <row r="188" spans="1:12" ht="15">
      <c r="A188" s="84" t="s">
        <v>1896</v>
      </c>
      <c r="B188" s="83" t="s">
        <v>1525</v>
      </c>
      <c r="C188" s="83">
        <v>2</v>
      </c>
      <c r="D188" s="110">
        <v>0.0012314030084370953</v>
      </c>
      <c r="E188" s="110">
        <v>2.7255616300072774</v>
      </c>
      <c r="F188" s="83" t="s">
        <v>2059</v>
      </c>
      <c r="G188" s="83" t="b">
        <v>0</v>
      </c>
      <c r="H188" s="83" t="b">
        <v>0</v>
      </c>
      <c r="I188" s="83" t="b">
        <v>0</v>
      </c>
      <c r="J188" s="83" t="b">
        <v>0</v>
      </c>
      <c r="K188" s="83" t="b">
        <v>0</v>
      </c>
      <c r="L188" s="83" t="b">
        <v>0</v>
      </c>
    </row>
    <row r="189" spans="1:12" ht="15">
      <c r="A189" s="84" t="s">
        <v>1525</v>
      </c>
      <c r="B189" s="83" t="s">
        <v>1707</v>
      </c>
      <c r="C189" s="83">
        <v>2</v>
      </c>
      <c r="D189" s="110">
        <v>0.0012314030084370953</v>
      </c>
      <c r="E189" s="110">
        <v>2.549470370951596</v>
      </c>
      <c r="F189" s="83" t="s">
        <v>2059</v>
      </c>
      <c r="G189" s="83" t="b">
        <v>0</v>
      </c>
      <c r="H189" s="83" t="b">
        <v>0</v>
      </c>
      <c r="I189" s="83" t="b">
        <v>0</v>
      </c>
      <c r="J189" s="83" t="b">
        <v>0</v>
      </c>
      <c r="K189" s="83" t="b">
        <v>0</v>
      </c>
      <c r="L189" s="83" t="b">
        <v>0</v>
      </c>
    </row>
    <row r="190" spans="1:12" ht="15">
      <c r="A190" s="84" t="s">
        <v>1713</v>
      </c>
      <c r="B190" s="83" t="s">
        <v>1901</v>
      </c>
      <c r="C190" s="83">
        <v>2</v>
      </c>
      <c r="D190" s="110">
        <v>0.0012314030084370953</v>
      </c>
      <c r="E190" s="110">
        <v>3.0935384153018717</v>
      </c>
      <c r="F190" s="83" t="s">
        <v>2059</v>
      </c>
      <c r="G190" s="83" t="b">
        <v>0</v>
      </c>
      <c r="H190" s="83" t="b">
        <v>0</v>
      </c>
      <c r="I190" s="83" t="b">
        <v>0</v>
      </c>
      <c r="J190" s="83" t="b">
        <v>0</v>
      </c>
      <c r="K190" s="83" t="b">
        <v>0</v>
      </c>
      <c r="L190" s="83" t="b">
        <v>0</v>
      </c>
    </row>
    <row r="191" spans="1:12" ht="15">
      <c r="A191" s="84" t="s">
        <v>1530</v>
      </c>
      <c r="B191" s="83" t="s">
        <v>1466</v>
      </c>
      <c r="C191" s="83">
        <v>2</v>
      </c>
      <c r="D191" s="110">
        <v>0.0010812259090786612</v>
      </c>
      <c r="E191" s="110">
        <v>2.0521457301436468</v>
      </c>
      <c r="F191" s="83" t="s">
        <v>2059</v>
      </c>
      <c r="G191" s="83" t="b">
        <v>1</v>
      </c>
      <c r="H191" s="83" t="b">
        <v>0</v>
      </c>
      <c r="I191" s="83" t="b">
        <v>0</v>
      </c>
      <c r="J191" s="83" t="b">
        <v>0</v>
      </c>
      <c r="K191" s="83" t="b">
        <v>0</v>
      </c>
      <c r="L191" s="83" t="b">
        <v>0</v>
      </c>
    </row>
    <row r="192" spans="1:12" ht="15">
      <c r="A192" s="84" t="s">
        <v>1442</v>
      </c>
      <c r="B192" s="83" t="s">
        <v>1909</v>
      </c>
      <c r="C192" s="83">
        <v>2</v>
      </c>
      <c r="D192" s="110">
        <v>0.0010812259090786612</v>
      </c>
      <c r="E192" s="110">
        <v>2.3665396873656093</v>
      </c>
      <c r="F192" s="83" t="s">
        <v>2059</v>
      </c>
      <c r="G192" s="83" t="b">
        <v>0</v>
      </c>
      <c r="H192" s="83" t="b">
        <v>0</v>
      </c>
      <c r="I192" s="83" t="b">
        <v>0</v>
      </c>
      <c r="J192" s="83" t="b">
        <v>0</v>
      </c>
      <c r="K192" s="83" t="b">
        <v>0</v>
      </c>
      <c r="L192" s="83" t="b">
        <v>0</v>
      </c>
    </row>
    <row r="193" spans="1:12" ht="15">
      <c r="A193" s="84" t="s">
        <v>1629</v>
      </c>
      <c r="B193" s="83" t="s">
        <v>1719</v>
      </c>
      <c r="C193" s="83">
        <v>2</v>
      </c>
      <c r="D193" s="110">
        <v>0.0012314030084370953</v>
      </c>
      <c r="E193" s="110">
        <v>2.7925084196378904</v>
      </c>
      <c r="F193" s="83" t="s">
        <v>2059</v>
      </c>
      <c r="G193" s="83" t="b">
        <v>0</v>
      </c>
      <c r="H193" s="83" t="b">
        <v>0</v>
      </c>
      <c r="I193" s="83" t="b">
        <v>0</v>
      </c>
      <c r="J193" s="83" t="b">
        <v>0</v>
      </c>
      <c r="K193" s="83" t="b">
        <v>0</v>
      </c>
      <c r="L193" s="83" t="b">
        <v>0</v>
      </c>
    </row>
    <row r="194" spans="1:12" ht="15">
      <c r="A194" s="84" t="s">
        <v>1428</v>
      </c>
      <c r="B194" s="83" t="s">
        <v>1911</v>
      </c>
      <c r="C194" s="83">
        <v>2</v>
      </c>
      <c r="D194" s="110">
        <v>0.0012314030084370953</v>
      </c>
      <c r="E194" s="110">
        <v>1.5292669848633091</v>
      </c>
      <c r="F194" s="83" t="s">
        <v>2059</v>
      </c>
      <c r="G194" s="83" t="b">
        <v>0</v>
      </c>
      <c r="H194" s="83" t="b">
        <v>0</v>
      </c>
      <c r="I194" s="83" t="b">
        <v>0</v>
      </c>
      <c r="J194" s="83" t="b">
        <v>0</v>
      </c>
      <c r="K194" s="83" t="b">
        <v>0</v>
      </c>
      <c r="L194" s="83" t="b">
        <v>0</v>
      </c>
    </row>
    <row r="195" spans="1:12" ht="15">
      <c r="A195" s="84" t="s">
        <v>1911</v>
      </c>
      <c r="B195" s="83" t="s">
        <v>1912</v>
      </c>
      <c r="C195" s="83">
        <v>2</v>
      </c>
      <c r="D195" s="110">
        <v>0.0012314030084370953</v>
      </c>
      <c r="E195" s="110">
        <v>3.269629674357553</v>
      </c>
      <c r="F195" s="83" t="s">
        <v>2059</v>
      </c>
      <c r="G195" s="83" t="b">
        <v>0</v>
      </c>
      <c r="H195" s="83" t="b">
        <v>0</v>
      </c>
      <c r="I195" s="83" t="b">
        <v>0</v>
      </c>
      <c r="J195" s="83" t="b">
        <v>0</v>
      </c>
      <c r="K195" s="83" t="b">
        <v>0</v>
      </c>
      <c r="L195" s="83" t="b">
        <v>0</v>
      </c>
    </row>
    <row r="196" spans="1:12" ht="15">
      <c r="A196" s="84" t="s">
        <v>1914</v>
      </c>
      <c r="B196" s="83" t="s">
        <v>1486</v>
      </c>
      <c r="C196" s="83">
        <v>2</v>
      </c>
      <c r="D196" s="110">
        <v>0.0012314030084370953</v>
      </c>
      <c r="E196" s="110">
        <v>2.616417160582209</v>
      </c>
      <c r="F196" s="83" t="s">
        <v>2059</v>
      </c>
      <c r="G196" s="83" t="b">
        <v>0</v>
      </c>
      <c r="H196" s="83" t="b">
        <v>0</v>
      </c>
      <c r="I196" s="83" t="b">
        <v>0</v>
      </c>
      <c r="J196" s="83" t="b">
        <v>0</v>
      </c>
      <c r="K196" s="83" t="b">
        <v>0</v>
      </c>
      <c r="L196" s="83" t="b">
        <v>0</v>
      </c>
    </row>
    <row r="197" spans="1:12" ht="15">
      <c r="A197" s="84" t="s">
        <v>1915</v>
      </c>
      <c r="B197" s="83" t="s">
        <v>1916</v>
      </c>
      <c r="C197" s="83">
        <v>2</v>
      </c>
      <c r="D197" s="110">
        <v>0.0010812259090786612</v>
      </c>
      <c r="E197" s="110">
        <v>3.269629674357553</v>
      </c>
      <c r="F197" s="83" t="s">
        <v>2059</v>
      </c>
      <c r="G197" s="83" t="b">
        <v>0</v>
      </c>
      <c r="H197" s="83" t="b">
        <v>0</v>
      </c>
      <c r="I197" s="83" t="b">
        <v>0</v>
      </c>
      <c r="J197" s="83" t="b">
        <v>0</v>
      </c>
      <c r="K197" s="83" t="b">
        <v>0</v>
      </c>
      <c r="L197" s="83" t="b">
        <v>0</v>
      </c>
    </row>
    <row r="198" spans="1:12" ht="15">
      <c r="A198" s="84" t="s">
        <v>1428</v>
      </c>
      <c r="B198" s="83" t="s">
        <v>1456</v>
      </c>
      <c r="C198" s="83">
        <v>2</v>
      </c>
      <c r="D198" s="110">
        <v>0.0010812259090786612</v>
      </c>
      <c r="E198" s="110">
        <v>0.7889042953690651</v>
      </c>
      <c r="F198" s="83" t="s">
        <v>2059</v>
      </c>
      <c r="G198" s="83" t="b">
        <v>0</v>
      </c>
      <c r="H198" s="83" t="b">
        <v>0</v>
      </c>
      <c r="I198" s="83" t="b">
        <v>0</v>
      </c>
      <c r="J198" s="83" t="b">
        <v>1</v>
      </c>
      <c r="K198" s="83" t="b">
        <v>0</v>
      </c>
      <c r="L198" s="83" t="b">
        <v>0</v>
      </c>
    </row>
    <row r="199" spans="1:12" ht="15">
      <c r="A199" s="84" t="s">
        <v>1434</v>
      </c>
      <c r="B199" s="83" t="s">
        <v>1572</v>
      </c>
      <c r="C199" s="83">
        <v>2</v>
      </c>
      <c r="D199" s="110">
        <v>0.0012314030084370953</v>
      </c>
      <c r="E199" s="110">
        <v>1.7747796526774589</v>
      </c>
      <c r="F199" s="83" t="s">
        <v>2059</v>
      </c>
      <c r="G199" s="83" t="b">
        <v>0</v>
      </c>
      <c r="H199" s="83" t="b">
        <v>0</v>
      </c>
      <c r="I199" s="83" t="b">
        <v>0</v>
      </c>
      <c r="J199" s="83" t="b">
        <v>0</v>
      </c>
      <c r="K199" s="83" t="b">
        <v>0</v>
      </c>
      <c r="L199" s="83" t="b">
        <v>0</v>
      </c>
    </row>
    <row r="200" spans="1:12" ht="15">
      <c r="A200" s="84" t="s">
        <v>1625</v>
      </c>
      <c r="B200" s="83" t="s">
        <v>1601</v>
      </c>
      <c r="C200" s="83">
        <v>2</v>
      </c>
      <c r="D200" s="110">
        <v>0.0012314030084370953</v>
      </c>
      <c r="E200" s="110">
        <v>2.6675696830295905</v>
      </c>
      <c r="F200" s="83" t="s">
        <v>2059</v>
      </c>
      <c r="G200" s="83" t="b">
        <v>0</v>
      </c>
      <c r="H200" s="83" t="b">
        <v>0</v>
      </c>
      <c r="I200" s="83" t="b">
        <v>0</v>
      </c>
      <c r="J200" s="83" t="b">
        <v>0</v>
      </c>
      <c r="K200" s="83" t="b">
        <v>0</v>
      </c>
      <c r="L200" s="83" t="b">
        <v>0</v>
      </c>
    </row>
    <row r="201" spans="1:12" ht="15">
      <c r="A201" s="84" t="s">
        <v>1543</v>
      </c>
      <c r="B201" s="83" t="s">
        <v>1926</v>
      </c>
      <c r="C201" s="83">
        <v>2</v>
      </c>
      <c r="D201" s="110">
        <v>0.0010812259090786612</v>
      </c>
      <c r="E201" s="110">
        <v>2.7925084196378904</v>
      </c>
      <c r="F201" s="83" t="s">
        <v>2059</v>
      </c>
      <c r="G201" s="83" t="b">
        <v>0</v>
      </c>
      <c r="H201" s="83" t="b">
        <v>0</v>
      </c>
      <c r="I201" s="83" t="b">
        <v>0</v>
      </c>
      <c r="J201" s="83" t="b">
        <v>0</v>
      </c>
      <c r="K201" s="83" t="b">
        <v>0</v>
      </c>
      <c r="L201" s="83" t="b">
        <v>0</v>
      </c>
    </row>
    <row r="202" spans="1:12" ht="15">
      <c r="A202" s="84" t="s">
        <v>1926</v>
      </c>
      <c r="B202" s="83" t="s">
        <v>1927</v>
      </c>
      <c r="C202" s="83">
        <v>2</v>
      </c>
      <c r="D202" s="110">
        <v>0.0010812259090786612</v>
      </c>
      <c r="E202" s="110">
        <v>3.269629674357553</v>
      </c>
      <c r="F202" s="83" t="s">
        <v>2059</v>
      </c>
      <c r="G202" s="83" t="b">
        <v>0</v>
      </c>
      <c r="H202" s="83" t="b">
        <v>0</v>
      </c>
      <c r="I202" s="83" t="b">
        <v>0</v>
      </c>
      <c r="J202" s="83" t="b">
        <v>0</v>
      </c>
      <c r="K202" s="83" t="b">
        <v>0</v>
      </c>
      <c r="L202" s="83" t="b">
        <v>0</v>
      </c>
    </row>
    <row r="203" spans="1:12" ht="15">
      <c r="A203" s="84" t="s">
        <v>1443</v>
      </c>
      <c r="B203" s="83" t="s">
        <v>1929</v>
      </c>
      <c r="C203" s="83">
        <v>2</v>
      </c>
      <c r="D203" s="110">
        <v>0.0010812259090786612</v>
      </c>
      <c r="E203" s="110">
        <v>2.315387164918228</v>
      </c>
      <c r="F203" s="83" t="s">
        <v>2059</v>
      </c>
      <c r="G203" s="83" t="b">
        <v>0</v>
      </c>
      <c r="H203" s="83" t="b">
        <v>0</v>
      </c>
      <c r="I203" s="83" t="b">
        <v>0</v>
      </c>
      <c r="J203" s="83" t="b">
        <v>0</v>
      </c>
      <c r="K203" s="83" t="b">
        <v>0</v>
      </c>
      <c r="L203" s="83" t="b">
        <v>0</v>
      </c>
    </row>
    <row r="204" spans="1:12" ht="15">
      <c r="A204" s="84" t="s">
        <v>1930</v>
      </c>
      <c r="B204" s="83" t="s">
        <v>1931</v>
      </c>
      <c r="C204" s="83">
        <v>2</v>
      </c>
      <c r="D204" s="110">
        <v>0.0010812259090786612</v>
      </c>
      <c r="E204" s="110">
        <v>3.269629674357553</v>
      </c>
      <c r="F204" s="83" t="s">
        <v>2059</v>
      </c>
      <c r="G204" s="83" t="b">
        <v>0</v>
      </c>
      <c r="H204" s="83" t="b">
        <v>0</v>
      </c>
      <c r="I204" s="83" t="b">
        <v>0</v>
      </c>
      <c r="J204" s="83" t="b">
        <v>0</v>
      </c>
      <c r="K204" s="83" t="b">
        <v>0</v>
      </c>
      <c r="L204" s="83" t="b">
        <v>0</v>
      </c>
    </row>
    <row r="205" spans="1:12" ht="15">
      <c r="A205" s="84" t="s">
        <v>1931</v>
      </c>
      <c r="B205" s="83" t="s">
        <v>1932</v>
      </c>
      <c r="C205" s="83">
        <v>2</v>
      </c>
      <c r="D205" s="110">
        <v>0.0010812259090786612</v>
      </c>
      <c r="E205" s="110">
        <v>3.269629674357553</v>
      </c>
      <c r="F205" s="83" t="s">
        <v>2059</v>
      </c>
      <c r="G205" s="83" t="b">
        <v>0</v>
      </c>
      <c r="H205" s="83" t="b">
        <v>0</v>
      </c>
      <c r="I205" s="83" t="b">
        <v>0</v>
      </c>
      <c r="J205" s="83" t="b">
        <v>0</v>
      </c>
      <c r="K205" s="83" t="b">
        <v>0</v>
      </c>
      <c r="L205" s="83" t="b">
        <v>0</v>
      </c>
    </row>
    <row r="206" spans="1:12" ht="15">
      <c r="A206" s="84" t="s">
        <v>1933</v>
      </c>
      <c r="B206" s="83" t="s">
        <v>1934</v>
      </c>
      <c r="C206" s="83">
        <v>2</v>
      </c>
      <c r="D206" s="110">
        <v>0.0010812259090786612</v>
      </c>
      <c r="E206" s="110">
        <v>3.269629674357553</v>
      </c>
      <c r="F206" s="83" t="s">
        <v>2059</v>
      </c>
      <c r="G206" s="83" t="b">
        <v>0</v>
      </c>
      <c r="H206" s="83" t="b">
        <v>0</v>
      </c>
      <c r="I206" s="83" t="b">
        <v>0</v>
      </c>
      <c r="J206" s="83" t="b">
        <v>0</v>
      </c>
      <c r="K206" s="83" t="b">
        <v>0</v>
      </c>
      <c r="L206" s="83" t="b">
        <v>0</v>
      </c>
    </row>
    <row r="207" spans="1:12" ht="15">
      <c r="A207" s="84" t="s">
        <v>1935</v>
      </c>
      <c r="B207" s="83" t="s">
        <v>1936</v>
      </c>
      <c r="C207" s="83">
        <v>2</v>
      </c>
      <c r="D207" s="110">
        <v>0.0012314030084370953</v>
      </c>
      <c r="E207" s="110">
        <v>3.269629674357553</v>
      </c>
      <c r="F207" s="83" t="s">
        <v>2059</v>
      </c>
      <c r="G207" s="83" t="b">
        <v>0</v>
      </c>
      <c r="H207" s="83" t="b">
        <v>0</v>
      </c>
      <c r="I207" s="83" t="b">
        <v>0</v>
      </c>
      <c r="J207" s="83" t="b">
        <v>0</v>
      </c>
      <c r="K207" s="83" t="b">
        <v>0</v>
      </c>
      <c r="L207" s="83" t="b">
        <v>0</v>
      </c>
    </row>
    <row r="208" spans="1:12" ht="15">
      <c r="A208" s="84" t="s">
        <v>1936</v>
      </c>
      <c r="B208" s="83" t="s">
        <v>1581</v>
      </c>
      <c r="C208" s="83">
        <v>2</v>
      </c>
      <c r="D208" s="110">
        <v>0.0012314030084370953</v>
      </c>
      <c r="E208" s="110">
        <v>2.871689665685515</v>
      </c>
      <c r="F208" s="83" t="s">
        <v>2059</v>
      </c>
      <c r="G208" s="83" t="b">
        <v>0</v>
      </c>
      <c r="H208" s="83" t="b">
        <v>0</v>
      </c>
      <c r="I208" s="83" t="b">
        <v>0</v>
      </c>
      <c r="J208" s="83" t="b">
        <v>0</v>
      </c>
      <c r="K208" s="83" t="b">
        <v>0</v>
      </c>
      <c r="L208" s="83" t="b">
        <v>0</v>
      </c>
    </row>
    <row r="209" spans="1:12" ht="15">
      <c r="A209" s="84" t="s">
        <v>1488</v>
      </c>
      <c r="B209" s="83" t="s">
        <v>1634</v>
      </c>
      <c r="C209" s="83">
        <v>2</v>
      </c>
      <c r="D209" s="110">
        <v>0.0012314030084370953</v>
      </c>
      <c r="E209" s="110">
        <v>2.424531634343296</v>
      </c>
      <c r="F209" s="83" t="s">
        <v>2059</v>
      </c>
      <c r="G209" s="83" t="b">
        <v>0</v>
      </c>
      <c r="H209" s="83" t="b">
        <v>0</v>
      </c>
      <c r="I209" s="83" t="b">
        <v>0</v>
      </c>
      <c r="J209" s="83" t="b">
        <v>0</v>
      </c>
      <c r="K209" s="83" t="b">
        <v>0</v>
      </c>
      <c r="L209" s="83" t="b">
        <v>0</v>
      </c>
    </row>
    <row r="210" spans="1:12" ht="15">
      <c r="A210" s="84" t="s">
        <v>1634</v>
      </c>
      <c r="B210" s="83" t="s">
        <v>1937</v>
      </c>
      <c r="C210" s="83">
        <v>2</v>
      </c>
      <c r="D210" s="110">
        <v>0.0012314030084370953</v>
      </c>
      <c r="E210" s="110">
        <v>2.9685996786935718</v>
      </c>
      <c r="F210" s="83" t="s">
        <v>2059</v>
      </c>
      <c r="G210" s="83" t="b">
        <v>0</v>
      </c>
      <c r="H210" s="83" t="b">
        <v>0</v>
      </c>
      <c r="I210" s="83" t="b">
        <v>0</v>
      </c>
      <c r="J210" s="83" t="b">
        <v>0</v>
      </c>
      <c r="K210" s="83" t="b">
        <v>0</v>
      </c>
      <c r="L210" s="83" t="b">
        <v>0</v>
      </c>
    </row>
    <row r="211" spans="1:12" ht="15">
      <c r="A211" s="84" t="s">
        <v>1937</v>
      </c>
      <c r="B211" s="83" t="s">
        <v>1938</v>
      </c>
      <c r="C211" s="83">
        <v>2</v>
      </c>
      <c r="D211" s="110">
        <v>0.0012314030084370953</v>
      </c>
      <c r="E211" s="110">
        <v>3.269629674357553</v>
      </c>
      <c r="F211" s="83" t="s">
        <v>2059</v>
      </c>
      <c r="G211" s="83" t="b">
        <v>0</v>
      </c>
      <c r="H211" s="83" t="b">
        <v>0</v>
      </c>
      <c r="I211" s="83" t="b">
        <v>0</v>
      </c>
      <c r="J211" s="83" t="b">
        <v>0</v>
      </c>
      <c r="K211" s="83" t="b">
        <v>0</v>
      </c>
      <c r="L211" s="83" t="b">
        <v>0</v>
      </c>
    </row>
    <row r="212" spans="1:12" ht="15">
      <c r="A212" s="84" t="s">
        <v>1938</v>
      </c>
      <c r="B212" s="83" t="s">
        <v>1443</v>
      </c>
      <c r="C212" s="83">
        <v>2</v>
      </c>
      <c r="D212" s="110">
        <v>0.0012314030084370953</v>
      </c>
      <c r="E212" s="110">
        <v>2.315387164918228</v>
      </c>
      <c r="F212" s="83" t="s">
        <v>2059</v>
      </c>
      <c r="G212" s="83" t="b">
        <v>0</v>
      </c>
      <c r="H212" s="83" t="b">
        <v>0</v>
      </c>
      <c r="I212" s="83" t="b">
        <v>0</v>
      </c>
      <c r="J212" s="83" t="b">
        <v>0</v>
      </c>
      <c r="K212" s="83" t="b">
        <v>0</v>
      </c>
      <c r="L212" s="83" t="b">
        <v>0</v>
      </c>
    </row>
    <row r="213" spans="1:12" ht="15">
      <c r="A213" s="84" t="s">
        <v>1443</v>
      </c>
      <c r="B213" s="83" t="s">
        <v>1581</v>
      </c>
      <c r="C213" s="83">
        <v>2</v>
      </c>
      <c r="D213" s="110">
        <v>0.0012314030084370953</v>
      </c>
      <c r="E213" s="110">
        <v>1.9174471562461903</v>
      </c>
      <c r="F213" s="83" t="s">
        <v>2059</v>
      </c>
      <c r="G213" s="83" t="b">
        <v>0</v>
      </c>
      <c r="H213" s="83" t="b">
        <v>0</v>
      </c>
      <c r="I213" s="83" t="b">
        <v>0</v>
      </c>
      <c r="J213" s="83" t="b">
        <v>0</v>
      </c>
      <c r="K213" s="83" t="b">
        <v>0</v>
      </c>
      <c r="L213" s="83" t="b">
        <v>0</v>
      </c>
    </row>
    <row r="214" spans="1:12" ht="15">
      <c r="A214" s="84" t="s">
        <v>1443</v>
      </c>
      <c r="B214" s="83" t="s">
        <v>1725</v>
      </c>
      <c r="C214" s="83">
        <v>2</v>
      </c>
      <c r="D214" s="110">
        <v>0.0010812259090786612</v>
      </c>
      <c r="E214" s="110">
        <v>2.139295905862547</v>
      </c>
      <c r="F214" s="83" t="s">
        <v>2059</v>
      </c>
      <c r="G214" s="83" t="b">
        <v>0</v>
      </c>
      <c r="H214" s="83" t="b">
        <v>0</v>
      </c>
      <c r="I214" s="83" t="b">
        <v>0</v>
      </c>
      <c r="J214" s="83" t="b">
        <v>0</v>
      </c>
      <c r="K214" s="83" t="b">
        <v>0</v>
      </c>
      <c r="L214" s="83" t="b">
        <v>0</v>
      </c>
    </row>
    <row r="215" spans="1:12" ht="15">
      <c r="A215" s="84" t="s">
        <v>1450</v>
      </c>
      <c r="B215" s="83" t="s">
        <v>1939</v>
      </c>
      <c r="C215" s="83">
        <v>2</v>
      </c>
      <c r="D215" s="110">
        <v>0.0012314030084370953</v>
      </c>
      <c r="E215" s="110">
        <v>2.4567163177146973</v>
      </c>
      <c r="F215" s="83" t="s">
        <v>2059</v>
      </c>
      <c r="G215" s="83" t="b">
        <v>0</v>
      </c>
      <c r="H215" s="83" t="b">
        <v>0</v>
      </c>
      <c r="I215" s="83" t="b">
        <v>0</v>
      </c>
      <c r="J215" s="83" t="b">
        <v>0</v>
      </c>
      <c r="K215" s="83" t="b">
        <v>0</v>
      </c>
      <c r="L215" s="83" t="b">
        <v>0</v>
      </c>
    </row>
    <row r="216" spans="1:12" ht="15">
      <c r="A216" s="84" t="s">
        <v>1939</v>
      </c>
      <c r="B216" s="83" t="s">
        <v>1558</v>
      </c>
      <c r="C216" s="83">
        <v>2</v>
      </c>
      <c r="D216" s="110">
        <v>0.0012314030084370953</v>
      </c>
      <c r="E216" s="110">
        <v>2.871689665685515</v>
      </c>
      <c r="F216" s="83" t="s">
        <v>2059</v>
      </c>
      <c r="G216" s="83" t="b">
        <v>0</v>
      </c>
      <c r="H216" s="83" t="b">
        <v>0</v>
      </c>
      <c r="I216" s="83" t="b">
        <v>0</v>
      </c>
      <c r="J216" s="83" t="b">
        <v>0</v>
      </c>
      <c r="K216" s="83" t="b">
        <v>0</v>
      </c>
      <c r="L216" s="83" t="b">
        <v>0</v>
      </c>
    </row>
    <row r="217" spans="1:12" ht="15">
      <c r="A217" s="84" t="s">
        <v>1465</v>
      </c>
      <c r="B217" s="83" t="s">
        <v>1506</v>
      </c>
      <c r="C217" s="83">
        <v>2</v>
      </c>
      <c r="D217" s="110">
        <v>0.0010812259090786612</v>
      </c>
      <c r="E217" s="110">
        <v>2.065509691701628</v>
      </c>
      <c r="F217" s="83" t="s">
        <v>2059</v>
      </c>
      <c r="G217" s="83" t="b">
        <v>0</v>
      </c>
      <c r="H217" s="83" t="b">
        <v>0</v>
      </c>
      <c r="I217" s="83" t="b">
        <v>0</v>
      </c>
      <c r="J217" s="83" t="b">
        <v>0</v>
      </c>
      <c r="K217" s="83" t="b">
        <v>0</v>
      </c>
      <c r="L217" s="83" t="b">
        <v>0</v>
      </c>
    </row>
    <row r="218" spans="1:12" ht="15">
      <c r="A218" s="84" t="s">
        <v>1543</v>
      </c>
      <c r="B218" s="83" t="s">
        <v>1726</v>
      </c>
      <c r="C218" s="83">
        <v>2</v>
      </c>
      <c r="D218" s="110">
        <v>0.0010812259090786612</v>
      </c>
      <c r="E218" s="110">
        <v>2.616417160582209</v>
      </c>
      <c r="F218" s="83" t="s">
        <v>2059</v>
      </c>
      <c r="G218" s="83" t="b">
        <v>0</v>
      </c>
      <c r="H218" s="83" t="b">
        <v>0</v>
      </c>
      <c r="I218" s="83" t="b">
        <v>0</v>
      </c>
      <c r="J218" s="83" t="b">
        <v>0</v>
      </c>
      <c r="K218" s="83" t="b">
        <v>0</v>
      </c>
      <c r="L218" s="83" t="b">
        <v>0</v>
      </c>
    </row>
    <row r="219" spans="1:12" ht="15">
      <c r="A219" s="84" t="s">
        <v>1946</v>
      </c>
      <c r="B219" s="83" t="s">
        <v>1947</v>
      </c>
      <c r="C219" s="83">
        <v>2</v>
      </c>
      <c r="D219" s="110">
        <v>0.0010812259090786612</v>
      </c>
      <c r="E219" s="110">
        <v>3.269629674357553</v>
      </c>
      <c r="F219" s="83" t="s">
        <v>2059</v>
      </c>
      <c r="G219" s="83" t="b">
        <v>0</v>
      </c>
      <c r="H219" s="83" t="b">
        <v>0</v>
      </c>
      <c r="I219" s="83" t="b">
        <v>0</v>
      </c>
      <c r="J219" s="83" t="b">
        <v>0</v>
      </c>
      <c r="K219" s="83" t="b">
        <v>0</v>
      </c>
      <c r="L219" s="83" t="b">
        <v>0</v>
      </c>
    </row>
    <row r="220" spans="1:12" ht="15">
      <c r="A220" s="84" t="s">
        <v>1545</v>
      </c>
      <c r="B220" s="83" t="s">
        <v>1474</v>
      </c>
      <c r="C220" s="83">
        <v>2</v>
      </c>
      <c r="D220" s="110">
        <v>0.0010812259090786612</v>
      </c>
      <c r="E220" s="110">
        <v>2.1313269761912714</v>
      </c>
      <c r="F220" s="83" t="s">
        <v>2059</v>
      </c>
      <c r="G220" s="83" t="b">
        <v>0</v>
      </c>
      <c r="H220" s="83" t="b">
        <v>0</v>
      </c>
      <c r="I220" s="83" t="b">
        <v>0</v>
      </c>
      <c r="J220" s="83" t="b">
        <v>0</v>
      </c>
      <c r="K220" s="83" t="b">
        <v>0</v>
      </c>
      <c r="L220" s="83" t="b">
        <v>0</v>
      </c>
    </row>
    <row r="221" spans="1:12" ht="15">
      <c r="A221" s="84" t="s">
        <v>1437</v>
      </c>
      <c r="B221" s="83" t="s">
        <v>1957</v>
      </c>
      <c r="C221" s="83">
        <v>2</v>
      </c>
      <c r="D221" s="110">
        <v>0.0012314030084370953</v>
      </c>
      <c r="E221" s="110">
        <v>2.155686322050716</v>
      </c>
      <c r="F221" s="83" t="s">
        <v>2059</v>
      </c>
      <c r="G221" s="83" t="b">
        <v>0</v>
      </c>
      <c r="H221" s="83" t="b">
        <v>0</v>
      </c>
      <c r="I221" s="83" t="b">
        <v>0</v>
      </c>
      <c r="J221" s="83" t="b">
        <v>0</v>
      </c>
      <c r="K221" s="83" t="b">
        <v>0</v>
      </c>
      <c r="L221" s="83" t="b">
        <v>0</v>
      </c>
    </row>
    <row r="222" spans="1:12" ht="15">
      <c r="A222" s="84" t="s">
        <v>1957</v>
      </c>
      <c r="B222" s="83" t="s">
        <v>1428</v>
      </c>
      <c r="C222" s="83">
        <v>2</v>
      </c>
      <c r="D222" s="110">
        <v>0.0012314030084370953</v>
      </c>
      <c r="E222" s="110">
        <v>1.5099618296679225</v>
      </c>
      <c r="F222" s="83" t="s">
        <v>2059</v>
      </c>
      <c r="G222" s="83" t="b">
        <v>0</v>
      </c>
      <c r="H222" s="83" t="b">
        <v>0</v>
      </c>
      <c r="I222" s="83" t="b">
        <v>0</v>
      </c>
      <c r="J222" s="83" t="b">
        <v>0</v>
      </c>
      <c r="K222" s="83" t="b">
        <v>0</v>
      </c>
      <c r="L222" s="83" t="b">
        <v>0</v>
      </c>
    </row>
    <row r="223" spans="1:12" ht="15">
      <c r="A223" s="84" t="s">
        <v>1428</v>
      </c>
      <c r="B223" s="83" t="s">
        <v>1958</v>
      </c>
      <c r="C223" s="83">
        <v>2</v>
      </c>
      <c r="D223" s="110">
        <v>0.0012314030084370953</v>
      </c>
      <c r="E223" s="110">
        <v>1.5292669848633091</v>
      </c>
      <c r="F223" s="83" t="s">
        <v>2059</v>
      </c>
      <c r="G223" s="83" t="b">
        <v>0</v>
      </c>
      <c r="H223" s="83" t="b">
        <v>0</v>
      </c>
      <c r="I223" s="83" t="b">
        <v>0</v>
      </c>
      <c r="J223" s="83" t="b">
        <v>0</v>
      </c>
      <c r="K223" s="83" t="b">
        <v>0</v>
      </c>
      <c r="L223" s="83" t="b">
        <v>0</v>
      </c>
    </row>
    <row r="224" spans="1:12" ht="15">
      <c r="A224" s="84" t="s">
        <v>1958</v>
      </c>
      <c r="B224" s="83" t="s">
        <v>1959</v>
      </c>
      <c r="C224" s="83">
        <v>2</v>
      </c>
      <c r="D224" s="110">
        <v>0.0012314030084370953</v>
      </c>
      <c r="E224" s="110">
        <v>3.269629674357553</v>
      </c>
      <c r="F224" s="83" t="s">
        <v>2059</v>
      </c>
      <c r="G224" s="83" t="b">
        <v>0</v>
      </c>
      <c r="H224" s="83" t="b">
        <v>0</v>
      </c>
      <c r="I224" s="83" t="b">
        <v>0</v>
      </c>
      <c r="J224" s="83" t="b">
        <v>0</v>
      </c>
      <c r="K224" s="83" t="b">
        <v>0</v>
      </c>
      <c r="L224" s="83" t="b">
        <v>0</v>
      </c>
    </row>
    <row r="225" spans="1:12" ht="15">
      <c r="A225" s="84" t="s">
        <v>1959</v>
      </c>
      <c r="B225" s="83" t="s">
        <v>1960</v>
      </c>
      <c r="C225" s="83">
        <v>2</v>
      </c>
      <c r="D225" s="110">
        <v>0.0012314030084370953</v>
      </c>
      <c r="E225" s="110">
        <v>3.269629674357553</v>
      </c>
      <c r="F225" s="83" t="s">
        <v>2059</v>
      </c>
      <c r="G225" s="83" t="b">
        <v>0</v>
      </c>
      <c r="H225" s="83" t="b">
        <v>0</v>
      </c>
      <c r="I225" s="83" t="b">
        <v>0</v>
      </c>
      <c r="J225" s="83" t="b">
        <v>0</v>
      </c>
      <c r="K225" s="83" t="b">
        <v>0</v>
      </c>
      <c r="L225" s="83" t="b">
        <v>0</v>
      </c>
    </row>
    <row r="226" spans="1:12" ht="15">
      <c r="A226" s="84" t="s">
        <v>1734</v>
      </c>
      <c r="B226" s="83" t="s">
        <v>1546</v>
      </c>
      <c r="C226" s="83">
        <v>2</v>
      </c>
      <c r="D226" s="110">
        <v>0.0012314030084370953</v>
      </c>
      <c r="E226" s="110">
        <v>2.616417160582209</v>
      </c>
      <c r="F226" s="83" t="s">
        <v>2059</v>
      </c>
      <c r="G226" s="83" t="b">
        <v>0</v>
      </c>
      <c r="H226" s="83" t="b">
        <v>0</v>
      </c>
      <c r="I226" s="83" t="b">
        <v>0</v>
      </c>
      <c r="J226" s="83" t="b">
        <v>0</v>
      </c>
      <c r="K226" s="83" t="b">
        <v>0</v>
      </c>
      <c r="L226" s="83" t="b">
        <v>0</v>
      </c>
    </row>
    <row r="227" spans="1:12" ht="15">
      <c r="A227" s="84" t="s">
        <v>1428</v>
      </c>
      <c r="B227" s="83" t="s">
        <v>1734</v>
      </c>
      <c r="C227" s="83">
        <v>2</v>
      </c>
      <c r="D227" s="110">
        <v>0.0012314030084370953</v>
      </c>
      <c r="E227" s="110">
        <v>1.3531757258076278</v>
      </c>
      <c r="F227" s="83" t="s">
        <v>2059</v>
      </c>
      <c r="G227" s="83" t="b">
        <v>0</v>
      </c>
      <c r="H227" s="83" t="b">
        <v>0</v>
      </c>
      <c r="I227" s="83" t="b">
        <v>0</v>
      </c>
      <c r="J227" s="83" t="b">
        <v>0</v>
      </c>
      <c r="K227" s="83" t="b">
        <v>0</v>
      </c>
      <c r="L227" s="83" t="b">
        <v>0</v>
      </c>
    </row>
    <row r="228" spans="1:12" ht="15">
      <c r="A228" s="84" t="s">
        <v>1437</v>
      </c>
      <c r="B228" s="83" t="s">
        <v>1428</v>
      </c>
      <c r="C228" s="83">
        <v>2</v>
      </c>
      <c r="D228" s="110">
        <v>0.0010812259090786612</v>
      </c>
      <c r="E228" s="110">
        <v>0.3960184773610856</v>
      </c>
      <c r="F228" s="83" t="s">
        <v>2059</v>
      </c>
      <c r="G228" s="83" t="b">
        <v>0</v>
      </c>
      <c r="H228" s="83" t="b">
        <v>0</v>
      </c>
      <c r="I228" s="83" t="b">
        <v>0</v>
      </c>
      <c r="J228" s="83" t="b">
        <v>0</v>
      </c>
      <c r="K228" s="83" t="b">
        <v>0</v>
      </c>
      <c r="L228" s="83" t="b">
        <v>0</v>
      </c>
    </row>
    <row r="229" spans="1:12" ht="15">
      <c r="A229" s="84" t="s">
        <v>1481</v>
      </c>
      <c r="B229" s="83" t="s">
        <v>1506</v>
      </c>
      <c r="C229" s="83">
        <v>2</v>
      </c>
      <c r="D229" s="110">
        <v>0.0010812259090786612</v>
      </c>
      <c r="E229" s="110">
        <v>1.9685996786935718</v>
      </c>
      <c r="F229" s="83" t="s">
        <v>2059</v>
      </c>
      <c r="G229" s="83" t="b">
        <v>0</v>
      </c>
      <c r="H229" s="83" t="b">
        <v>0</v>
      </c>
      <c r="I229" s="83" t="b">
        <v>0</v>
      </c>
      <c r="J229" s="83" t="b">
        <v>0</v>
      </c>
      <c r="K229" s="83" t="b">
        <v>0</v>
      </c>
      <c r="L229" s="83" t="b">
        <v>0</v>
      </c>
    </row>
    <row r="230" spans="1:12" ht="15">
      <c r="A230" s="84" t="s">
        <v>1547</v>
      </c>
      <c r="B230" s="83" t="s">
        <v>1428</v>
      </c>
      <c r="C230" s="83">
        <v>2</v>
      </c>
      <c r="D230" s="110">
        <v>0.0010812259090786612</v>
      </c>
      <c r="E230" s="110">
        <v>1.0328405749482599</v>
      </c>
      <c r="F230" s="83" t="s">
        <v>2059</v>
      </c>
      <c r="G230" s="83" t="b">
        <v>0</v>
      </c>
      <c r="H230" s="83" t="b">
        <v>0</v>
      </c>
      <c r="I230" s="83" t="b">
        <v>0</v>
      </c>
      <c r="J230" s="83" t="b">
        <v>0</v>
      </c>
      <c r="K230" s="83" t="b">
        <v>0</v>
      </c>
      <c r="L230" s="83" t="b">
        <v>0</v>
      </c>
    </row>
    <row r="231" spans="1:12" ht="15">
      <c r="A231" s="84" t="s">
        <v>1639</v>
      </c>
      <c r="B231" s="83" t="s">
        <v>1969</v>
      </c>
      <c r="C231" s="83">
        <v>2</v>
      </c>
      <c r="D231" s="110">
        <v>0.0012314030084370953</v>
      </c>
      <c r="E231" s="110">
        <v>2.9685996786935718</v>
      </c>
      <c r="F231" s="83" t="s">
        <v>2059</v>
      </c>
      <c r="G231" s="83" t="b">
        <v>0</v>
      </c>
      <c r="H231" s="83" t="b">
        <v>0</v>
      </c>
      <c r="I231" s="83" t="b">
        <v>0</v>
      </c>
      <c r="J231" s="83" t="b">
        <v>0</v>
      </c>
      <c r="K231" s="83" t="b">
        <v>0</v>
      </c>
      <c r="L231" s="83" t="b">
        <v>0</v>
      </c>
    </row>
    <row r="232" spans="1:12" ht="15">
      <c r="A232" s="84" t="s">
        <v>1429</v>
      </c>
      <c r="B232" s="83" t="s">
        <v>1428</v>
      </c>
      <c r="C232" s="83">
        <v>2</v>
      </c>
      <c r="D232" s="110">
        <v>0.0010812259090786612</v>
      </c>
      <c r="E232" s="110">
        <v>0.07062913583765976</v>
      </c>
      <c r="F232" s="83" t="s">
        <v>2059</v>
      </c>
      <c r="G232" s="83" t="b">
        <v>0</v>
      </c>
      <c r="H232" s="83" t="b">
        <v>0</v>
      </c>
      <c r="I232" s="83" t="b">
        <v>0</v>
      </c>
      <c r="J232" s="83" t="b">
        <v>0</v>
      </c>
      <c r="K232" s="83" t="b">
        <v>0</v>
      </c>
      <c r="L232" s="83" t="b">
        <v>0</v>
      </c>
    </row>
    <row r="233" spans="1:12" ht="15">
      <c r="A233" s="84" t="s">
        <v>1428</v>
      </c>
      <c r="B233" s="83" t="s">
        <v>1548</v>
      </c>
      <c r="C233" s="83">
        <v>2</v>
      </c>
      <c r="D233" s="110">
        <v>0.0010812259090786612</v>
      </c>
      <c r="E233" s="110">
        <v>1.0521457301436465</v>
      </c>
      <c r="F233" s="83" t="s">
        <v>2059</v>
      </c>
      <c r="G233" s="83" t="b">
        <v>0</v>
      </c>
      <c r="H233" s="83" t="b">
        <v>0</v>
      </c>
      <c r="I233" s="83" t="b">
        <v>0</v>
      </c>
      <c r="J233" s="83" t="b">
        <v>0</v>
      </c>
      <c r="K233" s="83" t="b">
        <v>0</v>
      </c>
      <c r="L233" s="83" t="b">
        <v>0</v>
      </c>
    </row>
    <row r="234" spans="1:12" ht="15">
      <c r="A234" s="84" t="s">
        <v>1505</v>
      </c>
      <c r="B234" s="83" t="s">
        <v>1428</v>
      </c>
      <c r="C234" s="83">
        <v>2</v>
      </c>
      <c r="D234" s="110">
        <v>0.0010812259090786612</v>
      </c>
      <c r="E234" s="110">
        <v>0.9658937853176467</v>
      </c>
      <c r="F234" s="83" t="s">
        <v>2059</v>
      </c>
      <c r="G234" s="83" t="b">
        <v>0</v>
      </c>
      <c r="H234" s="83" t="b">
        <v>0</v>
      </c>
      <c r="I234" s="83" t="b">
        <v>0</v>
      </c>
      <c r="J234" s="83" t="b">
        <v>0</v>
      </c>
      <c r="K234" s="83" t="b">
        <v>0</v>
      </c>
      <c r="L234" s="83" t="b">
        <v>0</v>
      </c>
    </row>
    <row r="235" spans="1:12" ht="15">
      <c r="A235" s="84" t="s">
        <v>1428</v>
      </c>
      <c r="B235" s="83" t="s">
        <v>1428</v>
      </c>
      <c r="C235" s="83">
        <v>2</v>
      </c>
      <c r="D235" s="110">
        <v>0.0010812259090786612</v>
      </c>
      <c r="E235" s="110">
        <v>-0.23040085982632144</v>
      </c>
      <c r="F235" s="83" t="s">
        <v>2059</v>
      </c>
      <c r="G235" s="83" t="b">
        <v>0</v>
      </c>
      <c r="H235" s="83" t="b">
        <v>0</v>
      </c>
      <c r="I235" s="83" t="b">
        <v>0</v>
      </c>
      <c r="J235" s="83" t="b">
        <v>0</v>
      </c>
      <c r="K235" s="83" t="b">
        <v>0</v>
      </c>
      <c r="L235" s="83" t="b">
        <v>0</v>
      </c>
    </row>
    <row r="236" spans="1:12" ht="15">
      <c r="A236" s="84" t="s">
        <v>1972</v>
      </c>
      <c r="B236" s="83" t="s">
        <v>1973</v>
      </c>
      <c r="C236" s="83">
        <v>2</v>
      </c>
      <c r="D236" s="110">
        <v>0.0012314030084370953</v>
      </c>
      <c r="E236" s="110">
        <v>3.269629674357553</v>
      </c>
      <c r="F236" s="83" t="s">
        <v>2059</v>
      </c>
      <c r="G236" s="83" t="b">
        <v>0</v>
      </c>
      <c r="H236" s="83" t="b">
        <v>0</v>
      </c>
      <c r="I236" s="83" t="b">
        <v>0</v>
      </c>
      <c r="J236" s="83" t="b">
        <v>0</v>
      </c>
      <c r="K236" s="83" t="b">
        <v>0</v>
      </c>
      <c r="L236" s="83" t="b">
        <v>0</v>
      </c>
    </row>
    <row r="237" spans="1:12" ht="15">
      <c r="A237" s="84" t="s">
        <v>1973</v>
      </c>
      <c r="B237" s="83" t="s">
        <v>1974</v>
      </c>
      <c r="C237" s="83">
        <v>2</v>
      </c>
      <c r="D237" s="110">
        <v>0.0012314030084370953</v>
      </c>
      <c r="E237" s="110">
        <v>3.269629674357553</v>
      </c>
      <c r="F237" s="83" t="s">
        <v>2059</v>
      </c>
      <c r="G237" s="83" t="b">
        <v>0</v>
      </c>
      <c r="H237" s="83" t="b">
        <v>0</v>
      </c>
      <c r="I237" s="83" t="b">
        <v>0</v>
      </c>
      <c r="J237" s="83" t="b">
        <v>0</v>
      </c>
      <c r="K237" s="83" t="b">
        <v>0</v>
      </c>
      <c r="L237" s="83" t="b">
        <v>0</v>
      </c>
    </row>
    <row r="238" spans="1:12" ht="15">
      <c r="A238" s="84" t="s">
        <v>1974</v>
      </c>
      <c r="B238" s="83" t="s">
        <v>1636</v>
      </c>
      <c r="C238" s="83">
        <v>2</v>
      </c>
      <c r="D238" s="110">
        <v>0.0012314030084370953</v>
      </c>
      <c r="E238" s="110">
        <v>2.9685996786935718</v>
      </c>
      <c r="F238" s="83" t="s">
        <v>2059</v>
      </c>
      <c r="G238" s="83" t="b">
        <v>0</v>
      </c>
      <c r="H238" s="83" t="b">
        <v>0</v>
      </c>
      <c r="I238" s="83" t="b">
        <v>0</v>
      </c>
      <c r="J238" s="83" t="b">
        <v>0</v>
      </c>
      <c r="K238" s="83" t="b">
        <v>0</v>
      </c>
      <c r="L238" s="83" t="b">
        <v>0</v>
      </c>
    </row>
    <row r="239" spans="1:12" ht="15">
      <c r="A239" s="84" t="s">
        <v>1428</v>
      </c>
      <c r="B239" s="83" t="s">
        <v>1623</v>
      </c>
      <c r="C239" s="83">
        <v>2</v>
      </c>
      <c r="D239" s="110">
        <v>0.0010812259090786612</v>
      </c>
      <c r="E239" s="110">
        <v>1.2282369891993279</v>
      </c>
      <c r="F239" s="83" t="s">
        <v>2059</v>
      </c>
      <c r="G239" s="83" t="b">
        <v>0</v>
      </c>
      <c r="H239" s="83" t="b">
        <v>0</v>
      </c>
      <c r="I239" s="83" t="b">
        <v>0</v>
      </c>
      <c r="J239" s="83" t="b">
        <v>0</v>
      </c>
      <c r="K239" s="83" t="b">
        <v>0</v>
      </c>
      <c r="L239" s="83" t="b">
        <v>0</v>
      </c>
    </row>
    <row r="240" spans="1:12" ht="15">
      <c r="A240" s="84" t="s">
        <v>1985</v>
      </c>
      <c r="B240" s="83" t="s">
        <v>1741</v>
      </c>
      <c r="C240" s="83">
        <v>2</v>
      </c>
      <c r="D240" s="110">
        <v>0.0010812259090786612</v>
      </c>
      <c r="E240" s="110">
        <v>3.0935384153018717</v>
      </c>
      <c r="F240" s="83" t="s">
        <v>2059</v>
      </c>
      <c r="G240" s="83" t="b">
        <v>0</v>
      </c>
      <c r="H240" s="83" t="b">
        <v>0</v>
      </c>
      <c r="I240" s="83" t="b">
        <v>0</v>
      </c>
      <c r="J240" s="83" t="b">
        <v>0</v>
      </c>
      <c r="K240" s="83" t="b">
        <v>0</v>
      </c>
      <c r="L240" s="83" t="b">
        <v>0</v>
      </c>
    </row>
    <row r="241" spans="1:12" ht="15">
      <c r="A241" s="84" t="s">
        <v>1743</v>
      </c>
      <c r="B241" s="83" t="s">
        <v>1990</v>
      </c>
      <c r="C241" s="83">
        <v>2</v>
      </c>
      <c r="D241" s="110">
        <v>0.0010812259090786612</v>
      </c>
      <c r="E241" s="110">
        <v>3.0935384153018717</v>
      </c>
      <c r="F241" s="83" t="s">
        <v>2059</v>
      </c>
      <c r="G241" s="83" t="b">
        <v>0</v>
      </c>
      <c r="H241" s="83" t="b">
        <v>0</v>
      </c>
      <c r="I241" s="83" t="b">
        <v>0</v>
      </c>
      <c r="J241" s="83" t="b">
        <v>0</v>
      </c>
      <c r="K241" s="83" t="b">
        <v>0</v>
      </c>
      <c r="L241" s="83" t="b">
        <v>0</v>
      </c>
    </row>
    <row r="242" spans="1:12" ht="15">
      <c r="A242" s="84" t="s">
        <v>1991</v>
      </c>
      <c r="B242" s="83" t="s">
        <v>1550</v>
      </c>
      <c r="C242" s="83">
        <v>2</v>
      </c>
      <c r="D242" s="110">
        <v>0.0010812259090786612</v>
      </c>
      <c r="E242" s="110">
        <v>2.7925084196378904</v>
      </c>
      <c r="F242" s="83" t="s">
        <v>2059</v>
      </c>
      <c r="G242" s="83" t="b">
        <v>0</v>
      </c>
      <c r="H242" s="83" t="b">
        <v>0</v>
      </c>
      <c r="I242" s="83" t="b">
        <v>0</v>
      </c>
      <c r="J242" s="83" t="b">
        <v>0</v>
      </c>
      <c r="K242" s="83" t="b">
        <v>0</v>
      </c>
      <c r="L242" s="83" t="b">
        <v>0</v>
      </c>
    </row>
    <row r="243" spans="1:12" ht="15">
      <c r="A243" s="84" t="s">
        <v>1550</v>
      </c>
      <c r="B243" s="83" t="s">
        <v>1992</v>
      </c>
      <c r="C243" s="83">
        <v>2</v>
      </c>
      <c r="D243" s="110">
        <v>0.0010812259090786612</v>
      </c>
      <c r="E243" s="110">
        <v>2.7925084196378904</v>
      </c>
      <c r="F243" s="83" t="s">
        <v>2059</v>
      </c>
      <c r="G243" s="83" t="b">
        <v>0</v>
      </c>
      <c r="H243" s="83" t="b">
        <v>0</v>
      </c>
      <c r="I243" s="83" t="b">
        <v>0</v>
      </c>
      <c r="J243" s="83" t="b">
        <v>0</v>
      </c>
      <c r="K243" s="83" t="b">
        <v>0</v>
      </c>
      <c r="L243" s="83" t="b">
        <v>0</v>
      </c>
    </row>
    <row r="244" spans="1:12" ht="15">
      <c r="A244" s="84" t="s">
        <v>1996</v>
      </c>
      <c r="B244" s="83" t="s">
        <v>1746</v>
      </c>
      <c r="C244" s="83">
        <v>2</v>
      </c>
      <c r="D244" s="110">
        <v>0.0010812259090786612</v>
      </c>
      <c r="E244" s="110">
        <v>3.0935384153018717</v>
      </c>
      <c r="F244" s="83" t="s">
        <v>2059</v>
      </c>
      <c r="G244" s="83" t="b">
        <v>0</v>
      </c>
      <c r="H244" s="83" t="b">
        <v>0</v>
      </c>
      <c r="I244" s="83" t="b">
        <v>0</v>
      </c>
      <c r="J244" s="83" t="b">
        <v>0</v>
      </c>
      <c r="K244" s="83" t="b">
        <v>0</v>
      </c>
      <c r="L244" s="83" t="b">
        <v>0</v>
      </c>
    </row>
    <row r="245" spans="1:12" ht="15">
      <c r="A245" s="84" t="s">
        <v>1748</v>
      </c>
      <c r="B245" s="83" t="s">
        <v>1999</v>
      </c>
      <c r="C245" s="83">
        <v>2</v>
      </c>
      <c r="D245" s="110">
        <v>0.0012314030084370953</v>
      </c>
      <c r="E245" s="110">
        <v>3.0935384153018717</v>
      </c>
      <c r="F245" s="83" t="s">
        <v>2059</v>
      </c>
      <c r="G245" s="83" t="b">
        <v>0</v>
      </c>
      <c r="H245" s="83" t="b">
        <v>0</v>
      </c>
      <c r="I245" s="83" t="b">
        <v>0</v>
      </c>
      <c r="J245" s="83" t="b">
        <v>0</v>
      </c>
      <c r="K245" s="83" t="b">
        <v>0</v>
      </c>
      <c r="L245" s="83" t="b">
        <v>0</v>
      </c>
    </row>
    <row r="246" spans="1:12" ht="15">
      <c r="A246" s="84" t="s">
        <v>1526</v>
      </c>
      <c r="B246" s="83" t="s">
        <v>2000</v>
      </c>
      <c r="C246" s="83">
        <v>2</v>
      </c>
      <c r="D246" s="110">
        <v>0.0010812259090786612</v>
      </c>
      <c r="E246" s="110">
        <v>2.7255616300072774</v>
      </c>
      <c r="F246" s="83" t="s">
        <v>2059</v>
      </c>
      <c r="G246" s="83" t="b">
        <v>0</v>
      </c>
      <c r="H246" s="83" t="b">
        <v>0</v>
      </c>
      <c r="I246" s="83" t="b">
        <v>0</v>
      </c>
      <c r="J246" s="83" t="b">
        <v>0</v>
      </c>
      <c r="K246" s="83" t="b">
        <v>0</v>
      </c>
      <c r="L246" s="83" t="b">
        <v>0</v>
      </c>
    </row>
    <row r="247" spans="1:12" ht="15">
      <c r="A247" s="84" t="s">
        <v>1751</v>
      </c>
      <c r="B247" s="83" t="s">
        <v>1750</v>
      </c>
      <c r="C247" s="83">
        <v>2</v>
      </c>
      <c r="D247" s="110">
        <v>0.0012314030084370953</v>
      </c>
      <c r="E247" s="110">
        <v>2.9174471562461903</v>
      </c>
      <c r="F247" s="83" t="s">
        <v>2059</v>
      </c>
      <c r="G247" s="83" t="b">
        <v>0</v>
      </c>
      <c r="H247" s="83" t="b">
        <v>0</v>
      </c>
      <c r="I247" s="83" t="b">
        <v>0</v>
      </c>
      <c r="J247" s="83" t="b">
        <v>0</v>
      </c>
      <c r="K247" s="83" t="b">
        <v>0</v>
      </c>
      <c r="L247" s="83" t="b">
        <v>0</v>
      </c>
    </row>
    <row r="248" spans="1:12" ht="15">
      <c r="A248" s="84" t="s">
        <v>2004</v>
      </c>
      <c r="B248" s="83" t="s">
        <v>1583</v>
      </c>
      <c r="C248" s="83">
        <v>2</v>
      </c>
      <c r="D248" s="110">
        <v>0.0010812259090786612</v>
      </c>
      <c r="E248" s="110">
        <v>2.871689665685515</v>
      </c>
      <c r="F248" s="83" t="s">
        <v>2059</v>
      </c>
      <c r="G248" s="83" t="b">
        <v>0</v>
      </c>
      <c r="H248" s="83" t="b">
        <v>0</v>
      </c>
      <c r="I248" s="83" t="b">
        <v>0</v>
      </c>
      <c r="J248" s="83" t="b">
        <v>0</v>
      </c>
      <c r="K248" s="83" t="b">
        <v>0</v>
      </c>
      <c r="L248" s="83" t="b">
        <v>0</v>
      </c>
    </row>
    <row r="249" spans="1:12" ht="15">
      <c r="A249" s="84" t="s">
        <v>1583</v>
      </c>
      <c r="B249" s="83" t="s">
        <v>1747</v>
      </c>
      <c r="C249" s="83">
        <v>2</v>
      </c>
      <c r="D249" s="110">
        <v>0.0010812259090786612</v>
      </c>
      <c r="E249" s="110">
        <v>2.6955984066298337</v>
      </c>
      <c r="F249" s="83" t="s">
        <v>2059</v>
      </c>
      <c r="G249" s="83" t="b">
        <v>0</v>
      </c>
      <c r="H249" s="83" t="b">
        <v>0</v>
      </c>
      <c r="I249" s="83" t="b">
        <v>0</v>
      </c>
      <c r="J249" s="83" t="b">
        <v>0</v>
      </c>
      <c r="K249" s="83" t="b">
        <v>0</v>
      </c>
      <c r="L249" s="83" t="b">
        <v>0</v>
      </c>
    </row>
    <row r="250" spans="1:12" ht="15">
      <c r="A250" s="84" t="s">
        <v>1747</v>
      </c>
      <c r="B250" s="83" t="s">
        <v>1641</v>
      </c>
      <c r="C250" s="83">
        <v>2</v>
      </c>
      <c r="D250" s="110">
        <v>0.0010812259090786612</v>
      </c>
      <c r="E250" s="110">
        <v>2.7925084196378904</v>
      </c>
      <c r="F250" s="83" t="s">
        <v>2059</v>
      </c>
      <c r="G250" s="83" t="b">
        <v>0</v>
      </c>
      <c r="H250" s="83" t="b">
        <v>0</v>
      </c>
      <c r="I250" s="83" t="b">
        <v>0</v>
      </c>
      <c r="J250" s="83" t="b">
        <v>0</v>
      </c>
      <c r="K250" s="83" t="b">
        <v>0</v>
      </c>
      <c r="L250" s="83" t="b">
        <v>0</v>
      </c>
    </row>
    <row r="251" spans="1:12" ht="15">
      <c r="A251" s="84" t="s">
        <v>1629</v>
      </c>
      <c r="B251" s="83" t="s">
        <v>2005</v>
      </c>
      <c r="C251" s="83">
        <v>2</v>
      </c>
      <c r="D251" s="110">
        <v>0.0012314030084370953</v>
      </c>
      <c r="E251" s="110">
        <v>2.9685996786935718</v>
      </c>
      <c r="F251" s="83" t="s">
        <v>2059</v>
      </c>
      <c r="G251" s="83" t="b">
        <v>0</v>
      </c>
      <c r="H251" s="83" t="b">
        <v>0</v>
      </c>
      <c r="I251" s="83" t="b">
        <v>0</v>
      </c>
      <c r="J251" s="83" t="b">
        <v>0</v>
      </c>
      <c r="K251" s="83" t="b">
        <v>0</v>
      </c>
      <c r="L251" s="83" t="b">
        <v>0</v>
      </c>
    </row>
    <row r="252" spans="1:12" ht="15">
      <c r="A252" s="84" t="s">
        <v>2005</v>
      </c>
      <c r="B252" s="83" t="s">
        <v>2006</v>
      </c>
      <c r="C252" s="83">
        <v>2</v>
      </c>
      <c r="D252" s="110">
        <v>0.0012314030084370953</v>
      </c>
      <c r="E252" s="110">
        <v>3.269629674357553</v>
      </c>
      <c r="F252" s="83" t="s">
        <v>2059</v>
      </c>
      <c r="G252" s="83" t="b">
        <v>0</v>
      </c>
      <c r="H252" s="83" t="b">
        <v>0</v>
      </c>
      <c r="I252" s="83" t="b">
        <v>0</v>
      </c>
      <c r="J252" s="83" t="b">
        <v>0</v>
      </c>
      <c r="K252" s="83" t="b">
        <v>0</v>
      </c>
      <c r="L252" s="83" t="b">
        <v>0</v>
      </c>
    </row>
    <row r="253" spans="1:12" ht="15">
      <c r="A253" s="84" t="s">
        <v>2006</v>
      </c>
      <c r="B253" s="83" t="s">
        <v>2007</v>
      </c>
      <c r="C253" s="83">
        <v>2</v>
      </c>
      <c r="D253" s="110">
        <v>0.0012314030084370953</v>
      </c>
      <c r="E253" s="110">
        <v>3.269629674357553</v>
      </c>
      <c r="F253" s="83" t="s">
        <v>2059</v>
      </c>
      <c r="G253" s="83" t="b">
        <v>0</v>
      </c>
      <c r="H253" s="83" t="b">
        <v>0</v>
      </c>
      <c r="I253" s="83" t="b">
        <v>0</v>
      </c>
      <c r="J253" s="83" t="b">
        <v>0</v>
      </c>
      <c r="K253" s="83" t="b">
        <v>0</v>
      </c>
      <c r="L253" s="83" t="b">
        <v>0</v>
      </c>
    </row>
    <row r="254" spans="1:12" ht="15">
      <c r="A254" s="84" t="s">
        <v>2007</v>
      </c>
      <c r="B254" s="83" t="s">
        <v>2008</v>
      </c>
      <c r="C254" s="83">
        <v>2</v>
      </c>
      <c r="D254" s="110">
        <v>0.0012314030084370953</v>
      </c>
      <c r="E254" s="110">
        <v>3.269629674357553</v>
      </c>
      <c r="F254" s="83" t="s">
        <v>2059</v>
      </c>
      <c r="G254" s="83" t="b">
        <v>0</v>
      </c>
      <c r="H254" s="83" t="b">
        <v>0</v>
      </c>
      <c r="I254" s="83" t="b">
        <v>0</v>
      </c>
      <c r="J254" s="83" t="b">
        <v>0</v>
      </c>
      <c r="K254" s="83" t="b">
        <v>0</v>
      </c>
      <c r="L254" s="83" t="b">
        <v>0</v>
      </c>
    </row>
    <row r="255" spans="1:12" ht="15">
      <c r="A255" s="84" t="s">
        <v>2008</v>
      </c>
      <c r="B255" s="83" t="s">
        <v>2009</v>
      </c>
      <c r="C255" s="83">
        <v>2</v>
      </c>
      <c r="D255" s="110">
        <v>0.0012314030084370953</v>
      </c>
      <c r="E255" s="110">
        <v>3.269629674357553</v>
      </c>
      <c r="F255" s="83" t="s">
        <v>2059</v>
      </c>
      <c r="G255" s="83" t="b">
        <v>0</v>
      </c>
      <c r="H255" s="83" t="b">
        <v>0</v>
      </c>
      <c r="I255" s="83" t="b">
        <v>0</v>
      </c>
      <c r="J255" s="83" t="b">
        <v>0</v>
      </c>
      <c r="K255" s="83" t="b">
        <v>0</v>
      </c>
      <c r="L255" s="83" t="b">
        <v>0</v>
      </c>
    </row>
    <row r="256" spans="1:12" ht="15">
      <c r="A256" s="84" t="s">
        <v>2009</v>
      </c>
      <c r="B256" s="83" t="s">
        <v>2010</v>
      </c>
      <c r="C256" s="83">
        <v>2</v>
      </c>
      <c r="D256" s="110">
        <v>0.0012314030084370953</v>
      </c>
      <c r="E256" s="110">
        <v>3.269629674357553</v>
      </c>
      <c r="F256" s="83" t="s">
        <v>2059</v>
      </c>
      <c r="G256" s="83" t="b">
        <v>0</v>
      </c>
      <c r="H256" s="83" t="b">
        <v>0</v>
      </c>
      <c r="I256" s="83" t="b">
        <v>0</v>
      </c>
      <c r="J256" s="83" t="b">
        <v>0</v>
      </c>
      <c r="K256" s="83" t="b">
        <v>0</v>
      </c>
      <c r="L256" s="83" t="b">
        <v>0</v>
      </c>
    </row>
    <row r="257" spans="1:12" ht="15">
      <c r="A257" s="84" t="s">
        <v>2010</v>
      </c>
      <c r="B257" s="83" t="s">
        <v>2011</v>
      </c>
      <c r="C257" s="83">
        <v>2</v>
      </c>
      <c r="D257" s="110">
        <v>0.0012314030084370953</v>
      </c>
      <c r="E257" s="110">
        <v>3.269629674357553</v>
      </c>
      <c r="F257" s="83" t="s">
        <v>2059</v>
      </c>
      <c r="G257" s="83" t="b">
        <v>0</v>
      </c>
      <c r="H257" s="83" t="b">
        <v>0</v>
      </c>
      <c r="I257" s="83" t="b">
        <v>0</v>
      </c>
      <c r="J257" s="83" t="b">
        <v>0</v>
      </c>
      <c r="K257" s="83" t="b">
        <v>0</v>
      </c>
      <c r="L257" s="83" t="b">
        <v>0</v>
      </c>
    </row>
    <row r="258" spans="1:12" ht="15">
      <c r="A258" s="84" t="s">
        <v>2011</v>
      </c>
      <c r="B258" s="83" t="s">
        <v>2012</v>
      </c>
      <c r="C258" s="83">
        <v>2</v>
      </c>
      <c r="D258" s="110">
        <v>0.0012314030084370953</v>
      </c>
      <c r="E258" s="110">
        <v>3.269629674357553</v>
      </c>
      <c r="F258" s="83" t="s">
        <v>2059</v>
      </c>
      <c r="G258" s="83" t="b">
        <v>0</v>
      </c>
      <c r="H258" s="83" t="b">
        <v>0</v>
      </c>
      <c r="I258" s="83" t="b">
        <v>0</v>
      </c>
      <c r="J258" s="83" t="b">
        <v>0</v>
      </c>
      <c r="K258" s="83" t="b">
        <v>0</v>
      </c>
      <c r="L258" s="83" t="b">
        <v>0</v>
      </c>
    </row>
    <row r="259" spans="1:12" ht="15">
      <c r="A259" s="84" t="s">
        <v>2012</v>
      </c>
      <c r="B259" s="83" t="s">
        <v>2013</v>
      </c>
      <c r="C259" s="83">
        <v>2</v>
      </c>
      <c r="D259" s="110">
        <v>0.0012314030084370953</v>
      </c>
      <c r="E259" s="110">
        <v>3.269629674357553</v>
      </c>
      <c r="F259" s="83" t="s">
        <v>2059</v>
      </c>
      <c r="G259" s="83" t="b">
        <v>0</v>
      </c>
      <c r="H259" s="83" t="b">
        <v>0</v>
      </c>
      <c r="I259" s="83" t="b">
        <v>0</v>
      </c>
      <c r="J259" s="83" t="b">
        <v>0</v>
      </c>
      <c r="K259" s="83" t="b">
        <v>0</v>
      </c>
      <c r="L259" s="83" t="b">
        <v>0</v>
      </c>
    </row>
    <row r="260" spans="1:12" ht="15">
      <c r="A260" s="84" t="s">
        <v>2013</v>
      </c>
      <c r="B260" s="83" t="s">
        <v>2014</v>
      </c>
      <c r="C260" s="83">
        <v>2</v>
      </c>
      <c r="D260" s="110">
        <v>0.0012314030084370953</v>
      </c>
      <c r="E260" s="110">
        <v>3.269629674357553</v>
      </c>
      <c r="F260" s="83" t="s">
        <v>2059</v>
      </c>
      <c r="G260" s="83" t="b">
        <v>0</v>
      </c>
      <c r="H260" s="83" t="b">
        <v>0</v>
      </c>
      <c r="I260" s="83" t="b">
        <v>0</v>
      </c>
      <c r="J260" s="83" t="b">
        <v>0</v>
      </c>
      <c r="K260" s="83" t="b">
        <v>0</v>
      </c>
      <c r="L260" s="83" t="b">
        <v>0</v>
      </c>
    </row>
    <row r="261" spans="1:12" ht="15">
      <c r="A261" s="84" t="s">
        <v>2014</v>
      </c>
      <c r="B261" s="83" t="s">
        <v>2015</v>
      </c>
      <c r="C261" s="83">
        <v>2</v>
      </c>
      <c r="D261" s="110">
        <v>0.0012314030084370953</v>
      </c>
      <c r="E261" s="110">
        <v>3.269629674357553</v>
      </c>
      <c r="F261" s="83" t="s">
        <v>2059</v>
      </c>
      <c r="G261" s="83" t="b">
        <v>0</v>
      </c>
      <c r="H261" s="83" t="b">
        <v>0</v>
      </c>
      <c r="I261" s="83" t="b">
        <v>0</v>
      </c>
      <c r="J261" s="83" t="b">
        <v>0</v>
      </c>
      <c r="K261" s="83" t="b">
        <v>0</v>
      </c>
      <c r="L261" s="83" t="b">
        <v>0</v>
      </c>
    </row>
    <row r="262" spans="1:12" ht="15">
      <c r="A262" s="84" t="s">
        <v>2015</v>
      </c>
      <c r="B262" s="83" t="s">
        <v>2016</v>
      </c>
      <c r="C262" s="83">
        <v>2</v>
      </c>
      <c r="D262" s="110">
        <v>0.0012314030084370953</v>
      </c>
      <c r="E262" s="110">
        <v>3.269629674357553</v>
      </c>
      <c r="F262" s="83" t="s">
        <v>2059</v>
      </c>
      <c r="G262" s="83" t="b">
        <v>0</v>
      </c>
      <c r="H262" s="83" t="b">
        <v>0</v>
      </c>
      <c r="I262" s="83" t="b">
        <v>0</v>
      </c>
      <c r="J262" s="83" t="b">
        <v>0</v>
      </c>
      <c r="K262" s="83" t="b">
        <v>0</v>
      </c>
      <c r="L262" s="83" t="b">
        <v>0</v>
      </c>
    </row>
    <row r="263" spans="1:12" ht="15">
      <c r="A263" s="84" t="s">
        <v>1437</v>
      </c>
      <c r="B263" s="83" t="s">
        <v>1578</v>
      </c>
      <c r="C263" s="83">
        <v>2</v>
      </c>
      <c r="D263" s="110">
        <v>0.0010812259090786612</v>
      </c>
      <c r="E263" s="110">
        <v>1.7577463133786786</v>
      </c>
      <c r="F263" s="83" t="s">
        <v>2059</v>
      </c>
      <c r="G263" s="83" t="b">
        <v>0</v>
      </c>
      <c r="H263" s="83" t="b">
        <v>0</v>
      </c>
      <c r="I263" s="83" t="b">
        <v>0</v>
      </c>
      <c r="J263" s="83" t="b">
        <v>0</v>
      </c>
      <c r="K263" s="83" t="b">
        <v>0</v>
      </c>
      <c r="L263" s="83" t="b">
        <v>0</v>
      </c>
    </row>
    <row r="264" spans="1:12" ht="15">
      <c r="A264" s="84" t="s">
        <v>1432</v>
      </c>
      <c r="B264" s="83" t="s">
        <v>1603</v>
      </c>
      <c r="C264" s="83">
        <v>2</v>
      </c>
      <c r="D264" s="110">
        <v>0.0010812259090786612</v>
      </c>
      <c r="E264" s="110">
        <v>1.764479696037647</v>
      </c>
      <c r="F264" s="83" t="s">
        <v>2059</v>
      </c>
      <c r="G264" s="83" t="b">
        <v>0</v>
      </c>
      <c r="H264" s="83" t="b">
        <v>0</v>
      </c>
      <c r="I264" s="83" t="b">
        <v>0</v>
      </c>
      <c r="J264" s="83" t="b">
        <v>0</v>
      </c>
      <c r="K264" s="83" t="b">
        <v>0</v>
      </c>
      <c r="L264" s="83" t="b">
        <v>0</v>
      </c>
    </row>
    <row r="265" spans="1:12" ht="15">
      <c r="A265" s="84" t="s">
        <v>1603</v>
      </c>
      <c r="B265" s="83" t="s">
        <v>1642</v>
      </c>
      <c r="C265" s="83">
        <v>2</v>
      </c>
      <c r="D265" s="110">
        <v>0.0010812259090786612</v>
      </c>
      <c r="E265" s="110">
        <v>2.6675696830295905</v>
      </c>
      <c r="F265" s="83" t="s">
        <v>2059</v>
      </c>
      <c r="G265" s="83" t="b">
        <v>0</v>
      </c>
      <c r="H265" s="83" t="b">
        <v>0</v>
      </c>
      <c r="I265" s="83" t="b">
        <v>0</v>
      </c>
      <c r="J265" s="83" t="b">
        <v>0</v>
      </c>
      <c r="K265" s="83" t="b">
        <v>0</v>
      </c>
      <c r="L265" s="83" t="b">
        <v>0</v>
      </c>
    </row>
    <row r="266" spans="1:12" ht="15">
      <c r="A266" s="84" t="s">
        <v>1642</v>
      </c>
      <c r="B266" s="83" t="s">
        <v>1540</v>
      </c>
      <c r="C266" s="83">
        <v>2</v>
      </c>
      <c r="D266" s="110">
        <v>0.0010812259090786612</v>
      </c>
      <c r="E266" s="110">
        <v>2.7925084196378904</v>
      </c>
      <c r="F266" s="83" t="s">
        <v>2059</v>
      </c>
      <c r="G266" s="83" t="b">
        <v>0</v>
      </c>
      <c r="H266" s="83" t="b">
        <v>0</v>
      </c>
      <c r="I266" s="83" t="b">
        <v>0</v>
      </c>
      <c r="J266" s="83" t="b">
        <v>0</v>
      </c>
      <c r="K266" s="83" t="b">
        <v>0</v>
      </c>
      <c r="L266" s="83" t="b">
        <v>0</v>
      </c>
    </row>
    <row r="267" spans="1:12" ht="15">
      <c r="A267" s="84" t="s">
        <v>1540</v>
      </c>
      <c r="B267" s="83" t="s">
        <v>2018</v>
      </c>
      <c r="C267" s="83">
        <v>2</v>
      </c>
      <c r="D267" s="110">
        <v>0.0010812259090786612</v>
      </c>
      <c r="E267" s="110">
        <v>2.9685996786935718</v>
      </c>
      <c r="F267" s="83" t="s">
        <v>2059</v>
      </c>
      <c r="G267" s="83" t="b">
        <v>0</v>
      </c>
      <c r="H267" s="83" t="b">
        <v>0</v>
      </c>
      <c r="I267" s="83" t="b">
        <v>0</v>
      </c>
      <c r="J267" s="83" t="b">
        <v>0</v>
      </c>
      <c r="K267" s="83" t="b">
        <v>0</v>
      </c>
      <c r="L267" s="83" t="b">
        <v>0</v>
      </c>
    </row>
    <row r="268" spans="1:12" ht="15">
      <c r="A268" s="84" t="s">
        <v>2018</v>
      </c>
      <c r="B268" s="83" t="s">
        <v>1731</v>
      </c>
      <c r="C268" s="83">
        <v>2</v>
      </c>
      <c r="D268" s="110">
        <v>0.0010812259090786612</v>
      </c>
      <c r="E268" s="110">
        <v>3.0935384153018717</v>
      </c>
      <c r="F268" s="83" t="s">
        <v>2059</v>
      </c>
      <c r="G268" s="83" t="b">
        <v>0</v>
      </c>
      <c r="H268" s="83" t="b">
        <v>0</v>
      </c>
      <c r="I268" s="83" t="b">
        <v>0</v>
      </c>
      <c r="J268" s="83" t="b">
        <v>0</v>
      </c>
      <c r="K268" s="83" t="b">
        <v>0</v>
      </c>
      <c r="L268" s="83" t="b">
        <v>0</v>
      </c>
    </row>
    <row r="269" spans="1:12" ht="15">
      <c r="A269" s="84" t="s">
        <v>1731</v>
      </c>
      <c r="B269" s="83" t="s">
        <v>1578</v>
      </c>
      <c r="C269" s="83">
        <v>2</v>
      </c>
      <c r="D269" s="110">
        <v>0.0010812259090786612</v>
      </c>
      <c r="E269" s="110">
        <v>2.6955984066298337</v>
      </c>
      <c r="F269" s="83" t="s">
        <v>2059</v>
      </c>
      <c r="G269" s="83" t="b">
        <v>0</v>
      </c>
      <c r="H269" s="83" t="b">
        <v>0</v>
      </c>
      <c r="I269" s="83" t="b">
        <v>0</v>
      </c>
      <c r="J269" s="83" t="b">
        <v>0</v>
      </c>
      <c r="K269" s="83" t="b">
        <v>0</v>
      </c>
      <c r="L269" s="83" t="b">
        <v>0</v>
      </c>
    </row>
    <row r="270" spans="1:12" ht="15">
      <c r="A270" s="84" t="s">
        <v>1432</v>
      </c>
      <c r="B270" s="83" t="s">
        <v>1478</v>
      </c>
      <c r="C270" s="83">
        <v>2</v>
      </c>
      <c r="D270" s="110">
        <v>0.0010812259090786612</v>
      </c>
      <c r="E270" s="110">
        <v>1.3665396873656093</v>
      </c>
      <c r="F270" s="83" t="s">
        <v>2059</v>
      </c>
      <c r="G270" s="83" t="b">
        <v>0</v>
      </c>
      <c r="H270" s="83" t="b">
        <v>0</v>
      </c>
      <c r="I270" s="83" t="b">
        <v>0</v>
      </c>
      <c r="J270" s="83" t="b">
        <v>0</v>
      </c>
      <c r="K270" s="83" t="b">
        <v>0</v>
      </c>
      <c r="L270" s="83" t="b">
        <v>0</v>
      </c>
    </row>
    <row r="271" spans="1:12" ht="15">
      <c r="A271" s="84" t="s">
        <v>1478</v>
      </c>
      <c r="B271" s="83" t="s">
        <v>1642</v>
      </c>
      <c r="C271" s="83">
        <v>2</v>
      </c>
      <c r="D271" s="110">
        <v>0.0010812259090786612</v>
      </c>
      <c r="E271" s="110">
        <v>2.269629674357553</v>
      </c>
      <c r="F271" s="83" t="s">
        <v>2059</v>
      </c>
      <c r="G271" s="83" t="b">
        <v>0</v>
      </c>
      <c r="H271" s="83" t="b">
        <v>0</v>
      </c>
      <c r="I271" s="83" t="b">
        <v>0</v>
      </c>
      <c r="J271" s="83" t="b">
        <v>0</v>
      </c>
      <c r="K271" s="83" t="b">
        <v>0</v>
      </c>
      <c r="L271" s="83" t="b">
        <v>0</v>
      </c>
    </row>
    <row r="272" spans="1:12" ht="15">
      <c r="A272" s="84" t="s">
        <v>2019</v>
      </c>
      <c r="B272" s="83" t="s">
        <v>1430</v>
      </c>
      <c r="C272" s="83">
        <v>2</v>
      </c>
      <c r="D272" s="110">
        <v>0.0012314030084370953</v>
      </c>
      <c r="E272" s="110">
        <v>1.8382659101985654</v>
      </c>
      <c r="F272" s="83" t="s">
        <v>2059</v>
      </c>
      <c r="G272" s="83" t="b">
        <v>0</v>
      </c>
      <c r="H272" s="83" t="b">
        <v>0</v>
      </c>
      <c r="I272" s="83" t="b">
        <v>0</v>
      </c>
      <c r="J272" s="83" t="b">
        <v>0</v>
      </c>
      <c r="K272" s="83" t="b">
        <v>0</v>
      </c>
      <c r="L272" s="83" t="b">
        <v>0</v>
      </c>
    </row>
    <row r="273" spans="1:12" ht="15">
      <c r="A273" s="84" t="s">
        <v>1474</v>
      </c>
      <c r="B273" s="83" t="s">
        <v>1478</v>
      </c>
      <c r="C273" s="83">
        <v>2</v>
      </c>
      <c r="D273" s="110">
        <v>0.0010812259090786612</v>
      </c>
      <c r="E273" s="110">
        <v>1.8302969805272902</v>
      </c>
      <c r="F273" s="83" t="s">
        <v>2059</v>
      </c>
      <c r="G273" s="83" t="b">
        <v>0</v>
      </c>
      <c r="H273" s="83" t="b">
        <v>0</v>
      </c>
      <c r="I273" s="83" t="b">
        <v>0</v>
      </c>
      <c r="J273" s="83" t="b">
        <v>0</v>
      </c>
      <c r="K273" s="83" t="b">
        <v>0</v>
      </c>
      <c r="L273" s="83" t="b">
        <v>0</v>
      </c>
    </row>
    <row r="274" spans="1:12" ht="15">
      <c r="A274" s="84" t="s">
        <v>1478</v>
      </c>
      <c r="B274" s="83" t="s">
        <v>1448</v>
      </c>
      <c r="C274" s="83">
        <v>2</v>
      </c>
      <c r="D274" s="110">
        <v>0.0010812259090786612</v>
      </c>
      <c r="E274" s="110">
        <v>1.6412407443072412</v>
      </c>
      <c r="F274" s="83" t="s">
        <v>2059</v>
      </c>
      <c r="G274" s="83" t="b">
        <v>0</v>
      </c>
      <c r="H274" s="83" t="b">
        <v>0</v>
      </c>
      <c r="I274" s="83" t="b">
        <v>0</v>
      </c>
      <c r="J274" s="83" t="b">
        <v>0</v>
      </c>
      <c r="K274" s="83" t="b">
        <v>0</v>
      </c>
      <c r="L274" s="83" t="b">
        <v>0</v>
      </c>
    </row>
    <row r="275" spans="1:12" ht="15">
      <c r="A275" s="84" t="s">
        <v>1499</v>
      </c>
      <c r="B275" s="83" t="s">
        <v>1474</v>
      </c>
      <c r="C275" s="83">
        <v>2</v>
      </c>
      <c r="D275" s="110">
        <v>0.0010812259090786612</v>
      </c>
      <c r="E275" s="110">
        <v>1.9851989405130332</v>
      </c>
      <c r="F275" s="83" t="s">
        <v>2059</v>
      </c>
      <c r="G275" s="83" t="b">
        <v>0</v>
      </c>
      <c r="H275" s="83" t="b">
        <v>0</v>
      </c>
      <c r="I275" s="83" t="b">
        <v>0</v>
      </c>
      <c r="J275" s="83" t="b">
        <v>0</v>
      </c>
      <c r="K275" s="83" t="b">
        <v>0</v>
      </c>
      <c r="L275" s="83" t="b">
        <v>0</v>
      </c>
    </row>
    <row r="276" spans="1:12" ht="15">
      <c r="A276" s="84" t="s">
        <v>1448</v>
      </c>
      <c r="B276" s="83" t="s">
        <v>1474</v>
      </c>
      <c r="C276" s="83">
        <v>2</v>
      </c>
      <c r="D276" s="110">
        <v>0.0010812259090786612</v>
      </c>
      <c r="E276" s="110">
        <v>1.6261769978713654</v>
      </c>
      <c r="F276" s="83" t="s">
        <v>2059</v>
      </c>
      <c r="G276" s="83" t="b">
        <v>0</v>
      </c>
      <c r="H276" s="83" t="b">
        <v>0</v>
      </c>
      <c r="I276" s="83" t="b">
        <v>0</v>
      </c>
      <c r="J276" s="83" t="b">
        <v>0</v>
      </c>
      <c r="K276" s="83" t="b">
        <v>0</v>
      </c>
      <c r="L276" s="83" t="b">
        <v>0</v>
      </c>
    </row>
    <row r="277" spans="1:12" ht="15">
      <c r="A277" s="84" t="s">
        <v>1580</v>
      </c>
      <c r="B277" s="83" t="s">
        <v>1514</v>
      </c>
      <c r="C277" s="83">
        <v>2</v>
      </c>
      <c r="D277" s="110">
        <v>0.0010812259090786612</v>
      </c>
      <c r="E277" s="110">
        <v>2.549470370951596</v>
      </c>
      <c r="F277" s="83" t="s">
        <v>2059</v>
      </c>
      <c r="G277" s="83" t="b">
        <v>0</v>
      </c>
      <c r="H277" s="83" t="b">
        <v>0</v>
      </c>
      <c r="I277" s="83" t="b">
        <v>0</v>
      </c>
      <c r="J277" s="83" t="b">
        <v>0</v>
      </c>
      <c r="K277" s="83" t="b">
        <v>0</v>
      </c>
      <c r="L277" s="83" t="b">
        <v>0</v>
      </c>
    </row>
    <row r="278" spans="1:12" ht="15">
      <c r="A278" s="84" t="s">
        <v>1514</v>
      </c>
      <c r="B278" s="83" t="s">
        <v>1478</v>
      </c>
      <c r="C278" s="83">
        <v>2</v>
      </c>
      <c r="D278" s="110">
        <v>0.0010812259090786612</v>
      </c>
      <c r="E278" s="110">
        <v>2.026591625671258</v>
      </c>
      <c r="F278" s="83" t="s">
        <v>2059</v>
      </c>
      <c r="G278" s="83" t="b">
        <v>0</v>
      </c>
      <c r="H278" s="83" t="b">
        <v>0</v>
      </c>
      <c r="I278" s="83" t="b">
        <v>0</v>
      </c>
      <c r="J278" s="83" t="b">
        <v>0</v>
      </c>
      <c r="K278" s="83" t="b">
        <v>0</v>
      </c>
      <c r="L278" s="83" t="b">
        <v>0</v>
      </c>
    </row>
    <row r="279" spans="1:12" ht="15">
      <c r="A279" s="84" t="s">
        <v>1478</v>
      </c>
      <c r="B279" s="83" t="s">
        <v>1473</v>
      </c>
      <c r="C279" s="83">
        <v>2</v>
      </c>
      <c r="D279" s="110">
        <v>0.0010812259090786612</v>
      </c>
      <c r="E279" s="110">
        <v>1.8302969805272902</v>
      </c>
      <c r="F279" s="83" t="s">
        <v>2059</v>
      </c>
      <c r="G279" s="83" t="b">
        <v>0</v>
      </c>
      <c r="H279" s="83" t="b">
        <v>0</v>
      </c>
      <c r="I279" s="83" t="b">
        <v>0</v>
      </c>
      <c r="J279" s="83" t="b">
        <v>0</v>
      </c>
      <c r="K279" s="83" t="b">
        <v>0</v>
      </c>
      <c r="L279" s="83" t="b">
        <v>0</v>
      </c>
    </row>
    <row r="280" spans="1:12" ht="15">
      <c r="A280" s="84" t="s">
        <v>1473</v>
      </c>
      <c r="B280" s="83" t="s">
        <v>1754</v>
      </c>
      <c r="C280" s="83">
        <v>2</v>
      </c>
      <c r="D280" s="110">
        <v>0.0010812259090786612</v>
      </c>
      <c r="E280" s="110">
        <v>2.4403259015265277</v>
      </c>
      <c r="F280" s="83" t="s">
        <v>2059</v>
      </c>
      <c r="G280" s="83" t="b">
        <v>0</v>
      </c>
      <c r="H280" s="83" t="b">
        <v>0</v>
      </c>
      <c r="I280" s="83" t="b">
        <v>0</v>
      </c>
      <c r="J280" s="83" t="b">
        <v>1</v>
      </c>
      <c r="K280" s="83" t="b">
        <v>0</v>
      </c>
      <c r="L280" s="83" t="b">
        <v>0</v>
      </c>
    </row>
    <row r="281" spans="1:12" ht="15">
      <c r="A281" s="84" t="s">
        <v>1754</v>
      </c>
      <c r="B281" s="83" t="s">
        <v>1541</v>
      </c>
      <c r="C281" s="83">
        <v>2</v>
      </c>
      <c r="D281" s="110">
        <v>0.0010812259090786612</v>
      </c>
      <c r="E281" s="110">
        <v>2.616417160582209</v>
      </c>
      <c r="F281" s="83" t="s">
        <v>2059</v>
      </c>
      <c r="G281" s="83" t="b">
        <v>1</v>
      </c>
      <c r="H281" s="83" t="b">
        <v>0</v>
      </c>
      <c r="I281" s="83" t="b">
        <v>0</v>
      </c>
      <c r="J281" s="83" t="b">
        <v>0</v>
      </c>
      <c r="K281" s="83" t="b">
        <v>0</v>
      </c>
      <c r="L281" s="83" t="b">
        <v>0</v>
      </c>
    </row>
    <row r="282" spans="1:12" ht="15">
      <c r="A282" s="84" t="s">
        <v>1541</v>
      </c>
      <c r="B282" s="83" t="s">
        <v>1438</v>
      </c>
      <c r="C282" s="83">
        <v>2</v>
      </c>
      <c r="D282" s="110">
        <v>0.0010812259090786612</v>
      </c>
      <c r="E282" s="110">
        <v>1.7925084196378904</v>
      </c>
      <c r="F282" s="83" t="s">
        <v>2059</v>
      </c>
      <c r="G282" s="83" t="b">
        <v>0</v>
      </c>
      <c r="H282" s="83" t="b">
        <v>0</v>
      </c>
      <c r="I282" s="83" t="b">
        <v>0</v>
      </c>
      <c r="J282" s="83" t="b">
        <v>1</v>
      </c>
      <c r="K282" s="83" t="b">
        <v>0</v>
      </c>
      <c r="L282" s="83" t="b">
        <v>0</v>
      </c>
    </row>
    <row r="283" spans="1:12" ht="15">
      <c r="A283" s="84" t="s">
        <v>1438</v>
      </c>
      <c r="B283" s="83" t="s">
        <v>2021</v>
      </c>
      <c r="C283" s="83">
        <v>2</v>
      </c>
      <c r="D283" s="110">
        <v>0.0010812259090786612</v>
      </c>
      <c r="E283" s="110">
        <v>2.2484403752876148</v>
      </c>
      <c r="F283" s="83" t="s">
        <v>2059</v>
      </c>
      <c r="G283" s="83" t="b">
        <v>1</v>
      </c>
      <c r="H283" s="83" t="b">
        <v>0</v>
      </c>
      <c r="I283" s="83" t="b">
        <v>0</v>
      </c>
      <c r="J283" s="83" t="b">
        <v>0</v>
      </c>
      <c r="K283" s="83" t="b">
        <v>0</v>
      </c>
      <c r="L283" s="83" t="b">
        <v>0</v>
      </c>
    </row>
    <row r="284" spans="1:12" ht="15">
      <c r="A284" s="84" t="s">
        <v>2021</v>
      </c>
      <c r="B284" s="83" t="s">
        <v>2022</v>
      </c>
      <c r="C284" s="83">
        <v>2</v>
      </c>
      <c r="D284" s="110">
        <v>0.0010812259090786612</v>
      </c>
      <c r="E284" s="110">
        <v>3.269629674357553</v>
      </c>
      <c r="F284" s="83" t="s">
        <v>2059</v>
      </c>
      <c r="G284" s="83" t="b">
        <v>0</v>
      </c>
      <c r="H284" s="83" t="b">
        <v>0</v>
      </c>
      <c r="I284" s="83" t="b">
        <v>0</v>
      </c>
      <c r="J284" s="83" t="b">
        <v>0</v>
      </c>
      <c r="K284" s="83" t="b">
        <v>0</v>
      </c>
      <c r="L284" s="83" t="b">
        <v>0</v>
      </c>
    </row>
    <row r="285" spans="1:12" ht="15">
      <c r="A285" s="84" t="s">
        <v>2022</v>
      </c>
      <c r="B285" s="83" t="s">
        <v>2023</v>
      </c>
      <c r="C285" s="83">
        <v>2</v>
      </c>
      <c r="D285" s="110">
        <v>0.0010812259090786612</v>
      </c>
      <c r="E285" s="110">
        <v>3.269629674357553</v>
      </c>
      <c r="F285" s="83" t="s">
        <v>2059</v>
      </c>
      <c r="G285" s="83" t="b">
        <v>0</v>
      </c>
      <c r="H285" s="83" t="b">
        <v>0</v>
      </c>
      <c r="I285" s="83" t="b">
        <v>0</v>
      </c>
      <c r="J285" s="83" t="b">
        <v>0</v>
      </c>
      <c r="K285" s="83" t="b">
        <v>0</v>
      </c>
      <c r="L285" s="83" t="b">
        <v>0</v>
      </c>
    </row>
    <row r="286" spans="1:12" ht="15">
      <c r="A286" s="84" t="s">
        <v>2023</v>
      </c>
      <c r="B286" s="83" t="s">
        <v>1730</v>
      </c>
      <c r="C286" s="83">
        <v>2</v>
      </c>
      <c r="D286" s="110">
        <v>0.0010812259090786612</v>
      </c>
      <c r="E286" s="110">
        <v>3.0935384153018717</v>
      </c>
      <c r="F286" s="83" t="s">
        <v>2059</v>
      </c>
      <c r="G286" s="83" t="b">
        <v>0</v>
      </c>
      <c r="H286" s="83" t="b">
        <v>0</v>
      </c>
      <c r="I286" s="83" t="b">
        <v>0</v>
      </c>
      <c r="J286" s="83" t="b">
        <v>0</v>
      </c>
      <c r="K286" s="83" t="b">
        <v>0</v>
      </c>
      <c r="L286" s="83" t="b">
        <v>0</v>
      </c>
    </row>
    <row r="287" spans="1:12" ht="15">
      <c r="A287" s="84" t="s">
        <v>1730</v>
      </c>
      <c r="B287" s="83" t="s">
        <v>1644</v>
      </c>
      <c r="C287" s="83">
        <v>2</v>
      </c>
      <c r="D287" s="110">
        <v>0.0010812259090786612</v>
      </c>
      <c r="E287" s="110">
        <v>2.9685996786935718</v>
      </c>
      <c r="F287" s="83" t="s">
        <v>2059</v>
      </c>
      <c r="G287" s="83" t="b">
        <v>0</v>
      </c>
      <c r="H287" s="83" t="b">
        <v>0</v>
      </c>
      <c r="I287" s="83" t="b">
        <v>0</v>
      </c>
      <c r="J287" s="83" t="b">
        <v>0</v>
      </c>
      <c r="K287" s="83" t="b">
        <v>0</v>
      </c>
      <c r="L287" s="83" t="b">
        <v>0</v>
      </c>
    </row>
    <row r="288" spans="1:12" ht="15">
      <c r="A288" s="84" t="s">
        <v>1644</v>
      </c>
      <c r="B288" s="83" t="s">
        <v>1515</v>
      </c>
      <c r="C288" s="83">
        <v>2</v>
      </c>
      <c r="D288" s="110">
        <v>0.0010812259090786612</v>
      </c>
      <c r="E288" s="110">
        <v>2.424531634343296</v>
      </c>
      <c r="F288" s="83" t="s">
        <v>2059</v>
      </c>
      <c r="G288" s="83" t="b">
        <v>0</v>
      </c>
      <c r="H288" s="83" t="b">
        <v>0</v>
      </c>
      <c r="I288" s="83" t="b">
        <v>0</v>
      </c>
      <c r="J288" s="83" t="b">
        <v>0</v>
      </c>
      <c r="K288" s="83" t="b">
        <v>0</v>
      </c>
      <c r="L288" s="83" t="b">
        <v>0</v>
      </c>
    </row>
    <row r="289" spans="1:12" ht="15">
      <c r="A289" s="84" t="s">
        <v>1515</v>
      </c>
      <c r="B289" s="83" t="s">
        <v>1645</v>
      </c>
      <c r="C289" s="83">
        <v>2</v>
      </c>
      <c r="D289" s="110">
        <v>0.0010812259090786612</v>
      </c>
      <c r="E289" s="110">
        <v>2.424531634343296</v>
      </c>
      <c r="F289" s="83" t="s">
        <v>2059</v>
      </c>
      <c r="G289" s="83" t="b">
        <v>0</v>
      </c>
      <c r="H289" s="83" t="b">
        <v>0</v>
      </c>
      <c r="I289" s="83" t="b">
        <v>0</v>
      </c>
      <c r="J289" s="83" t="b">
        <v>0</v>
      </c>
      <c r="K289" s="83" t="b">
        <v>0</v>
      </c>
      <c r="L289" s="83" t="b">
        <v>0</v>
      </c>
    </row>
    <row r="290" spans="1:12" ht="15">
      <c r="A290" s="84" t="s">
        <v>1645</v>
      </c>
      <c r="B290" s="83" t="s">
        <v>1718</v>
      </c>
      <c r="C290" s="83">
        <v>2</v>
      </c>
      <c r="D290" s="110">
        <v>0.0010812259090786612</v>
      </c>
      <c r="E290" s="110">
        <v>2.7925084196378904</v>
      </c>
      <c r="F290" s="83" t="s">
        <v>2059</v>
      </c>
      <c r="G290" s="83" t="b">
        <v>0</v>
      </c>
      <c r="H290" s="83" t="b">
        <v>0</v>
      </c>
      <c r="I290" s="83" t="b">
        <v>0</v>
      </c>
      <c r="J290" s="83" t="b">
        <v>0</v>
      </c>
      <c r="K290" s="83" t="b">
        <v>0</v>
      </c>
      <c r="L290" s="83" t="b">
        <v>0</v>
      </c>
    </row>
    <row r="291" spans="1:12" ht="15">
      <c r="A291" s="84" t="s">
        <v>1718</v>
      </c>
      <c r="B291" s="83" t="s">
        <v>1644</v>
      </c>
      <c r="C291" s="83">
        <v>2</v>
      </c>
      <c r="D291" s="110">
        <v>0.0010812259090786612</v>
      </c>
      <c r="E291" s="110">
        <v>2.7925084196378904</v>
      </c>
      <c r="F291" s="83" t="s">
        <v>2059</v>
      </c>
      <c r="G291" s="83" t="b">
        <v>0</v>
      </c>
      <c r="H291" s="83" t="b">
        <v>0</v>
      </c>
      <c r="I291" s="83" t="b">
        <v>0</v>
      </c>
      <c r="J291" s="83" t="b">
        <v>0</v>
      </c>
      <c r="K291" s="83" t="b">
        <v>0</v>
      </c>
      <c r="L291" s="83" t="b">
        <v>0</v>
      </c>
    </row>
    <row r="292" spans="1:12" ht="15">
      <c r="A292" s="84" t="s">
        <v>1644</v>
      </c>
      <c r="B292" s="83" t="s">
        <v>1645</v>
      </c>
      <c r="C292" s="83">
        <v>2</v>
      </c>
      <c r="D292" s="110">
        <v>0.0010812259090786612</v>
      </c>
      <c r="E292" s="110">
        <v>2.6675696830295905</v>
      </c>
      <c r="F292" s="83" t="s">
        <v>2059</v>
      </c>
      <c r="G292" s="83" t="b">
        <v>0</v>
      </c>
      <c r="H292" s="83" t="b">
        <v>0</v>
      </c>
      <c r="I292" s="83" t="b">
        <v>0</v>
      </c>
      <c r="J292" s="83" t="b">
        <v>0</v>
      </c>
      <c r="K292" s="83" t="b">
        <v>0</v>
      </c>
      <c r="L292" s="83" t="b">
        <v>0</v>
      </c>
    </row>
    <row r="293" spans="1:12" ht="15">
      <c r="A293" s="84" t="s">
        <v>1645</v>
      </c>
      <c r="B293" s="83" t="s">
        <v>1715</v>
      </c>
      <c r="C293" s="83">
        <v>2</v>
      </c>
      <c r="D293" s="110">
        <v>0.0010812259090786612</v>
      </c>
      <c r="E293" s="110">
        <v>2.7925084196378904</v>
      </c>
      <c r="F293" s="83" t="s">
        <v>2059</v>
      </c>
      <c r="G293" s="83" t="b">
        <v>0</v>
      </c>
      <c r="H293" s="83" t="b">
        <v>0</v>
      </c>
      <c r="I293" s="83" t="b">
        <v>0</v>
      </c>
      <c r="J293" s="83" t="b">
        <v>0</v>
      </c>
      <c r="K293" s="83" t="b">
        <v>0</v>
      </c>
      <c r="L293" s="83" t="b">
        <v>0</v>
      </c>
    </row>
    <row r="294" spans="1:12" ht="15">
      <c r="A294" s="84" t="s">
        <v>1715</v>
      </c>
      <c r="B294" s="83" t="s">
        <v>1437</v>
      </c>
      <c r="C294" s="83">
        <v>2</v>
      </c>
      <c r="D294" s="110">
        <v>0.0010812259090786612</v>
      </c>
      <c r="E294" s="110">
        <v>2.208931834003941</v>
      </c>
      <c r="F294" s="83" t="s">
        <v>2059</v>
      </c>
      <c r="G294" s="83" t="b">
        <v>0</v>
      </c>
      <c r="H294" s="83" t="b">
        <v>0</v>
      </c>
      <c r="I294" s="83" t="b">
        <v>0</v>
      </c>
      <c r="J294" s="83" t="b">
        <v>0</v>
      </c>
      <c r="K294" s="83" t="b">
        <v>0</v>
      </c>
      <c r="L294" s="83" t="b">
        <v>0</v>
      </c>
    </row>
    <row r="295" spans="1:12" ht="15">
      <c r="A295" s="84" t="s">
        <v>1429</v>
      </c>
      <c r="B295" s="83" t="s">
        <v>1755</v>
      </c>
      <c r="C295" s="83">
        <v>2</v>
      </c>
      <c r="D295" s="110">
        <v>0.0010812259090786612</v>
      </c>
      <c r="E295" s="110">
        <v>1.6542057214716088</v>
      </c>
      <c r="F295" s="83" t="s">
        <v>2059</v>
      </c>
      <c r="G295" s="83" t="b">
        <v>0</v>
      </c>
      <c r="H295" s="83" t="b">
        <v>0</v>
      </c>
      <c r="I295" s="83" t="b">
        <v>0</v>
      </c>
      <c r="J295" s="83" t="b">
        <v>0</v>
      </c>
      <c r="K295" s="83" t="b">
        <v>0</v>
      </c>
      <c r="L295" s="83" t="b">
        <v>0</v>
      </c>
    </row>
    <row r="296" spans="1:12" ht="15">
      <c r="A296" s="84" t="s">
        <v>1756</v>
      </c>
      <c r="B296" s="83" t="s">
        <v>1503</v>
      </c>
      <c r="C296" s="83">
        <v>2</v>
      </c>
      <c r="D296" s="110">
        <v>0.0012314030084370953</v>
      </c>
      <c r="E296" s="110">
        <v>2.491478423973909</v>
      </c>
      <c r="F296" s="83" t="s">
        <v>2059</v>
      </c>
      <c r="G296" s="83" t="b">
        <v>0</v>
      </c>
      <c r="H296" s="83" t="b">
        <v>0</v>
      </c>
      <c r="I296" s="83" t="b">
        <v>0</v>
      </c>
      <c r="J296" s="83" t="b">
        <v>0</v>
      </c>
      <c r="K296" s="83" t="b">
        <v>0</v>
      </c>
      <c r="L296" s="83" t="b">
        <v>0</v>
      </c>
    </row>
    <row r="297" spans="1:12" ht="15">
      <c r="A297" s="84" t="s">
        <v>2031</v>
      </c>
      <c r="B297" s="83" t="s">
        <v>1428</v>
      </c>
      <c r="C297" s="83">
        <v>2</v>
      </c>
      <c r="D297" s="110">
        <v>0.0012314030084370953</v>
      </c>
      <c r="E297" s="110">
        <v>1.5099618296679225</v>
      </c>
      <c r="F297" s="83" t="s">
        <v>2059</v>
      </c>
      <c r="G297" s="83" t="b">
        <v>0</v>
      </c>
      <c r="H297" s="83" t="b">
        <v>0</v>
      </c>
      <c r="I297" s="83" t="b">
        <v>0</v>
      </c>
      <c r="J297" s="83" t="b">
        <v>0</v>
      </c>
      <c r="K297" s="83" t="b">
        <v>0</v>
      </c>
      <c r="L297" s="83" t="b">
        <v>0</v>
      </c>
    </row>
    <row r="298" spans="1:12" ht="15">
      <c r="A298" s="84" t="s">
        <v>1428</v>
      </c>
      <c r="B298" s="83" t="s">
        <v>1757</v>
      </c>
      <c r="C298" s="83">
        <v>2</v>
      </c>
      <c r="D298" s="110">
        <v>0.0012314030084370953</v>
      </c>
      <c r="E298" s="110">
        <v>1.3531757258076278</v>
      </c>
      <c r="F298" s="83" t="s">
        <v>2059</v>
      </c>
      <c r="G298" s="83" t="b">
        <v>0</v>
      </c>
      <c r="H298" s="83" t="b">
        <v>0</v>
      </c>
      <c r="I298" s="83" t="b">
        <v>0</v>
      </c>
      <c r="J298" s="83" t="b">
        <v>0</v>
      </c>
      <c r="K298" s="83" t="b">
        <v>0</v>
      </c>
      <c r="L298" s="83" t="b">
        <v>0</v>
      </c>
    </row>
    <row r="299" spans="1:12" ht="15">
      <c r="A299" s="84" t="s">
        <v>1757</v>
      </c>
      <c r="B299" s="83" t="s">
        <v>1430</v>
      </c>
      <c r="C299" s="83">
        <v>2</v>
      </c>
      <c r="D299" s="110">
        <v>0.0012314030084370953</v>
      </c>
      <c r="E299" s="110">
        <v>1.6621746511428843</v>
      </c>
      <c r="F299" s="83" t="s">
        <v>2059</v>
      </c>
      <c r="G299" s="83" t="b">
        <v>0</v>
      </c>
      <c r="H299" s="83" t="b">
        <v>0</v>
      </c>
      <c r="I299" s="83" t="b">
        <v>0</v>
      </c>
      <c r="J299" s="83" t="b">
        <v>0</v>
      </c>
      <c r="K299" s="83" t="b">
        <v>0</v>
      </c>
      <c r="L299" s="83" t="b">
        <v>0</v>
      </c>
    </row>
    <row r="300" spans="1:12" ht="15">
      <c r="A300" s="84" t="s">
        <v>1487</v>
      </c>
      <c r="B300" s="83" t="s">
        <v>1451</v>
      </c>
      <c r="C300" s="83">
        <v>2</v>
      </c>
      <c r="D300" s="110">
        <v>0.0012314030084370953</v>
      </c>
      <c r="E300" s="110">
        <v>1.7133271735902655</v>
      </c>
      <c r="F300" s="83" t="s">
        <v>2059</v>
      </c>
      <c r="G300" s="83" t="b">
        <v>0</v>
      </c>
      <c r="H300" s="83" t="b">
        <v>0</v>
      </c>
      <c r="I300" s="83" t="b">
        <v>0</v>
      </c>
      <c r="J300" s="83" t="b">
        <v>0</v>
      </c>
      <c r="K300" s="83" t="b">
        <v>0</v>
      </c>
      <c r="L300" s="83" t="b">
        <v>0</v>
      </c>
    </row>
    <row r="301" spans="1:12" ht="15">
      <c r="A301" s="84" t="s">
        <v>1451</v>
      </c>
      <c r="B301" s="83" t="s">
        <v>1733</v>
      </c>
      <c r="C301" s="83">
        <v>2</v>
      </c>
      <c r="D301" s="110">
        <v>0.0012314030084370953</v>
      </c>
      <c r="E301" s="110">
        <v>2.280625058659016</v>
      </c>
      <c r="F301" s="83" t="s">
        <v>2059</v>
      </c>
      <c r="G301" s="83" t="b">
        <v>0</v>
      </c>
      <c r="H301" s="83" t="b">
        <v>0</v>
      </c>
      <c r="I301" s="83" t="b">
        <v>0</v>
      </c>
      <c r="J301" s="83" t="b">
        <v>0</v>
      </c>
      <c r="K301" s="83" t="b">
        <v>0</v>
      </c>
      <c r="L301" s="83" t="b">
        <v>0</v>
      </c>
    </row>
    <row r="302" spans="1:12" ht="15">
      <c r="A302" s="84" t="s">
        <v>1432</v>
      </c>
      <c r="B302" s="83" t="s">
        <v>1431</v>
      </c>
      <c r="C302" s="83">
        <v>2</v>
      </c>
      <c r="D302" s="110">
        <v>0.0012314030084370953</v>
      </c>
      <c r="E302" s="110">
        <v>0.723087010879422</v>
      </c>
      <c r="F302" s="83" t="s">
        <v>2059</v>
      </c>
      <c r="G302" s="83" t="b">
        <v>0</v>
      </c>
      <c r="H302" s="83" t="b">
        <v>0</v>
      </c>
      <c r="I302" s="83" t="b">
        <v>0</v>
      </c>
      <c r="J302" s="83" t="b">
        <v>0</v>
      </c>
      <c r="K302" s="83" t="b">
        <v>0</v>
      </c>
      <c r="L302" s="83" t="b">
        <v>0</v>
      </c>
    </row>
    <row r="303" spans="1:12" ht="15">
      <c r="A303" s="84" t="s">
        <v>2036</v>
      </c>
      <c r="B303" s="83" t="s">
        <v>1738</v>
      </c>
      <c r="C303" s="83">
        <v>2</v>
      </c>
      <c r="D303" s="110">
        <v>0.0012314030084370953</v>
      </c>
      <c r="E303" s="110">
        <v>3.0935384153018717</v>
      </c>
      <c r="F303" s="83" t="s">
        <v>2059</v>
      </c>
      <c r="G303" s="83" t="b">
        <v>0</v>
      </c>
      <c r="H303" s="83" t="b">
        <v>0</v>
      </c>
      <c r="I303" s="83" t="b">
        <v>0</v>
      </c>
      <c r="J303" s="83" t="b">
        <v>0</v>
      </c>
      <c r="K303" s="83" t="b">
        <v>0</v>
      </c>
      <c r="L303" s="83" t="b">
        <v>0</v>
      </c>
    </row>
    <row r="304" spans="1:12" ht="15">
      <c r="A304" s="84" t="s">
        <v>1738</v>
      </c>
      <c r="B304" s="83" t="s">
        <v>1701</v>
      </c>
      <c r="C304" s="83">
        <v>2</v>
      </c>
      <c r="D304" s="110">
        <v>0.0012314030084370953</v>
      </c>
      <c r="E304" s="110">
        <v>2.9174471562461903</v>
      </c>
      <c r="F304" s="83" t="s">
        <v>2059</v>
      </c>
      <c r="G304" s="83" t="b">
        <v>0</v>
      </c>
      <c r="H304" s="83" t="b">
        <v>0</v>
      </c>
      <c r="I304" s="83" t="b">
        <v>0</v>
      </c>
      <c r="J304" s="83" t="b">
        <v>0</v>
      </c>
      <c r="K304" s="83" t="b">
        <v>0</v>
      </c>
      <c r="L304" s="83" t="b">
        <v>0</v>
      </c>
    </row>
    <row r="305" spans="1:12" ht="15">
      <c r="A305" s="84" t="s">
        <v>1701</v>
      </c>
      <c r="B305" s="83" t="s">
        <v>1582</v>
      </c>
      <c r="C305" s="83">
        <v>2</v>
      </c>
      <c r="D305" s="110">
        <v>0.0012314030084370953</v>
      </c>
      <c r="E305" s="110">
        <v>2.6955984066298337</v>
      </c>
      <c r="F305" s="83" t="s">
        <v>2059</v>
      </c>
      <c r="G305" s="83" t="b">
        <v>0</v>
      </c>
      <c r="H305" s="83" t="b">
        <v>0</v>
      </c>
      <c r="I305" s="83" t="b">
        <v>0</v>
      </c>
      <c r="J305" s="83" t="b">
        <v>0</v>
      </c>
      <c r="K305" s="83" t="b">
        <v>0</v>
      </c>
      <c r="L305" s="83" t="b">
        <v>0</v>
      </c>
    </row>
    <row r="306" spans="1:12" ht="15">
      <c r="A306" s="84" t="s">
        <v>2038</v>
      </c>
      <c r="B306" s="83" t="s">
        <v>1448</v>
      </c>
      <c r="C306" s="83">
        <v>2</v>
      </c>
      <c r="D306" s="110">
        <v>0.0012314030084370953</v>
      </c>
      <c r="E306" s="110">
        <v>2.34021074864326</v>
      </c>
      <c r="F306" s="83" t="s">
        <v>2059</v>
      </c>
      <c r="G306" s="83" t="b">
        <v>0</v>
      </c>
      <c r="H306" s="83" t="b">
        <v>0</v>
      </c>
      <c r="I306" s="83" t="b">
        <v>0</v>
      </c>
      <c r="J306" s="83" t="b">
        <v>0</v>
      </c>
      <c r="K306" s="83" t="b">
        <v>0</v>
      </c>
      <c r="L306" s="83" t="b">
        <v>0</v>
      </c>
    </row>
    <row r="307" spans="1:12" ht="15">
      <c r="A307" s="84" t="s">
        <v>1646</v>
      </c>
      <c r="B307" s="83" t="s">
        <v>2039</v>
      </c>
      <c r="C307" s="83">
        <v>2</v>
      </c>
      <c r="D307" s="110">
        <v>0.0012314030084370953</v>
      </c>
      <c r="E307" s="110">
        <v>3.0935384153018717</v>
      </c>
      <c r="F307" s="83" t="s">
        <v>2059</v>
      </c>
      <c r="G307" s="83" t="b">
        <v>0</v>
      </c>
      <c r="H307" s="83" t="b">
        <v>0</v>
      </c>
      <c r="I307" s="83" t="b">
        <v>0</v>
      </c>
      <c r="J307" s="83" t="b">
        <v>0</v>
      </c>
      <c r="K307" s="83" t="b">
        <v>0</v>
      </c>
      <c r="L307" s="83" t="b">
        <v>0</v>
      </c>
    </row>
    <row r="308" spans="1:12" ht="15">
      <c r="A308" s="84" t="s">
        <v>2039</v>
      </c>
      <c r="B308" s="83" t="s">
        <v>2040</v>
      </c>
      <c r="C308" s="83">
        <v>2</v>
      </c>
      <c r="D308" s="110">
        <v>0.0012314030084370953</v>
      </c>
      <c r="E308" s="110">
        <v>3.269629674357553</v>
      </c>
      <c r="F308" s="83" t="s">
        <v>2059</v>
      </c>
      <c r="G308" s="83" t="b">
        <v>0</v>
      </c>
      <c r="H308" s="83" t="b">
        <v>0</v>
      </c>
      <c r="I308" s="83" t="b">
        <v>0</v>
      </c>
      <c r="J308" s="83" t="b">
        <v>0</v>
      </c>
      <c r="K308" s="83" t="b">
        <v>0</v>
      </c>
      <c r="L308" s="83" t="b">
        <v>0</v>
      </c>
    </row>
    <row r="309" spans="1:12" ht="15">
      <c r="A309" s="84" t="s">
        <v>1430</v>
      </c>
      <c r="B309" s="83" t="s">
        <v>1646</v>
      </c>
      <c r="C309" s="83">
        <v>2</v>
      </c>
      <c r="D309" s="110">
        <v>0.0012314030084370953</v>
      </c>
      <c r="E309" s="110">
        <v>1.5214416473513523</v>
      </c>
      <c r="F309" s="83" t="s">
        <v>2059</v>
      </c>
      <c r="G309" s="83" t="b">
        <v>0</v>
      </c>
      <c r="H309" s="83" t="b">
        <v>0</v>
      </c>
      <c r="I309" s="83" t="b">
        <v>0</v>
      </c>
      <c r="J309" s="83" t="b">
        <v>0</v>
      </c>
      <c r="K309" s="83" t="b">
        <v>0</v>
      </c>
      <c r="L309" s="83" t="b">
        <v>0</v>
      </c>
    </row>
    <row r="310" spans="1:12" ht="15">
      <c r="A310" s="84" t="s">
        <v>1639</v>
      </c>
      <c r="B310" s="83" t="s">
        <v>2041</v>
      </c>
      <c r="C310" s="83">
        <v>2</v>
      </c>
      <c r="D310" s="110">
        <v>0.0012314030084370953</v>
      </c>
      <c r="E310" s="110">
        <v>2.9685996786935718</v>
      </c>
      <c r="F310" s="83" t="s">
        <v>2059</v>
      </c>
      <c r="G310" s="83" t="b">
        <v>0</v>
      </c>
      <c r="H310" s="83" t="b">
        <v>0</v>
      </c>
      <c r="I310" s="83" t="b">
        <v>0</v>
      </c>
      <c r="J310" s="83" t="b">
        <v>0</v>
      </c>
      <c r="K310" s="83" t="b">
        <v>0</v>
      </c>
      <c r="L310" s="83" t="b">
        <v>0</v>
      </c>
    </row>
    <row r="311" spans="1:12" ht="15">
      <c r="A311" s="84" t="s">
        <v>1481</v>
      </c>
      <c r="B311" s="83" t="s">
        <v>1457</v>
      </c>
      <c r="C311" s="83">
        <v>2</v>
      </c>
      <c r="D311" s="110">
        <v>0.0012314030084370953</v>
      </c>
      <c r="E311" s="110">
        <v>1.7577463133786786</v>
      </c>
      <c r="F311" s="83" t="s">
        <v>2059</v>
      </c>
      <c r="G311" s="83" t="b">
        <v>0</v>
      </c>
      <c r="H311" s="83" t="b">
        <v>0</v>
      </c>
      <c r="I311" s="83" t="b">
        <v>0</v>
      </c>
      <c r="J311" s="83" t="b">
        <v>0</v>
      </c>
      <c r="K311" s="83" t="b">
        <v>0</v>
      </c>
      <c r="L311" s="83" t="b">
        <v>0</v>
      </c>
    </row>
    <row r="312" spans="1:12" ht="15">
      <c r="A312" s="84" t="s">
        <v>1457</v>
      </c>
      <c r="B312" s="83" t="s">
        <v>1696</v>
      </c>
      <c r="C312" s="83">
        <v>2</v>
      </c>
      <c r="D312" s="110">
        <v>0.0012314030084370953</v>
      </c>
      <c r="E312" s="110">
        <v>2.2484403752876148</v>
      </c>
      <c r="F312" s="83" t="s">
        <v>2059</v>
      </c>
      <c r="G312" s="83" t="b">
        <v>0</v>
      </c>
      <c r="H312" s="83" t="b">
        <v>0</v>
      </c>
      <c r="I312" s="83" t="b">
        <v>0</v>
      </c>
      <c r="J312" s="83" t="b">
        <v>0</v>
      </c>
      <c r="K312" s="83" t="b">
        <v>0</v>
      </c>
      <c r="L312" s="83" t="b">
        <v>0</v>
      </c>
    </row>
    <row r="313" spans="1:12" ht="15">
      <c r="A313" s="84" t="s">
        <v>1696</v>
      </c>
      <c r="B313" s="83" t="s">
        <v>2042</v>
      </c>
      <c r="C313" s="83">
        <v>2</v>
      </c>
      <c r="D313" s="110">
        <v>0.0012314030084370953</v>
      </c>
      <c r="E313" s="110">
        <v>3.0935384153018717</v>
      </c>
      <c r="F313" s="83" t="s">
        <v>2059</v>
      </c>
      <c r="G313" s="83" t="b">
        <v>0</v>
      </c>
      <c r="H313" s="83" t="b">
        <v>0</v>
      </c>
      <c r="I313" s="83" t="b">
        <v>0</v>
      </c>
      <c r="J313" s="83" t="b">
        <v>0</v>
      </c>
      <c r="K313" s="83" t="b">
        <v>0</v>
      </c>
      <c r="L313" s="83" t="b">
        <v>0</v>
      </c>
    </row>
    <row r="314" spans="1:12" ht="15">
      <c r="A314" s="84" t="s">
        <v>1450</v>
      </c>
      <c r="B314" s="83" t="s">
        <v>2044</v>
      </c>
      <c r="C314" s="83">
        <v>2</v>
      </c>
      <c r="D314" s="110">
        <v>0.0012314030084370953</v>
      </c>
      <c r="E314" s="110">
        <v>2.4567163177146973</v>
      </c>
      <c r="F314" s="83" t="s">
        <v>2059</v>
      </c>
      <c r="G314" s="83" t="b">
        <v>0</v>
      </c>
      <c r="H314" s="83" t="b">
        <v>0</v>
      </c>
      <c r="I314" s="83" t="b">
        <v>0</v>
      </c>
      <c r="J314" s="83" t="b">
        <v>0</v>
      </c>
      <c r="K314" s="83" t="b">
        <v>0</v>
      </c>
      <c r="L314" s="83" t="b">
        <v>0</v>
      </c>
    </row>
    <row r="315" spans="1:12" ht="15">
      <c r="A315" s="84" t="s">
        <v>2044</v>
      </c>
      <c r="B315" s="83" t="s">
        <v>2045</v>
      </c>
      <c r="C315" s="83">
        <v>2</v>
      </c>
      <c r="D315" s="110">
        <v>0.0012314030084370953</v>
      </c>
      <c r="E315" s="110">
        <v>3.269629674357553</v>
      </c>
      <c r="F315" s="83" t="s">
        <v>2059</v>
      </c>
      <c r="G315" s="83" t="b">
        <v>0</v>
      </c>
      <c r="H315" s="83" t="b">
        <v>0</v>
      </c>
      <c r="I315" s="83" t="b">
        <v>0</v>
      </c>
      <c r="J315" s="83" t="b">
        <v>0</v>
      </c>
      <c r="K315" s="83" t="b">
        <v>0</v>
      </c>
      <c r="L315" s="83" t="b">
        <v>0</v>
      </c>
    </row>
    <row r="316" spans="1:12" ht="15">
      <c r="A316" s="84" t="s">
        <v>2045</v>
      </c>
      <c r="B316" s="83" t="s">
        <v>1558</v>
      </c>
      <c r="C316" s="83">
        <v>2</v>
      </c>
      <c r="D316" s="110">
        <v>0.0012314030084370953</v>
      </c>
      <c r="E316" s="110">
        <v>2.871689665685515</v>
      </c>
      <c r="F316" s="83" t="s">
        <v>2059</v>
      </c>
      <c r="G316" s="83" t="b">
        <v>0</v>
      </c>
      <c r="H316" s="83" t="b">
        <v>0</v>
      </c>
      <c r="I316" s="83" t="b">
        <v>0</v>
      </c>
      <c r="J316" s="83" t="b">
        <v>0</v>
      </c>
      <c r="K316" s="83" t="b">
        <v>0</v>
      </c>
      <c r="L316" s="83" t="b">
        <v>0</v>
      </c>
    </row>
    <row r="317" spans="1:12" ht="15">
      <c r="A317" s="84" t="s">
        <v>1345</v>
      </c>
      <c r="B317" s="83" t="s">
        <v>2046</v>
      </c>
      <c r="C317" s="83">
        <v>2</v>
      </c>
      <c r="D317" s="110">
        <v>0.0012314030084370953</v>
      </c>
      <c r="E317" s="110">
        <v>3.0935384153018717</v>
      </c>
      <c r="F317" s="83" t="s">
        <v>2059</v>
      </c>
      <c r="G317" s="83" t="b">
        <v>0</v>
      </c>
      <c r="H317" s="83" t="b">
        <v>0</v>
      </c>
      <c r="I317" s="83" t="b">
        <v>0</v>
      </c>
      <c r="J317" s="83" t="b">
        <v>0</v>
      </c>
      <c r="K317" s="83" t="b">
        <v>0</v>
      </c>
      <c r="L317" s="83" t="b">
        <v>0</v>
      </c>
    </row>
    <row r="318" spans="1:12" ht="15">
      <c r="A318" s="84" t="s">
        <v>2046</v>
      </c>
      <c r="B318" s="83" t="s">
        <v>2047</v>
      </c>
      <c r="C318" s="83">
        <v>2</v>
      </c>
      <c r="D318" s="110">
        <v>0.0012314030084370953</v>
      </c>
      <c r="E318" s="110">
        <v>3.269629674357553</v>
      </c>
      <c r="F318" s="83" t="s">
        <v>2059</v>
      </c>
      <c r="G318" s="83" t="b">
        <v>0</v>
      </c>
      <c r="H318" s="83" t="b">
        <v>0</v>
      </c>
      <c r="I318" s="83" t="b">
        <v>0</v>
      </c>
      <c r="J318" s="83" t="b">
        <v>0</v>
      </c>
      <c r="K318" s="83" t="b">
        <v>0</v>
      </c>
      <c r="L318" s="83" t="b">
        <v>0</v>
      </c>
    </row>
    <row r="319" spans="1:12" ht="15">
      <c r="A319" s="84" t="s">
        <v>2047</v>
      </c>
      <c r="B319" s="83" t="s">
        <v>2048</v>
      </c>
      <c r="C319" s="83">
        <v>2</v>
      </c>
      <c r="D319" s="110">
        <v>0.0012314030084370953</v>
      </c>
      <c r="E319" s="110">
        <v>3.269629674357553</v>
      </c>
      <c r="F319" s="83" t="s">
        <v>2059</v>
      </c>
      <c r="G319" s="83" t="b">
        <v>0</v>
      </c>
      <c r="H319" s="83" t="b">
        <v>0</v>
      </c>
      <c r="I319" s="83" t="b">
        <v>0</v>
      </c>
      <c r="J319" s="83" t="b">
        <v>0</v>
      </c>
      <c r="K319" s="83" t="b">
        <v>0</v>
      </c>
      <c r="L319" s="83" t="b">
        <v>0</v>
      </c>
    </row>
    <row r="320" spans="1:12" ht="15">
      <c r="A320" s="84" t="s">
        <v>2048</v>
      </c>
      <c r="B320" s="83" t="s">
        <v>1761</v>
      </c>
      <c r="C320" s="83">
        <v>2</v>
      </c>
      <c r="D320" s="110">
        <v>0.0012314030084370953</v>
      </c>
      <c r="E320" s="110">
        <v>3.0935384153018717</v>
      </c>
      <c r="F320" s="83" t="s">
        <v>2059</v>
      </c>
      <c r="G320" s="83" t="b">
        <v>0</v>
      </c>
      <c r="H320" s="83" t="b">
        <v>0</v>
      </c>
      <c r="I320" s="83" t="b">
        <v>0</v>
      </c>
      <c r="J320" s="83" t="b">
        <v>0</v>
      </c>
      <c r="K320" s="83" t="b">
        <v>0</v>
      </c>
      <c r="L320" s="83" t="b">
        <v>0</v>
      </c>
    </row>
    <row r="321" spans="1:12" ht="15">
      <c r="A321" s="84" t="s">
        <v>1761</v>
      </c>
      <c r="B321" s="83" t="s">
        <v>1428</v>
      </c>
      <c r="C321" s="83">
        <v>2</v>
      </c>
      <c r="D321" s="110">
        <v>0.0012314030084370953</v>
      </c>
      <c r="E321" s="110">
        <v>1.3338705706122411</v>
      </c>
      <c r="F321" s="83" t="s">
        <v>2059</v>
      </c>
      <c r="G321" s="83" t="b">
        <v>0</v>
      </c>
      <c r="H321" s="83" t="b">
        <v>0</v>
      </c>
      <c r="I321" s="83" t="b">
        <v>0</v>
      </c>
      <c r="J321" s="83" t="b">
        <v>0</v>
      </c>
      <c r="K321" s="83" t="b">
        <v>0</v>
      </c>
      <c r="L321" s="83" t="b">
        <v>0</v>
      </c>
    </row>
    <row r="322" spans="1:12" ht="15">
      <c r="A322" s="84" t="s">
        <v>2049</v>
      </c>
      <c r="B322" s="83" t="s">
        <v>1481</v>
      </c>
      <c r="C322" s="83">
        <v>2</v>
      </c>
      <c r="D322" s="110">
        <v>0.0012314030084370953</v>
      </c>
      <c r="E322" s="110">
        <v>2.5706596700215343</v>
      </c>
      <c r="F322" s="83" t="s">
        <v>2059</v>
      </c>
      <c r="G322" s="83" t="b">
        <v>0</v>
      </c>
      <c r="H322" s="83" t="b">
        <v>0</v>
      </c>
      <c r="I322" s="83" t="b">
        <v>0</v>
      </c>
      <c r="J322" s="83" t="b">
        <v>0</v>
      </c>
      <c r="K322" s="83" t="b">
        <v>0</v>
      </c>
      <c r="L322" s="83" t="b">
        <v>0</v>
      </c>
    </row>
    <row r="323" spans="1:12" ht="15">
      <c r="A323" s="84" t="s">
        <v>1481</v>
      </c>
      <c r="B323" s="83" t="s">
        <v>1670</v>
      </c>
      <c r="C323" s="83">
        <v>2</v>
      </c>
      <c r="D323" s="110">
        <v>0.0012314030084370953</v>
      </c>
      <c r="E323" s="110">
        <v>2.394568410965853</v>
      </c>
      <c r="F323" s="83" t="s">
        <v>2059</v>
      </c>
      <c r="G323" s="83" t="b">
        <v>0</v>
      </c>
      <c r="H323" s="83" t="b">
        <v>0</v>
      </c>
      <c r="I323" s="83" t="b">
        <v>0</v>
      </c>
      <c r="J323" s="83" t="b">
        <v>0</v>
      </c>
      <c r="K323" s="83" t="b">
        <v>0</v>
      </c>
      <c r="L323" s="83" t="b">
        <v>0</v>
      </c>
    </row>
    <row r="324" spans="1:12" ht="15">
      <c r="A324" s="84" t="s">
        <v>1670</v>
      </c>
      <c r="B324" s="83" t="s">
        <v>2050</v>
      </c>
      <c r="C324" s="83">
        <v>2</v>
      </c>
      <c r="D324" s="110">
        <v>0.0012314030084370953</v>
      </c>
      <c r="E324" s="110">
        <v>3.0935384153018717</v>
      </c>
      <c r="F324" s="83" t="s">
        <v>2059</v>
      </c>
      <c r="G324" s="83" t="b">
        <v>0</v>
      </c>
      <c r="H324" s="83" t="b">
        <v>0</v>
      </c>
      <c r="I324" s="83" t="b">
        <v>0</v>
      </c>
      <c r="J324" s="83" t="b">
        <v>0</v>
      </c>
      <c r="K324" s="83" t="b">
        <v>0</v>
      </c>
      <c r="L324" s="83" t="b">
        <v>0</v>
      </c>
    </row>
    <row r="325" spans="1:12" ht="15">
      <c r="A325" s="84" t="s">
        <v>2050</v>
      </c>
      <c r="B325" s="83" t="s">
        <v>2051</v>
      </c>
      <c r="C325" s="83">
        <v>2</v>
      </c>
      <c r="D325" s="110">
        <v>0.0012314030084370953</v>
      </c>
      <c r="E325" s="110">
        <v>3.269629674357553</v>
      </c>
      <c r="F325" s="83" t="s">
        <v>2059</v>
      </c>
      <c r="G325" s="83" t="b">
        <v>0</v>
      </c>
      <c r="H325" s="83" t="b">
        <v>0</v>
      </c>
      <c r="I325" s="83" t="b">
        <v>0</v>
      </c>
      <c r="J325" s="83" t="b">
        <v>0</v>
      </c>
      <c r="K325" s="83" t="b">
        <v>0</v>
      </c>
      <c r="L325" s="83" t="b">
        <v>0</v>
      </c>
    </row>
    <row r="326" spans="1:12" ht="15">
      <c r="A326" s="84" t="s">
        <v>2051</v>
      </c>
      <c r="B326" s="83" t="s">
        <v>1544</v>
      </c>
      <c r="C326" s="83">
        <v>2</v>
      </c>
      <c r="D326" s="110">
        <v>0.0012314030084370953</v>
      </c>
      <c r="E326" s="110">
        <v>2.7925084196378904</v>
      </c>
      <c r="F326" s="83" t="s">
        <v>2059</v>
      </c>
      <c r="G326" s="83" t="b">
        <v>0</v>
      </c>
      <c r="H326" s="83" t="b">
        <v>0</v>
      </c>
      <c r="I326" s="83" t="b">
        <v>0</v>
      </c>
      <c r="J326" s="83" t="b">
        <v>0</v>
      </c>
      <c r="K326" s="83" t="b">
        <v>0</v>
      </c>
      <c r="L326" s="83" t="b">
        <v>0</v>
      </c>
    </row>
    <row r="327" spans="1:12" ht="15">
      <c r="A327" s="84" t="s">
        <v>1507</v>
      </c>
      <c r="B327" s="83" t="s">
        <v>1429</v>
      </c>
      <c r="C327" s="83">
        <v>2</v>
      </c>
      <c r="D327" s="110">
        <v>0.0012314030084370953</v>
      </c>
      <c r="E327" s="110">
        <v>1.2051716851306344</v>
      </c>
      <c r="F327" s="83" t="s">
        <v>2059</v>
      </c>
      <c r="G327" s="83" t="b">
        <v>0</v>
      </c>
      <c r="H327" s="83" t="b">
        <v>0</v>
      </c>
      <c r="I327" s="83" t="b">
        <v>0</v>
      </c>
      <c r="J327" s="83" t="b">
        <v>0</v>
      </c>
      <c r="K327" s="83" t="b">
        <v>0</v>
      </c>
      <c r="L327" s="83" t="b">
        <v>0</v>
      </c>
    </row>
    <row r="328" spans="1:12" ht="15">
      <c r="A328" s="84" t="s">
        <v>1436</v>
      </c>
      <c r="B328" s="83" t="s">
        <v>1611</v>
      </c>
      <c r="C328" s="83">
        <v>2</v>
      </c>
      <c r="D328" s="110">
        <v>0.0012314030084370953</v>
      </c>
      <c r="E328" s="110">
        <v>1.8224716430153336</v>
      </c>
      <c r="F328" s="83" t="s">
        <v>2059</v>
      </c>
      <c r="G328" s="83" t="b">
        <v>0</v>
      </c>
      <c r="H328" s="83" t="b">
        <v>0</v>
      </c>
      <c r="I328" s="83" t="b">
        <v>0</v>
      </c>
      <c r="J328" s="83" t="b">
        <v>0</v>
      </c>
      <c r="K328" s="83" t="b">
        <v>0</v>
      </c>
      <c r="L328" s="83" t="b">
        <v>0</v>
      </c>
    </row>
    <row r="329" spans="1:12" ht="15">
      <c r="A329" s="84" t="s">
        <v>1433</v>
      </c>
      <c r="B329" s="83" t="s">
        <v>1435</v>
      </c>
      <c r="C329" s="83">
        <v>11</v>
      </c>
      <c r="D329" s="110">
        <v>0.005948099695875075</v>
      </c>
      <c r="E329" s="110">
        <v>1.640848558953068</v>
      </c>
      <c r="F329" s="83" t="s">
        <v>1378</v>
      </c>
      <c r="G329" s="83" t="b">
        <v>0</v>
      </c>
      <c r="H329" s="83" t="b">
        <v>0</v>
      </c>
      <c r="I329" s="83" t="b">
        <v>0</v>
      </c>
      <c r="J329" s="83" t="b">
        <v>0</v>
      </c>
      <c r="K329" s="83" t="b">
        <v>0</v>
      </c>
      <c r="L329" s="83" t="b">
        <v>0</v>
      </c>
    </row>
    <row r="330" spans="1:12" ht="15">
      <c r="A330" s="84" t="s">
        <v>1460</v>
      </c>
      <c r="B330" s="83" t="s">
        <v>1451</v>
      </c>
      <c r="C330" s="83">
        <v>8</v>
      </c>
      <c r="D330" s="110">
        <v>0.006126434515082353</v>
      </c>
      <c r="E330" s="110">
        <v>2.1239110073101353</v>
      </c>
      <c r="F330" s="83" t="s">
        <v>1378</v>
      </c>
      <c r="G330" s="83" t="b">
        <v>0</v>
      </c>
      <c r="H330" s="83" t="b">
        <v>0</v>
      </c>
      <c r="I330" s="83" t="b">
        <v>0</v>
      </c>
      <c r="J330" s="83" t="b">
        <v>0</v>
      </c>
      <c r="K330" s="83" t="b">
        <v>0</v>
      </c>
      <c r="L330" s="83" t="b">
        <v>0</v>
      </c>
    </row>
    <row r="331" spans="1:12" ht="15">
      <c r="A331" s="84" t="s">
        <v>1431</v>
      </c>
      <c r="B331" s="83" t="s">
        <v>1442</v>
      </c>
      <c r="C331" s="83">
        <v>7</v>
      </c>
      <c r="D331" s="110">
        <v>0.005013104539295217</v>
      </c>
      <c r="E331" s="110">
        <v>1.5462103618416179</v>
      </c>
      <c r="F331" s="83" t="s">
        <v>1378</v>
      </c>
      <c r="G331" s="83" t="b">
        <v>0</v>
      </c>
      <c r="H331" s="83" t="b">
        <v>0</v>
      </c>
      <c r="I331" s="83" t="b">
        <v>0</v>
      </c>
      <c r="J331" s="83" t="b">
        <v>0</v>
      </c>
      <c r="K331" s="83" t="b">
        <v>0</v>
      </c>
      <c r="L331" s="83" t="b">
        <v>0</v>
      </c>
    </row>
    <row r="332" spans="1:12" ht="15">
      <c r="A332" s="84" t="s">
        <v>1504</v>
      </c>
      <c r="B332" s="83" t="s">
        <v>1446</v>
      </c>
      <c r="C332" s="83">
        <v>6</v>
      </c>
      <c r="D332" s="110">
        <v>0.004978858888181539</v>
      </c>
      <c r="E332" s="110">
        <v>2.183032459428792</v>
      </c>
      <c r="F332" s="83" t="s">
        <v>1378</v>
      </c>
      <c r="G332" s="83" t="b">
        <v>0</v>
      </c>
      <c r="H332" s="83" t="b">
        <v>0</v>
      </c>
      <c r="I332" s="83" t="b">
        <v>0</v>
      </c>
      <c r="J332" s="83" t="b">
        <v>0</v>
      </c>
      <c r="K332" s="83" t="b">
        <v>0</v>
      </c>
      <c r="L332" s="83" t="b">
        <v>0</v>
      </c>
    </row>
    <row r="333" spans="1:12" ht="15">
      <c r="A333" s="84" t="s">
        <v>1479</v>
      </c>
      <c r="B333" s="83" t="s">
        <v>1446</v>
      </c>
      <c r="C333" s="83">
        <v>6</v>
      </c>
      <c r="D333" s="110">
        <v>0.004978858888181539</v>
      </c>
      <c r="E333" s="110">
        <v>2.183032459428792</v>
      </c>
      <c r="F333" s="83" t="s">
        <v>1378</v>
      </c>
      <c r="G333" s="83" t="b">
        <v>0</v>
      </c>
      <c r="H333" s="83" t="b">
        <v>0</v>
      </c>
      <c r="I333" s="83" t="b">
        <v>0</v>
      </c>
      <c r="J333" s="83" t="b">
        <v>0</v>
      </c>
      <c r="K333" s="83" t="b">
        <v>0</v>
      </c>
      <c r="L333" s="83" t="b">
        <v>0</v>
      </c>
    </row>
    <row r="334" spans="1:12" ht="15">
      <c r="A334" s="84" t="s">
        <v>1446</v>
      </c>
      <c r="B334" s="83" t="s">
        <v>1480</v>
      </c>
      <c r="C334" s="83">
        <v>6</v>
      </c>
      <c r="D334" s="110">
        <v>0.004978858888181539</v>
      </c>
      <c r="E334" s="110">
        <v>2.183032459428792</v>
      </c>
      <c r="F334" s="83" t="s">
        <v>1378</v>
      </c>
      <c r="G334" s="83" t="b">
        <v>0</v>
      </c>
      <c r="H334" s="83" t="b">
        <v>0</v>
      </c>
      <c r="I334" s="83" t="b">
        <v>0</v>
      </c>
      <c r="J334" s="83" t="b">
        <v>0</v>
      </c>
      <c r="K334" s="83" t="b">
        <v>0</v>
      </c>
      <c r="L334" s="83" t="b">
        <v>0</v>
      </c>
    </row>
    <row r="335" spans="1:12" ht="15">
      <c r="A335" s="84" t="s">
        <v>1502</v>
      </c>
      <c r="B335" s="83" t="s">
        <v>1536</v>
      </c>
      <c r="C335" s="83">
        <v>6</v>
      </c>
      <c r="D335" s="110">
        <v>0.004053561770361924</v>
      </c>
      <c r="E335" s="110">
        <v>2.3591237184844736</v>
      </c>
      <c r="F335" s="83" t="s">
        <v>1378</v>
      </c>
      <c r="G335" s="83" t="b">
        <v>0</v>
      </c>
      <c r="H335" s="83" t="b">
        <v>0</v>
      </c>
      <c r="I335" s="83" t="b">
        <v>0</v>
      </c>
      <c r="J335" s="83" t="b">
        <v>0</v>
      </c>
      <c r="K335" s="83" t="b">
        <v>0</v>
      </c>
      <c r="L335" s="83" t="b">
        <v>0</v>
      </c>
    </row>
    <row r="336" spans="1:12" ht="15">
      <c r="A336" s="84" t="s">
        <v>1455</v>
      </c>
      <c r="B336" s="83" t="s">
        <v>1431</v>
      </c>
      <c r="C336" s="83">
        <v>5</v>
      </c>
      <c r="D336" s="110">
        <v>0.00382902157192647</v>
      </c>
      <c r="E336" s="110">
        <v>1.5140256784702166</v>
      </c>
      <c r="F336" s="83" t="s">
        <v>1378</v>
      </c>
      <c r="G336" s="83" t="b">
        <v>0</v>
      </c>
      <c r="H336" s="83" t="b">
        <v>0</v>
      </c>
      <c r="I336" s="83" t="b">
        <v>0</v>
      </c>
      <c r="J336" s="83" t="b">
        <v>0</v>
      </c>
      <c r="K336" s="83" t="b">
        <v>0</v>
      </c>
      <c r="L336" s="83" t="b">
        <v>0</v>
      </c>
    </row>
    <row r="337" spans="1:12" ht="15">
      <c r="A337" s="84" t="s">
        <v>1430</v>
      </c>
      <c r="B337" s="83" t="s">
        <v>1521</v>
      </c>
      <c r="C337" s="83">
        <v>5</v>
      </c>
      <c r="D337" s="110">
        <v>0.00382902157192647</v>
      </c>
      <c r="E337" s="110">
        <v>1.5140256784702166</v>
      </c>
      <c r="F337" s="83" t="s">
        <v>1378</v>
      </c>
      <c r="G337" s="83" t="b">
        <v>0</v>
      </c>
      <c r="H337" s="83" t="b">
        <v>0</v>
      </c>
      <c r="I337" s="83" t="b">
        <v>0</v>
      </c>
      <c r="J337" s="83" t="b">
        <v>0</v>
      </c>
      <c r="K337" s="83" t="b">
        <v>0</v>
      </c>
      <c r="L337" s="83" t="b">
        <v>0</v>
      </c>
    </row>
    <row r="338" spans="1:12" ht="15">
      <c r="A338" s="84" t="s">
        <v>1485</v>
      </c>
      <c r="B338" s="83" t="s">
        <v>1435</v>
      </c>
      <c r="C338" s="83">
        <v>5</v>
      </c>
      <c r="D338" s="110">
        <v>0.0035807889566394405</v>
      </c>
      <c r="E338" s="110">
        <v>1.9611837098124356</v>
      </c>
      <c r="F338" s="83" t="s">
        <v>1378</v>
      </c>
      <c r="G338" s="83" t="b">
        <v>0</v>
      </c>
      <c r="H338" s="83" t="b">
        <v>0</v>
      </c>
      <c r="I338" s="83" t="b">
        <v>0</v>
      </c>
      <c r="J338" s="83" t="b">
        <v>0</v>
      </c>
      <c r="K338" s="83" t="b">
        <v>0</v>
      </c>
      <c r="L338" s="83" t="b">
        <v>0</v>
      </c>
    </row>
    <row r="339" spans="1:12" ht="15">
      <c r="A339" s="84" t="s">
        <v>1441</v>
      </c>
      <c r="B339" s="83" t="s">
        <v>1488</v>
      </c>
      <c r="C339" s="83">
        <v>5</v>
      </c>
      <c r="D339" s="110">
        <v>0.004149049073484615</v>
      </c>
      <c r="E339" s="110">
        <v>2.220821020318192</v>
      </c>
      <c r="F339" s="83" t="s">
        <v>1378</v>
      </c>
      <c r="G339" s="83" t="b">
        <v>0</v>
      </c>
      <c r="H339" s="83" t="b">
        <v>0</v>
      </c>
      <c r="I339" s="83" t="b">
        <v>0</v>
      </c>
      <c r="J339" s="83" t="b">
        <v>0</v>
      </c>
      <c r="K339" s="83" t="b">
        <v>0</v>
      </c>
      <c r="L339" s="83" t="b">
        <v>0</v>
      </c>
    </row>
    <row r="340" spans="1:12" ht="15">
      <c r="A340" s="84" t="s">
        <v>1446</v>
      </c>
      <c r="B340" s="83" t="s">
        <v>1428</v>
      </c>
      <c r="C340" s="83">
        <v>4</v>
      </c>
      <c r="D340" s="110">
        <v>0.003680082002754253</v>
      </c>
      <c r="E340" s="110">
        <v>0.9655485152148856</v>
      </c>
      <c r="F340" s="83" t="s">
        <v>1378</v>
      </c>
      <c r="G340" s="83" t="b">
        <v>0</v>
      </c>
      <c r="H340" s="83" t="b">
        <v>0</v>
      </c>
      <c r="I340" s="83" t="b">
        <v>0</v>
      </c>
      <c r="J340" s="83" t="b">
        <v>0</v>
      </c>
      <c r="K340" s="83" t="b">
        <v>0</v>
      </c>
      <c r="L340" s="83" t="b">
        <v>0</v>
      </c>
    </row>
    <row r="341" spans="1:12" ht="15">
      <c r="A341" s="84" t="s">
        <v>1428</v>
      </c>
      <c r="B341" s="83" t="s">
        <v>1577</v>
      </c>
      <c r="C341" s="83">
        <v>4</v>
      </c>
      <c r="D341" s="110">
        <v>0.003680082002754253</v>
      </c>
      <c r="E341" s="110">
        <v>1.3591237184844733</v>
      </c>
      <c r="F341" s="83" t="s">
        <v>1378</v>
      </c>
      <c r="G341" s="83" t="b">
        <v>0</v>
      </c>
      <c r="H341" s="83" t="b">
        <v>0</v>
      </c>
      <c r="I341" s="83" t="b">
        <v>0</v>
      </c>
      <c r="J341" s="83" t="b">
        <v>0</v>
      </c>
      <c r="K341" s="83" t="b">
        <v>0</v>
      </c>
      <c r="L341" s="83" t="b">
        <v>0</v>
      </c>
    </row>
    <row r="342" spans="1:12" ht="15">
      <c r="A342" s="84" t="s">
        <v>1458</v>
      </c>
      <c r="B342" s="83" t="s">
        <v>1450</v>
      </c>
      <c r="C342" s="83">
        <v>4</v>
      </c>
      <c r="D342" s="110">
        <v>0.0030632172575411763</v>
      </c>
      <c r="E342" s="110">
        <v>2.1318799369814108</v>
      </c>
      <c r="F342" s="83" t="s">
        <v>1378</v>
      </c>
      <c r="G342" s="83" t="b">
        <v>1</v>
      </c>
      <c r="H342" s="83" t="b">
        <v>0</v>
      </c>
      <c r="I342" s="83" t="b">
        <v>0</v>
      </c>
      <c r="J342" s="83" t="b">
        <v>0</v>
      </c>
      <c r="K342" s="83" t="b">
        <v>0</v>
      </c>
      <c r="L342" s="83" t="b">
        <v>0</v>
      </c>
    </row>
    <row r="343" spans="1:12" ht="15">
      <c r="A343" s="84" t="s">
        <v>1455</v>
      </c>
      <c r="B343" s="83" t="s">
        <v>1508</v>
      </c>
      <c r="C343" s="83">
        <v>4</v>
      </c>
      <c r="D343" s="110">
        <v>0.003680082002754253</v>
      </c>
      <c r="E343" s="110">
        <v>2.1653036924683606</v>
      </c>
      <c r="F343" s="83" t="s">
        <v>1378</v>
      </c>
      <c r="G343" s="83" t="b">
        <v>0</v>
      </c>
      <c r="H343" s="83" t="b">
        <v>0</v>
      </c>
      <c r="I343" s="83" t="b">
        <v>0</v>
      </c>
      <c r="J343" s="83" t="b">
        <v>0</v>
      </c>
      <c r="K343" s="83" t="b">
        <v>0</v>
      </c>
      <c r="L343" s="83" t="b">
        <v>0</v>
      </c>
    </row>
    <row r="344" spans="1:12" ht="15">
      <c r="A344" s="84" t="s">
        <v>1480</v>
      </c>
      <c r="B344" s="83" t="s">
        <v>1538</v>
      </c>
      <c r="C344" s="83">
        <v>4</v>
      </c>
      <c r="D344" s="110">
        <v>0.003680082002754253</v>
      </c>
      <c r="E344" s="110">
        <v>2.4840624550927735</v>
      </c>
      <c r="F344" s="83" t="s">
        <v>1378</v>
      </c>
      <c r="G344" s="83" t="b">
        <v>0</v>
      </c>
      <c r="H344" s="83" t="b">
        <v>0</v>
      </c>
      <c r="I344" s="83" t="b">
        <v>0</v>
      </c>
      <c r="J344" s="83" t="b">
        <v>0</v>
      </c>
      <c r="K344" s="83" t="b">
        <v>0</v>
      </c>
      <c r="L344" s="83" t="b">
        <v>0</v>
      </c>
    </row>
    <row r="345" spans="1:12" ht="15">
      <c r="A345" s="84" t="s">
        <v>1444</v>
      </c>
      <c r="B345" s="83" t="s">
        <v>1453</v>
      </c>
      <c r="C345" s="83">
        <v>4</v>
      </c>
      <c r="D345" s="110">
        <v>0.003680082002754253</v>
      </c>
      <c r="E345" s="110">
        <v>2.41711566546216</v>
      </c>
      <c r="F345" s="83" t="s">
        <v>1378</v>
      </c>
      <c r="G345" s="83" t="b">
        <v>0</v>
      </c>
      <c r="H345" s="83" t="b">
        <v>0</v>
      </c>
      <c r="I345" s="83" t="b">
        <v>0</v>
      </c>
      <c r="J345" s="83" t="b">
        <v>0</v>
      </c>
      <c r="K345" s="83" t="b">
        <v>0</v>
      </c>
      <c r="L345" s="83" t="b">
        <v>0</v>
      </c>
    </row>
    <row r="346" spans="1:12" ht="15">
      <c r="A346" s="84" t="s">
        <v>1578</v>
      </c>
      <c r="B346" s="83" t="s">
        <v>1432</v>
      </c>
      <c r="C346" s="83">
        <v>4</v>
      </c>
      <c r="D346" s="110">
        <v>0.003680082002754253</v>
      </c>
      <c r="E346" s="110">
        <v>1.8865500915155313</v>
      </c>
      <c r="F346" s="83" t="s">
        <v>1378</v>
      </c>
      <c r="G346" s="83" t="b">
        <v>0</v>
      </c>
      <c r="H346" s="83" t="b">
        <v>0</v>
      </c>
      <c r="I346" s="83" t="b">
        <v>0</v>
      </c>
      <c r="J346" s="83" t="b">
        <v>0</v>
      </c>
      <c r="K346" s="83" t="b">
        <v>0</v>
      </c>
      <c r="L346" s="83" t="b">
        <v>0</v>
      </c>
    </row>
    <row r="347" spans="1:12" ht="15">
      <c r="A347" s="84" t="s">
        <v>1430</v>
      </c>
      <c r="B347" s="83" t="s">
        <v>1429</v>
      </c>
      <c r="C347" s="83">
        <v>3</v>
      </c>
      <c r="D347" s="110">
        <v>0.0024894294440907694</v>
      </c>
      <c r="E347" s="110">
        <v>0.5352149775401546</v>
      </c>
      <c r="F347" s="83" t="s">
        <v>1378</v>
      </c>
      <c r="G347" s="83" t="b">
        <v>0</v>
      </c>
      <c r="H347" s="83" t="b">
        <v>0</v>
      </c>
      <c r="I347" s="83" t="b">
        <v>0</v>
      </c>
      <c r="J347" s="83" t="b">
        <v>0</v>
      </c>
      <c r="K347" s="83" t="b">
        <v>0</v>
      </c>
      <c r="L347" s="83" t="b">
        <v>0</v>
      </c>
    </row>
    <row r="348" spans="1:12" ht="15">
      <c r="A348" s="84" t="s">
        <v>1755</v>
      </c>
      <c r="B348" s="83" t="s">
        <v>1458</v>
      </c>
      <c r="C348" s="83">
        <v>3</v>
      </c>
      <c r="D348" s="110">
        <v>0.0024894294440907694</v>
      </c>
      <c r="E348" s="110">
        <v>2.3591237184844736</v>
      </c>
      <c r="F348" s="83" t="s">
        <v>1378</v>
      </c>
      <c r="G348" s="83" t="b">
        <v>0</v>
      </c>
      <c r="H348" s="83" t="b">
        <v>0</v>
      </c>
      <c r="I348" s="83" t="b">
        <v>0</v>
      </c>
      <c r="J348" s="83" t="b">
        <v>1</v>
      </c>
      <c r="K348" s="83" t="b">
        <v>0</v>
      </c>
      <c r="L348" s="83" t="b">
        <v>0</v>
      </c>
    </row>
    <row r="349" spans="1:12" ht="15">
      <c r="A349" s="84" t="s">
        <v>1440</v>
      </c>
      <c r="B349" s="83" t="s">
        <v>1430</v>
      </c>
      <c r="C349" s="83">
        <v>3</v>
      </c>
      <c r="D349" s="110">
        <v>0.0027600615020656892</v>
      </c>
      <c r="E349" s="110">
        <v>1.036904423750554</v>
      </c>
      <c r="F349" s="83" t="s">
        <v>1378</v>
      </c>
      <c r="G349" s="83" t="b">
        <v>1</v>
      </c>
      <c r="H349" s="83" t="b">
        <v>0</v>
      </c>
      <c r="I349" s="83" t="b">
        <v>0</v>
      </c>
      <c r="J349" s="83" t="b">
        <v>0</v>
      </c>
      <c r="K349" s="83" t="b">
        <v>0</v>
      </c>
      <c r="L349" s="83" t="b">
        <v>0</v>
      </c>
    </row>
    <row r="350" spans="1:12" ht="15">
      <c r="A350" s="84" t="s">
        <v>1435</v>
      </c>
      <c r="B350" s="83" t="s">
        <v>1557</v>
      </c>
      <c r="C350" s="83">
        <v>3</v>
      </c>
      <c r="D350" s="110">
        <v>0.0024894294440907694</v>
      </c>
      <c r="E350" s="110">
        <v>1.6786371198424677</v>
      </c>
      <c r="F350" s="83" t="s">
        <v>1378</v>
      </c>
      <c r="G350" s="83" t="b">
        <v>0</v>
      </c>
      <c r="H350" s="83" t="b">
        <v>0</v>
      </c>
      <c r="I350" s="83" t="b">
        <v>0</v>
      </c>
      <c r="J350" s="83" t="b">
        <v>0</v>
      </c>
      <c r="K350" s="83" t="b">
        <v>0</v>
      </c>
      <c r="L350" s="83" t="b">
        <v>0</v>
      </c>
    </row>
    <row r="351" spans="1:12" ht="15">
      <c r="A351" s="84" t="s">
        <v>1463</v>
      </c>
      <c r="B351" s="83" t="s">
        <v>1547</v>
      </c>
      <c r="C351" s="83">
        <v>3</v>
      </c>
      <c r="D351" s="110">
        <v>0.0024894294440907694</v>
      </c>
      <c r="E351" s="110">
        <v>2.307971196037092</v>
      </c>
      <c r="F351" s="83" t="s">
        <v>1378</v>
      </c>
      <c r="G351" s="83" t="b">
        <v>0</v>
      </c>
      <c r="H351" s="83" t="b">
        <v>0</v>
      </c>
      <c r="I351" s="83" t="b">
        <v>0</v>
      </c>
      <c r="J351" s="83" t="b">
        <v>0</v>
      </c>
      <c r="K351" s="83" t="b">
        <v>0</v>
      </c>
      <c r="L351" s="83" t="b">
        <v>0</v>
      </c>
    </row>
    <row r="352" spans="1:12" ht="15">
      <c r="A352" s="84" t="s">
        <v>1735</v>
      </c>
      <c r="B352" s="83" t="s">
        <v>1736</v>
      </c>
      <c r="C352" s="83">
        <v>3</v>
      </c>
      <c r="D352" s="110">
        <v>0.0024894294440907694</v>
      </c>
      <c r="E352" s="110">
        <v>2.7850924507567543</v>
      </c>
      <c r="F352" s="83" t="s">
        <v>1378</v>
      </c>
      <c r="G352" s="83" t="b">
        <v>0</v>
      </c>
      <c r="H352" s="83" t="b">
        <v>0</v>
      </c>
      <c r="I352" s="83" t="b">
        <v>0</v>
      </c>
      <c r="J352" s="83" t="b">
        <v>0</v>
      </c>
      <c r="K352" s="83" t="b">
        <v>0</v>
      </c>
      <c r="L352" s="83" t="b">
        <v>0</v>
      </c>
    </row>
    <row r="353" spans="1:12" ht="15">
      <c r="A353" s="84" t="s">
        <v>1736</v>
      </c>
      <c r="B353" s="83" t="s">
        <v>1737</v>
      </c>
      <c r="C353" s="83">
        <v>3</v>
      </c>
      <c r="D353" s="110">
        <v>0.0024894294440907694</v>
      </c>
      <c r="E353" s="110">
        <v>2.7850924507567543</v>
      </c>
      <c r="F353" s="83" t="s">
        <v>1378</v>
      </c>
      <c r="G353" s="83" t="b">
        <v>0</v>
      </c>
      <c r="H353" s="83" t="b">
        <v>0</v>
      </c>
      <c r="I353" s="83" t="b">
        <v>0</v>
      </c>
      <c r="J353" s="83" t="b">
        <v>0</v>
      </c>
      <c r="K353" s="83" t="b">
        <v>0</v>
      </c>
      <c r="L353" s="83" t="b">
        <v>0</v>
      </c>
    </row>
    <row r="354" spans="1:12" ht="15">
      <c r="A354" s="84" t="s">
        <v>1457</v>
      </c>
      <c r="B354" s="83" t="s">
        <v>1548</v>
      </c>
      <c r="C354" s="83">
        <v>3</v>
      </c>
      <c r="D354" s="110">
        <v>0.003222710060975496</v>
      </c>
      <c r="E354" s="110">
        <v>2.262213705476417</v>
      </c>
      <c r="F354" s="83" t="s">
        <v>1378</v>
      </c>
      <c r="G354" s="83" t="b">
        <v>0</v>
      </c>
      <c r="H354" s="83" t="b">
        <v>0</v>
      </c>
      <c r="I354" s="83" t="b">
        <v>0</v>
      </c>
      <c r="J354" s="83" t="b">
        <v>0</v>
      </c>
      <c r="K354" s="83" t="b">
        <v>0</v>
      </c>
      <c r="L354" s="83" t="b">
        <v>0</v>
      </c>
    </row>
    <row r="355" spans="1:12" ht="15">
      <c r="A355" s="84" t="s">
        <v>1431</v>
      </c>
      <c r="B355" s="83" t="s">
        <v>1429</v>
      </c>
      <c r="C355" s="83">
        <v>3</v>
      </c>
      <c r="D355" s="110">
        <v>0.0024894294440907694</v>
      </c>
      <c r="E355" s="110">
        <v>0.722301620897299</v>
      </c>
      <c r="F355" s="83" t="s">
        <v>1378</v>
      </c>
      <c r="G355" s="83" t="b">
        <v>0</v>
      </c>
      <c r="H355" s="83" t="b">
        <v>0</v>
      </c>
      <c r="I355" s="83" t="b">
        <v>0</v>
      </c>
      <c r="J355" s="83" t="b">
        <v>0</v>
      </c>
      <c r="K355" s="83" t="b">
        <v>0</v>
      </c>
      <c r="L355" s="83" t="b">
        <v>0</v>
      </c>
    </row>
    <row r="356" spans="1:12" ht="15">
      <c r="A356" s="84" t="s">
        <v>1719</v>
      </c>
      <c r="B356" s="83" t="s">
        <v>1455</v>
      </c>
      <c r="C356" s="83">
        <v>3</v>
      </c>
      <c r="D356" s="110">
        <v>0.003222710060975496</v>
      </c>
      <c r="E356" s="110">
        <v>2.262213705476417</v>
      </c>
      <c r="F356" s="83" t="s">
        <v>1378</v>
      </c>
      <c r="G356" s="83" t="b">
        <v>0</v>
      </c>
      <c r="H356" s="83" t="b">
        <v>0</v>
      </c>
      <c r="I356" s="83" t="b">
        <v>0</v>
      </c>
      <c r="J356" s="83" t="b">
        <v>0</v>
      </c>
      <c r="K356" s="83" t="b">
        <v>0</v>
      </c>
      <c r="L356" s="83" t="b">
        <v>0</v>
      </c>
    </row>
    <row r="357" spans="1:12" ht="15">
      <c r="A357" s="84" t="s">
        <v>1508</v>
      </c>
      <c r="B357" s="83" t="s">
        <v>1539</v>
      </c>
      <c r="C357" s="83">
        <v>3</v>
      </c>
      <c r="D357" s="110">
        <v>0.003222710060975496</v>
      </c>
      <c r="E357" s="110">
        <v>2.438304964532098</v>
      </c>
      <c r="F357" s="83" t="s">
        <v>1378</v>
      </c>
      <c r="G357" s="83" t="b">
        <v>0</v>
      </c>
      <c r="H357" s="83" t="b">
        <v>0</v>
      </c>
      <c r="I357" s="83" t="b">
        <v>0</v>
      </c>
      <c r="J357" s="83" t="b">
        <v>0</v>
      </c>
      <c r="K357" s="83" t="b">
        <v>0</v>
      </c>
      <c r="L357" s="83" t="b">
        <v>0</v>
      </c>
    </row>
    <row r="358" spans="1:12" ht="15">
      <c r="A358" s="84" t="s">
        <v>1539</v>
      </c>
      <c r="B358" s="83" t="s">
        <v>1428</v>
      </c>
      <c r="C358" s="83">
        <v>3</v>
      </c>
      <c r="D358" s="110">
        <v>0.003222710060975496</v>
      </c>
      <c r="E358" s="110">
        <v>1.442669769934548</v>
      </c>
      <c r="F358" s="83" t="s">
        <v>1378</v>
      </c>
      <c r="G358" s="83" t="b">
        <v>0</v>
      </c>
      <c r="H358" s="83" t="b">
        <v>0</v>
      </c>
      <c r="I358" s="83" t="b">
        <v>0</v>
      </c>
      <c r="J358" s="83" t="b">
        <v>0</v>
      </c>
      <c r="K358" s="83" t="b">
        <v>0</v>
      </c>
      <c r="L358" s="83" t="b">
        <v>0</v>
      </c>
    </row>
    <row r="359" spans="1:12" ht="15">
      <c r="A359" s="84" t="s">
        <v>1452</v>
      </c>
      <c r="B359" s="83" t="s">
        <v>1428</v>
      </c>
      <c r="C359" s="83">
        <v>3</v>
      </c>
      <c r="D359" s="110">
        <v>0.0027600615020656892</v>
      </c>
      <c r="E359" s="110">
        <v>0.9655485152148856</v>
      </c>
      <c r="F359" s="83" t="s">
        <v>1378</v>
      </c>
      <c r="G359" s="83" t="b">
        <v>0</v>
      </c>
      <c r="H359" s="83" t="b">
        <v>0</v>
      </c>
      <c r="I359" s="83" t="b">
        <v>0</v>
      </c>
      <c r="J359" s="83" t="b">
        <v>0</v>
      </c>
      <c r="K359" s="83" t="b">
        <v>0</v>
      </c>
      <c r="L359" s="83" t="b">
        <v>0</v>
      </c>
    </row>
    <row r="360" spans="1:12" ht="15">
      <c r="A360" s="84" t="s">
        <v>1430</v>
      </c>
      <c r="B360" s="83" t="s">
        <v>1500</v>
      </c>
      <c r="C360" s="83">
        <v>3</v>
      </c>
      <c r="D360" s="110">
        <v>0.0024894294440907694</v>
      </c>
      <c r="E360" s="110">
        <v>1.3591237184844733</v>
      </c>
      <c r="F360" s="83" t="s">
        <v>1378</v>
      </c>
      <c r="G360" s="83" t="b">
        <v>0</v>
      </c>
      <c r="H360" s="83" t="b">
        <v>0</v>
      </c>
      <c r="I360" s="83" t="b">
        <v>0</v>
      </c>
      <c r="J360" s="83" t="b">
        <v>0</v>
      </c>
      <c r="K360" s="83" t="b">
        <v>0</v>
      </c>
      <c r="L360" s="83" t="b">
        <v>0</v>
      </c>
    </row>
    <row r="361" spans="1:12" ht="15">
      <c r="A361" s="84" t="s">
        <v>1428</v>
      </c>
      <c r="B361" s="83" t="s">
        <v>1430</v>
      </c>
      <c r="C361" s="83">
        <v>3</v>
      </c>
      <c r="D361" s="110">
        <v>0.0024894294440907694</v>
      </c>
      <c r="E361" s="110">
        <v>0.30990569581429167</v>
      </c>
      <c r="F361" s="83" t="s">
        <v>1378</v>
      </c>
      <c r="G361" s="83" t="b">
        <v>0</v>
      </c>
      <c r="H361" s="83" t="b">
        <v>0</v>
      </c>
      <c r="I361" s="83" t="b">
        <v>0</v>
      </c>
      <c r="J361" s="83" t="b">
        <v>0</v>
      </c>
      <c r="K361" s="83" t="b">
        <v>0</v>
      </c>
      <c r="L361" s="83" t="b">
        <v>0</v>
      </c>
    </row>
    <row r="362" spans="1:12" ht="15">
      <c r="A362" s="84" t="s">
        <v>1571</v>
      </c>
      <c r="B362" s="83" t="s">
        <v>1460</v>
      </c>
      <c r="C362" s="83">
        <v>3</v>
      </c>
      <c r="D362" s="110">
        <v>0.003222710060975496</v>
      </c>
      <c r="E362" s="110">
        <v>2.0403649558600607</v>
      </c>
      <c r="F362" s="83" t="s">
        <v>1378</v>
      </c>
      <c r="G362" s="83" t="b">
        <v>0</v>
      </c>
      <c r="H362" s="83" t="b">
        <v>0</v>
      </c>
      <c r="I362" s="83" t="b">
        <v>0</v>
      </c>
      <c r="J362" s="83" t="b">
        <v>0</v>
      </c>
      <c r="K362" s="83" t="b">
        <v>0</v>
      </c>
      <c r="L362" s="83" t="b">
        <v>0</v>
      </c>
    </row>
    <row r="363" spans="1:12" ht="15">
      <c r="A363" s="84" t="s">
        <v>1429</v>
      </c>
      <c r="B363" s="83" t="s">
        <v>1571</v>
      </c>
      <c r="C363" s="83">
        <v>3</v>
      </c>
      <c r="D363" s="110">
        <v>0.0027600615020656892</v>
      </c>
      <c r="E363" s="110">
        <v>1.4493003488335612</v>
      </c>
      <c r="F363" s="83" t="s">
        <v>1378</v>
      </c>
      <c r="G363" s="83" t="b">
        <v>0</v>
      </c>
      <c r="H363" s="83" t="b">
        <v>0</v>
      </c>
      <c r="I363" s="83" t="b">
        <v>0</v>
      </c>
      <c r="J363" s="83" t="b">
        <v>0</v>
      </c>
      <c r="K363" s="83" t="b">
        <v>0</v>
      </c>
      <c r="L363" s="83" t="b">
        <v>0</v>
      </c>
    </row>
    <row r="364" spans="1:12" ht="15">
      <c r="A364" s="84" t="s">
        <v>1428</v>
      </c>
      <c r="B364" s="83" t="s">
        <v>1429</v>
      </c>
      <c r="C364" s="83">
        <v>3</v>
      </c>
      <c r="D364" s="110">
        <v>0.0027600615020656892</v>
      </c>
      <c r="E364" s="110">
        <v>0.3310949948842298</v>
      </c>
      <c r="F364" s="83" t="s">
        <v>1378</v>
      </c>
      <c r="G364" s="83" t="b">
        <v>0</v>
      </c>
      <c r="H364" s="83" t="b">
        <v>0</v>
      </c>
      <c r="I364" s="83" t="b">
        <v>0</v>
      </c>
      <c r="J364" s="83" t="b">
        <v>0</v>
      </c>
      <c r="K364" s="83" t="b">
        <v>0</v>
      </c>
      <c r="L364" s="83" t="b">
        <v>0</v>
      </c>
    </row>
    <row r="365" spans="1:12" ht="15">
      <c r="A365" s="84" t="s">
        <v>1464</v>
      </c>
      <c r="B365" s="83" t="s">
        <v>1464</v>
      </c>
      <c r="C365" s="83">
        <v>3</v>
      </c>
      <c r="D365" s="110">
        <v>0.0024894294440907694</v>
      </c>
      <c r="E365" s="110">
        <v>1.6187610289902294</v>
      </c>
      <c r="F365" s="83" t="s">
        <v>1378</v>
      </c>
      <c r="G365" s="83" t="b">
        <v>0</v>
      </c>
      <c r="H365" s="83" t="b">
        <v>0</v>
      </c>
      <c r="I365" s="83" t="b">
        <v>0</v>
      </c>
      <c r="J365" s="83" t="b">
        <v>0</v>
      </c>
      <c r="K365" s="83" t="b">
        <v>0</v>
      </c>
      <c r="L365" s="83" t="b">
        <v>0</v>
      </c>
    </row>
    <row r="366" spans="1:12" ht="15">
      <c r="A366" s="84" t="s">
        <v>1429</v>
      </c>
      <c r="B366" s="83" t="s">
        <v>1430</v>
      </c>
      <c r="C366" s="83">
        <v>3</v>
      </c>
      <c r="D366" s="110">
        <v>0.0024894294440907694</v>
      </c>
      <c r="E366" s="110">
        <v>0.5250210627716796</v>
      </c>
      <c r="F366" s="83" t="s">
        <v>1378</v>
      </c>
      <c r="G366" s="83" t="b">
        <v>0</v>
      </c>
      <c r="H366" s="83" t="b">
        <v>0</v>
      </c>
      <c r="I366" s="83" t="b">
        <v>0</v>
      </c>
      <c r="J366" s="83" t="b">
        <v>0</v>
      </c>
      <c r="K366" s="83" t="b">
        <v>0</v>
      </c>
      <c r="L366" s="83" t="b">
        <v>0</v>
      </c>
    </row>
    <row r="367" spans="1:12" ht="15">
      <c r="A367" s="84" t="s">
        <v>1495</v>
      </c>
      <c r="B367" s="83" t="s">
        <v>1555</v>
      </c>
      <c r="C367" s="83">
        <v>3</v>
      </c>
      <c r="D367" s="110">
        <v>0.003222710060975496</v>
      </c>
      <c r="E367" s="110">
        <v>2.41711566546216</v>
      </c>
      <c r="F367" s="83" t="s">
        <v>1378</v>
      </c>
      <c r="G367" s="83" t="b">
        <v>0</v>
      </c>
      <c r="H367" s="83" t="b">
        <v>0</v>
      </c>
      <c r="I367" s="83" t="b">
        <v>0</v>
      </c>
      <c r="J367" s="83" t="b">
        <v>0</v>
      </c>
      <c r="K367" s="83" t="b">
        <v>0</v>
      </c>
      <c r="L367" s="83" t="b">
        <v>0</v>
      </c>
    </row>
    <row r="368" spans="1:12" ht="15">
      <c r="A368" s="84" t="s">
        <v>1565</v>
      </c>
      <c r="B368" s="83" t="s">
        <v>1435</v>
      </c>
      <c r="C368" s="83">
        <v>3</v>
      </c>
      <c r="D368" s="110">
        <v>0.0024894294440907694</v>
      </c>
      <c r="E368" s="110">
        <v>1.8362449732041357</v>
      </c>
      <c r="F368" s="83" t="s">
        <v>1378</v>
      </c>
      <c r="G368" s="83" t="b">
        <v>0</v>
      </c>
      <c r="H368" s="83" t="b">
        <v>0</v>
      </c>
      <c r="I368" s="83" t="b">
        <v>0</v>
      </c>
      <c r="J368" s="83" t="b">
        <v>0</v>
      </c>
      <c r="K368" s="83" t="b">
        <v>0</v>
      </c>
      <c r="L368" s="83" t="b">
        <v>0</v>
      </c>
    </row>
    <row r="369" spans="1:12" ht="15">
      <c r="A369" s="84" t="s">
        <v>1488</v>
      </c>
      <c r="B369" s="83" t="s">
        <v>1498</v>
      </c>
      <c r="C369" s="83">
        <v>3</v>
      </c>
      <c r="D369" s="110">
        <v>0.003222710060975496</v>
      </c>
      <c r="E369" s="110">
        <v>2.484062455092773</v>
      </c>
      <c r="F369" s="83" t="s">
        <v>1378</v>
      </c>
      <c r="G369" s="83" t="b">
        <v>0</v>
      </c>
      <c r="H369" s="83" t="b">
        <v>0</v>
      </c>
      <c r="I369" s="83" t="b">
        <v>0</v>
      </c>
      <c r="J369" s="83" t="b">
        <v>0</v>
      </c>
      <c r="K369" s="83" t="b">
        <v>0</v>
      </c>
      <c r="L369" s="83" t="b">
        <v>0</v>
      </c>
    </row>
    <row r="370" spans="1:12" ht="15">
      <c r="A370" s="84" t="s">
        <v>1441</v>
      </c>
      <c r="B370" s="83" t="s">
        <v>1649</v>
      </c>
      <c r="C370" s="83">
        <v>2</v>
      </c>
      <c r="D370" s="110">
        <v>0.0021484733739836645</v>
      </c>
      <c r="E370" s="110">
        <v>2.0447297612625106</v>
      </c>
      <c r="F370" s="83" t="s">
        <v>1378</v>
      </c>
      <c r="G370" s="83" t="b">
        <v>0</v>
      </c>
      <c r="H370" s="83" t="b">
        <v>0</v>
      </c>
      <c r="I370" s="83" t="b">
        <v>0</v>
      </c>
      <c r="J370" s="83" t="b">
        <v>0</v>
      </c>
      <c r="K370" s="83" t="b">
        <v>0</v>
      </c>
      <c r="L370" s="83" t="b">
        <v>0</v>
      </c>
    </row>
    <row r="371" spans="1:12" ht="15">
      <c r="A371" s="84" t="s">
        <v>1471</v>
      </c>
      <c r="B371" s="83" t="s">
        <v>1442</v>
      </c>
      <c r="C371" s="83">
        <v>2</v>
      </c>
      <c r="D371" s="110">
        <v>0.0018400410013771264</v>
      </c>
      <c r="E371" s="110">
        <v>1.9399944107424976</v>
      </c>
      <c r="F371" s="83" t="s">
        <v>1378</v>
      </c>
      <c r="G371" s="83" t="b">
        <v>0</v>
      </c>
      <c r="H371" s="83" t="b">
        <v>0</v>
      </c>
      <c r="I371" s="83" t="b">
        <v>0</v>
      </c>
      <c r="J371" s="83" t="b">
        <v>0</v>
      </c>
      <c r="K371" s="83" t="b">
        <v>0</v>
      </c>
      <c r="L371" s="83" t="b">
        <v>0</v>
      </c>
    </row>
    <row r="372" spans="1:12" ht="15">
      <c r="A372" s="84" t="s">
        <v>1459</v>
      </c>
      <c r="B372" s="83" t="s">
        <v>1437</v>
      </c>
      <c r="C372" s="83">
        <v>2</v>
      </c>
      <c r="D372" s="110">
        <v>0.0018400410013771264</v>
      </c>
      <c r="E372" s="110">
        <v>1.8150556741341977</v>
      </c>
      <c r="F372" s="83" t="s">
        <v>1378</v>
      </c>
      <c r="G372" s="83" t="b">
        <v>0</v>
      </c>
      <c r="H372" s="83" t="b">
        <v>0</v>
      </c>
      <c r="I372" s="83" t="b">
        <v>0</v>
      </c>
      <c r="J372" s="83" t="b">
        <v>0</v>
      </c>
      <c r="K372" s="83" t="b">
        <v>0</v>
      </c>
      <c r="L372" s="83" t="b">
        <v>0</v>
      </c>
    </row>
    <row r="373" spans="1:12" ht="15">
      <c r="A373" s="84" t="s">
        <v>1513</v>
      </c>
      <c r="B373" s="83" t="s">
        <v>1504</v>
      </c>
      <c r="C373" s="83">
        <v>2</v>
      </c>
      <c r="D373" s="110">
        <v>0.0018400410013771264</v>
      </c>
      <c r="E373" s="110">
        <v>2.006941200373111</v>
      </c>
      <c r="F373" s="83" t="s">
        <v>1378</v>
      </c>
      <c r="G373" s="83" t="b">
        <v>0</v>
      </c>
      <c r="H373" s="83" t="b">
        <v>0</v>
      </c>
      <c r="I373" s="83" t="b">
        <v>0</v>
      </c>
      <c r="J373" s="83" t="b">
        <v>0</v>
      </c>
      <c r="K373" s="83" t="b">
        <v>0</v>
      </c>
      <c r="L373" s="83" t="b">
        <v>0</v>
      </c>
    </row>
    <row r="374" spans="1:12" ht="15">
      <c r="A374" s="84" t="s">
        <v>1577</v>
      </c>
      <c r="B374" s="83" t="s">
        <v>1504</v>
      </c>
      <c r="C374" s="83">
        <v>2</v>
      </c>
      <c r="D374" s="110">
        <v>0.0018400410013771264</v>
      </c>
      <c r="E374" s="110">
        <v>2.183032459428792</v>
      </c>
      <c r="F374" s="83" t="s">
        <v>1378</v>
      </c>
      <c r="G374" s="83" t="b">
        <v>0</v>
      </c>
      <c r="H374" s="83" t="b">
        <v>0</v>
      </c>
      <c r="I374" s="83" t="b">
        <v>0</v>
      </c>
      <c r="J374" s="83" t="b">
        <v>0</v>
      </c>
      <c r="K374" s="83" t="b">
        <v>0</v>
      </c>
      <c r="L374" s="83" t="b">
        <v>0</v>
      </c>
    </row>
    <row r="375" spans="1:12" ht="15">
      <c r="A375" s="84" t="s">
        <v>1429</v>
      </c>
      <c r="B375" s="83" t="s">
        <v>1755</v>
      </c>
      <c r="C375" s="83">
        <v>2</v>
      </c>
      <c r="D375" s="110">
        <v>0.0018400410013771264</v>
      </c>
      <c r="E375" s="110">
        <v>1.4950578393942364</v>
      </c>
      <c r="F375" s="83" t="s">
        <v>1378</v>
      </c>
      <c r="G375" s="83" t="b">
        <v>0</v>
      </c>
      <c r="H375" s="83" t="b">
        <v>0</v>
      </c>
      <c r="I375" s="83" t="b">
        <v>0</v>
      </c>
      <c r="J375" s="83" t="b">
        <v>0</v>
      </c>
      <c r="K375" s="83" t="b">
        <v>0</v>
      </c>
      <c r="L375" s="83" t="b">
        <v>0</v>
      </c>
    </row>
    <row r="376" spans="1:12" ht="15">
      <c r="A376" s="84" t="s">
        <v>1756</v>
      </c>
      <c r="B376" s="83" t="s">
        <v>1503</v>
      </c>
      <c r="C376" s="83">
        <v>2</v>
      </c>
      <c r="D376" s="110">
        <v>0.0021484733739836645</v>
      </c>
      <c r="E376" s="110">
        <v>2.359123718484473</v>
      </c>
      <c r="F376" s="83" t="s">
        <v>1378</v>
      </c>
      <c r="G376" s="83" t="b">
        <v>0</v>
      </c>
      <c r="H376" s="83" t="b">
        <v>0</v>
      </c>
      <c r="I376" s="83" t="b">
        <v>0</v>
      </c>
      <c r="J376" s="83" t="b">
        <v>0</v>
      </c>
      <c r="K376" s="83" t="b">
        <v>0</v>
      </c>
      <c r="L376" s="83" t="b">
        <v>0</v>
      </c>
    </row>
    <row r="377" spans="1:12" ht="15">
      <c r="A377" s="84" t="s">
        <v>1429</v>
      </c>
      <c r="B377" s="83" t="s">
        <v>1477</v>
      </c>
      <c r="C377" s="83">
        <v>2</v>
      </c>
      <c r="D377" s="110">
        <v>0.0018400410013771264</v>
      </c>
      <c r="E377" s="110">
        <v>1.0690891071219553</v>
      </c>
      <c r="F377" s="83" t="s">
        <v>1378</v>
      </c>
      <c r="G377" s="83" t="b">
        <v>0</v>
      </c>
      <c r="H377" s="83" t="b">
        <v>0</v>
      </c>
      <c r="I377" s="83" t="b">
        <v>0</v>
      </c>
      <c r="J377" s="83" t="b">
        <v>0</v>
      </c>
      <c r="K377" s="83" t="b">
        <v>0</v>
      </c>
      <c r="L377" s="83" t="b">
        <v>0</v>
      </c>
    </row>
    <row r="378" spans="1:12" ht="15">
      <c r="A378" s="84" t="s">
        <v>1499</v>
      </c>
      <c r="B378" s="83" t="s">
        <v>1474</v>
      </c>
      <c r="C378" s="83">
        <v>2</v>
      </c>
      <c r="D378" s="110">
        <v>0.0018400410013771264</v>
      </c>
      <c r="E378" s="110">
        <v>2.006941200373111</v>
      </c>
      <c r="F378" s="83" t="s">
        <v>1378</v>
      </c>
      <c r="G378" s="83" t="b">
        <v>0</v>
      </c>
      <c r="H378" s="83" t="b">
        <v>0</v>
      </c>
      <c r="I378" s="83" t="b">
        <v>0</v>
      </c>
      <c r="J378" s="83" t="b">
        <v>0</v>
      </c>
      <c r="K378" s="83" t="b">
        <v>0</v>
      </c>
      <c r="L378" s="83" t="b">
        <v>0</v>
      </c>
    </row>
    <row r="379" spans="1:12" ht="15">
      <c r="A379" s="84" t="s">
        <v>1428</v>
      </c>
      <c r="B379" s="83" t="s">
        <v>1456</v>
      </c>
      <c r="C379" s="83">
        <v>2</v>
      </c>
      <c r="D379" s="110">
        <v>0.0018400410013771264</v>
      </c>
      <c r="E379" s="110">
        <v>0.8028212177171861</v>
      </c>
      <c r="F379" s="83" t="s">
        <v>1378</v>
      </c>
      <c r="G379" s="83" t="b">
        <v>0</v>
      </c>
      <c r="H379" s="83" t="b">
        <v>0</v>
      </c>
      <c r="I379" s="83" t="b">
        <v>0</v>
      </c>
      <c r="J379" s="83" t="b">
        <v>1</v>
      </c>
      <c r="K379" s="83" t="b">
        <v>0</v>
      </c>
      <c r="L379" s="83" t="b">
        <v>0</v>
      </c>
    </row>
    <row r="380" spans="1:12" ht="15">
      <c r="A380" s="84" t="s">
        <v>2019</v>
      </c>
      <c r="B380" s="83" t="s">
        <v>1430</v>
      </c>
      <c r="C380" s="83">
        <v>2</v>
      </c>
      <c r="D380" s="110">
        <v>0.0021484733739836645</v>
      </c>
      <c r="E380" s="110">
        <v>1.6389644150785163</v>
      </c>
      <c r="F380" s="83" t="s">
        <v>1378</v>
      </c>
      <c r="G380" s="83" t="b">
        <v>0</v>
      </c>
      <c r="H380" s="83" t="b">
        <v>0</v>
      </c>
      <c r="I380" s="83" t="b">
        <v>0</v>
      </c>
      <c r="J380" s="83" t="b">
        <v>0</v>
      </c>
      <c r="K380" s="83" t="b">
        <v>0</v>
      </c>
      <c r="L380" s="83" t="b">
        <v>0</v>
      </c>
    </row>
    <row r="381" spans="1:12" ht="15">
      <c r="A381" s="84" t="s">
        <v>1557</v>
      </c>
      <c r="B381" s="83" t="s">
        <v>1557</v>
      </c>
      <c r="C381" s="83">
        <v>2</v>
      </c>
      <c r="D381" s="110">
        <v>0.0018400410013771264</v>
      </c>
      <c r="E381" s="110">
        <v>2.262213705476417</v>
      </c>
      <c r="F381" s="83" t="s">
        <v>1378</v>
      </c>
      <c r="G381" s="83" t="b">
        <v>0</v>
      </c>
      <c r="H381" s="83" t="b">
        <v>0</v>
      </c>
      <c r="I381" s="83" t="b">
        <v>0</v>
      </c>
      <c r="J381" s="83" t="b">
        <v>0</v>
      </c>
      <c r="K381" s="83" t="b">
        <v>0</v>
      </c>
      <c r="L381" s="83" t="b">
        <v>0</v>
      </c>
    </row>
    <row r="382" spans="1:12" ht="15">
      <c r="A382" s="84" t="s">
        <v>1972</v>
      </c>
      <c r="B382" s="83" t="s">
        <v>1973</v>
      </c>
      <c r="C382" s="83">
        <v>2</v>
      </c>
      <c r="D382" s="110">
        <v>0.0021484733739836645</v>
      </c>
      <c r="E382" s="110">
        <v>2.9611837098124356</v>
      </c>
      <c r="F382" s="83" t="s">
        <v>1378</v>
      </c>
      <c r="G382" s="83" t="b">
        <v>0</v>
      </c>
      <c r="H382" s="83" t="b">
        <v>0</v>
      </c>
      <c r="I382" s="83" t="b">
        <v>0</v>
      </c>
      <c r="J382" s="83" t="b">
        <v>0</v>
      </c>
      <c r="K382" s="83" t="b">
        <v>0</v>
      </c>
      <c r="L382" s="83" t="b">
        <v>0</v>
      </c>
    </row>
    <row r="383" spans="1:12" ht="15">
      <c r="A383" s="84" t="s">
        <v>1973</v>
      </c>
      <c r="B383" s="83" t="s">
        <v>1974</v>
      </c>
      <c r="C383" s="83">
        <v>2</v>
      </c>
      <c r="D383" s="110">
        <v>0.0021484733739836645</v>
      </c>
      <c r="E383" s="110">
        <v>2.9611837098124356</v>
      </c>
      <c r="F383" s="83" t="s">
        <v>1378</v>
      </c>
      <c r="G383" s="83" t="b">
        <v>0</v>
      </c>
      <c r="H383" s="83" t="b">
        <v>0</v>
      </c>
      <c r="I383" s="83" t="b">
        <v>0</v>
      </c>
      <c r="J383" s="83" t="b">
        <v>0</v>
      </c>
      <c r="K383" s="83" t="b">
        <v>0</v>
      </c>
      <c r="L383" s="83" t="b">
        <v>0</v>
      </c>
    </row>
    <row r="384" spans="1:12" ht="15">
      <c r="A384" s="84" t="s">
        <v>1974</v>
      </c>
      <c r="B384" s="83" t="s">
        <v>1636</v>
      </c>
      <c r="C384" s="83">
        <v>2</v>
      </c>
      <c r="D384" s="110">
        <v>0.0021484733739836645</v>
      </c>
      <c r="E384" s="110">
        <v>2.9611837098124356</v>
      </c>
      <c r="F384" s="83" t="s">
        <v>1378</v>
      </c>
      <c r="G384" s="83" t="b">
        <v>0</v>
      </c>
      <c r="H384" s="83" t="b">
        <v>0</v>
      </c>
      <c r="I384" s="83" t="b">
        <v>0</v>
      </c>
      <c r="J384" s="83" t="b">
        <v>0</v>
      </c>
      <c r="K384" s="83" t="b">
        <v>0</v>
      </c>
      <c r="L384" s="83" t="b">
        <v>0</v>
      </c>
    </row>
    <row r="385" spans="1:12" ht="15">
      <c r="A385" s="84" t="s">
        <v>1495</v>
      </c>
      <c r="B385" s="83" t="s">
        <v>1458</v>
      </c>
      <c r="C385" s="83">
        <v>2</v>
      </c>
      <c r="D385" s="110">
        <v>0.0018400410013771264</v>
      </c>
      <c r="E385" s="110">
        <v>1.8150556741341977</v>
      </c>
      <c r="F385" s="83" t="s">
        <v>1378</v>
      </c>
      <c r="G385" s="83" t="b">
        <v>0</v>
      </c>
      <c r="H385" s="83" t="b">
        <v>0</v>
      </c>
      <c r="I385" s="83" t="b">
        <v>0</v>
      </c>
      <c r="J385" s="83" t="b">
        <v>1</v>
      </c>
      <c r="K385" s="83" t="b">
        <v>0</v>
      </c>
      <c r="L385" s="83" t="b">
        <v>0</v>
      </c>
    </row>
    <row r="386" spans="1:12" ht="15">
      <c r="A386" s="84" t="s">
        <v>1428</v>
      </c>
      <c r="B386" s="83" t="s">
        <v>1669</v>
      </c>
      <c r="C386" s="83">
        <v>2</v>
      </c>
      <c r="D386" s="110">
        <v>0.0018400410013771264</v>
      </c>
      <c r="E386" s="110">
        <v>1.2799424724368484</v>
      </c>
      <c r="F386" s="83" t="s">
        <v>1378</v>
      </c>
      <c r="G386" s="83" t="b">
        <v>0</v>
      </c>
      <c r="H386" s="83" t="b">
        <v>0</v>
      </c>
      <c r="I386" s="83" t="b">
        <v>0</v>
      </c>
      <c r="J386" s="83" t="b">
        <v>1</v>
      </c>
      <c r="K386" s="83" t="b">
        <v>0</v>
      </c>
      <c r="L386" s="83" t="b">
        <v>0</v>
      </c>
    </row>
    <row r="387" spans="1:12" ht="15">
      <c r="A387" s="84" t="s">
        <v>1669</v>
      </c>
      <c r="B387" s="83" t="s">
        <v>1440</v>
      </c>
      <c r="C387" s="83">
        <v>2</v>
      </c>
      <c r="D387" s="110">
        <v>0.0018400410013771264</v>
      </c>
      <c r="E387" s="110">
        <v>1.9100311873650544</v>
      </c>
      <c r="F387" s="83" t="s">
        <v>1378</v>
      </c>
      <c r="G387" s="83" t="b">
        <v>1</v>
      </c>
      <c r="H387" s="83" t="b">
        <v>0</v>
      </c>
      <c r="I387" s="83" t="b">
        <v>0</v>
      </c>
      <c r="J387" s="83" t="b">
        <v>1</v>
      </c>
      <c r="K387" s="83" t="b">
        <v>0</v>
      </c>
      <c r="L387" s="83" t="b">
        <v>0</v>
      </c>
    </row>
    <row r="388" spans="1:12" ht="15">
      <c r="A388" s="84" t="s">
        <v>1547</v>
      </c>
      <c r="B388" s="83" t="s">
        <v>1428</v>
      </c>
      <c r="C388" s="83">
        <v>2</v>
      </c>
      <c r="D388" s="110">
        <v>0.0018400410013771264</v>
      </c>
      <c r="E388" s="110">
        <v>1.2665785108788667</v>
      </c>
      <c r="F388" s="83" t="s">
        <v>1378</v>
      </c>
      <c r="G388" s="83" t="b">
        <v>0</v>
      </c>
      <c r="H388" s="83" t="b">
        <v>0</v>
      </c>
      <c r="I388" s="83" t="b">
        <v>0</v>
      </c>
      <c r="J388" s="83" t="b">
        <v>0</v>
      </c>
      <c r="K388" s="83" t="b">
        <v>0</v>
      </c>
      <c r="L388" s="83" t="b">
        <v>0</v>
      </c>
    </row>
    <row r="389" spans="1:12" ht="15">
      <c r="A389" s="84" t="s">
        <v>1505</v>
      </c>
      <c r="B389" s="83" t="s">
        <v>1428</v>
      </c>
      <c r="C389" s="83">
        <v>2</v>
      </c>
      <c r="D389" s="110">
        <v>0.0018400410013771264</v>
      </c>
      <c r="E389" s="110">
        <v>0.9655485152148856</v>
      </c>
      <c r="F389" s="83" t="s">
        <v>1378</v>
      </c>
      <c r="G389" s="83" t="b">
        <v>0</v>
      </c>
      <c r="H389" s="83" t="b">
        <v>0</v>
      </c>
      <c r="I389" s="83" t="b">
        <v>0</v>
      </c>
      <c r="J389" s="83" t="b">
        <v>0</v>
      </c>
      <c r="K389" s="83" t="b">
        <v>0</v>
      </c>
      <c r="L389" s="83" t="b">
        <v>0</v>
      </c>
    </row>
    <row r="390" spans="1:12" ht="15">
      <c r="A390" s="84" t="s">
        <v>1480</v>
      </c>
      <c r="B390" s="83" t="s">
        <v>1434</v>
      </c>
      <c r="C390" s="83">
        <v>2</v>
      </c>
      <c r="D390" s="110">
        <v>0.0021484733739836645</v>
      </c>
      <c r="E390" s="110">
        <v>1.6090011917010731</v>
      </c>
      <c r="F390" s="83" t="s">
        <v>1378</v>
      </c>
      <c r="G390" s="83" t="b">
        <v>0</v>
      </c>
      <c r="H390" s="83" t="b">
        <v>0</v>
      </c>
      <c r="I390" s="83" t="b">
        <v>0</v>
      </c>
      <c r="J390" s="83" t="b">
        <v>0</v>
      </c>
      <c r="K390" s="83" t="b">
        <v>0</v>
      </c>
      <c r="L390" s="83" t="b">
        <v>0</v>
      </c>
    </row>
    <row r="391" spans="1:12" ht="15">
      <c r="A391" s="84" t="s">
        <v>1434</v>
      </c>
      <c r="B391" s="83" t="s">
        <v>1639</v>
      </c>
      <c r="C391" s="83">
        <v>2</v>
      </c>
      <c r="D391" s="110">
        <v>0.0021484733739836645</v>
      </c>
      <c r="E391" s="110">
        <v>2.0861224464207355</v>
      </c>
      <c r="F391" s="83" t="s">
        <v>1378</v>
      </c>
      <c r="G391" s="83" t="b">
        <v>0</v>
      </c>
      <c r="H391" s="83" t="b">
        <v>0</v>
      </c>
      <c r="I391" s="83" t="b">
        <v>0</v>
      </c>
      <c r="J391" s="83" t="b">
        <v>0</v>
      </c>
      <c r="K391" s="83" t="b">
        <v>0</v>
      </c>
      <c r="L391" s="83" t="b">
        <v>0</v>
      </c>
    </row>
    <row r="392" spans="1:12" ht="15">
      <c r="A392" s="84" t="s">
        <v>1639</v>
      </c>
      <c r="B392" s="83" t="s">
        <v>1969</v>
      </c>
      <c r="C392" s="83">
        <v>2</v>
      </c>
      <c r="D392" s="110">
        <v>0.0021484733739836645</v>
      </c>
      <c r="E392" s="110">
        <v>2.9611837098124356</v>
      </c>
      <c r="F392" s="83" t="s">
        <v>1378</v>
      </c>
      <c r="G392" s="83" t="b">
        <v>0</v>
      </c>
      <c r="H392" s="83" t="b">
        <v>0</v>
      </c>
      <c r="I392" s="83" t="b">
        <v>0</v>
      </c>
      <c r="J392" s="83" t="b">
        <v>0</v>
      </c>
      <c r="K392" s="83" t="b">
        <v>0</v>
      </c>
      <c r="L392" s="83" t="b">
        <v>0</v>
      </c>
    </row>
    <row r="393" spans="1:12" ht="15">
      <c r="A393" s="84" t="s">
        <v>1428</v>
      </c>
      <c r="B393" s="83" t="s">
        <v>1440</v>
      </c>
      <c r="C393" s="83">
        <v>2</v>
      </c>
      <c r="D393" s="110">
        <v>0.0018400410013771264</v>
      </c>
      <c r="E393" s="110">
        <v>0.5809724681008296</v>
      </c>
      <c r="F393" s="83" t="s">
        <v>1378</v>
      </c>
      <c r="G393" s="83" t="b">
        <v>0</v>
      </c>
      <c r="H393" s="83" t="b">
        <v>0</v>
      </c>
      <c r="I393" s="83" t="b">
        <v>0</v>
      </c>
      <c r="J393" s="83" t="b">
        <v>1</v>
      </c>
      <c r="K393" s="83" t="b">
        <v>0</v>
      </c>
      <c r="L393" s="83" t="b">
        <v>0</v>
      </c>
    </row>
    <row r="394" spans="1:12" ht="15">
      <c r="A394" s="84" t="s">
        <v>1553</v>
      </c>
      <c r="B394" s="83" t="s">
        <v>1452</v>
      </c>
      <c r="C394" s="83">
        <v>2</v>
      </c>
      <c r="D394" s="110">
        <v>0.0021484733739836645</v>
      </c>
      <c r="E394" s="110">
        <v>2.307971196037092</v>
      </c>
      <c r="F394" s="83" t="s">
        <v>1378</v>
      </c>
      <c r="G394" s="83" t="b">
        <v>0</v>
      </c>
      <c r="H394" s="83" t="b">
        <v>0</v>
      </c>
      <c r="I394" s="83" t="b">
        <v>0</v>
      </c>
      <c r="J394" s="83" t="b">
        <v>0</v>
      </c>
      <c r="K394" s="83" t="b">
        <v>0</v>
      </c>
      <c r="L394" s="83" t="b">
        <v>0</v>
      </c>
    </row>
    <row r="395" spans="1:12" ht="15">
      <c r="A395" s="84" t="s">
        <v>1545</v>
      </c>
      <c r="B395" s="83" t="s">
        <v>1474</v>
      </c>
      <c r="C395" s="83">
        <v>2</v>
      </c>
      <c r="D395" s="110">
        <v>0.0018400410013771264</v>
      </c>
      <c r="E395" s="110">
        <v>2.006941200373111</v>
      </c>
      <c r="F395" s="83" t="s">
        <v>1378</v>
      </c>
      <c r="G395" s="83" t="b">
        <v>0</v>
      </c>
      <c r="H395" s="83" t="b">
        <v>0</v>
      </c>
      <c r="I395" s="83" t="b">
        <v>0</v>
      </c>
      <c r="J395" s="83" t="b">
        <v>0</v>
      </c>
      <c r="K395" s="83" t="b">
        <v>0</v>
      </c>
      <c r="L395" s="83" t="b">
        <v>0</v>
      </c>
    </row>
    <row r="396" spans="1:12" ht="15">
      <c r="A396" s="84" t="s">
        <v>1915</v>
      </c>
      <c r="B396" s="83" t="s">
        <v>1916</v>
      </c>
      <c r="C396" s="83">
        <v>2</v>
      </c>
      <c r="D396" s="110">
        <v>0.0018400410013771264</v>
      </c>
      <c r="E396" s="110">
        <v>2.9611837098124356</v>
      </c>
      <c r="F396" s="83" t="s">
        <v>1378</v>
      </c>
      <c r="G396" s="83" t="b">
        <v>0</v>
      </c>
      <c r="H396" s="83" t="b">
        <v>0</v>
      </c>
      <c r="I396" s="83" t="b">
        <v>0</v>
      </c>
      <c r="J396" s="83" t="b">
        <v>0</v>
      </c>
      <c r="K396" s="83" t="b">
        <v>0</v>
      </c>
      <c r="L396" s="83" t="b">
        <v>0</v>
      </c>
    </row>
    <row r="397" spans="1:12" ht="15">
      <c r="A397" s="84" t="s">
        <v>1434</v>
      </c>
      <c r="B397" s="83" t="s">
        <v>1572</v>
      </c>
      <c r="C397" s="83">
        <v>2</v>
      </c>
      <c r="D397" s="110">
        <v>0.0021484733739836645</v>
      </c>
      <c r="E397" s="110">
        <v>1.7850924507567545</v>
      </c>
      <c r="F397" s="83" t="s">
        <v>1378</v>
      </c>
      <c r="G397" s="83" t="b">
        <v>0</v>
      </c>
      <c r="H397" s="83" t="b">
        <v>0</v>
      </c>
      <c r="I397" s="83" t="b">
        <v>0</v>
      </c>
      <c r="J397" s="83" t="b">
        <v>0</v>
      </c>
      <c r="K397" s="83" t="b">
        <v>0</v>
      </c>
      <c r="L397" s="83" t="b">
        <v>0</v>
      </c>
    </row>
    <row r="398" spans="1:12" ht="15">
      <c r="A398" s="84" t="s">
        <v>1572</v>
      </c>
      <c r="B398" s="83" t="s">
        <v>1434</v>
      </c>
      <c r="C398" s="83">
        <v>2</v>
      </c>
      <c r="D398" s="110">
        <v>0.0018400410013771264</v>
      </c>
      <c r="E398" s="110">
        <v>1.7850924507567545</v>
      </c>
      <c r="F398" s="83" t="s">
        <v>1378</v>
      </c>
      <c r="G398" s="83" t="b">
        <v>0</v>
      </c>
      <c r="H398" s="83" t="b">
        <v>0</v>
      </c>
      <c r="I398" s="83" t="b">
        <v>0</v>
      </c>
      <c r="J398" s="83" t="b">
        <v>0</v>
      </c>
      <c r="K398" s="83" t="b">
        <v>0</v>
      </c>
      <c r="L398" s="83" t="b">
        <v>0</v>
      </c>
    </row>
    <row r="399" spans="1:12" ht="15">
      <c r="A399" s="84" t="s">
        <v>1428</v>
      </c>
      <c r="B399" s="83" t="s">
        <v>1608</v>
      </c>
      <c r="C399" s="83">
        <v>2</v>
      </c>
      <c r="D399" s="110">
        <v>0.0018400410013771264</v>
      </c>
      <c r="E399" s="110">
        <v>1.1550037358285485</v>
      </c>
      <c r="F399" s="83" t="s">
        <v>1378</v>
      </c>
      <c r="G399" s="83" t="b">
        <v>0</v>
      </c>
      <c r="H399" s="83" t="b">
        <v>0</v>
      </c>
      <c r="I399" s="83" t="b">
        <v>0</v>
      </c>
      <c r="J399" s="83" t="b">
        <v>0</v>
      </c>
      <c r="K399" s="83" t="b">
        <v>0</v>
      </c>
      <c r="L399" s="83" t="b">
        <v>0</v>
      </c>
    </row>
    <row r="400" spans="1:12" ht="15">
      <c r="A400" s="84" t="s">
        <v>1629</v>
      </c>
      <c r="B400" s="83" t="s">
        <v>1719</v>
      </c>
      <c r="C400" s="83">
        <v>2</v>
      </c>
      <c r="D400" s="110">
        <v>0.0021484733739836645</v>
      </c>
      <c r="E400" s="110">
        <v>2.7850924507567543</v>
      </c>
      <c r="F400" s="83" t="s">
        <v>1378</v>
      </c>
      <c r="G400" s="83" t="b">
        <v>0</v>
      </c>
      <c r="H400" s="83" t="b">
        <v>0</v>
      </c>
      <c r="I400" s="83" t="b">
        <v>0</v>
      </c>
      <c r="J400" s="83" t="b">
        <v>0</v>
      </c>
      <c r="K400" s="83" t="b">
        <v>0</v>
      </c>
      <c r="L400" s="83" t="b">
        <v>0</v>
      </c>
    </row>
    <row r="401" spans="1:12" ht="15">
      <c r="A401" s="84" t="s">
        <v>1428</v>
      </c>
      <c r="B401" s="83" t="s">
        <v>1911</v>
      </c>
      <c r="C401" s="83">
        <v>2</v>
      </c>
      <c r="D401" s="110">
        <v>0.0021484733739836645</v>
      </c>
      <c r="E401" s="110">
        <v>1.4560337314925298</v>
      </c>
      <c r="F401" s="83" t="s">
        <v>1378</v>
      </c>
      <c r="G401" s="83" t="b">
        <v>0</v>
      </c>
      <c r="H401" s="83" t="b">
        <v>0</v>
      </c>
      <c r="I401" s="83" t="b">
        <v>0</v>
      </c>
      <c r="J401" s="83" t="b">
        <v>0</v>
      </c>
      <c r="K401" s="83" t="b">
        <v>0</v>
      </c>
      <c r="L401" s="83" t="b">
        <v>0</v>
      </c>
    </row>
    <row r="402" spans="1:12" ht="15">
      <c r="A402" s="84" t="s">
        <v>1911</v>
      </c>
      <c r="B402" s="83" t="s">
        <v>1912</v>
      </c>
      <c r="C402" s="83">
        <v>2</v>
      </c>
      <c r="D402" s="110">
        <v>0.0021484733739836645</v>
      </c>
      <c r="E402" s="110">
        <v>2.9611837098124356</v>
      </c>
      <c r="F402" s="83" t="s">
        <v>1378</v>
      </c>
      <c r="G402" s="83" t="b">
        <v>0</v>
      </c>
      <c r="H402" s="83" t="b">
        <v>0</v>
      </c>
      <c r="I402" s="83" t="b">
        <v>0</v>
      </c>
      <c r="J402" s="83" t="b">
        <v>0</v>
      </c>
      <c r="K402" s="83" t="b">
        <v>0</v>
      </c>
      <c r="L402" s="83" t="b">
        <v>0</v>
      </c>
    </row>
    <row r="403" spans="1:12" ht="15">
      <c r="A403" s="84" t="s">
        <v>1538</v>
      </c>
      <c r="B403" s="83" t="s">
        <v>1891</v>
      </c>
      <c r="C403" s="83">
        <v>2</v>
      </c>
      <c r="D403" s="110">
        <v>0.0021484733739836645</v>
      </c>
      <c r="E403" s="110">
        <v>2.7850924507567543</v>
      </c>
      <c r="F403" s="83" t="s">
        <v>1378</v>
      </c>
      <c r="G403" s="83" t="b">
        <v>0</v>
      </c>
      <c r="H403" s="83" t="b">
        <v>0</v>
      </c>
      <c r="I403" s="83" t="b">
        <v>0</v>
      </c>
      <c r="J403" s="83" t="b">
        <v>0</v>
      </c>
      <c r="K403" s="83" t="b">
        <v>0</v>
      </c>
      <c r="L403" s="83" t="b">
        <v>0</v>
      </c>
    </row>
    <row r="404" spans="1:12" ht="15">
      <c r="A404" s="84" t="s">
        <v>1523</v>
      </c>
      <c r="B404" s="83" t="s">
        <v>1428</v>
      </c>
      <c r="C404" s="83">
        <v>2</v>
      </c>
      <c r="D404" s="110">
        <v>0.0018400410013771264</v>
      </c>
      <c r="E404" s="110">
        <v>0.9655485152148856</v>
      </c>
      <c r="F404" s="83" t="s">
        <v>1378</v>
      </c>
      <c r="G404" s="83" t="b">
        <v>0</v>
      </c>
      <c r="H404" s="83" t="b">
        <v>0</v>
      </c>
      <c r="I404" s="83" t="b">
        <v>0</v>
      </c>
      <c r="J404" s="83" t="b">
        <v>0</v>
      </c>
      <c r="K404" s="83" t="b">
        <v>0</v>
      </c>
      <c r="L404" s="83" t="b">
        <v>0</v>
      </c>
    </row>
    <row r="405" spans="1:12" ht="15">
      <c r="A405" s="84" t="s">
        <v>1476</v>
      </c>
      <c r="B405" s="83" t="s">
        <v>1438</v>
      </c>
      <c r="C405" s="83">
        <v>2</v>
      </c>
      <c r="D405" s="110">
        <v>0.0018400410013771264</v>
      </c>
      <c r="E405" s="110">
        <v>1.54205440207046</v>
      </c>
      <c r="F405" s="83" t="s">
        <v>1378</v>
      </c>
      <c r="G405" s="83" t="b">
        <v>0</v>
      </c>
      <c r="H405" s="83" t="b">
        <v>0</v>
      </c>
      <c r="I405" s="83" t="b">
        <v>0</v>
      </c>
      <c r="J405" s="83" t="b">
        <v>1</v>
      </c>
      <c r="K405" s="83" t="b">
        <v>0</v>
      </c>
      <c r="L405" s="83" t="b">
        <v>0</v>
      </c>
    </row>
    <row r="406" spans="1:12" ht="15">
      <c r="A406" s="84" t="s">
        <v>1500</v>
      </c>
      <c r="B406" s="83" t="s">
        <v>1444</v>
      </c>
      <c r="C406" s="83">
        <v>2</v>
      </c>
      <c r="D406" s="110">
        <v>0.0018400410013771264</v>
      </c>
      <c r="E406" s="110">
        <v>2.0191756567901225</v>
      </c>
      <c r="F406" s="83" t="s">
        <v>1378</v>
      </c>
      <c r="G406" s="83" t="b">
        <v>0</v>
      </c>
      <c r="H406" s="83" t="b">
        <v>0</v>
      </c>
      <c r="I406" s="83" t="b">
        <v>0</v>
      </c>
      <c r="J406" s="83" t="b">
        <v>0</v>
      </c>
      <c r="K406" s="83" t="b">
        <v>0</v>
      </c>
      <c r="L406" s="83" t="b">
        <v>0</v>
      </c>
    </row>
    <row r="407" spans="1:12" ht="15">
      <c r="A407" s="84" t="s">
        <v>1430</v>
      </c>
      <c r="B407" s="83" t="s">
        <v>1472</v>
      </c>
      <c r="C407" s="83">
        <v>2</v>
      </c>
      <c r="D407" s="110">
        <v>0.0018400410013771264</v>
      </c>
      <c r="E407" s="110">
        <v>1.0069412003731109</v>
      </c>
      <c r="F407" s="83" t="s">
        <v>1378</v>
      </c>
      <c r="G407" s="83" t="b">
        <v>0</v>
      </c>
      <c r="H407" s="83" t="b">
        <v>0</v>
      </c>
      <c r="I407" s="83" t="b">
        <v>0</v>
      </c>
      <c r="J407" s="83" t="b">
        <v>0</v>
      </c>
      <c r="K407" s="83" t="b">
        <v>0</v>
      </c>
      <c r="L407" s="83" t="b">
        <v>0</v>
      </c>
    </row>
    <row r="408" spans="1:12" ht="15">
      <c r="A408" s="84" t="s">
        <v>1536</v>
      </c>
      <c r="B408" s="83" t="s">
        <v>1502</v>
      </c>
      <c r="C408" s="83">
        <v>2</v>
      </c>
      <c r="D408" s="110">
        <v>0.0018400410013771264</v>
      </c>
      <c r="E408" s="110">
        <v>2.4840624550927735</v>
      </c>
      <c r="F408" s="83" t="s">
        <v>1378</v>
      </c>
      <c r="G408" s="83" t="b">
        <v>0</v>
      </c>
      <c r="H408" s="83" t="b">
        <v>0</v>
      </c>
      <c r="I408" s="83" t="b">
        <v>0</v>
      </c>
      <c r="J408" s="83" t="b">
        <v>0</v>
      </c>
      <c r="K408" s="83" t="b">
        <v>0</v>
      </c>
      <c r="L408" s="83" t="b">
        <v>0</v>
      </c>
    </row>
    <row r="409" spans="1:12" ht="15">
      <c r="A409" s="84" t="s">
        <v>1429</v>
      </c>
      <c r="B409" s="83" t="s">
        <v>1438</v>
      </c>
      <c r="C409" s="83">
        <v>2</v>
      </c>
      <c r="D409" s="110">
        <v>0.0018400410013771264</v>
      </c>
      <c r="E409" s="110">
        <v>0.7960878350582176</v>
      </c>
      <c r="F409" s="83" t="s">
        <v>1378</v>
      </c>
      <c r="G409" s="83" t="b">
        <v>0</v>
      </c>
      <c r="H409" s="83" t="b">
        <v>0</v>
      </c>
      <c r="I409" s="83" t="b">
        <v>0</v>
      </c>
      <c r="J409" s="83" t="b">
        <v>1</v>
      </c>
      <c r="K409" s="83" t="b">
        <v>0</v>
      </c>
      <c r="L409" s="83" t="b">
        <v>0</v>
      </c>
    </row>
    <row r="410" spans="1:12" ht="15">
      <c r="A410" s="84" t="s">
        <v>1429</v>
      </c>
      <c r="B410" s="83" t="s">
        <v>1460</v>
      </c>
      <c r="C410" s="83">
        <v>2</v>
      </c>
      <c r="D410" s="110">
        <v>0.0018400410013771264</v>
      </c>
      <c r="E410" s="110">
        <v>0.9721790941138989</v>
      </c>
      <c r="F410" s="83" t="s">
        <v>1378</v>
      </c>
      <c r="G410" s="83" t="b">
        <v>0</v>
      </c>
      <c r="H410" s="83" t="b">
        <v>0</v>
      </c>
      <c r="I410" s="83" t="b">
        <v>0</v>
      </c>
      <c r="J410" s="83" t="b">
        <v>0</v>
      </c>
      <c r="K410" s="83" t="b">
        <v>0</v>
      </c>
      <c r="L410" s="83" t="b">
        <v>0</v>
      </c>
    </row>
    <row r="411" spans="1:12" ht="15">
      <c r="A411" s="84" t="s">
        <v>1432</v>
      </c>
      <c r="B411" s="83" t="s">
        <v>1462</v>
      </c>
      <c r="C411" s="83">
        <v>2</v>
      </c>
      <c r="D411" s="110">
        <v>0.0018400410013771264</v>
      </c>
      <c r="E411" s="110">
        <v>1.266578510878867</v>
      </c>
      <c r="F411" s="83" t="s">
        <v>1378</v>
      </c>
      <c r="G411" s="83" t="b">
        <v>0</v>
      </c>
      <c r="H411" s="83" t="b">
        <v>0</v>
      </c>
      <c r="I411" s="83" t="b">
        <v>0</v>
      </c>
      <c r="J411" s="83" t="b">
        <v>0</v>
      </c>
      <c r="K411" s="83" t="b">
        <v>0</v>
      </c>
      <c r="L411" s="83" t="b">
        <v>0</v>
      </c>
    </row>
    <row r="412" spans="1:12" ht="15">
      <c r="A412" s="84" t="s">
        <v>1690</v>
      </c>
      <c r="B412" s="83" t="s">
        <v>1464</v>
      </c>
      <c r="C412" s="83">
        <v>2</v>
      </c>
      <c r="D412" s="110">
        <v>0.0018400410013771264</v>
      </c>
      <c r="E412" s="110">
        <v>2.006941200373111</v>
      </c>
      <c r="F412" s="83" t="s">
        <v>1378</v>
      </c>
      <c r="G412" s="83" t="b">
        <v>0</v>
      </c>
      <c r="H412" s="83" t="b">
        <v>0</v>
      </c>
      <c r="I412" s="83" t="b">
        <v>0</v>
      </c>
      <c r="J412" s="83" t="b">
        <v>0</v>
      </c>
      <c r="K412" s="83" t="b">
        <v>0</v>
      </c>
      <c r="L412" s="83" t="b">
        <v>0</v>
      </c>
    </row>
    <row r="413" spans="1:12" ht="15">
      <c r="A413" s="84" t="s">
        <v>1567</v>
      </c>
      <c r="B413" s="83" t="s">
        <v>1436</v>
      </c>
      <c r="C413" s="83">
        <v>2</v>
      </c>
      <c r="D413" s="110">
        <v>0.0018400410013771264</v>
      </c>
      <c r="E413" s="110">
        <v>1.7181456611261412</v>
      </c>
      <c r="F413" s="83" t="s">
        <v>1378</v>
      </c>
      <c r="G413" s="83" t="b">
        <v>0</v>
      </c>
      <c r="H413" s="83" t="b">
        <v>0</v>
      </c>
      <c r="I413" s="83" t="b">
        <v>0</v>
      </c>
      <c r="J413" s="83" t="b">
        <v>0</v>
      </c>
      <c r="K413" s="83" t="b">
        <v>0</v>
      </c>
      <c r="L413" s="83" t="b">
        <v>0</v>
      </c>
    </row>
    <row r="414" spans="1:12" ht="15">
      <c r="A414" s="84" t="s">
        <v>1436</v>
      </c>
      <c r="B414" s="83" t="s">
        <v>1469</v>
      </c>
      <c r="C414" s="83">
        <v>2</v>
      </c>
      <c r="D414" s="110">
        <v>0.0018400410013771264</v>
      </c>
      <c r="E414" s="110">
        <v>1.4171156654621602</v>
      </c>
      <c r="F414" s="83" t="s">
        <v>1378</v>
      </c>
      <c r="G414" s="83" t="b">
        <v>0</v>
      </c>
      <c r="H414" s="83" t="b">
        <v>0</v>
      </c>
      <c r="I414" s="83" t="b">
        <v>0</v>
      </c>
      <c r="J414" s="83" t="b">
        <v>0</v>
      </c>
      <c r="K414" s="83" t="b">
        <v>0</v>
      </c>
      <c r="L414" s="83" t="b">
        <v>0</v>
      </c>
    </row>
    <row r="415" spans="1:12" ht="15">
      <c r="A415" s="84" t="s">
        <v>1821</v>
      </c>
      <c r="B415" s="83" t="s">
        <v>1822</v>
      </c>
      <c r="C415" s="83">
        <v>2</v>
      </c>
      <c r="D415" s="110">
        <v>0.0018400410013771264</v>
      </c>
      <c r="E415" s="110">
        <v>2.9611837098124356</v>
      </c>
      <c r="F415" s="83" t="s">
        <v>1378</v>
      </c>
      <c r="G415" s="83" t="b">
        <v>0</v>
      </c>
      <c r="H415" s="83" t="b">
        <v>0</v>
      </c>
      <c r="I415" s="83" t="b">
        <v>0</v>
      </c>
      <c r="J415" s="83" t="b">
        <v>0</v>
      </c>
      <c r="K415" s="83" t="b">
        <v>0</v>
      </c>
      <c r="L415" s="83" t="b">
        <v>0</v>
      </c>
    </row>
    <row r="416" spans="1:12" ht="15">
      <c r="A416" s="84" t="s">
        <v>1824</v>
      </c>
      <c r="B416" s="83" t="s">
        <v>1449</v>
      </c>
      <c r="C416" s="83">
        <v>2</v>
      </c>
      <c r="D416" s="110">
        <v>0.0021484733739836645</v>
      </c>
      <c r="E416" s="110">
        <v>2.220821020318192</v>
      </c>
      <c r="F416" s="83" t="s">
        <v>1378</v>
      </c>
      <c r="G416" s="83" t="b">
        <v>0</v>
      </c>
      <c r="H416" s="83" t="b">
        <v>0</v>
      </c>
      <c r="I416" s="83" t="b">
        <v>0</v>
      </c>
      <c r="J416" s="83" t="b">
        <v>0</v>
      </c>
      <c r="K416" s="83" t="b">
        <v>0</v>
      </c>
      <c r="L416" s="83" t="b">
        <v>0</v>
      </c>
    </row>
    <row r="417" spans="1:12" ht="15">
      <c r="A417" s="84" t="s">
        <v>1430</v>
      </c>
      <c r="B417" s="83" t="s">
        <v>1430</v>
      </c>
      <c r="C417" s="83">
        <v>2</v>
      </c>
      <c r="D417" s="110">
        <v>0.0018400410013771264</v>
      </c>
      <c r="E417" s="110">
        <v>0.3379344194145353</v>
      </c>
      <c r="F417" s="83" t="s">
        <v>1378</v>
      </c>
      <c r="G417" s="83" t="b">
        <v>0</v>
      </c>
      <c r="H417" s="83" t="b">
        <v>0</v>
      </c>
      <c r="I417" s="83" t="b">
        <v>0</v>
      </c>
      <c r="J417" s="83" t="b">
        <v>0</v>
      </c>
      <c r="K417" s="83" t="b">
        <v>0</v>
      </c>
      <c r="L417" s="83" t="b">
        <v>0</v>
      </c>
    </row>
    <row r="418" spans="1:12" ht="15">
      <c r="A418" s="84" t="s">
        <v>1429</v>
      </c>
      <c r="B418" s="83" t="s">
        <v>1464</v>
      </c>
      <c r="C418" s="83">
        <v>2</v>
      </c>
      <c r="D418" s="110">
        <v>0.0018400410013771264</v>
      </c>
      <c r="E418" s="110">
        <v>0.892997848066274</v>
      </c>
      <c r="F418" s="83" t="s">
        <v>1378</v>
      </c>
      <c r="G418" s="83" t="b">
        <v>0</v>
      </c>
      <c r="H418" s="83" t="b">
        <v>0</v>
      </c>
      <c r="I418" s="83" t="b">
        <v>0</v>
      </c>
      <c r="J418" s="83" t="b">
        <v>0</v>
      </c>
      <c r="K418" s="83" t="b">
        <v>0</v>
      </c>
      <c r="L418" s="83" t="b">
        <v>0</v>
      </c>
    </row>
    <row r="419" spans="1:12" ht="15">
      <c r="A419" s="84" t="s">
        <v>1654</v>
      </c>
      <c r="B419" s="83" t="s">
        <v>1449</v>
      </c>
      <c r="C419" s="83">
        <v>2</v>
      </c>
      <c r="D419" s="110">
        <v>0.0021484733739836645</v>
      </c>
      <c r="E419" s="110">
        <v>2.0447297612625106</v>
      </c>
      <c r="F419" s="83" t="s">
        <v>1378</v>
      </c>
      <c r="G419" s="83" t="b">
        <v>0</v>
      </c>
      <c r="H419" s="83" t="b">
        <v>0</v>
      </c>
      <c r="I419" s="83" t="b">
        <v>0</v>
      </c>
      <c r="J419" s="83" t="b">
        <v>0</v>
      </c>
      <c r="K419" s="83" t="b">
        <v>0</v>
      </c>
      <c r="L419" s="83" t="b">
        <v>0</v>
      </c>
    </row>
    <row r="420" spans="1:12" ht="15">
      <c r="A420" s="84" t="s">
        <v>1775</v>
      </c>
      <c r="B420" s="83" t="s">
        <v>1592</v>
      </c>
      <c r="C420" s="83">
        <v>2</v>
      </c>
      <c r="D420" s="110">
        <v>0.0021484733739836645</v>
      </c>
      <c r="E420" s="110">
        <v>2.6601537141484544</v>
      </c>
      <c r="F420" s="83" t="s">
        <v>1378</v>
      </c>
      <c r="G420" s="83" t="b">
        <v>0</v>
      </c>
      <c r="H420" s="83" t="b">
        <v>0</v>
      </c>
      <c r="I420" s="83" t="b">
        <v>0</v>
      </c>
      <c r="J420" s="83" t="b">
        <v>0</v>
      </c>
      <c r="K420" s="83" t="b">
        <v>0</v>
      </c>
      <c r="L420" s="83" t="b">
        <v>0</v>
      </c>
    </row>
    <row r="421" spans="1:12" ht="15">
      <c r="A421" s="84" t="s">
        <v>1677</v>
      </c>
      <c r="B421" s="83" t="s">
        <v>1429</v>
      </c>
      <c r="C421" s="83">
        <v>2</v>
      </c>
      <c r="D421" s="110">
        <v>0.0018400410013771264</v>
      </c>
      <c r="E421" s="110">
        <v>1.4840624550927732</v>
      </c>
      <c r="F421" s="83" t="s">
        <v>1378</v>
      </c>
      <c r="G421" s="83" t="b">
        <v>0</v>
      </c>
      <c r="H421" s="83" t="b">
        <v>0</v>
      </c>
      <c r="I421" s="83" t="b">
        <v>0</v>
      </c>
      <c r="J421" s="83" t="b">
        <v>0</v>
      </c>
      <c r="K421" s="83" t="b">
        <v>0</v>
      </c>
      <c r="L421" s="83" t="b">
        <v>0</v>
      </c>
    </row>
    <row r="422" spans="1:12" ht="15">
      <c r="A422" s="84" t="s">
        <v>1470</v>
      </c>
      <c r="B422" s="83" t="s">
        <v>1430</v>
      </c>
      <c r="C422" s="83">
        <v>2</v>
      </c>
      <c r="D422" s="110">
        <v>0.0018400410013771264</v>
      </c>
      <c r="E422" s="110">
        <v>1.0948963707282409</v>
      </c>
      <c r="F422" s="83" t="s">
        <v>1378</v>
      </c>
      <c r="G422" s="83" t="b">
        <v>0</v>
      </c>
      <c r="H422" s="83" t="b">
        <v>0</v>
      </c>
      <c r="I422" s="83" t="b">
        <v>0</v>
      </c>
      <c r="J422" s="83" t="b">
        <v>0</v>
      </c>
      <c r="K422" s="83" t="b">
        <v>0</v>
      </c>
      <c r="L422" s="83" t="b">
        <v>0</v>
      </c>
    </row>
    <row r="423" spans="1:12" ht="15">
      <c r="A423" s="84" t="s">
        <v>1500</v>
      </c>
      <c r="B423" s="83" t="s">
        <v>1431</v>
      </c>
      <c r="C423" s="83">
        <v>2</v>
      </c>
      <c r="D423" s="110">
        <v>0.0018400410013771264</v>
      </c>
      <c r="E423" s="110">
        <v>1.4171156654621602</v>
      </c>
      <c r="F423" s="83" t="s">
        <v>1378</v>
      </c>
      <c r="G423" s="83" t="b">
        <v>0</v>
      </c>
      <c r="H423" s="83" t="b">
        <v>0</v>
      </c>
      <c r="I423" s="83" t="b">
        <v>0</v>
      </c>
      <c r="J423" s="83" t="b">
        <v>0</v>
      </c>
      <c r="K423" s="83" t="b">
        <v>0</v>
      </c>
      <c r="L423" s="83" t="b">
        <v>0</v>
      </c>
    </row>
    <row r="424" spans="1:12" ht="15">
      <c r="A424" s="84" t="s">
        <v>1430</v>
      </c>
      <c r="B424" s="83" t="s">
        <v>1487</v>
      </c>
      <c r="C424" s="83">
        <v>2</v>
      </c>
      <c r="D424" s="110">
        <v>0.0018400410013771264</v>
      </c>
      <c r="E424" s="110">
        <v>1.3591237184844733</v>
      </c>
      <c r="F424" s="83" t="s">
        <v>1378</v>
      </c>
      <c r="G424" s="83" t="b">
        <v>0</v>
      </c>
      <c r="H424" s="83" t="b">
        <v>0</v>
      </c>
      <c r="I424" s="83" t="b">
        <v>0</v>
      </c>
      <c r="J424" s="83" t="b">
        <v>0</v>
      </c>
      <c r="K424" s="83" t="b">
        <v>0</v>
      </c>
      <c r="L424" s="83" t="b">
        <v>0</v>
      </c>
    </row>
    <row r="425" spans="1:12" ht="15">
      <c r="A425" s="84" t="s">
        <v>1487</v>
      </c>
      <c r="B425" s="83" t="s">
        <v>1431</v>
      </c>
      <c r="C425" s="83">
        <v>2</v>
      </c>
      <c r="D425" s="110">
        <v>0.0018400410013771264</v>
      </c>
      <c r="E425" s="110">
        <v>1.5140256784702164</v>
      </c>
      <c r="F425" s="83" t="s">
        <v>1378</v>
      </c>
      <c r="G425" s="83" t="b">
        <v>0</v>
      </c>
      <c r="H425" s="83" t="b">
        <v>0</v>
      </c>
      <c r="I425" s="83" t="b">
        <v>0</v>
      </c>
      <c r="J425" s="83" t="b">
        <v>0</v>
      </c>
      <c r="K425" s="83" t="b">
        <v>0</v>
      </c>
      <c r="L425" s="83" t="b">
        <v>0</v>
      </c>
    </row>
    <row r="426" spans="1:12" ht="15">
      <c r="A426" s="84" t="s">
        <v>1817</v>
      </c>
      <c r="B426" s="83" t="s">
        <v>1681</v>
      </c>
      <c r="C426" s="83">
        <v>2</v>
      </c>
      <c r="D426" s="110">
        <v>0.0018400410013771264</v>
      </c>
      <c r="E426" s="110">
        <v>2.7850924507567543</v>
      </c>
      <c r="F426" s="83" t="s">
        <v>1378</v>
      </c>
      <c r="G426" s="83" t="b">
        <v>1</v>
      </c>
      <c r="H426" s="83" t="b">
        <v>0</v>
      </c>
      <c r="I426" s="83" t="b">
        <v>0</v>
      </c>
      <c r="J426" s="83" t="b">
        <v>0</v>
      </c>
      <c r="K426" s="83" t="b">
        <v>0</v>
      </c>
      <c r="L426" s="83" t="b">
        <v>0</v>
      </c>
    </row>
    <row r="427" spans="1:12" ht="15">
      <c r="A427" s="84" t="s">
        <v>1453</v>
      </c>
      <c r="B427" s="83" t="s">
        <v>1840</v>
      </c>
      <c r="C427" s="83">
        <v>2</v>
      </c>
      <c r="D427" s="110">
        <v>0.0021484733739836645</v>
      </c>
      <c r="E427" s="110">
        <v>2.6601537141484544</v>
      </c>
      <c r="F427" s="83" t="s">
        <v>1378</v>
      </c>
      <c r="G427" s="83" t="b">
        <v>0</v>
      </c>
      <c r="H427" s="83" t="b">
        <v>0</v>
      </c>
      <c r="I427" s="83" t="b">
        <v>0</v>
      </c>
      <c r="J427" s="83" t="b">
        <v>0</v>
      </c>
      <c r="K427" s="83" t="b">
        <v>0</v>
      </c>
      <c r="L427" s="83" t="b">
        <v>0</v>
      </c>
    </row>
    <row r="428" spans="1:12" ht="15">
      <c r="A428" s="84" t="s">
        <v>1840</v>
      </c>
      <c r="B428" s="83" t="s">
        <v>1841</v>
      </c>
      <c r="C428" s="83">
        <v>2</v>
      </c>
      <c r="D428" s="110">
        <v>0.0021484733739836645</v>
      </c>
      <c r="E428" s="110">
        <v>2.9611837098124356</v>
      </c>
      <c r="F428" s="83" t="s">
        <v>1378</v>
      </c>
      <c r="G428" s="83" t="b">
        <v>0</v>
      </c>
      <c r="H428" s="83" t="b">
        <v>0</v>
      </c>
      <c r="I428" s="83" t="b">
        <v>0</v>
      </c>
      <c r="J428" s="83" t="b">
        <v>0</v>
      </c>
      <c r="K428" s="83" t="b">
        <v>0</v>
      </c>
      <c r="L428" s="83" t="b">
        <v>0</v>
      </c>
    </row>
    <row r="429" spans="1:12" ht="15">
      <c r="A429" s="84" t="s">
        <v>1472</v>
      </c>
      <c r="B429" s="83" t="s">
        <v>1431</v>
      </c>
      <c r="C429" s="83">
        <v>2</v>
      </c>
      <c r="D429" s="110">
        <v>0.0021484733739836645</v>
      </c>
      <c r="E429" s="110">
        <v>1.161843160358854</v>
      </c>
      <c r="F429" s="83" t="s">
        <v>1378</v>
      </c>
      <c r="G429" s="83" t="b">
        <v>0</v>
      </c>
      <c r="H429" s="83" t="b">
        <v>0</v>
      </c>
      <c r="I429" s="83" t="b">
        <v>0</v>
      </c>
      <c r="J429" s="83" t="b">
        <v>0</v>
      </c>
      <c r="K429" s="83" t="b">
        <v>0</v>
      </c>
      <c r="L429" s="83" t="b">
        <v>0</v>
      </c>
    </row>
    <row r="430" spans="1:12" ht="15">
      <c r="A430" s="84" t="s">
        <v>1430</v>
      </c>
      <c r="B430" s="83" t="s">
        <v>1428</v>
      </c>
      <c r="C430" s="83">
        <v>2</v>
      </c>
      <c r="D430" s="110">
        <v>0.0018400410013771264</v>
      </c>
      <c r="E430" s="110">
        <v>0.14163977427056698</v>
      </c>
      <c r="F430" s="83" t="s">
        <v>1378</v>
      </c>
      <c r="G430" s="83" t="b">
        <v>0</v>
      </c>
      <c r="H430" s="83" t="b">
        <v>0</v>
      </c>
      <c r="I430" s="83" t="b">
        <v>0</v>
      </c>
      <c r="J430" s="83" t="b">
        <v>0</v>
      </c>
      <c r="K430" s="83" t="b">
        <v>0</v>
      </c>
      <c r="L430" s="83" t="b">
        <v>0</v>
      </c>
    </row>
    <row r="431" spans="1:12" ht="15">
      <c r="A431" s="84" t="s">
        <v>1706</v>
      </c>
      <c r="B431" s="83" t="s">
        <v>1447</v>
      </c>
      <c r="C431" s="83">
        <v>2</v>
      </c>
      <c r="D431" s="110">
        <v>0.0018400410013771264</v>
      </c>
      <c r="E431" s="110">
        <v>2.1318799369814108</v>
      </c>
      <c r="F431" s="83" t="s">
        <v>1378</v>
      </c>
      <c r="G431" s="83" t="b">
        <v>0</v>
      </c>
      <c r="H431" s="83" t="b">
        <v>0</v>
      </c>
      <c r="I431" s="83" t="b">
        <v>0</v>
      </c>
      <c r="J431" s="83" t="b">
        <v>0</v>
      </c>
      <c r="K431" s="83" t="b">
        <v>0</v>
      </c>
      <c r="L431" s="83" t="b">
        <v>0</v>
      </c>
    </row>
    <row r="432" spans="1:12" ht="15">
      <c r="A432" s="84" t="s">
        <v>1447</v>
      </c>
      <c r="B432" s="83" t="s">
        <v>1518</v>
      </c>
      <c r="C432" s="83">
        <v>2</v>
      </c>
      <c r="D432" s="110">
        <v>0.0018400410013771264</v>
      </c>
      <c r="E432" s="110">
        <v>1.7850924507567545</v>
      </c>
      <c r="F432" s="83" t="s">
        <v>1378</v>
      </c>
      <c r="G432" s="83" t="b">
        <v>0</v>
      </c>
      <c r="H432" s="83" t="b">
        <v>0</v>
      </c>
      <c r="I432" s="83" t="b">
        <v>0</v>
      </c>
      <c r="J432" s="83" t="b">
        <v>0</v>
      </c>
      <c r="K432" s="83" t="b">
        <v>0</v>
      </c>
      <c r="L432" s="83" t="b">
        <v>0</v>
      </c>
    </row>
    <row r="433" spans="1:12" ht="15">
      <c r="A433" s="84" t="s">
        <v>1530</v>
      </c>
      <c r="B433" s="83" t="s">
        <v>1466</v>
      </c>
      <c r="C433" s="83">
        <v>2</v>
      </c>
      <c r="D433" s="110">
        <v>0.0018400410013771264</v>
      </c>
      <c r="E433" s="110">
        <v>2.0861224464207355</v>
      </c>
      <c r="F433" s="83" t="s">
        <v>1378</v>
      </c>
      <c r="G433" s="83" t="b">
        <v>1</v>
      </c>
      <c r="H433" s="83" t="b">
        <v>0</v>
      </c>
      <c r="I433" s="83" t="b">
        <v>0</v>
      </c>
      <c r="J433" s="83" t="b">
        <v>0</v>
      </c>
      <c r="K433" s="83" t="b">
        <v>0</v>
      </c>
      <c r="L433" s="83" t="b">
        <v>0</v>
      </c>
    </row>
    <row r="434" spans="1:12" ht="15">
      <c r="A434" s="84" t="s">
        <v>1914</v>
      </c>
      <c r="B434" s="83" t="s">
        <v>1486</v>
      </c>
      <c r="C434" s="83">
        <v>2</v>
      </c>
      <c r="D434" s="110">
        <v>0.0021484733739836645</v>
      </c>
      <c r="E434" s="110">
        <v>2.359123718484473</v>
      </c>
      <c r="F434" s="83" t="s">
        <v>1378</v>
      </c>
      <c r="G434" s="83" t="b">
        <v>0</v>
      </c>
      <c r="H434" s="83" t="b">
        <v>0</v>
      </c>
      <c r="I434" s="83" t="b">
        <v>0</v>
      </c>
      <c r="J434" s="83" t="b">
        <v>0</v>
      </c>
      <c r="K434" s="83" t="b">
        <v>0</v>
      </c>
      <c r="L434" s="83" t="b">
        <v>0</v>
      </c>
    </row>
    <row r="435" spans="1:12" ht="15">
      <c r="A435" s="84" t="s">
        <v>1437</v>
      </c>
      <c r="B435" s="83" t="s">
        <v>1578</v>
      </c>
      <c r="C435" s="83">
        <v>2</v>
      </c>
      <c r="D435" s="110">
        <v>0.0018400410013771264</v>
      </c>
      <c r="E435" s="110">
        <v>1.8642736968043792</v>
      </c>
      <c r="F435" s="83" t="s">
        <v>1378</v>
      </c>
      <c r="G435" s="83" t="b">
        <v>0</v>
      </c>
      <c r="H435" s="83" t="b">
        <v>0</v>
      </c>
      <c r="I435" s="83" t="b">
        <v>0</v>
      </c>
      <c r="J435" s="83" t="b">
        <v>0</v>
      </c>
      <c r="K435" s="83" t="b">
        <v>0</v>
      </c>
      <c r="L435" s="83" t="b">
        <v>0</v>
      </c>
    </row>
    <row r="436" spans="1:12" ht="15">
      <c r="A436" s="84" t="s">
        <v>1432</v>
      </c>
      <c r="B436" s="83" t="s">
        <v>1603</v>
      </c>
      <c r="C436" s="83">
        <v>2</v>
      </c>
      <c r="D436" s="110">
        <v>0.0018400410013771264</v>
      </c>
      <c r="E436" s="110">
        <v>1.7059112047091296</v>
      </c>
      <c r="F436" s="83" t="s">
        <v>1378</v>
      </c>
      <c r="G436" s="83" t="b">
        <v>0</v>
      </c>
      <c r="H436" s="83" t="b">
        <v>0</v>
      </c>
      <c r="I436" s="83" t="b">
        <v>0</v>
      </c>
      <c r="J436" s="83" t="b">
        <v>0</v>
      </c>
      <c r="K436" s="83" t="b">
        <v>0</v>
      </c>
      <c r="L436" s="83" t="b">
        <v>0</v>
      </c>
    </row>
    <row r="437" spans="1:12" ht="15">
      <c r="A437" s="84" t="s">
        <v>1603</v>
      </c>
      <c r="B437" s="83" t="s">
        <v>1642</v>
      </c>
      <c r="C437" s="83">
        <v>2</v>
      </c>
      <c r="D437" s="110">
        <v>0.0018400410013771264</v>
      </c>
      <c r="E437" s="110">
        <v>2.359123718484473</v>
      </c>
      <c r="F437" s="83" t="s">
        <v>1378</v>
      </c>
      <c r="G437" s="83" t="b">
        <v>0</v>
      </c>
      <c r="H437" s="83" t="b">
        <v>0</v>
      </c>
      <c r="I437" s="83" t="b">
        <v>0</v>
      </c>
      <c r="J437" s="83" t="b">
        <v>0</v>
      </c>
      <c r="K437" s="83" t="b">
        <v>0</v>
      </c>
      <c r="L437" s="83" t="b">
        <v>0</v>
      </c>
    </row>
    <row r="438" spans="1:12" ht="15">
      <c r="A438" s="84" t="s">
        <v>1642</v>
      </c>
      <c r="B438" s="83" t="s">
        <v>1540</v>
      </c>
      <c r="C438" s="83">
        <v>2</v>
      </c>
      <c r="D438" s="110">
        <v>0.0018400410013771264</v>
      </c>
      <c r="E438" s="110">
        <v>2.6601537141484544</v>
      </c>
      <c r="F438" s="83" t="s">
        <v>1378</v>
      </c>
      <c r="G438" s="83" t="b">
        <v>0</v>
      </c>
      <c r="H438" s="83" t="b">
        <v>0</v>
      </c>
      <c r="I438" s="83" t="b">
        <v>0</v>
      </c>
      <c r="J438" s="83" t="b">
        <v>0</v>
      </c>
      <c r="K438" s="83" t="b">
        <v>0</v>
      </c>
      <c r="L438" s="83" t="b">
        <v>0</v>
      </c>
    </row>
    <row r="439" spans="1:12" ht="15">
      <c r="A439" s="84" t="s">
        <v>1540</v>
      </c>
      <c r="B439" s="83" t="s">
        <v>2018</v>
      </c>
      <c r="C439" s="83">
        <v>2</v>
      </c>
      <c r="D439" s="110">
        <v>0.0018400410013771264</v>
      </c>
      <c r="E439" s="110">
        <v>2.7850924507567543</v>
      </c>
      <c r="F439" s="83" t="s">
        <v>1378</v>
      </c>
      <c r="G439" s="83" t="b">
        <v>0</v>
      </c>
      <c r="H439" s="83" t="b">
        <v>0</v>
      </c>
      <c r="I439" s="83" t="b">
        <v>0</v>
      </c>
      <c r="J439" s="83" t="b">
        <v>0</v>
      </c>
      <c r="K439" s="83" t="b">
        <v>0</v>
      </c>
      <c r="L439" s="83" t="b">
        <v>0</v>
      </c>
    </row>
    <row r="440" spans="1:12" ht="15">
      <c r="A440" s="84" t="s">
        <v>2018</v>
      </c>
      <c r="B440" s="83" t="s">
        <v>1731</v>
      </c>
      <c r="C440" s="83">
        <v>2</v>
      </c>
      <c r="D440" s="110">
        <v>0.0018400410013771264</v>
      </c>
      <c r="E440" s="110">
        <v>2.7850924507567543</v>
      </c>
      <c r="F440" s="83" t="s">
        <v>1378</v>
      </c>
      <c r="G440" s="83" t="b">
        <v>0</v>
      </c>
      <c r="H440" s="83" t="b">
        <v>0</v>
      </c>
      <c r="I440" s="83" t="b">
        <v>0</v>
      </c>
      <c r="J440" s="83" t="b">
        <v>0</v>
      </c>
      <c r="K440" s="83" t="b">
        <v>0</v>
      </c>
      <c r="L440" s="83" t="b">
        <v>0</v>
      </c>
    </row>
    <row r="441" spans="1:12" ht="15">
      <c r="A441" s="84" t="s">
        <v>1731</v>
      </c>
      <c r="B441" s="83" t="s">
        <v>1578</v>
      </c>
      <c r="C441" s="83">
        <v>2</v>
      </c>
      <c r="D441" s="110">
        <v>0.0018400410013771264</v>
      </c>
      <c r="E441" s="110">
        <v>2.3871524420847168</v>
      </c>
      <c r="F441" s="83" t="s">
        <v>1378</v>
      </c>
      <c r="G441" s="83" t="b">
        <v>0</v>
      </c>
      <c r="H441" s="83" t="b">
        <v>0</v>
      </c>
      <c r="I441" s="83" t="b">
        <v>0</v>
      </c>
      <c r="J441" s="83" t="b">
        <v>0</v>
      </c>
      <c r="K441" s="83" t="b">
        <v>0</v>
      </c>
      <c r="L441" s="83" t="b">
        <v>0</v>
      </c>
    </row>
    <row r="442" spans="1:12" ht="15">
      <c r="A442" s="84" t="s">
        <v>1432</v>
      </c>
      <c r="B442" s="83" t="s">
        <v>1478</v>
      </c>
      <c r="C442" s="83">
        <v>2</v>
      </c>
      <c r="D442" s="110">
        <v>0.0018400410013771264</v>
      </c>
      <c r="E442" s="110">
        <v>1.5298199456534485</v>
      </c>
      <c r="F442" s="83" t="s">
        <v>1378</v>
      </c>
      <c r="G442" s="83" t="b">
        <v>0</v>
      </c>
      <c r="H442" s="83" t="b">
        <v>0</v>
      </c>
      <c r="I442" s="83" t="b">
        <v>0</v>
      </c>
      <c r="J442" s="83" t="b">
        <v>0</v>
      </c>
      <c r="K442" s="83" t="b">
        <v>0</v>
      </c>
      <c r="L442" s="83" t="b">
        <v>0</v>
      </c>
    </row>
    <row r="443" spans="1:12" ht="15">
      <c r="A443" s="84" t="s">
        <v>1478</v>
      </c>
      <c r="B443" s="83" t="s">
        <v>1642</v>
      </c>
      <c r="C443" s="83">
        <v>2</v>
      </c>
      <c r="D443" s="110">
        <v>0.0018400410013771264</v>
      </c>
      <c r="E443" s="110">
        <v>2.183032459428792</v>
      </c>
      <c r="F443" s="83" t="s">
        <v>1378</v>
      </c>
      <c r="G443" s="83" t="b">
        <v>0</v>
      </c>
      <c r="H443" s="83" t="b">
        <v>0</v>
      </c>
      <c r="I443" s="83" t="b">
        <v>0</v>
      </c>
      <c r="J443" s="83" t="b">
        <v>0</v>
      </c>
      <c r="K443" s="83" t="b">
        <v>0</v>
      </c>
      <c r="L443" s="83" t="b">
        <v>0</v>
      </c>
    </row>
    <row r="444" spans="1:12" ht="15">
      <c r="A444" s="84" t="s">
        <v>1474</v>
      </c>
      <c r="B444" s="83" t="s">
        <v>1478</v>
      </c>
      <c r="C444" s="83">
        <v>2</v>
      </c>
      <c r="D444" s="110">
        <v>0.0018400410013771264</v>
      </c>
      <c r="E444" s="110">
        <v>1.8308499413174295</v>
      </c>
      <c r="F444" s="83" t="s">
        <v>1378</v>
      </c>
      <c r="G444" s="83" t="b">
        <v>0</v>
      </c>
      <c r="H444" s="83" t="b">
        <v>0</v>
      </c>
      <c r="I444" s="83" t="b">
        <v>0</v>
      </c>
      <c r="J444" s="83" t="b">
        <v>0</v>
      </c>
      <c r="K444" s="83" t="b">
        <v>0</v>
      </c>
      <c r="L444" s="83" t="b">
        <v>0</v>
      </c>
    </row>
    <row r="445" spans="1:12" ht="15">
      <c r="A445" s="84" t="s">
        <v>1478</v>
      </c>
      <c r="B445" s="83" t="s">
        <v>1448</v>
      </c>
      <c r="C445" s="83">
        <v>2</v>
      </c>
      <c r="D445" s="110">
        <v>0.0018400410013771264</v>
      </c>
      <c r="E445" s="110">
        <v>1.6389644150785165</v>
      </c>
      <c r="F445" s="83" t="s">
        <v>1378</v>
      </c>
      <c r="G445" s="83" t="b">
        <v>0</v>
      </c>
      <c r="H445" s="83" t="b">
        <v>0</v>
      </c>
      <c r="I445" s="83" t="b">
        <v>0</v>
      </c>
      <c r="J445" s="83" t="b">
        <v>0</v>
      </c>
      <c r="K445" s="83" t="b">
        <v>0</v>
      </c>
      <c r="L445" s="83" t="b">
        <v>0</v>
      </c>
    </row>
    <row r="446" spans="1:12" ht="15">
      <c r="A446" s="84" t="s">
        <v>1444</v>
      </c>
      <c r="B446" s="83" t="s">
        <v>1453</v>
      </c>
      <c r="C446" s="83">
        <v>10</v>
      </c>
      <c r="D446" s="110">
        <v>0.024533540453850543</v>
      </c>
      <c r="E446" s="110">
        <v>1.3180633349627615</v>
      </c>
      <c r="F446" s="83" t="s">
        <v>1380</v>
      </c>
      <c r="G446" s="83" t="b">
        <v>0</v>
      </c>
      <c r="H446" s="83" t="b">
        <v>0</v>
      </c>
      <c r="I446" s="83" t="b">
        <v>0</v>
      </c>
      <c r="J446" s="83" t="b">
        <v>0</v>
      </c>
      <c r="K446" s="83" t="b">
        <v>0</v>
      </c>
      <c r="L446" s="83" t="b">
        <v>0</v>
      </c>
    </row>
    <row r="447" spans="1:12" ht="15">
      <c r="A447" s="84" t="s">
        <v>1453</v>
      </c>
      <c r="B447" s="83" t="s">
        <v>1573</v>
      </c>
      <c r="C447" s="83">
        <v>5</v>
      </c>
      <c r="D447" s="110">
        <v>0.018810900567446602</v>
      </c>
      <c r="E447" s="110">
        <v>1.3180633349627615</v>
      </c>
      <c r="F447" s="83" t="s">
        <v>1380</v>
      </c>
      <c r="G447" s="83" t="b">
        <v>0</v>
      </c>
      <c r="H447" s="83" t="b">
        <v>0</v>
      </c>
      <c r="I447" s="83" t="b">
        <v>0</v>
      </c>
      <c r="J447" s="83" t="b">
        <v>0</v>
      </c>
      <c r="K447" s="83" t="b">
        <v>0</v>
      </c>
      <c r="L447" s="83" t="b">
        <v>0</v>
      </c>
    </row>
    <row r="448" spans="1:12" ht="15">
      <c r="A448" s="84" t="s">
        <v>1573</v>
      </c>
      <c r="B448" s="83" t="s">
        <v>1574</v>
      </c>
      <c r="C448" s="83">
        <v>5</v>
      </c>
      <c r="D448" s="110">
        <v>0.018810900567446602</v>
      </c>
      <c r="E448" s="110">
        <v>1.6190933306267428</v>
      </c>
      <c r="F448" s="83" t="s">
        <v>1380</v>
      </c>
      <c r="G448" s="83" t="b">
        <v>0</v>
      </c>
      <c r="H448" s="83" t="b">
        <v>0</v>
      </c>
      <c r="I448" s="83" t="b">
        <v>0</v>
      </c>
      <c r="J448" s="83" t="b">
        <v>0</v>
      </c>
      <c r="K448" s="83" t="b">
        <v>0</v>
      </c>
      <c r="L448" s="83" t="b">
        <v>0</v>
      </c>
    </row>
    <row r="449" spans="1:12" ht="15">
      <c r="A449" s="84" t="s">
        <v>1597</v>
      </c>
      <c r="B449" s="83" t="s">
        <v>1496</v>
      </c>
      <c r="C449" s="83">
        <v>3</v>
      </c>
      <c r="D449" s="110">
        <v>0.011286540340467962</v>
      </c>
      <c r="E449" s="110">
        <v>1.8409420802430991</v>
      </c>
      <c r="F449" s="83" t="s">
        <v>1380</v>
      </c>
      <c r="G449" s="83" t="b">
        <v>0</v>
      </c>
      <c r="H449" s="83" t="b">
        <v>0</v>
      </c>
      <c r="I449" s="83" t="b">
        <v>0</v>
      </c>
      <c r="J449" s="83" t="b">
        <v>0</v>
      </c>
      <c r="K449" s="83" t="b">
        <v>0</v>
      </c>
      <c r="L449" s="83" t="b">
        <v>0</v>
      </c>
    </row>
    <row r="450" spans="1:12" ht="15">
      <c r="A450" s="84" t="s">
        <v>1496</v>
      </c>
      <c r="B450" s="83" t="s">
        <v>1432</v>
      </c>
      <c r="C450" s="83">
        <v>3</v>
      </c>
      <c r="D450" s="110">
        <v>0.011286540340467962</v>
      </c>
      <c r="E450" s="110">
        <v>1.5399120845791179</v>
      </c>
      <c r="F450" s="83" t="s">
        <v>1380</v>
      </c>
      <c r="G450" s="83" t="b">
        <v>0</v>
      </c>
      <c r="H450" s="83" t="b">
        <v>0</v>
      </c>
      <c r="I450" s="83" t="b">
        <v>0</v>
      </c>
      <c r="J450" s="83" t="b">
        <v>0</v>
      </c>
      <c r="K450" s="83" t="b">
        <v>0</v>
      </c>
      <c r="L450" s="83" t="b">
        <v>0</v>
      </c>
    </row>
    <row r="451" spans="1:12" ht="15">
      <c r="A451" s="84" t="s">
        <v>1428</v>
      </c>
      <c r="B451" s="83" t="s">
        <v>1660</v>
      </c>
      <c r="C451" s="83">
        <v>3</v>
      </c>
      <c r="D451" s="110">
        <v>0.011286540340467962</v>
      </c>
      <c r="E451" s="110">
        <v>1.6190933306267428</v>
      </c>
      <c r="F451" s="83" t="s">
        <v>1380</v>
      </c>
      <c r="G451" s="83" t="b">
        <v>0</v>
      </c>
      <c r="H451" s="83" t="b">
        <v>0</v>
      </c>
      <c r="I451" s="83" t="b">
        <v>0</v>
      </c>
      <c r="J451" s="83" t="b">
        <v>0</v>
      </c>
      <c r="K451" s="83" t="b">
        <v>0</v>
      </c>
      <c r="L451" s="83" t="b">
        <v>0</v>
      </c>
    </row>
    <row r="452" spans="1:12" ht="15">
      <c r="A452" s="84" t="s">
        <v>1660</v>
      </c>
      <c r="B452" s="83" t="s">
        <v>1444</v>
      </c>
      <c r="C452" s="83">
        <v>3</v>
      </c>
      <c r="D452" s="110">
        <v>0.011286540340467962</v>
      </c>
      <c r="E452" s="110">
        <v>1.3180633349627615</v>
      </c>
      <c r="F452" s="83" t="s">
        <v>1380</v>
      </c>
      <c r="G452" s="83" t="b">
        <v>0</v>
      </c>
      <c r="H452" s="83" t="b">
        <v>0</v>
      </c>
      <c r="I452" s="83" t="b">
        <v>0</v>
      </c>
      <c r="J452" s="83" t="b">
        <v>0</v>
      </c>
      <c r="K452" s="83" t="b">
        <v>0</v>
      </c>
      <c r="L452" s="83" t="b">
        <v>0</v>
      </c>
    </row>
    <row r="453" spans="1:12" ht="15">
      <c r="A453" s="84" t="s">
        <v>1453</v>
      </c>
      <c r="B453" s="83" t="s">
        <v>1661</v>
      </c>
      <c r="C453" s="83">
        <v>3</v>
      </c>
      <c r="D453" s="110">
        <v>0.011286540340467962</v>
      </c>
      <c r="E453" s="110">
        <v>1.3180633349627615</v>
      </c>
      <c r="F453" s="83" t="s">
        <v>1380</v>
      </c>
      <c r="G453" s="83" t="b">
        <v>0</v>
      </c>
      <c r="H453" s="83" t="b">
        <v>0</v>
      </c>
      <c r="I453" s="83" t="b">
        <v>0</v>
      </c>
      <c r="J453" s="83" t="b">
        <v>0</v>
      </c>
      <c r="K453" s="83" t="b">
        <v>0</v>
      </c>
      <c r="L453" s="83" t="b">
        <v>0</v>
      </c>
    </row>
    <row r="454" spans="1:12" ht="15">
      <c r="A454" s="84" t="s">
        <v>1661</v>
      </c>
      <c r="B454" s="83" t="s">
        <v>1662</v>
      </c>
      <c r="C454" s="83">
        <v>3</v>
      </c>
      <c r="D454" s="110">
        <v>0.011286540340467962</v>
      </c>
      <c r="E454" s="110">
        <v>1.8409420802430991</v>
      </c>
      <c r="F454" s="83" t="s">
        <v>1380</v>
      </c>
      <c r="G454" s="83" t="b">
        <v>0</v>
      </c>
      <c r="H454" s="83" t="b">
        <v>0</v>
      </c>
      <c r="I454" s="83" t="b">
        <v>0</v>
      </c>
      <c r="J454" s="83" t="b">
        <v>0</v>
      </c>
      <c r="K454" s="83" t="b">
        <v>0</v>
      </c>
      <c r="L454" s="83" t="b">
        <v>0</v>
      </c>
    </row>
    <row r="455" spans="1:12" ht="15">
      <c r="A455" s="84" t="s">
        <v>1662</v>
      </c>
      <c r="B455" s="83" t="s">
        <v>1432</v>
      </c>
      <c r="C455" s="83">
        <v>3</v>
      </c>
      <c r="D455" s="110">
        <v>0.011286540340467962</v>
      </c>
      <c r="E455" s="110">
        <v>1.5399120845791179</v>
      </c>
      <c r="F455" s="83" t="s">
        <v>1380</v>
      </c>
      <c r="G455" s="83" t="b">
        <v>0</v>
      </c>
      <c r="H455" s="83" t="b">
        <v>0</v>
      </c>
      <c r="I455" s="83" t="b">
        <v>0</v>
      </c>
      <c r="J455" s="83" t="b">
        <v>0</v>
      </c>
      <c r="K455" s="83" t="b">
        <v>0</v>
      </c>
      <c r="L455" s="83" t="b">
        <v>0</v>
      </c>
    </row>
    <row r="456" spans="1:12" ht="15">
      <c r="A456" s="84" t="s">
        <v>1432</v>
      </c>
      <c r="B456" s="83" t="s">
        <v>1663</v>
      </c>
      <c r="C456" s="83">
        <v>3</v>
      </c>
      <c r="D456" s="110">
        <v>0.011286540340467962</v>
      </c>
      <c r="E456" s="110">
        <v>1.5399120845791179</v>
      </c>
      <c r="F456" s="83" t="s">
        <v>1380</v>
      </c>
      <c r="G456" s="83" t="b">
        <v>0</v>
      </c>
      <c r="H456" s="83" t="b">
        <v>0</v>
      </c>
      <c r="I456" s="83" t="b">
        <v>0</v>
      </c>
      <c r="J456" s="83" t="b">
        <v>0</v>
      </c>
      <c r="K456" s="83" t="b">
        <v>0</v>
      </c>
      <c r="L456" s="83" t="b">
        <v>0</v>
      </c>
    </row>
    <row r="457" spans="1:12" ht="15">
      <c r="A457" s="84" t="s">
        <v>1436</v>
      </c>
      <c r="B457" s="83" t="s">
        <v>1700</v>
      </c>
      <c r="C457" s="83">
        <v>3</v>
      </c>
      <c r="D457" s="110">
        <v>0.011286540340467962</v>
      </c>
      <c r="E457" s="110">
        <v>1.7160033436347992</v>
      </c>
      <c r="F457" s="83" t="s">
        <v>1380</v>
      </c>
      <c r="G457" s="83" t="b">
        <v>0</v>
      </c>
      <c r="H457" s="83" t="b">
        <v>0</v>
      </c>
      <c r="I457" s="83" t="b">
        <v>0</v>
      </c>
      <c r="J457" s="83" t="b">
        <v>0</v>
      </c>
      <c r="K457" s="83" t="b">
        <v>0</v>
      </c>
      <c r="L457" s="83" t="b">
        <v>0</v>
      </c>
    </row>
    <row r="458" spans="1:12" ht="15">
      <c r="A458" s="84" t="s">
        <v>1589</v>
      </c>
      <c r="B458" s="83" t="s">
        <v>1768</v>
      </c>
      <c r="C458" s="83">
        <v>2</v>
      </c>
      <c r="D458" s="110">
        <v>0.009055588566593262</v>
      </c>
      <c r="E458" s="110">
        <v>2.0170333392987803</v>
      </c>
      <c r="F458" s="83" t="s">
        <v>1380</v>
      </c>
      <c r="G458" s="83" t="b">
        <v>0</v>
      </c>
      <c r="H458" s="83" t="b">
        <v>0</v>
      </c>
      <c r="I458" s="83" t="b">
        <v>0</v>
      </c>
      <c r="J458" s="83" t="b">
        <v>0</v>
      </c>
      <c r="K458" s="83" t="b">
        <v>0</v>
      </c>
      <c r="L458" s="83" t="b">
        <v>0</v>
      </c>
    </row>
    <row r="459" spans="1:12" ht="15">
      <c r="A459" s="84" t="s">
        <v>1456</v>
      </c>
      <c r="B459" s="83" t="s">
        <v>1770</v>
      </c>
      <c r="C459" s="83">
        <v>2</v>
      </c>
      <c r="D459" s="110">
        <v>0.009055588566593262</v>
      </c>
      <c r="E459" s="110">
        <v>1.8409420802430991</v>
      </c>
      <c r="F459" s="83" t="s">
        <v>1380</v>
      </c>
      <c r="G459" s="83" t="b">
        <v>1</v>
      </c>
      <c r="H459" s="83" t="b">
        <v>0</v>
      </c>
      <c r="I459" s="83" t="b">
        <v>0</v>
      </c>
      <c r="J459" s="83" t="b">
        <v>0</v>
      </c>
      <c r="K459" s="83" t="b">
        <v>0</v>
      </c>
      <c r="L459" s="83" t="b">
        <v>0</v>
      </c>
    </row>
    <row r="460" spans="1:12" ht="15">
      <c r="A460" s="84" t="s">
        <v>1770</v>
      </c>
      <c r="B460" s="83" t="s">
        <v>1648</v>
      </c>
      <c r="C460" s="83">
        <v>2</v>
      </c>
      <c r="D460" s="110">
        <v>0.009055588566593262</v>
      </c>
      <c r="E460" s="110">
        <v>2.0170333392987803</v>
      </c>
      <c r="F460" s="83" t="s">
        <v>1380</v>
      </c>
      <c r="G460" s="83" t="b">
        <v>0</v>
      </c>
      <c r="H460" s="83" t="b">
        <v>0</v>
      </c>
      <c r="I460" s="83" t="b">
        <v>0</v>
      </c>
      <c r="J460" s="83" t="b">
        <v>0</v>
      </c>
      <c r="K460" s="83" t="b">
        <v>0</v>
      </c>
      <c r="L460" s="83" t="b">
        <v>0</v>
      </c>
    </row>
    <row r="461" spans="1:12" ht="15">
      <c r="A461" s="84" t="s">
        <v>1648</v>
      </c>
      <c r="B461" s="83" t="s">
        <v>1476</v>
      </c>
      <c r="C461" s="83">
        <v>2</v>
      </c>
      <c r="D461" s="110">
        <v>0.009055588566593262</v>
      </c>
      <c r="E461" s="110">
        <v>2.0170333392987803</v>
      </c>
      <c r="F461" s="83" t="s">
        <v>1380</v>
      </c>
      <c r="G461" s="83" t="b">
        <v>0</v>
      </c>
      <c r="H461" s="83" t="b">
        <v>0</v>
      </c>
      <c r="I461" s="83" t="b">
        <v>0</v>
      </c>
      <c r="J461" s="83" t="b">
        <v>0</v>
      </c>
      <c r="K461" s="83" t="b">
        <v>0</v>
      </c>
      <c r="L461" s="83" t="b">
        <v>0</v>
      </c>
    </row>
    <row r="462" spans="1:12" ht="15">
      <c r="A462" s="84" t="s">
        <v>1432</v>
      </c>
      <c r="B462" s="83" t="s">
        <v>1781</v>
      </c>
      <c r="C462" s="83">
        <v>2</v>
      </c>
      <c r="D462" s="110">
        <v>0.009055588566593262</v>
      </c>
      <c r="E462" s="110">
        <v>1.5399120845791179</v>
      </c>
      <c r="F462" s="83" t="s">
        <v>1380</v>
      </c>
      <c r="G462" s="83" t="b">
        <v>0</v>
      </c>
      <c r="H462" s="83" t="b">
        <v>0</v>
      </c>
      <c r="I462" s="83" t="b">
        <v>0</v>
      </c>
      <c r="J462" s="83" t="b">
        <v>0</v>
      </c>
      <c r="K462" s="83" t="b">
        <v>0</v>
      </c>
      <c r="L462" s="83" t="b">
        <v>0</v>
      </c>
    </row>
    <row r="463" spans="1:12" ht="15">
      <c r="A463" s="84" t="s">
        <v>1781</v>
      </c>
      <c r="B463" s="83" t="s">
        <v>1428</v>
      </c>
      <c r="C463" s="83">
        <v>2</v>
      </c>
      <c r="D463" s="110">
        <v>0.009055588566593262</v>
      </c>
      <c r="E463" s="110">
        <v>1.5399120845791179</v>
      </c>
      <c r="F463" s="83" t="s">
        <v>1380</v>
      </c>
      <c r="G463" s="83" t="b">
        <v>0</v>
      </c>
      <c r="H463" s="83" t="b">
        <v>0</v>
      </c>
      <c r="I463" s="83" t="b">
        <v>0</v>
      </c>
      <c r="J463" s="83" t="b">
        <v>0</v>
      </c>
      <c r="K463" s="83" t="b">
        <v>0</v>
      </c>
      <c r="L463" s="83" t="b">
        <v>0</v>
      </c>
    </row>
    <row r="464" spans="1:12" ht="15">
      <c r="A464" s="84" t="s">
        <v>1866</v>
      </c>
      <c r="B464" s="83" t="s">
        <v>1512</v>
      </c>
      <c r="C464" s="83">
        <v>2</v>
      </c>
      <c r="D464" s="110">
        <v>0.009055588566593262</v>
      </c>
      <c r="E464" s="110">
        <v>1.8409420802430991</v>
      </c>
      <c r="F464" s="83" t="s">
        <v>1380</v>
      </c>
      <c r="G464" s="83" t="b">
        <v>1</v>
      </c>
      <c r="H464" s="83" t="b">
        <v>0</v>
      </c>
      <c r="I464" s="83" t="b">
        <v>0</v>
      </c>
      <c r="J464" s="83" t="b">
        <v>0</v>
      </c>
      <c r="K464" s="83" t="b">
        <v>0</v>
      </c>
      <c r="L464" s="83" t="b">
        <v>0</v>
      </c>
    </row>
    <row r="465" spans="1:12" ht="15">
      <c r="A465" s="84" t="s">
        <v>1512</v>
      </c>
      <c r="B465" s="83" t="s">
        <v>1867</v>
      </c>
      <c r="C465" s="83">
        <v>2</v>
      </c>
      <c r="D465" s="110">
        <v>0.009055588566593262</v>
      </c>
      <c r="E465" s="110">
        <v>1.8409420802430991</v>
      </c>
      <c r="F465" s="83" t="s">
        <v>1380</v>
      </c>
      <c r="G465" s="83" t="b">
        <v>0</v>
      </c>
      <c r="H465" s="83" t="b">
        <v>0</v>
      </c>
      <c r="I465" s="83" t="b">
        <v>0</v>
      </c>
      <c r="J465" s="83" t="b">
        <v>0</v>
      </c>
      <c r="K465" s="83" t="b">
        <v>0</v>
      </c>
      <c r="L465" s="83" t="b">
        <v>0</v>
      </c>
    </row>
    <row r="466" spans="1:12" ht="15">
      <c r="A466" s="84" t="s">
        <v>1867</v>
      </c>
      <c r="B466" s="83" t="s">
        <v>1431</v>
      </c>
      <c r="C466" s="83">
        <v>2</v>
      </c>
      <c r="D466" s="110">
        <v>0.009055588566593262</v>
      </c>
      <c r="E466" s="110">
        <v>1.7160033436347992</v>
      </c>
      <c r="F466" s="83" t="s">
        <v>1380</v>
      </c>
      <c r="G466" s="83" t="b">
        <v>0</v>
      </c>
      <c r="H466" s="83" t="b">
        <v>0</v>
      </c>
      <c r="I466" s="83" t="b">
        <v>0</v>
      </c>
      <c r="J466" s="83" t="b">
        <v>0</v>
      </c>
      <c r="K466" s="83" t="b">
        <v>0</v>
      </c>
      <c r="L466" s="83" t="b">
        <v>0</v>
      </c>
    </row>
    <row r="467" spans="1:12" ht="15">
      <c r="A467" s="84" t="s">
        <v>1431</v>
      </c>
      <c r="B467" s="83" t="s">
        <v>1699</v>
      </c>
      <c r="C467" s="83">
        <v>2</v>
      </c>
      <c r="D467" s="110">
        <v>0.009055588566593262</v>
      </c>
      <c r="E467" s="110">
        <v>1.5399120845791179</v>
      </c>
      <c r="F467" s="83" t="s">
        <v>1380</v>
      </c>
      <c r="G467" s="83" t="b">
        <v>0</v>
      </c>
      <c r="H467" s="83" t="b">
        <v>0</v>
      </c>
      <c r="I467" s="83" t="b">
        <v>0</v>
      </c>
      <c r="J467" s="83" t="b">
        <v>0</v>
      </c>
      <c r="K467" s="83" t="b">
        <v>0</v>
      </c>
      <c r="L467" s="83" t="b">
        <v>0</v>
      </c>
    </row>
    <row r="468" spans="1:12" ht="15">
      <c r="A468" s="84" t="s">
        <v>1699</v>
      </c>
      <c r="B468" s="83" t="s">
        <v>1868</v>
      </c>
      <c r="C468" s="83">
        <v>2</v>
      </c>
      <c r="D468" s="110">
        <v>0.009055588566593262</v>
      </c>
      <c r="E468" s="110">
        <v>1.8409420802430991</v>
      </c>
      <c r="F468" s="83" t="s">
        <v>1380</v>
      </c>
      <c r="G468" s="83" t="b">
        <v>0</v>
      </c>
      <c r="H468" s="83" t="b">
        <v>0</v>
      </c>
      <c r="I468" s="83" t="b">
        <v>0</v>
      </c>
      <c r="J468" s="83" t="b">
        <v>0</v>
      </c>
      <c r="K468" s="83" t="b">
        <v>0</v>
      </c>
      <c r="L468" s="83" t="b">
        <v>0</v>
      </c>
    </row>
    <row r="469" spans="1:12" ht="15">
      <c r="A469" s="84" t="s">
        <v>1868</v>
      </c>
      <c r="B469" s="83" t="s">
        <v>1869</v>
      </c>
      <c r="C469" s="83">
        <v>2</v>
      </c>
      <c r="D469" s="110">
        <v>0.009055588566593262</v>
      </c>
      <c r="E469" s="110">
        <v>2.0170333392987803</v>
      </c>
      <c r="F469" s="83" t="s">
        <v>1380</v>
      </c>
      <c r="G469" s="83" t="b">
        <v>0</v>
      </c>
      <c r="H469" s="83" t="b">
        <v>0</v>
      </c>
      <c r="I469" s="83" t="b">
        <v>0</v>
      </c>
      <c r="J469" s="83" t="b">
        <v>0</v>
      </c>
      <c r="K469" s="83" t="b">
        <v>0</v>
      </c>
      <c r="L469" s="83" t="b">
        <v>0</v>
      </c>
    </row>
    <row r="470" spans="1:12" ht="15">
      <c r="A470" s="84" t="s">
        <v>1869</v>
      </c>
      <c r="B470" s="83" t="s">
        <v>1444</v>
      </c>
      <c r="C470" s="83">
        <v>2</v>
      </c>
      <c r="D470" s="110">
        <v>0.009055588566593262</v>
      </c>
      <c r="E470" s="110">
        <v>1.3180633349627615</v>
      </c>
      <c r="F470" s="83" t="s">
        <v>1380</v>
      </c>
      <c r="G470" s="83" t="b">
        <v>0</v>
      </c>
      <c r="H470" s="83" t="b">
        <v>0</v>
      </c>
      <c r="I470" s="83" t="b">
        <v>0</v>
      </c>
      <c r="J470" s="83" t="b">
        <v>0</v>
      </c>
      <c r="K470" s="83" t="b">
        <v>0</v>
      </c>
      <c r="L470" s="83" t="b">
        <v>0</v>
      </c>
    </row>
    <row r="471" spans="1:12" ht="15">
      <c r="A471" s="84" t="s">
        <v>1574</v>
      </c>
      <c r="B471" s="83" t="s">
        <v>1870</v>
      </c>
      <c r="C471" s="83">
        <v>2</v>
      </c>
      <c r="D471" s="110">
        <v>0.009055588566593262</v>
      </c>
      <c r="E471" s="110">
        <v>1.6190933306267428</v>
      </c>
      <c r="F471" s="83" t="s">
        <v>1380</v>
      </c>
      <c r="G471" s="83" t="b">
        <v>0</v>
      </c>
      <c r="H471" s="83" t="b">
        <v>0</v>
      </c>
      <c r="I471" s="83" t="b">
        <v>0</v>
      </c>
      <c r="J471" s="83" t="b">
        <v>0</v>
      </c>
      <c r="K471" s="83" t="b">
        <v>0</v>
      </c>
      <c r="L471" s="83" t="b">
        <v>0</v>
      </c>
    </row>
    <row r="472" spans="1:12" ht="15">
      <c r="A472" s="84" t="s">
        <v>1870</v>
      </c>
      <c r="B472" s="83" t="s">
        <v>1675</v>
      </c>
      <c r="C472" s="83">
        <v>2</v>
      </c>
      <c r="D472" s="110">
        <v>0.009055588566593262</v>
      </c>
      <c r="E472" s="110">
        <v>2.0170333392987803</v>
      </c>
      <c r="F472" s="83" t="s">
        <v>1380</v>
      </c>
      <c r="G472" s="83" t="b">
        <v>0</v>
      </c>
      <c r="H472" s="83" t="b">
        <v>0</v>
      </c>
      <c r="I472" s="83" t="b">
        <v>0</v>
      </c>
      <c r="J472" s="83" t="b">
        <v>0</v>
      </c>
      <c r="K472" s="83" t="b">
        <v>0</v>
      </c>
      <c r="L472" s="83" t="b">
        <v>0</v>
      </c>
    </row>
    <row r="473" spans="1:12" ht="15">
      <c r="A473" s="84" t="s">
        <v>1675</v>
      </c>
      <c r="B473" s="83" t="s">
        <v>1693</v>
      </c>
      <c r="C473" s="83">
        <v>2</v>
      </c>
      <c r="D473" s="110">
        <v>0.009055588566593262</v>
      </c>
      <c r="E473" s="110">
        <v>2.0170333392987803</v>
      </c>
      <c r="F473" s="83" t="s">
        <v>1380</v>
      </c>
      <c r="G473" s="83" t="b">
        <v>0</v>
      </c>
      <c r="H473" s="83" t="b">
        <v>0</v>
      </c>
      <c r="I473" s="83" t="b">
        <v>0</v>
      </c>
      <c r="J473" s="83" t="b">
        <v>0</v>
      </c>
      <c r="K473" s="83" t="b">
        <v>0</v>
      </c>
      <c r="L473" s="83" t="b">
        <v>0</v>
      </c>
    </row>
    <row r="474" spans="1:12" ht="15">
      <c r="A474" s="84" t="s">
        <v>1693</v>
      </c>
      <c r="B474" s="83" t="s">
        <v>1436</v>
      </c>
      <c r="C474" s="83">
        <v>2</v>
      </c>
      <c r="D474" s="110">
        <v>0.009055588566593262</v>
      </c>
      <c r="E474" s="110">
        <v>1.7160033436347992</v>
      </c>
      <c r="F474" s="83" t="s">
        <v>1380</v>
      </c>
      <c r="G474" s="83" t="b">
        <v>0</v>
      </c>
      <c r="H474" s="83" t="b">
        <v>0</v>
      </c>
      <c r="I474" s="83" t="b">
        <v>0</v>
      </c>
      <c r="J474" s="83" t="b">
        <v>0</v>
      </c>
      <c r="K474" s="83" t="b">
        <v>0</v>
      </c>
      <c r="L474" s="83" t="b">
        <v>0</v>
      </c>
    </row>
    <row r="475" spans="1:12" ht="15">
      <c r="A475" s="84" t="s">
        <v>1700</v>
      </c>
      <c r="B475" s="83" t="s">
        <v>1447</v>
      </c>
      <c r="C475" s="83">
        <v>2</v>
      </c>
      <c r="D475" s="110">
        <v>0.009055588566593262</v>
      </c>
      <c r="E475" s="110">
        <v>1.5399120845791179</v>
      </c>
      <c r="F475" s="83" t="s">
        <v>1380</v>
      </c>
      <c r="G475" s="83" t="b">
        <v>0</v>
      </c>
      <c r="H475" s="83" t="b">
        <v>0</v>
      </c>
      <c r="I475" s="83" t="b">
        <v>0</v>
      </c>
      <c r="J475" s="83" t="b">
        <v>0</v>
      </c>
      <c r="K475" s="83" t="b">
        <v>0</v>
      </c>
      <c r="L475" s="83" t="b">
        <v>0</v>
      </c>
    </row>
    <row r="476" spans="1:12" ht="15">
      <c r="A476" s="84" t="s">
        <v>1447</v>
      </c>
      <c r="B476" s="83" t="s">
        <v>1444</v>
      </c>
      <c r="C476" s="83">
        <v>2</v>
      </c>
      <c r="D476" s="110">
        <v>0.009055588566593262</v>
      </c>
      <c r="E476" s="110">
        <v>1.0170333392987803</v>
      </c>
      <c r="F476" s="83" t="s">
        <v>1380</v>
      </c>
      <c r="G476" s="83" t="b">
        <v>0</v>
      </c>
      <c r="H476" s="83" t="b">
        <v>0</v>
      </c>
      <c r="I476" s="83" t="b">
        <v>0</v>
      </c>
      <c r="J476" s="83" t="b">
        <v>0</v>
      </c>
      <c r="K476" s="83" t="b">
        <v>0</v>
      </c>
      <c r="L476" s="83" t="b">
        <v>0</v>
      </c>
    </row>
    <row r="477" spans="1:12" ht="15">
      <c r="A477" s="84" t="s">
        <v>1453</v>
      </c>
      <c r="B477" s="83" t="s">
        <v>1871</v>
      </c>
      <c r="C477" s="83">
        <v>2</v>
      </c>
      <c r="D477" s="110">
        <v>0.009055588566593262</v>
      </c>
      <c r="E477" s="110">
        <v>1.3180633349627615</v>
      </c>
      <c r="F477" s="83" t="s">
        <v>1380</v>
      </c>
      <c r="G477" s="83" t="b">
        <v>0</v>
      </c>
      <c r="H477" s="83" t="b">
        <v>0</v>
      </c>
      <c r="I477" s="83" t="b">
        <v>0</v>
      </c>
      <c r="J477" s="83" t="b">
        <v>0</v>
      </c>
      <c r="K477" s="83" t="b">
        <v>0</v>
      </c>
      <c r="L477" s="83" t="b">
        <v>0</v>
      </c>
    </row>
    <row r="478" spans="1:12" ht="15">
      <c r="A478" s="84" t="s">
        <v>1871</v>
      </c>
      <c r="B478" s="83" t="s">
        <v>1872</v>
      </c>
      <c r="C478" s="83">
        <v>2</v>
      </c>
      <c r="D478" s="110">
        <v>0.009055588566593262</v>
      </c>
      <c r="E478" s="110">
        <v>2.0170333392987803</v>
      </c>
      <c r="F478" s="83" t="s">
        <v>1380</v>
      </c>
      <c r="G478" s="83" t="b">
        <v>0</v>
      </c>
      <c r="H478" s="83" t="b">
        <v>0</v>
      </c>
      <c r="I478" s="83" t="b">
        <v>0</v>
      </c>
      <c r="J478" s="83" t="b">
        <v>0</v>
      </c>
      <c r="K478" s="83" t="b">
        <v>0</v>
      </c>
      <c r="L478" s="83" t="b">
        <v>0</v>
      </c>
    </row>
    <row r="479" spans="1:12" ht="15">
      <c r="A479" s="84" t="s">
        <v>1872</v>
      </c>
      <c r="B479" s="83" t="s">
        <v>1873</v>
      </c>
      <c r="C479" s="83">
        <v>2</v>
      </c>
      <c r="D479" s="110">
        <v>0.009055588566593262</v>
      </c>
      <c r="E479" s="110">
        <v>2.0170333392987803</v>
      </c>
      <c r="F479" s="83" t="s">
        <v>1380</v>
      </c>
      <c r="G479" s="83" t="b">
        <v>0</v>
      </c>
      <c r="H479" s="83" t="b">
        <v>0</v>
      </c>
      <c r="I479" s="83" t="b">
        <v>0</v>
      </c>
      <c r="J479" s="83" t="b">
        <v>0</v>
      </c>
      <c r="K479" s="83" t="b">
        <v>0</v>
      </c>
      <c r="L479" s="83" t="b">
        <v>0</v>
      </c>
    </row>
    <row r="480" spans="1:12" ht="15">
      <c r="A480" s="84" t="s">
        <v>1873</v>
      </c>
      <c r="B480" s="83" t="s">
        <v>1874</v>
      </c>
      <c r="C480" s="83">
        <v>2</v>
      </c>
      <c r="D480" s="110">
        <v>0.009055588566593262</v>
      </c>
      <c r="E480" s="110">
        <v>2.0170333392987803</v>
      </c>
      <c r="F480" s="83" t="s">
        <v>1380</v>
      </c>
      <c r="G480" s="83" t="b">
        <v>0</v>
      </c>
      <c r="H480" s="83" t="b">
        <v>0</v>
      </c>
      <c r="I480" s="83" t="b">
        <v>0</v>
      </c>
      <c r="J480" s="83" t="b">
        <v>0</v>
      </c>
      <c r="K480" s="83" t="b">
        <v>0</v>
      </c>
      <c r="L480" s="83" t="b">
        <v>0</v>
      </c>
    </row>
    <row r="481" spans="1:12" ht="15">
      <c r="A481" s="84" t="s">
        <v>1874</v>
      </c>
      <c r="B481" s="83" t="s">
        <v>1514</v>
      </c>
      <c r="C481" s="83">
        <v>2</v>
      </c>
      <c r="D481" s="110">
        <v>0.009055588566593262</v>
      </c>
      <c r="E481" s="110">
        <v>2.0170333392987803</v>
      </c>
      <c r="F481" s="83" t="s">
        <v>1380</v>
      </c>
      <c r="G481" s="83" t="b">
        <v>0</v>
      </c>
      <c r="H481" s="83" t="b">
        <v>0</v>
      </c>
      <c r="I481" s="83" t="b">
        <v>0</v>
      </c>
      <c r="J481" s="83" t="b">
        <v>0</v>
      </c>
      <c r="K481" s="83" t="b">
        <v>0</v>
      </c>
      <c r="L481" s="83" t="b">
        <v>0</v>
      </c>
    </row>
    <row r="482" spans="1:12" ht="15">
      <c r="A482" s="84" t="s">
        <v>1514</v>
      </c>
      <c r="B482" s="83" t="s">
        <v>1613</v>
      </c>
      <c r="C482" s="83">
        <v>2</v>
      </c>
      <c r="D482" s="110">
        <v>0.009055588566593262</v>
      </c>
      <c r="E482" s="110">
        <v>1.8409420802430991</v>
      </c>
      <c r="F482" s="83" t="s">
        <v>1380</v>
      </c>
      <c r="G482" s="83" t="b">
        <v>0</v>
      </c>
      <c r="H482" s="83" t="b">
        <v>0</v>
      </c>
      <c r="I482" s="83" t="b">
        <v>0</v>
      </c>
      <c r="J482" s="83" t="b">
        <v>0</v>
      </c>
      <c r="K482" s="83" t="b">
        <v>0</v>
      </c>
      <c r="L482" s="83" t="b">
        <v>0</v>
      </c>
    </row>
    <row r="483" spans="1:12" ht="15">
      <c r="A483" s="84" t="s">
        <v>1613</v>
      </c>
      <c r="B483" s="83" t="s">
        <v>1520</v>
      </c>
      <c r="C483" s="83">
        <v>2</v>
      </c>
      <c r="D483" s="110">
        <v>0.009055588566593262</v>
      </c>
      <c r="E483" s="110">
        <v>1.6648508211874178</v>
      </c>
      <c r="F483" s="83" t="s">
        <v>1380</v>
      </c>
      <c r="G483" s="83" t="b">
        <v>0</v>
      </c>
      <c r="H483" s="83" t="b">
        <v>0</v>
      </c>
      <c r="I483" s="83" t="b">
        <v>0</v>
      </c>
      <c r="J483" s="83" t="b">
        <v>0</v>
      </c>
      <c r="K483" s="83" t="b">
        <v>1</v>
      </c>
      <c r="L483" s="83" t="b">
        <v>0</v>
      </c>
    </row>
    <row r="484" spans="1:12" ht="15">
      <c r="A484" s="84" t="s">
        <v>1439</v>
      </c>
      <c r="B484" s="83" t="s">
        <v>1482</v>
      </c>
      <c r="C484" s="83">
        <v>7</v>
      </c>
      <c r="D484" s="110">
        <v>0.015437435675075958</v>
      </c>
      <c r="E484" s="110">
        <v>1.2465689175814276</v>
      </c>
      <c r="F484" s="83" t="s">
        <v>1381</v>
      </c>
      <c r="G484" s="83" t="b">
        <v>1</v>
      </c>
      <c r="H484" s="83" t="b">
        <v>0</v>
      </c>
      <c r="I484" s="83" t="b">
        <v>0</v>
      </c>
      <c r="J484" s="83" t="b">
        <v>0</v>
      </c>
      <c r="K484" s="83" t="b">
        <v>0</v>
      </c>
      <c r="L484" s="83" t="b">
        <v>0</v>
      </c>
    </row>
    <row r="485" spans="1:12" ht="15">
      <c r="A485" s="84" t="s">
        <v>1482</v>
      </c>
      <c r="B485" s="83" t="s">
        <v>1509</v>
      </c>
      <c r="C485" s="83">
        <v>7</v>
      </c>
      <c r="D485" s="110">
        <v>0.015437435675075958</v>
      </c>
      <c r="E485" s="110">
        <v>1.5475989132454089</v>
      </c>
      <c r="F485" s="83" t="s">
        <v>1381</v>
      </c>
      <c r="G485" s="83" t="b">
        <v>0</v>
      </c>
      <c r="H485" s="83" t="b">
        <v>0</v>
      </c>
      <c r="I485" s="83" t="b">
        <v>0</v>
      </c>
      <c r="J485" s="83" t="b">
        <v>1</v>
      </c>
      <c r="K485" s="83" t="b">
        <v>0</v>
      </c>
      <c r="L485" s="83" t="b">
        <v>0</v>
      </c>
    </row>
    <row r="486" spans="1:12" ht="15">
      <c r="A486" s="84" t="s">
        <v>1461</v>
      </c>
      <c r="B486" s="83" t="s">
        <v>1483</v>
      </c>
      <c r="C486" s="83">
        <v>7</v>
      </c>
      <c r="D486" s="110">
        <v>0.015437435675075958</v>
      </c>
      <c r="E486" s="110">
        <v>1.5475989132454089</v>
      </c>
      <c r="F486" s="83" t="s">
        <v>1381</v>
      </c>
      <c r="G486" s="83" t="b">
        <v>1</v>
      </c>
      <c r="H486" s="83" t="b">
        <v>0</v>
      </c>
      <c r="I486" s="83" t="b">
        <v>0</v>
      </c>
      <c r="J486" s="83" t="b">
        <v>0</v>
      </c>
      <c r="K486" s="83" t="b">
        <v>0</v>
      </c>
      <c r="L486" s="83" t="b">
        <v>0</v>
      </c>
    </row>
    <row r="487" spans="1:12" ht="15">
      <c r="A487" s="84" t="s">
        <v>1468</v>
      </c>
      <c r="B487" s="83" t="s">
        <v>1439</v>
      </c>
      <c r="C487" s="83">
        <v>6</v>
      </c>
      <c r="D487" s="110">
        <v>0.01470344573535331</v>
      </c>
      <c r="E487" s="110">
        <v>1.0247201679650713</v>
      </c>
      <c r="F487" s="83" t="s">
        <v>1381</v>
      </c>
      <c r="G487" s="83" t="b">
        <v>0</v>
      </c>
      <c r="H487" s="83" t="b">
        <v>0</v>
      </c>
      <c r="I487" s="83" t="b">
        <v>0</v>
      </c>
      <c r="J487" s="83" t="b">
        <v>1</v>
      </c>
      <c r="K487" s="83" t="b">
        <v>0</v>
      </c>
      <c r="L487" s="83" t="b">
        <v>0</v>
      </c>
    </row>
    <row r="488" spans="1:12" ht="15">
      <c r="A488" s="84" t="s">
        <v>1509</v>
      </c>
      <c r="B488" s="83" t="s">
        <v>1461</v>
      </c>
      <c r="C488" s="83">
        <v>6</v>
      </c>
      <c r="D488" s="110">
        <v>0.01470344573535331</v>
      </c>
      <c r="E488" s="110">
        <v>1.4806521236147956</v>
      </c>
      <c r="F488" s="83" t="s">
        <v>1381</v>
      </c>
      <c r="G488" s="83" t="b">
        <v>1</v>
      </c>
      <c r="H488" s="83" t="b">
        <v>0</v>
      </c>
      <c r="I488" s="83" t="b">
        <v>0</v>
      </c>
      <c r="J488" s="83" t="b">
        <v>1</v>
      </c>
      <c r="K488" s="83" t="b">
        <v>0</v>
      </c>
      <c r="L488" s="83" t="b">
        <v>0</v>
      </c>
    </row>
    <row r="489" spans="1:12" ht="15">
      <c r="A489" s="84" t="s">
        <v>1483</v>
      </c>
      <c r="B489" s="83" t="s">
        <v>1475</v>
      </c>
      <c r="C489" s="83">
        <v>6</v>
      </c>
      <c r="D489" s="110">
        <v>0.01470344573535331</v>
      </c>
      <c r="E489" s="110">
        <v>1.5475989132454089</v>
      </c>
      <c r="F489" s="83" t="s">
        <v>1381</v>
      </c>
      <c r="G489" s="83" t="b">
        <v>0</v>
      </c>
      <c r="H489" s="83" t="b">
        <v>0</v>
      </c>
      <c r="I489" s="83" t="b">
        <v>0</v>
      </c>
      <c r="J489" s="83" t="b">
        <v>0</v>
      </c>
      <c r="K489" s="83" t="b">
        <v>0</v>
      </c>
      <c r="L489" s="83" t="b">
        <v>0</v>
      </c>
    </row>
    <row r="490" spans="1:12" ht="15">
      <c r="A490" s="84" t="s">
        <v>1475</v>
      </c>
      <c r="B490" s="83" t="s">
        <v>1491</v>
      </c>
      <c r="C490" s="83">
        <v>6</v>
      </c>
      <c r="D490" s="110">
        <v>0.01470344573535331</v>
      </c>
      <c r="E490" s="110">
        <v>1.6145457028760222</v>
      </c>
      <c r="F490" s="83" t="s">
        <v>1381</v>
      </c>
      <c r="G490" s="83" t="b">
        <v>0</v>
      </c>
      <c r="H490" s="83" t="b">
        <v>0</v>
      </c>
      <c r="I490" s="83" t="b">
        <v>0</v>
      </c>
      <c r="J490" s="83" t="b">
        <v>0</v>
      </c>
      <c r="K490" s="83" t="b">
        <v>0</v>
      </c>
      <c r="L490" s="83" t="b">
        <v>0</v>
      </c>
    </row>
    <row r="491" spans="1:12" ht="15">
      <c r="A491" s="84" t="s">
        <v>1491</v>
      </c>
      <c r="B491" s="83" t="s">
        <v>1439</v>
      </c>
      <c r="C491" s="83">
        <v>6</v>
      </c>
      <c r="D491" s="110">
        <v>0.01470344573535331</v>
      </c>
      <c r="E491" s="110">
        <v>1.2465689175814276</v>
      </c>
      <c r="F491" s="83" t="s">
        <v>1381</v>
      </c>
      <c r="G491" s="83" t="b">
        <v>0</v>
      </c>
      <c r="H491" s="83" t="b">
        <v>0</v>
      </c>
      <c r="I491" s="83" t="b">
        <v>0</v>
      </c>
      <c r="J491" s="83" t="b">
        <v>1</v>
      </c>
      <c r="K491" s="83" t="b">
        <v>0</v>
      </c>
      <c r="L491" s="83" t="b">
        <v>0</v>
      </c>
    </row>
    <row r="492" spans="1:12" ht="15">
      <c r="A492" s="84" t="s">
        <v>1439</v>
      </c>
      <c r="B492" s="83" t="s">
        <v>1528</v>
      </c>
      <c r="C492" s="83">
        <v>6</v>
      </c>
      <c r="D492" s="110">
        <v>0.01470344573535331</v>
      </c>
      <c r="E492" s="110">
        <v>1.2465689175814276</v>
      </c>
      <c r="F492" s="83" t="s">
        <v>1381</v>
      </c>
      <c r="G492" s="83" t="b">
        <v>1</v>
      </c>
      <c r="H492" s="83" t="b">
        <v>0</v>
      </c>
      <c r="I492" s="83" t="b">
        <v>0</v>
      </c>
      <c r="J492" s="83" t="b">
        <v>0</v>
      </c>
      <c r="K492" s="83" t="b">
        <v>0</v>
      </c>
      <c r="L492" s="83" t="b">
        <v>0</v>
      </c>
    </row>
    <row r="493" spans="1:12" ht="15">
      <c r="A493" s="84" t="s">
        <v>1528</v>
      </c>
      <c r="B493" s="83" t="s">
        <v>1492</v>
      </c>
      <c r="C493" s="83">
        <v>6</v>
      </c>
      <c r="D493" s="110">
        <v>0.01470344573535331</v>
      </c>
      <c r="E493" s="110">
        <v>1.6145457028760222</v>
      </c>
      <c r="F493" s="83" t="s">
        <v>1381</v>
      </c>
      <c r="G493" s="83" t="b">
        <v>0</v>
      </c>
      <c r="H493" s="83" t="b">
        <v>0</v>
      </c>
      <c r="I493" s="83" t="b">
        <v>0</v>
      </c>
      <c r="J493" s="83" t="b">
        <v>0</v>
      </c>
      <c r="K493" s="83" t="b">
        <v>1</v>
      </c>
      <c r="L493" s="83" t="b">
        <v>0</v>
      </c>
    </row>
    <row r="494" spans="1:12" ht="15">
      <c r="A494" s="84" t="s">
        <v>1492</v>
      </c>
      <c r="B494" s="83" t="s">
        <v>1510</v>
      </c>
      <c r="C494" s="83">
        <v>6</v>
      </c>
      <c r="D494" s="110">
        <v>0.01470344573535331</v>
      </c>
      <c r="E494" s="110">
        <v>1.5475989132454089</v>
      </c>
      <c r="F494" s="83" t="s">
        <v>1381</v>
      </c>
      <c r="G494" s="83" t="b">
        <v>0</v>
      </c>
      <c r="H494" s="83" t="b">
        <v>1</v>
      </c>
      <c r="I494" s="83" t="b">
        <v>0</v>
      </c>
      <c r="J494" s="83" t="b">
        <v>0</v>
      </c>
      <c r="K494" s="83" t="b">
        <v>0</v>
      </c>
      <c r="L494" s="83" t="b">
        <v>0</v>
      </c>
    </row>
    <row r="495" spans="1:12" ht="15">
      <c r="A495" s="84" t="s">
        <v>1468</v>
      </c>
      <c r="B495" s="83" t="s">
        <v>1484</v>
      </c>
      <c r="C495" s="83">
        <v>3</v>
      </c>
      <c r="D495" s="110">
        <v>0.010659744798050076</v>
      </c>
      <c r="E495" s="110">
        <v>1.3926969532596658</v>
      </c>
      <c r="F495" s="83" t="s">
        <v>1381</v>
      </c>
      <c r="G495" s="83" t="b">
        <v>0</v>
      </c>
      <c r="H495" s="83" t="b">
        <v>0</v>
      </c>
      <c r="I495" s="83" t="b">
        <v>0</v>
      </c>
      <c r="J495" s="83" t="b">
        <v>1</v>
      </c>
      <c r="K495" s="83" t="b">
        <v>0</v>
      </c>
      <c r="L495" s="83" t="b">
        <v>0</v>
      </c>
    </row>
    <row r="496" spans="1:12" ht="15">
      <c r="A496" s="84" t="s">
        <v>1484</v>
      </c>
      <c r="B496" s="83" t="s">
        <v>1590</v>
      </c>
      <c r="C496" s="83">
        <v>3</v>
      </c>
      <c r="D496" s="110">
        <v>0.010659744798050076</v>
      </c>
      <c r="E496" s="110">
        <v>1.9155756985400032</v>
      </c>
      <c r="F496" s="83" t="s">
        <v>1381</v>
      </c>
      <c r="G496" s="83" t="b">
        <v>1</v>
      </c>
      <c r="H496" s="83" t="b">
        <v>0</v>
      </c>
      <c r="I496" s="83" t="b">
        <v>0</v>
      </c>
      <c r="J496" s="83" t="b">
        <v>0</v>
      </c>
      <c r="K496" s="83" t="b">
        <v>0</v>
      </c>
      <c r="L496" s="83" t="b">
        <v>0</v>
      </c>
    </row>
    <row r="497" spans="1:12" ht="15">
      <c r="A497" s="84" t="s">
        <v>1590</v>
      </c>
      <c r="B497" s="83" t="s">
        <v>1647</v>
      </c>
      <c r="C497" s="83">
        <v>3</v>
      </c>
      <c r="D497" s="110">
        <v>0.010659744798050076</v>
      </c>
      <c r="E497" s="110">
        <v>1.9155756985400032</v>
      </c>
      <c r="F497" s="83" t="s">
        <v>1381</v>
      </c>
      <c r="G497" s="83" t="b">
        <v>0</v>
      </c>
      <c r="H497" s="83" t="b">
        <v>0</v>
      </c>
      <c r="I497" s="83" t="b">
        <v>0</v>
      </c>
      <c r="J497" s="83" t="b">
        <v>0</v>
      </c>
      <c r="K497" s="83" t="b">
        <v>0</v>
      </c>
      <c r="L497" s="83" t="b">
        <v>0</v>
      </c>
    </row>
    <row r="498" spans="1:12" ht="15">
      <c r="A498" s="84" t="s">
        <v>1504</v>
      </c>
      <c r="B498" s="83" t="s">
        <v>1446</v>
      </c>
      <c r="C498" s="83">
        <v>2</v>
      </c>
      <c r="D498" s="110">
        <v>0.010601890339503437</v>
      </c>
      <c r="E498" s="110">
        <v>2.0916669575956846</v>
      </c>
      <c r="F498" s="83" t="s">
        <v>1381</v>
      </c>
      <c r="G498" s="83" t="b">
        <v>0</v>
      </c>
      <c r="H498" s="83" t="b">
        <v>0</v>
      </c>
      <c r="I498" s="83" t="b">
        <v>0</v>
      </c>
      <c r="J498" s="83" t="b">
        <v>0</v>
      </c>
      <c r="K498" s="83" t="b">
        <v>0</v>
      </c>
      <c r="L498" s="83" t="b">
        <v>0</v>
      </c>
    </row>
    <row r="499" spans="1:12" ht="15">
      <c r="A499" s="84" t="s">
        <v>1446</v>
      </c>
      <c r="B499" s="83" t="s">
        <v>1894</v>
      </c>
      <c r="C499" s="83">
        <v>2</v>
      </c>
      <c r="D499" s="110">
        <v>0.010601890339503437</v>
      </c>
      <c r="E499" s="110">
        <v>2.0916669575956846</v>
      </c>
      <c r="F499" s="83" t="s">
        <v>1381</v>
      </c>
      <c r="G499" s="83" t="b">
        <v>0</v>
      </c>
      <c r="H499" s="83" t="b">
        <v>0</v>
      </c>
      <c r="I499" s="83" t="b">
        <v>0</v>
      </c>
      <c r="J499" s="83" t="b">
        <v>0</v>
      </c>
      <c r="K499" s="83" t="b">
        <v>0</v>
      </c>
      <c r="L499" s="83" t="b">
        <v>0</v>
      </c>
    </row>
    <row r="500" spans="1:12" ht="15">
      <c r="A500" s="84" t="s">
        <v>1894</v>
      </c>
      <c r="B500" s="83" t="s">
        <v>1712</v>
      </c>
      <c r="C500" s="83">
        <v>2</v>
      </c>
      <c r="D500" s="110">
        <v>0.010601890339503437</v>
      </c>
      <c r="E500" s="110">
        <v>2.0916669575956846</v>
      </c>
      <c r="F500" s="83" t="s">
        <v>1381</v>
      </c>
      <c r="G500" s="83" t="b">
        <v>0</v>
      </c>
      <c r="H500" s="83" t="b">
        <v>0</v>
      </c>
      <c r="I500" s="83" t="b">
        <v>0</v>
      </c>
      <c r="J500" s="83" t="b">
        <v>0</v>
      </c>
      <c r="K500" s="83" t="b">
        <v>0</v>
      </c>
      <c r="L500" s="83" t="b">
        <v>0</v>
      </c>
    </row>
    <row r="501" spans="1:12" ht="15">
      <c r="A501" s="84" t="s">
        <v>1712</v>
      </c>
      <c r="B501" s="83" t="s">
        <v>1895</v>
      </c>
      <c r="C501" s="83">
        <v>2</v>
      </c>
      <c r="D501" s="110">
        <v>0.010601890339503437</v>
      </c>
      <c r="E501" s="110">
        <v>2.0916669575956846</v>
      </c>
      <c r="F501" s="83" t="s">
        <v>1381</v>
      </c>
      <c r="G501" s="83" t="b">
        <v>0</v>
      </c>
      <c r="H501" s="83" t="b">
        <v>0</v>
      </c>
      <c r="I501" s="83" t="b">
        <v>0</v>
      </c>
      <c r="J501" s="83" t="b">
        <v>0</v>
      </c>
      <c r="K501" s="83" t="b">
        <v>0</v>
      </c>
      <c r="L501" s="83" t="b">
        <v>0</v>
      </c>
    </row>
    <row r="502" spans="1:12" ht="15">
      <c r="A502" s="84" t="s">
        <v>1895</v>
      </c>
      <c r="B502" s="83" t="s">
        <v>1428</v>
      </c>
      <c r="C502" s="83">
        <v>2</v>
      </c>
      <c r="D502" s="110">
        <v>0.010601890339503437</v>
      </c>
      <c r="E502" s="110">
        <v>1.6145457028760222</v>
      </c>
      <c r="F502" s="83" t="s">
        <v>1381</v>
      </c>
      <c r="G502" s="83" t="b">
        <v>0</v>
      </c>
      <c r="H502" s="83" t="b">
        <v>0</v>
      </c>
      <c r="I502" s="83" t="b">
        <v>0</v>
      </c>
      <c r="J502" s="83" t="b">
        <v>0</v>
      </c>
      <c r="K502" s="83" t="b">
        <v>0</v>
      </c>
      <c r="L502" s="83" t="b">
        <v>0</v>
      </c>
    </row>
    <row r="503" spans="1:12" ht="15">
      <c r="A503" s="84" t="s">
        <v>1428</v>
      </c>
      <c r="B503" s="83" t="s">
        <v>1498</v>
      </c>
      <c r="C503" s="83">
        <v>2</v>
      </c>
      <c r="D503" s="110">
        <v>0.010601890339503437</v>
      </c>
      <c r="E503" s="110">
        <v>1.6937269489236468</v>
      </c>
      <c r="F503" s="83" t="s">
        <v>1381</v>
      </c>
      <c r="G503" s="83" t="b">
        <v>0</v>
      </c>
      <c r="H503" s="83" t="b">
        <v>0</v>
      </c>
      <c r="I503" s="83" t="b">
        <v>0</v>
      </c>
      <c r="J503" s="83" t="b">
        <v>0</v>
      </c>
      <c r="K503" s="83" t="b">
        <v>0</v>
      </c>
      <c r="L503" s="83" t="b">
        <v>0</v>
      </c>
    </row>
    <row r="504" spans="1:12" ht="15">
      <c r="A504" s="84" t="s">
        <v>1498</v>
      </c>
      <c r="B504" s="83" t="s">
        <v>1473</v>
      </c>
      <c r="C504" s="83">
        <v>2</v>
      </c>
      <c r="D504" s="110">
        <v>0.010601890339503437</v>
      </c>
      <c r="E504" s="110">
        <v>1.489606966267722</v>
      </c>
      <c r="F504" s="83" t="s">
        <v>1381</v>
      </c>
      <c r="G504" s="83" t="b">
        <v>0</v>
      </c>
      <c r="H504" s="83" t="b">
        <v>0</v>
      </c>
      <c r="I504" s="83" t="b">
        <v>0</v>
      </c>
      <c r="J504" s="83" t="b">
        <v>0</v>
      </c>
      <c r="K504" s="83" t="b">
        <v>0</v>
      </c>
      <c r="L504" s="83" t="b">
        <v>0</v>
      </c>
    </row>
    <row r="505" spans="1:12" ht="15">
      <c r="A505" s="84" t="s">
        <v>1473</v>
      </c>
      <c r="B505" s="83" t="s">
        <v>1429</v>
      </c>
      <c r="C505" s="83">
        <v>2</v>
      </c>
      <c r="D505" s="110">
        <v>0.010601890339503437</v>
      </c>
      <c r="E505" s="110">
        <v>1.4384544438203408</v>
      </c>
      <c r="F505" s="83" t="s">
        <v>1381</v>
      </c>
      <c r="G505" s="83" t="b">
        <v>0</v>
      </c>
      <c r="H505" s="83" t="b">
        <v>0</v>
      </c>
      <c r="I505" s="83" t="b">
        <v>0</v>
      </c>
      <c r="J505" s="83" t="b">
        <v>0</v>
      </c>
      <c r="K505" s="83" t="b">
        <v>0</v>
      </c>
      <c r="L505" s="83" t="b">
        <v>0</v>
      </c>
    </row>
    <row r="506" spans="1:12" ht="15">
      <c r="A506" s="84" t="s">
        <v>1429</v>
      </c>
      <c r="B506" s="83" t="s">
        <v>1896</v>
      </c>
      <c r="C506" s="83">
        <v>2</v>
      </c>
      <c r="D506" s="110">
        <v>0.010601890339503437</v>
      </c>
      <c r="E506" s="110">
        <v>1.9155756985400034</v>
      </c>
      <c r="F506" s="83" t="s">
        <v>1381</v>
      </c>
      <c r="G506" s="83" t="b">
        <v>0</v>
      </c>
      <c r="H506" s="83" t="b">
        <v>0</v>
      </c>
      <c r="I506" s="83" t="b">
        <v>0</v>
      </c>
      <c r="J506" s="83" t="b">
        <v>0</v>
      </c>
      <c r="K506" s="83" t="b">
        <v>0</v>
      </c>
      <c r="L506" s="83" t="b">
        <v>0</v>
      </c>
    </row>
    <row r="507" spans="1:12" ht="15">
      <c r="A507" s="84" t="s">
        <v>1896</v>
      </c>
      <c r="B507" s="83" t="s">
        <v>1525</v>
      </c>
      <c r="C507" s="83">
        <v>2</v>
      </c>
      <c r="D507" s="110">
        <v>0.010601890339503437</v>
      </c>
      <c r="E507" s="110">
        <v>1.9155756985400034</v>
      </c>
      <c r="F507" s="83" t="s">
        <v>1381</v>
      </c>
      <c r="G507" s="83" t="b">
        <v>0</v>
      </c>
      <c r="H507" s="83" t="b">
        <v>0</v>
      </c>
      <c r="I507" s="83" t="b">
        <v>0</v>
      </c>
      <c r="J507" s="83" t="b">
        <v>0</v>
      </c>
      <c r="K507" s="83" t="b">
        <v>0</v>
      </c>
      <c r="L507" s="83" t="b">
        <v>0</v>
      </c>
    </row>
    <row r="508" spans="1:12" ht="15">
      <c r="A508" s="84" t="s">
        <v>1525</v>
      </c>
      <c r="B508" s="83" t="s">
        <v>1707</v>
      </c>
      <c r="C508" s="83">
        <v>2</v>
      </c>
      <c r="D508" s="110">
        <v>0.010601890339503437</v>
      </c>
      <c r="E508" s="110">
        <v>1.9155756985400034</v>
      </c>
      <c r="F508" s="83" t="s">
        <v>1381</v>
      </c>
      <c r="G508" s="83" t="b">
        <v>0</v>
      </c>
      <c r="H508" s="83" t="b">
        <v>0</v>
      </c>
      <c r="I508" s="83" t="b">
        <v>0</v>
      </c>
      <c r="J508" s="83" t="b">
        <v>0</v>
      </c>
      <c r="K508" s="83" t="b">
        <v>0</v>
      </c>
      <c r="L508" s="83" t="b">
        <v>0</v>
      </c>
    </row>
    <row r="509" spans="1:12" ht="15">
      <c r="A509" s="84" t="s">
        <v>2049</v>
      </c>
      <c r="B509" s="83" t="s">
        <v>1481</v>
      </c>
      <c r="C509" s="83">
        <v>2</v>
      </c>
      <c r="D509" s="110">
        <v>0.010601890339503437</v>
      </c>
      <c r="E509" s="110">
        <v>2.0916669575956846</v>
      </c>
      <c r="F509" s="83" t="s">
        <v>1381</v>
      </c>
      <c r="G509" s="83" t="b">
        <v>0</v>
      </c>
      <c r="H509" s="83" t="b">
        <v>0</v>
      </c>
      <c r="I509" s="83" t="b">
        <v>0</v>
      </c>
      <c r="J509" s="83" t="b">
        <v>0</v>
      </c>
      <c r="K509" s="83" t="b">
        <v>0</v>
      </c>
      <c r="L509" s="83" t="b">
        <v>0</v>
      </c>
    </row>
    <row r="510" spans="1:12" ht="15">
      <c r="A510" s="84" t="s">
        <v>1481</v>
      </c>
      <c r="B510" s="83" t="s">
        <v>1670</v>
      </c>
      <c r="C510" s="83">
        <v>2</v>
      </c>
      <c r="D510" s="110">
        <v>0.010601890339503437</v>
      </c>
      <c r="E510" s="110">
        <v>2.0916669575956846</v>
      </c>
      <c r="F510" s="83" t="s">
        <v>1381</v>
      </c>
      <c r="G510" s="83" t="b">
        <v>0</v>
      </c>
      <c r="H510" s="83" t="b">
        <v>0</v>
      </c>
      <c r="I510" s="83" t="b">
        <v>0</v>
      </c>
      <c r="J510" s="83" t="b">
        <v>0</v>
      </c>
      <c r="K510" s="83" t="b">
        <v>0</v>
      </c>
      <c r="L510" s="83" t="b">
        <v>0</v>
      </c>
    </row>
    <row r="511" spans="1:12" ht="15">
      <c r="A511" s="84" t="s">
        <v>1670</v>
      </c>
      <c r="B511" s="83" t="s">
        <v>2050</v>
      </c>
      <c r="C511" s="83">
        <v>2</v>
      </c>
      <c r="D511" s="110">
        <v>0.010601890339503437</v>
      </c>
      <c r="E511" s="110">
        <v>2.0916669575956846</v>
      </c>
      <c r="F511" s="83" t="s">
        <v>1381</v>
      </c>
      <c r="G511" s="83" t="b">
        <v>0</v>
      </c>
      <c r="H511" s="83" t="b">
        <v>0</v>
      </c>
      <c r="I511" s="83" t="b">
        <v>0</v>
      </c>
      <c r="J511" s="83" t="b">
        <v>0</v>
      </c>
      <c r="K511" s="83" t="b">
        <v>0</v>
      </c>
      <c r="L511" s="83" t="b">
        <v>0</v>
      </c>
    </row>
    <row r="512" spans="1:12" ht="15">
      <c r="A512" s="84" t="s">
        <v>2050</v>
      </c>
      <c r="B512" s="83" t="s">
        <v>2051</v>
      </c>
      <c r="C512" s="83">
        <v>2</v>
      </c>
      <c r="D512" s="110">
        <v>0.010601890339503437</v>
      </c>
      <c r="E512" s="110">
        <v>2.0916669575956846</v>
      </c>
      <c r="F512" s="83" t="s">
        <v>1381</v>
      </c>
      <c r="G512" s="83" t="b">
        <v>0</v>
      </c>
      <c r="H512" s="83" t="b">
        <v>0</v>
      </c>
      <c r="I512" s="83" t="b">
        <v>0</v>
      </c>
      <c r="J512" s="83" t="b">
        <v>0</v>
      </c>
      <c r="K512" s="83" t="b">
        <v>0</v>
      </c>
      <c r="L512" s="83" t="b">
        <v>0</v>
      </c>
    </row>
    <row r="513" spans="1:12" ht="15">
      <c r="A513" s="84" t="s">
        <v>2051</v>
      </c>
      <c r="B513" s="83" t="s">
        <v>1544</v>
      </c>
      <c r="C513" s="83">
        <v>2</v>
      </c>
      <c r="D513" s="110">
        <v>0.010601890339503437</v>
      </c>
      <c r="E513" s="110">
        <v>2.0916669575956846</v>
      </c>
      <c r="F513" s="83" t="s">
        <v>1381</v>
      </c>
      <c r="G513" s="83" t="b">
        <v>0</v>
      </c>
      <c r="H513" s="83" t="b">
        <v>0</v>
      </c>
      <c r="I513" s="83" t="b">
        <v>0</v>
      </c>
      <c r="J513" s="83" t="b">
        <v>0</v>
      </c>
      <c r="K513" s="83" t="b">
        <v>0</v>
      </c>
      <c r="L513" s="83" t="b">
        <v>0</v>
      </c>
    </row>
    <row r="514" spans="1:12" ht="15">
      <c r="A514" s="84" t="s">
        <v>1544</v>
      </c>
      <c r="B514" s="83" t="s">
        <v>1465</v>
      </c>
      <c r="C514" s="83">
        <v>2</v>
      </c>
      <c r="D514" s="110">
        <v>0.010601890339503437</v>
      </c>
      <c r="E514" s="110">
        <v>2.0916669575956846</v>
      </c>
      <c r="F514" s="83" t="s">
        <v>1381</v>
      </c>
      <c r="G514" s="83" t="b">
        <v>0</v>
      </c>
      <c r="H514" s="83" t="b">
        <v>0</v>
      </c>
      <c r="I514" s="83" t="b">
        <v>0</v>
      </c>
      <c r="J514" s="83" t="b">
        <v>0</v>
      </c>
      <c r="K514" s="83" t="b">
        <v>0</v>
      </c>
      <c r="L514" s="83" t="b">
        <v>0</v>
      </c>
    </row>
    <row r="515" spans="1:12" ht="15">
      <c r="A515" s="84" t="s">
        <v>1345</v>
      </c>
      <c r="B515" s="83" t="s">
        <v>2046</v>
      </c>
      <c r="C515" s="83">
        <v>2</v>
      </c>
      <c r="D515" s="110">
        <v>0.010601890339503437</v>
      </c>
      <c r="E515" s="110">
        <v>1.9155756985400034</v>
      </c>
      <c r="F515" s="83" t="s">
        <v>1381</v>
      </c>
      <c r="G515" s="83" t="b">
        <v>0</v>
      </c>
      <c r="H515" s="83" t="b">
        <v>0</v>
      </c>
      <c r="I515" s="83" t="b">
        <v>0</v>
      </c>
      <c r="J515" s="83" t="b">
        <v>0</v>
      </c>
      <c r="K515" s="83" t="b">
        <v>0</v>
      </c>
      <c r="L515" s="83" t="b">
        <v>0</v>
      </c>
    </row>
    <row r="516" spans="1:12" ht="15">
      <c r="A516" s="84" t="s">
        <v>2046</v>
      </c>
      <c r="B516" s="83" t="s">
        <v>2047</v>
      </c>
      <c r="C516" s="83">
        <v>2</v>
      </c>
      <c r="D516" s="110">
        <v>0.010601890339503437</v>
      </c>
      <c r="E516" s="110">
        <v>2.0916669575956846</v>
      </c>
      <c r="F516" s="83" t="s">
        <v>1381</v>
      </c>
      <c r="G516" s="83" t="b">
        <v>0</v>
      </c>
      <c r="H516" s="83" t="b">
        <v>0</v>
      </c>
      <c r="I516" s="83" t="b">
        <v>0</v>
      </c>
      <c r="J516" s="83" t="b">
        <v>0</v>
      </c>
      <c r="K516" s="83" t="b">
        <v>0</v>
      </c>
      <c r="L516" s="83" t="b">
        <v>0</v>
      </c>
    </row>
    <row r="517" spans="1:12" ht="15">
      <c r="A517" s="84" t="s">
        <v>2047</v>
      </c>
      <c r="B517" s="83" t="s">
        <v>2048</v>
      </c>
      <c r="C517" s="83">
        <v>2</v>
      </c>
      <c r="D517" s="110">
        <v>0.010601890339503437</v>
      </c>
      <c r="E517" s="110">
        <v>2.0916669575956846</v>
      </c>
      <c r="F517" s="83" t="s">
        <v>1381</v>
      </c>
      <c r="G517" s="83" t="b">
        <v>0</v>
      </c>
      <c r="H517" s="83" t="b">
        <v>0</v>
      </c>
      <c r="I517" s="83" t="b">
        <v>0</v>
      </c>
      <c r="J517" s="83" t="b">
        <v>0</v>
      </c>
      <c r="K517" s="83" t="b">
        <v>0</v>
      </c>
      <c r="L517" s="83" t="b">
        <v>0</v>
      </c>
    </row>
    <row r="518" spans="1:12" ht="15">
      <c r="A518" s="84" t="s">
        <v>2048</v>
      </c>
      <c r="B518" s="83" t="s">
        <v>1761</v>
      </c>
      <c r="C518" s="83">
        <v>2</v>
      </c>
      <c r="D518" s="110">
        <v>0.010601890339503437</v>
      </c>
      <c r="E518" s="110">
        <v>1.9155756985400034</v>
      </c>
      <c r="F518" s="83" t="s">
        <v>1381</v>
      </c>
      <c r="G518" s="83" t="b">
        <v>0</v>
      </c>
      <c r="H518" s="83" t="b">
        <v>0</v>
      </c>
      <c r="I518" s="83" t="b">
        <v>0</v>
      </c>
      <c r="J518" s="83" t="b">
        <v>0</v>
      </c>
      <c r="K518" s="83" t="b">
        <v>0</v>
      </c>
      <c r="L518" s="83" t="b">
        <v>0</v>
      </c>
    </row>
    <row r="519" spans="1:12" ht="15">
      <c r="A519" s="84" t="s">
        <v>1761</v>
      </c>
      <c r="B519" s="83" t="s">
        <v>1428</v>
      </c>
      <c r="C519" s="83">
        <v>2</v>
      </c>
      <c r="D519" s="110">
        <v>0.010601890339503437</v>
      </c>
      <c r="E519" s="110">
        <v>1.4384544438203408</v>
      </c>
      <c r="F519" s="83" t="s">
        <v>1381</v>
      </c>
      <c r="G519" s="83" t="b">
        <v>0</v>
      </c>
      <c r="H519" s="83" t="b">
        <v>0</v>
      </c>
      <c r="I519" s="83" t="b">
        <v>0</v>
      </c>
      <c r="J519" s="83" t="b">
        <v>0</v>
      </c>
      <c r="K519" s="83" t="b">
        <v>0</v>
      </c>
      <c r="L519" s="83" t="b">
        <v>0</v>
      </c>
    </row>
    <row r="520" spans="1:12" ht="15">
      <c r="A520" s="84" t="s">
        <v>1713</v>
      </c>
      <c r="B520" s="83" t="s">
        <v>1901</v>
      </c>
      <c r="C520" s="83">
        <v>2</v>
      </c>
      <c r="D520" s="110">
        <v>0.010601890339503437</v>
      </c>
      <c r="E520" s="110">
        <v>1.9155756985400034</v>
      </c>
      <c r="F520" s="83" t="s">
        <v>1381</v>
      </c>
      <c r="G520" s="83" t="b">
        <v>0</v>
      </c>
      <c r="H520" s="83" t="b">
        <v>0</v>
      </c>
      <c r="I520" s="83" t="b">
        <v>0</v>
      </c>
      <c r="J520" s="83" t="b">
        <v>0</v>
      </c>
      <c r="K520" s="83" t="b">
        <v>0</v>
      </c>
      <c r="L520" s="83" t="b">
        <v>0</v>
      </c>
    </row>
    <row r="521" spans="1:12" ht="15">
      <c r="A521" s="84" t="s">
        <v>1441</v>
      </c>
      <c r="B521" s="83" t="s">
        <v>1488</v>
      </c>
      <c r="C521" s="83">
        <v>4</v>
      </c>
      <c r="D521" s="110">
        <v>0.012587712750672879</v>
      </c>
      <c r="E521" s="110">
        <v>1.9708116108725178</v>
      </c>
      <c r="F521" s="83" t="s">
        <v>1382</v>
      </c>
      <c r="G521" s="83" t="b">
        <v>0</v>
      </c>
      <c r="H521" s="83" t="b">
        <v>0</v>
      </c>
      <c r="I521" s="83" t="b">
        <v>0</v>
      </c>
      <c r="J521" s="83" t="b">
        <v>0</v>
      </c>
      <c r="K521" s="83" t="b">
        <v>0</v>
      </c>
      <c r="L521" s="83" t="b">
        <v>0</v>
      </c>
    </row>
    <row r="522" spans="1:12" ht="15">
      <c r="A522" s="84" t="s">
        <v>1543</v>
      </c>
      <c r="B522" s="83" t="s">
        <v>1926</v>
      </c>
      <c r="C522" s="83">
        <v>2</v>
      </c>
      <c r="D522" s="110">
        <v>0.004754061001096127</v>
      </c>
      <c r="E522" s="110">
        <v>1.7947203518168364</v>
      </c>
      <c r="F522" s="83" t="s">
        <v>1382</v>
      </c>
      <c r="G522" s="83" t="b">
        <v>0</v>
      </c>
      <c r="H522" s="83" t="b">
        <v>0</v>
      </c>
      <c r="I522" s="83" t="b">
        <v>0</v>
      </c>
      <c r="J522" s="83" t="b">
        <v>0</v>
      </c>
      <c r="K522" s="83" t="b">
        <v>0</v>
      </c>
      <c r="L522" s="83" t="b">
        <v>0</v>
      </c>
    </row>
    <row r="523" spans="1:12" ht="15">
      <c r="A523" s="84" t="s">
        <v>1926</v>
      </c>
      <c r="B523" s="83" t="s">
        <v>1927</v>
      </c>
      <c r="C523" s="83">
        <v>2</v>
      </c>
      <c r="D523" s="110">
        <v>0.004754061001096127</v>
      </c>
      <c r="E523" s="110">
        <v>2.271841606536499</v>
      </c>
      <c r="F523" s="83" t="s">
        <v>1382</v>
      </c>
      <c r="G523" s="83" t="b">
        <v>0</v>
      </c>
      <c r="H523" s="83" t="b">
        <v>0</v>
      </c>
      <c r="I523" s="83" t="b">
        <v>0</v>
      </c>
      <c r="J523" s="83" t="b">
        <v>0</v>
      </c>
      <c r="K523" s="83" t="b">
        <v>0</v>
      </c>
      <c r="L523" s="83" t="b">
        <v>0</v>
      </c>
    </row>
    <row r="524" spans="1:12" ht="15">
      <c r="A524" s="84" t="s">
        <v>1443</v>
      </c>
      <c r="B524" s="83" t="s">
        <v>1929</v>
      </c>
      <c r="C524" s="83">
        <v>2</v>
      </c>
      <c r="D524" s="110">
        <v>0.004754061001096127</v>
      </c>
      <c r="E524" s="110">
        <v>1.5314789170422551</v>
      </c>
      <c r="F524" s="83" t="s">
        <v>1382</v>
      </c>
      <c r="G524" s="83" t="b">
        <v>0</v>
      </c>
      <c r="H524" s="83" t="b">
        <v>0</v>
      </c>
      <c r="I524" s="83" t="b">
        <v>0</v>
      </c>
      <c r="J524" s="83" t="b">
        <v>0</v>
      </c>
      <c r="K524" s="83" t="b">
        <v>0</v>
      </c>
      <c r="L524" s="83" t="b">
        <v>0</v>
      </c>
    </row>
    <row r="525" spans="1:12" ht="15">
      <c r="A525" s="84" t="s">
        <v>1930</v>
      </c>
      <c r="B525" s="83" t="s">
        <v>1931</v>
      </c>
      <c r="C525" s="83">
        <v>2</v>
      </c>
      <c r="D525" s="110">
        <v>0.004754061001096127</v>
      </c>
      <c r="E525" s="110">
        <v>2.271841606536499</v>
      </c>
      <c r="F525" s="83" t="s">
        <v>1382</v>
      </c>
      <c r="G525" s="83" t="b">
        <v>0</v>
      </c>
      <c r="H525" s="83" t="b">
        <v>0</v>
      </c>
      <c r="I525" s="83" t="b">
        <v>0</v>
      </c>
      <c r="J525" s="83" t="b">
        <v>0</v>
      </c>
      <c r="K525" s="83" t="b">
        <v>0</v>
      </c>
      <c r="L525" s="83" t="b">
        <v>0</v>
      </c>
    </row>
    <row r="526" spans="1:12" ht="15">
      <c r="A526" s="84" t="s">
        <v>1931</v>
      </c>
      <c r="B526" s="83" t="s">
        <v>1932</v>
      </c>
      <c r="C526" s="83">
        <v>2</v>
      </c>
      <c r="D526" s="110">
        <v>0.004754061001096127</v>
      </c>
      <c r="E526" s="110">
        <v>2.271841606536499</v>
      </c>
      <c r="F526" s="83" t="s">
        <v>1382</v>
      </c>
      <c r="G526" s="83" t="b">
        <v>0</v>
      </c>
      <c r="H526" s="83" t="b">
        <v>0</v>
      </c>
      <c r="I526" s="83" t="b">
        <v>0</v>
      </c>
      <c r="J526" s="83" t="b">
        <v>0</v>
      </c>
      <c r="K526" s="83" t="b">
        <v>0</v>
      </c>
      <c r="L526" s="83" t="b">
        <v>0</v>
      </c>
    </row>
    <row r="527" spans="1:12" ht="15">
      <c r="A527" s="84" t="s">
        <v>1933</v>
      </c>
      <c r="B527" s="83" t="s">
        <v>1934</v>
      </c>
      <c r="C527" s="83">
        <v>2</v>
      </c>
      <c r="D527" s="110">
        <v>0.004754061001096127</v>
      </c>
      <c r="E527" s="110">
        <v>2.271841606536499</v>
      </c>
      <c r="F527" s="83" t="s">
        <v>1382</v>
      </c>
      <c r="G527" s="83" t="b">
        <v>0</v>
      </c>
      <c r="H527" s="83" t="b">
        <v>0</v>
      </c>
      <c r="I527" s="83" t="b">
        <v>0</v>
      </c>
      <c r="J527" s="83" t="b">
        <v>0</v>
      </c>
      <c r="K527" s="83" t="b">
        <v>0</v>
      </c>
      <c r="L527" s="83" t="b">
        <v>0</v>
      </c>
    </row>
    <row r="528" spans="1:12" ht="15">
      <c r="A528" s="84" t="s">
        <v>1935</v>
      </c>
      <c r="B528" s="83" t="s">
        <v>1936</v>
      </c>
      <c r="C528" s="83">
        <v>2</v>
      </c>
      <c r="D528" s="110">
        <v>0.0062938563753364395</v>
      </c>
      <c r="E528" s="110">
        <v>2.271841606536499</v>
      </c>
      <c r="F528" s="83" t="s">
        <v>1382</v>
      </c>
      <c r="G528" s="83" t="b">
        <v>0</v>
      </c>
      <c r="H528" s="83" t="b">
        <v>0</v>
      </c>
      <c r="I528" s="83" t="b">
        <v>0</v>
      </c>
      <c r="J528" s="83" t="b">
        <v>0</v>
      </c>
      <c r="K528" s="83" t="b">
        <v>0</v>
      </c>
      <c r="L528" s="83" t="b">
        <v>0</v>
      </c>
    </row>
    <row r="529" spans="1:12" ht="15">
      <c r="A529" s="84" t="s">
        <v>1936</v>
      </c>
      <c r="B529" s="83" t="s">
        <v>1581</v>
      </c>
      <c r="C529" s="83">
        <v>2</v>
      </c>
      <c r="D529" s="110">
        <v>0.0062938563753364395</v>
      </c>
      <c r="E529" s="110">
        <v>1.8739015978644613</v>
      </c>
      <c r="F529" s="83" t="s">
        <v>1382</v>
      </c>
      <c r="G529" s="83" t="b">
        <v>0</v>
      </c>
      <c r="H529" s="83" t="b">
        <v>0</v>
      </c>
      <c r="I529" s="83" t="b">
        <v>0</v>
      </c>
      <c r="J529" s="83" t="b">
        <v>0</v>
      </c>
      <c r="K529" s="83" t="b">
        <v>0</v>
      </c>
      <c r="L529" s="83" t="b">
        <v>0</v>
      </c>
    </row>
    <row r="530" spans="1:12" ht="15">
      <c r="A530" s="84" t="s">
        <v>1488</v>
      </c>
      <c r="B530" s="83" t="s">
        <v>1634</v>
      </c>
      <c r="C530" s="83">
        <v>2</v>
      </c>
      <c r="D530" s="110">
        <v>0.0062938563753364395</v>
      </c>
      <c r="E530" s="110">
        <v>1.6697816152085365</v>
      </c>
      <c r="F530" s="83" t="s">
        <v>1382</v>
      </c>
      <c r="G530" s="83" t="b">
        <v>0</v>
      </c>
      <c r="H530" s="83" t="b">
        <v>0</v>
      </c>
      <c r="I530" s="83" t="b">
        <v>0</v>
      </c>
      <c r="J530" s="83" t="b">
        <v>0</v>
      </c>
      <c r="K530" s="83" t="b">
        <v>0</v>
      </c>
      <c r="L530" s="83" t="b">
        <v>0</v>
      </c>
    </row>
    <row r="531" spans="1:12" ht="15">
      <c r="A531" s="84" t="s">
        <v>1634</v>
      </c>
      <c r="B531" s="83" t="s">
        <v>1937</v>
      </c>
      <c r="C531" s="83">
        <v>2</v>
      </c>
      <c r="D531" s="110">
        <v>0.0062938563753364395</v>
      </c>
      <c r="E531" s="110">
        <v>1.9708116108725178</v>
      </c>
      <c r="F531" s="83" t="s">
        <v>1382</v>
      </c>
      <c r="G531" s="83" t="b">
        <v>0</v>
      </c>
      <c r="H531" s="83" t="b">
        <v>0</v>
      </c>
      <c r="I531" s="83" t="b">
        <v>0</v>
      </c>
      <c r="J531" s="83" t="b">
        <v>0</v>
      </c>
      <c r="K531" s="83" t="b">
        <v>0</v>
      </c>
      <c r="L531" s="83" t="b">
        <v>0</v>
      </c>
    </row>
    <row r="532" spans="1:12" ht="15">
      <c r="A532" s="84" t="s">
        <v>1937</v>
      </c>
      <c r="B532" s="83" t="s">
        <v>1938</v>
      </c>
      <c r="C532" s="83">
        <v>2</v>
      </c>
      <c r="D532" s="110">
        <v>0.0062938563753364395</v>
      </c>
      <c r="E532" s="110">
        <v>2.271841606536499</v>
      </c>
      <c r="F532" s="83" t="s">
        <v>1382</v>
      </c>
      <c r="G532" s="83" t="b">
        <v>0</v>
      </c>
      <c r="H532" s="83" t="b">
        <v>0</v>
      </c>
      <c r="I532" s="83" t="b">
        <v>0</v>
      </c>
      <c r="J532" s="83" t="b">
        <v>0</v>
      </c>
      <c r="K532" s="83" t="b">
        <v>0</v>
      </c>
      <c r="L532" s="83" t="b">
        <v>0</v>
      </c>
    </row>
    <row r="533" spans="1:12" ht="15">
      <c r="A533" s="84" t="s">
        <v>1938</v>
      </c>
      <c r="B533" s="83" t="s">
        <v>1443</v>
      </c>
      <c r="C533" s="83">
        <v>2</v>
      </c>
      <c r="D533" s="110">
        <v>0.0062938563753364395</v>
      </c>
      <c r="E533" s="110">
        <v>1.5314789170422551</v>
      </c>
      <c r="F533" s="83" t="s">
        <v>1382</v>
      </c>
      <c r="G533" s="83" t="b">
        <v>0</v>
      </c>
      <c r="H533" s="83" t="b">
        <v>0</v>
      </c>
      <c r="I533" s="83" t="b">
        <v>0</v>
      </c>
      <c r="J533" s="83" t="b">
        <v>0</v>
      </c>
      <c r="K533" s="83" t="b">
        <v>0</v>
      </c>
      <c r="L533" s="83" t="b">
        <v>0</v>
      </c>
    </row>
    <row r="534" spans="1:12" ht="15">
      <c r="A534" s="84" t="s">
        <v>1443</v>
      </c>
      <c r="B534" s="83" t="s">
        <v>1581</v>
      </c>
      <c r="C534" s="83">
        <v>2</v>
      </c>
      <c r="D534" s="110">
        <v>0.0062938563753364395</v>
      </c>
      <c r="E534" s="110">
        <v>1.1335389083702174</v>
      </c>
      <c r="F534" s="83" t="s">
        <v>1382</v>
      </c>
      <c r="G534" s="83" t="b">
        <v>0</v>
      </c>
      <c r="H534" s="83" t="b">
        <v>0</v>
      </c>
      <c r="I534" s="83" t="b">
        <v>0</v>
      </c>
      <c r="J534" s="83" t="b">
        <v>0</v>
      </c>
      <c r="K534" s="83" t="b">
        <v>0</v>
      </c>
      <c r="L534" s="83" t="b">
        <v>0</v>
      </c>
    </row>
    <row r="535" spans="1:12" ht="15">
      <c r="A535" s="84" t="s">
        <v>1443</v>
      </c>
      <c r="B535" s="83" t="s">
        <v>1725</v>
      </c>
      <c r="C535" s="83">
        <v>2</v>
      </c>
      <c r="D535" s="110">
        <v>0.004754061001096127</v>
      </c>
      <c r="E535" s="110">
        <v>1.3553876579865738</v>
      </c>
      <c r="F535" s="83" t="s">
        <v>1382</v>
      </c>
      <c r="G535" s="83" t="b">
        <v>0</v>
      </c>
      <c r="H535" s="83" t="b">
        <v>0</v>
      </c>
      <c r="I535" s="83" t="b">
        <v>0</v>
      </c>
      <c r="J535" s="83" t="b">
        <v>0</v>
      </c>
      <c r="K535" s="83" t="b">
        <v>0</v>
      </c>
      <c r="L535" s="83" t="b">
        <v>0</v>
      </c>
    </row>
    <row r="536" spans="1:12" ht="15">
      <c r="A536" s="84" t="s">
        <v>1506</v>
      </c>
      <c r="B536" s="83" t="s">
        <v>1481</v>
      </c>
      <c r="C536" s="83">
        <v>2</v>
      </c>
      <c r="D536" s="110">
        <v>0.0062938563753364395</v>
      </c>
      <c r="E536" s="110">
        <v>2.271841606536499</v>
      </c>
      <c r="F536" s="83" t="s">
        <v>1382</v>
      </c>
      <c r="G536" s="83" t="b">
        <v>0</v>
      </c>
      <c r="H536" s="83" t="b">
        <v>0</v>
      </c>
      <c r="I536" s="83" t="b">
        <v>0</v>
      </c>
      <c r="J536" s="83" t="b">
        <v>0</v>
      </c>
      <c r="K536" s="83" t="b">
        <v>0</v>
      </c>
      <c r="L536" s="83" t="b">
        <v>0</v>
      </c>
    </row>
    <row r="537" spans="1:12" ht="15">
      <c r="A537" s="84" t="s">
        <v>1481</v>
      </c>
      <c r="B537" s="83" t="s">
        <v>1450</v>
      </c>
      <c r="C537" s="83">
        <v>2</v>
      </c>
      <c r="D537" s="110">
        <v>0.0062938563753364395</v>
      </c>
      <c r="E537" s="110">
        <v>2.271841606536499</v>
      </c>
      <c r="F537" s="83" t="s">
        <v>1382</v>
      </c>
      <c r="G537" s="83" t="b">
        <v>0</v>
      </c>
      <c r="H537" s="83" t="b">
        <v>0</v>
      </c>
      <c r="I537" s="83" t="b">
        <v>0</v>
      </c>
      <c r="J537" s="83" t="b">
        <v>0</v>
      </c>
      <c r="K537" s="83" t="b">
        <v>0</v>
      </c>
      <c r="L537" s="83" t="b">
        <v>0</v>
      </c>
    </row>
    <row r="538" spans="1:12" ht="15">
      <c r="A538" s="84" t="s">
        <v>1450</v>
      </c>
      <c r="B538" s="83" t="s">
        <v>1939</v>
      </c>
      <c r="C538" s="83">
        <v>2</v>
      </c>
      <c r="D538" s="110">
        <v>0.0062938563753364395</v>
      </c>
      <c r="E538" s="110">
        <v>2.271841606536499</v>
      </c>
      <c r="F538" s="83" t="s">
        <v>1382</v>
      </c>
      <c r="G538" s="83" t="b">
        <v>0</v>
      </c>
      <c r="H538" s="83" t="b">
        <v>0</v>
      </c>
      <c r="I538" s="83" t="b">
        <v>0</v>
      </c>
      <c r="J538" s="83" t="b">
        <v>0</v>
      </c>
      <c r="K538" s="83" t="b">
        <v>0</v>
      </c>
      <c r="L538" s="83" t="b">
        <v>0</v>
      </c>
    </row>
    <row r="539" spans="1:12" ht="15">
      <c r="A539" s="84" t="s">
        <v>1939</v>
      </c>
      <c r="B539" s="83" t="s">
        <v>1558</v>
      </c>
      <c r="C539" s="83">
        <v>2</v>
      </c>
      <c r="D539" s="110">
        <v>0.0062938563753364395</v>
      </c>
      <c r="E539" s="110">
        <v>2.271841606536499</v>
      </c>
      <c r="F539" s="83" t="s">
        <v>1382</v>
      </c>
      <c r="G539" s="83" t="b">
        <v>0</v>
      </c>
      <c r="H539" s="83" t="b">
        <v>0</v>
      </c>
      <c r="I539" s="83" t="b">
        <v>0</v>
      </c>
      <c r="J539" s="83" t="b">
        <v>0</v>
      </c>
      <c r="K539" s="83" t="b">
        <v>0</v>
      </c>
      <c r="L539" s="83" t="b">
        <v>0</v>
      </c>
    </row>
    <row r="540" spans="1:12" ht="15">
      <c r="A540" s="84" t="s">
        <v>1558</v>
      </c>
      <c r="B540" s="83" t="s">
        <v>1544</v>
      </c>
      <c r="C540" s="83">
        <v>2</v>
      </c>
      <c r="D540" s="110">
        <v>0.0062938563753364395</v>
      </c>
      <c r="E540" s="110">
        <v>2.271841606536499</v>
      </c>
      <c r="F540" s="83" t="s">
        <v>1382</v>
      </c>
      <c r="G540" s="83" t="b">
        <v>0</v>
      </c>
      <c r="H540" s="83" t="b">
        <v>0</v>
      </c>
      <c r="I540" s="83" t="b">
        <v>0</v>
      </c>
      <c r="J540" s="83" t="b">
        <v>0</v>
      </c>
      <c r="K540" s="83" t="b">
        <v>0</v>
      </c>
      <c r="L540" s="83" t="b">
        <v>0</v>
      </c>
    </row>
    <row r="541" spans="1:12" ht="15">
      <c r="A541" s="84" t="s">
        <v>1544</v>
      </c>
      <c r="B541" s="83" t="s">
        <v>1465</v>
      </c>
      <c r="C541" s="83">
        <v>2</v>
      </c>
      <c r="D541" s="110">
        <v>0.0062938563753364395</v>
      </c>
      <c r="E541" s="110">
        <v>2.271841606536499</v>
      </c>
      <c r="F541" s="83" t="s">
        <v>1382</v>
      </c>
      <c r="G541" s="83" t="b">
        <v>0</v>
      </c>
      <c r="H541" s="83" t="b">
        <v>0</v>
      </c>
      <c r="I541" s="83" t="b">
        <v>0</v>
      </c>
      <c r="J541" s="83" t="b">
        <v>0</v>
      </c>
      <c r="K541" s="83" t="b">
        <v>0</v>
      </c>
      <c r="L541" s="83" t="b">
        <v>0</v>
      </c>
    </row>
    <row r="542" spans="1:12" ht="15">
      <c r="A542" s="84" t="s">
        <v>1543</v>
      </c>
      <c r="B542" s="83" t="s">
        <v>1726</v>
      </c>
      <c r="C542" s="83">
        <v>2</v>
      </c>
      <c r="D542" s="110">
        <v>0.004754061001096127</v>
      </c>
      <c r="E542" s="110">
        <v>1.618629092761155</v>
      </c>
      <c r="F542" s="83" t="s">
        <v>1382</v>
      </c>
      <c r="G542" s="83" t="b">
        <v>0</v>
      </c>
      <c r="H542" s="83" t="b">
        <v>0</v>
      </c>
      <c r="I542" s="83" t="b">
        <v>0</v>
      </c>
      <c r="J542" s="83" t="b">
        <v>0</v>
      </c>
      <c r="K542" s="83" t="b">
        <v>0</v>
      </c>
      <c r="L542" s="83" t="b">
        <v>0</v>
      </c>
    </row>
    <row r="543" spans="1:12" ht="15">
      <c r="A543" s="84" t="s">
        <v>1946</v>
      </c>
      <c r="B543" s="83" t="s">
        <v>1947</v>
      </c>
      <c r="C543" s="83">
        <v>2</v>
      </c>
      <c r="D543" s="110">
        <v>0.004754061001096127</v>
      </c>
      <c r="E543" s="110">
        <v>2.271841606536499</v>
      </c>
      <c r="F543" s="83" t="s">
        <v>1382</v>
      </c>
      <c r="G543" s="83" t="b">
        <v>0</v>
      </c>
      <c r="H543" s="83" t="b">
        <v>0</v>
      </c>
      <c r="I543" s="83" t="b">
        <v>0</v>
      </c>
      <c r="J543" s="83" t="b">
        <v>0</v>
      </c>
      <c r="K543" s="83" t="b">
        <v>0</v>
      </c>
      <c r="L543" s="83" t="b">
        <v>0</v>
      </c>
    </row>
    <row r="544" spans="1:12" ht="15">
      <c r="A544" s="84" t="s">
        <v>1479</v>
      </c>
      <c r="B544" s="83" t="s">
        <v>1446</v>
      </c>
      <c r="C544" s="83">
        <v>2</v>
      </c>
      <c r="D544" s="110">
        <v>0.0062938563753364395</v>
      </c>
      <c r="E544" s="110">
        <v>2.271841606536499</v>
      </c>
      <c r="F544" s="83" t="s">
        <v>1382</v>
      </c>
      <c r="G544" s="83" t="b">
        <v>0</v>
      </c>
      <c r="H544" s="83" t="b">
        <v>0</v>
      </c>
      <c r="I544" s="83" t="b">
        <v>0</v>
      </c>
      <c r="J544" s="83" t="b">
        <v>0</v>
      </c>
      <c r="K544" s="83" t="b">
        <v>0</v>
      </c>
      <c r="L544" s="83" t="b">
        <v>0</v>
      </c>
    </row>
    <row r="545" spans="1:12" ht="15">
      <c r="A545" s="84" t="s">
        <v>1446</v>
      </c>
      <c r="B545" s="83" t="s">
        <v>1480</v>
      </c>
      <c r="C545" s="83">
        <v>2</v>
      </c>
      <c r="D545" s="110">
        <v>0.0062938563753364395</v>
      </c>
      <c r="E545" s="110">
        <v>2.271841606536499</v>
      </c>
      <c r="F545" s="83" t="s">
        <v>1382</v>
      </c>
      <c r="G545" s="83" t="b">
        <v>0</v>
      </c>
      <c r="H545" s="83" t="b">
        <v>0</v>
      </c>
      <c r="I545" s="83" t="b">
        <v>0</v>
      </c>
      <c r="J545" s="83" t="b">
        <v>0</v>
      </c>
      <c r="K545" s="83" t="b">
        <v>0</v>
      </c>
      <c r="L545" s="83" t="b">
        <v>0</v>
      </c>
    </row>
    <row r="546" spans="1:12" ht="15">
      <c r="A546" s="84" t="s">
        <v>1480</v>
      </c>
      <c r="B546" s="83" t="s">
        <v>1538</v>
      </c>
      <c r="C546" s="83">
        <v>2</v>
      </c>
      <c r="D546" s="110">
        <v>0.0062938563753364395</v>
      </c>
      <c r="E546" s="110">
        <v>2.271841606536499</v>
      </c>
      <c r="F546" s="83" t="s">
        <v>1382</v>
      </c>
      <c r="G546" s="83" t="b">
        <v>0</v>
      </c>
      <c r="H546" s="83" t="b">
        <v>0</v>
      </c>
      <c r="I546" s="83" t="b">
        <v>0</v>
      </c>
      <c r="J546" s="83" t="b">
        <v>0</v>
      </c>
      <c r="K546" s="83" t="b">
        <v>0</v>
      </c>
      <c r="L546" s="83" t="b">
        <v>0</v>
      </c>
    </row>
    <row r="547" spans="1:12" ht="15">
      <c r="A547" s="84" t="s">
        <v>1437</v>
      </c>
      <c r="B547" s="83" t="s">
        <v>1957</v>
      </c>
      <c r="C547" s="83">
        <v>2</v>
      </c>
      <c r="D547" s="110">
        <v>0.0062938563753364395</v>
      </c>
      <c r="E547" s="110">
        <v>2.271841606536499</v>
      </c>
      <c r="F547" s="83" t="s">
        <v>1382</v>
      </c>
      <c r="G547" s="83" t="b">
        <v>0</v>
      </c>
      <c r="H547" s="83" t="b">
        <v>0</v>
      </c>
      <c r="I547" s="83" t="b">
        <v>0</v>
      </c>
      <c r="J547" s="83" t="b">
        <v>0</v>
      </c>
      <c r="K547" s="83" t="b">
        <v>0</v>
      </c>
      <c r="L547" s="83" t="b">
        <v>0</v>
      </c>
    </row>
    <row r="548" spans="1:12" ht="15">
      <c r="A548" s="84" t="s">
        <v>1957</v>
      </c>
      <c r="B548" s="83" t="s">
        <v>1428</v>
      </c>
      <c r="C548" s="83">
        <v>2</v>
      </c>
      <c r="D548" s="110">
        <v>0.0062938563753364395</v>
      </c>
      <c r="E548" s="110">
        <v>1.9708116108725178</v>
      </c>
      <c r="F548" s="83" t="s">
        <v>1382</v>
      </c>
      <c r="G548" s="83" t="b">
        <v>0</v>
      </c>
      <c r="H548" s="83" t="b">
        <v>0</v>
      </c>
      <c r="I548" s="83" t="b">
        <v>0</v>
      </c>
      <c r="J548" s="83" t="b">
        <v>0</v>
      </c>
      <c r="K548" s="83" t="b">
        <v>0</v>
      </c>
      <c r="L548" s="83" t="b">
        <v>0</v>
      </c>
    </row>
    <row r="549" spans="1:12" ht="15">
      <c r="A549" s="84" t="s">
        <v>1428</v>
      </c>
      <c r="B549" s="83" t="s">
        <v>1958</v>
      </c>
      <c r="C549" s="83">
        <v>2</v>
      </c>
      <c r="D549" s="110">
        <v>0.0062938563753364395</v>
      </c>
      <c r="E549" s="110">
        <v>1.9708116108725178</v>
      </c>
      <c r="F549" s="83" t="s">
        <v>1382</v>
      </c>
      <c r="G549" s="83" t="b">
        <v>0</v>
      </c>
      <c r="H549" s="83" t="b">
        <v>0</v>
      </c>
      <c r="I549" s="83" t="b">
        <v>0</v>
      </c>
      <c r="J549" s="83" t="b">
        <v>0</v>
      </c>
      <c r="K549" s="83" t="b">
        <v>0</v>
      </c>
      <c r="L549" s="83" t="b">
        <v>0</v>
      </c>
    </row>
    <row r="550" spans="1:12" ht="15">
      <c r="A550" s="84" t="s">
        <v>1958</v>
      </c>
      <c r="B550" s="83" t="s">
        <v>1959</v>
      </c>
      <c r="C550" s="83">
        <v>2</v>
      </c>
      <c r="D550" s="110">
        <v>0.0062938563753364395</v>
      </c>
      <c r="E550" s="110">
        <v>2.271841606536499</v>
      </c>
      <c r="F550" s="83" t="s">
        <v>1382</v>
      </c>
      <c r="G550" s="83" t="b">
        <v>0</v>
      </c>
      <c r="H550" s="83" t="b">
        <v>0</v>
      </c>
      <c r="I550" s="83" t="b">
        <v>0</v>
      </c>
      <c r="J550" s="83" t="b">
        <v>0</v>
      </c>
      <c r="K550" s="83" t="b">
        <v>0</v>
      </c>
      <c r="L550" s="83" t="b">
        <v>0</v>
      </c>
    </row>
    <row r="551" spans="1:12" ht="15">
      <c r="A551" s="84" t="s">
        <v>1959</v>
      </c>
      <c r="B551" s="83" t="s">
        <v>1960</v>
      </c>
      <c r="C551" s="83">
        <v>2</v>
      </c>
      <c r="D551" s="110">
        <v>0.0062938563753364395</v>
      </c>
      <c r="E551" s="110">
        <v>2.271841606536499</v>
      </c>
      <c r="F551" s="83" t="s">
        <v>1382</v>
      </c>
      <c r="G551" s="83" t="b">
        <v>0</v>
      </c>
      <c r="H551" s="83" t="b">
        <v>0</v>
      </c>
      <c r="I551" s="83" t="b">
        <v>0</v>
      </c>
      <c r="J551" s="83" t="b">
        <v>0</v>
      </c>
      <c r="K551" s="83" t="b">
        <v>0</v>
      </c>
      <c r="L551" s="83" t="b">
        <v>0</v>
      </c>
    </row>
    <row r="552" spans="1:12" ht="15">
      <c r="A552" s="84" t="s">
        <v>1428</v>
      </c>
      <c r="B552" s="83" t="s">
        <v>1546</v>
      </c>
      <c r="C552" s="83">
        <v>2</v>
      </c>
      <c r="D552" s="110">
        <v>0.0062938563753364395</v>
      </c>
      <c r="E552" s="110">
        <v>1.9708116108725178</v>
      </c>
      <c r="F552" s="83" t="s">
        <v>1382</v>
      </c>
      <c r="G552" s="83" t="b">
        <v>0</v>
      </c>
      <c r="H552" s="83" t="b">
        <v>0</v>
      </c>
      <c r="I552" s="83" t="b">
        <v>0</v>
      </c>
      <c r="J552" s="83" t="b">
        <v>0</v>
      </c>
      <c r="K552" s="83" t="b">
        <v>0</v>
      </c>
      <c r="L552" s="83" t="b">
        <v>0</v>
      </c>
    </row>
    <row r="553" spans="1:12" ht="15">
      <c r="A553" s="84" t="s">
        <v>1632</v>
      </c>
      <c r="B553" s="83" t="s">
        <v>1632</v>
      </c>
      <c r="C553" s="83">
        <v>3</v>
      </c>
      <c r="D553" s="110">
        <v>0.03243758591542183</v>
      </c>
      <c r="E553" s="110">
        <v>1.3664229572259727</v>
      </c>
      <c r="F553" s="83" t="s">
        <v>1383</v>
      </c>
      <c r="G553" s="83" t="b">
        <v>0</v>
      </c>
      <c r="H553" s="83" t="b">
        <v>0</v>
      </c>
      <c r="I553" s="83" t="b">
        <v>0</v>
      </c>
      <c r="J553" s="83" t="b">
        <v>0</v>
      </c>
      <c r="K553" s="83" t="b">
        <v>0</v>
      </c>
      <c r="L553" s="83" t="b">
        <v>0</v>
      </c>
    </row>
    <row r="554" spans="1:12" ht="15">
      <c r="A554" s="84" t="s">
        <v>1507</v>
      </c>
      <c r="B554" s="83" t="s">
        <v>1429</v>
      </c>
      <c r="C554" s="83">
        <v>2</v>
      </c>
      <c r="D554" s="110">
        <v>0.021625057276947884</v>
      </c>
      <c r="E554" s="110">
        <v>1.0934216851622351</v>
      </c>
      <c r="F554" s="83" t="s">
        <v>1383</v>
      </c>
      <c r="G554" s="83" t="b">
        <v>0</v>
      </c>
      <c r="H554" s="83" t="b">
        <v>0</v>
      </c>
      <c r="I554" s="83" t="b">
        <v>0</v>
      </c>
      <c r="J554" s="83" t="b">
        <v>0</v>
      </c>
      <c r="K554" s="83" t="b">
        <v>0</v>
      </c>
      <c r="L554" s="83" t="b">
        <v>0</v>
      </c>
    </row>
    <row r="555" spans="1:12" ht="15">
      <c r="A555" s="84" t="s">
        <v>1625</v>
      </c>
      <c r="B555" s="83" t="s">
        <v>1601</v>
      </c>
      <c r="C555" s="83">
        <v>2</v>
      </c>
      <c r="D555" s="110">
        <v>0.021625057276947884</v>
      </c>
      <c r="E555" s="110">
        <v>1.6674529528899538</v>
      </c>
      <c r="F555" s="83" t="s">
        <v>1383</v>
      </c>
      <c r="G555" s="83" t="b">
        <v>0</v>
      </c>
      <c r="H555" s="83" t="b">
        <v>0</v>
      </c>
      <c r="I555" s="83" t="b">
        <v>0</v>
      </c>
      <c r="J555" s="83" t="b">
        <v>0</v>
      </c>
      <c r="K555" s="83" t="b">
        <v>0</v>
      </c>
      <c r="L555" s="83" t="b">
        <v>0</v>
      </c>
    </row>
    <row r="556" spans="1:12" ht="15">
      <c r="A556" s="84" t="s">
        <v>1517</v>
      </c>
      <c r="B556" s="83" t="s">
        <v>1562</v>
      </c>
      <c r="C556" s="83">
        <v>4</v>
      </c>
      <c r="D556" s="110">
        <v>0.028927574587728475</v>
      </c>
      <c r="E556" s="110">
        <v>1.3457003905834422</v>
      </c>
      <c r="F556" s="83" t="s">
        <v>1384</v>
      </c>
      <c r="G556" s="83" t="b">
        <v>1</v>
      </c>
      <c r="H556" s="83" t="b">
        <v>0</v>
      </c>
      <c r="I556" s="83" t="b">
        <v>0</v>
      </c>
      <c r="J556" s="83" t="b">
        <v>0</v>
      </c>
      <c r="K556" s="83" t="b">
        <v>0</v>
      </c>
      <c r="L556" s="83" t="b">
        <v>0</v>
      </c>
    </row>
    <row r="557" spans="1:12" ht="15">
      <c r="A557" s="84" t="s">
        <v>1436</v>
      </c>
      <c r="B557" s="83" t="s">
        <v>1515</v>
      </c>
      <c r="C557" s="83">
        <v>2</v>
      </c>
      <c r="D557" s="110">
        <v>0.010282815131864497</v>
      </c>
      <c r="E557" s="110">
        <v>1.044670394919461</v>
      </c>
      <c r="F557" s="83" t="s">
        <v>1384</v>
      </c>
      <c r="G557" s="83" t="b">
        <v>0</v>
      </c>
      <c r="H557" s="83" t="b">
        <v>0</v>
      </c>
      <c r="I557" s="83" t="b">
        <v>0</v>
      </c>
      <c r="J557" s="83" t="b">
        <v>0</v>
      </c>
      <c r="K557" s="83" t="b">
        <v>0</v>
      </c>
      <c r="L557" s="83" t="b">
        <v>0</v>
      </c>
    </row>
    <row r="558" spans="1:12" ht="15">
      <c r="A558" s="84" t="s">
        <v>1797</v>
      </c>
      <c r="B558" s="83" t="s">
        <v>1436</v>
      </c>
      <c r="C558" s="83">
        <v>2</v>
      </c>
      <c r="D558" s="110">
        <v>0.014463787293864237</v>
      </c>
      <c r="E558" s="110">
        <v>1.3457003905834422</v>
      </c>
      <c r="F558" s="83" t="s">
        <v>1384</v>
      </c>
      <c r="G558" s="83" t="b">
        <v>0</v>
      </c>
      <c r="H558" s="83" t="b">
        <v>0</v>
      </c>
      <c r="I558" s="83" t="b">
        <v>0</v>
      </c>
      <c r="J558" s="83" t="b">
        <v>0</v>
      </c>
      <c r="K558" s="83" t="b">
        <v>0</v>
      </c>
      <c r="L558" s="83" t="b">
        <v>0</v>
      </c>
    </row>
    <row r="559" spans="1:12" ht="15">
      <c r="A559" s="84" t="s">
        <v>1517</v>
      </c>
      <c r="B559" s="83" t="s">
        <v>1496</v>
      </c>
      <c r="C559" s="83">
        <v>2</v>
      </c>
      <c r="D559" s="110">
        <v>0.014463787293864237</v>
      </c>
      <c r="E559" s="110">
        <v>1.044670394919461</v>
      </c>
      <c r="F559" s="83" t="s">
        <v>1384</v>
      </c>
      <c r="G559" s="83" t="b">
        <v>1</v>
      </c>
      <c r="H559" s="83" t="b">
        <v>0</v>
      </c>
      <c r="I559" s="83" t="b">
        <v>0</v>
      </c>
      <c r="J559" s="83" t="b">
        <v>0</v>
      </c>
      <c r="K559" s="83" t="b">
        <v>0</v>
      </c>
      <c r="L559" s="83" t="b">
        <v>0</v>
      </c>
    </row>
    <row r="560" spans="1:12" ht="15">
      <c r="A560" s="84" t="s">
        <v>1799</v>
      </c>
      <c r="B560" s="83" t="s">
        <v>1800</v>
      </c>
      <c r="C560" s="83">
        <v>2</v>
      </c>
      <c r="D560" s="110">
        <v>0.014463787293864237</v>
      </c>
      <c r="E560" s="110">
        <v>1.8228216453031045</v>
      </c>
      <c r="F560" s="83" t="s">
        <v>1384</v>
      </c>
      <c r="G560" s="83" t="b">
        <v>0</v>
      </c>
      <c r="H560" s="83" t="b">
        <v>0</v>
      </c>
      <c r="I560" s="83" t="b">
        <v>0</v>
      </c>
      <c r="J560" s="83" t="b">
        <v>0</v>
      </c>
      <c r="K560" s="83" t="b">
        <v>0</v>
      </c>
      <c r="L560" s="83" t="b">
        <v>0</v>
      </c>
    </row>
    <row r="561" spans="1:12" ht="15">
      <c r="A561" s="84" t="s">
        <v>1562</v>
      </c>
      <c r="B561" s="83" t="s">
        <v>1564</v>
      </c>
      <c r="C561" s="83">
        <v>2</v>
      </c>
      <c r="D561" s="110">
        <v>0.014463787293864237</v>
      </c>
      <c r="E561" s="110">
        <v>1.5217916496391235</v>
      </c>
      <c r="F561" s="83" t="s">
        <v>1384</v>
      </c>
      <c r="G561" s="83" t="b">
        <v>0</v>
      </c>
      <c r="H561" s="83" t="b">
        <v>0</v>
      </c>
      <c r="I561" s="83" t="b">
        <v>0</v>
      </c>
      <c r="J561" s="83" t="b">
        <v>0</v>
      </c>
      <c r="K561" s="83" t="b">
        <v>0</v>
      </c>
      <c r="L561" s="83" t="b">
        <v>0</v>
      </c>
    </row>
    <row r="562" spans="1:12" ht="15">
      <c r="A562" s="84" t="s">
        <v>1750</v>
      </c>
      <c r="B562" s="83" t="s">
        <v>1751</v>
      </c>
      <c r="C562" s="83">
        <v>3</v>
      </c>
      <c r="D562" s="110">
        <v>0.01392961043069744</v>
      </c>
      <c r="E562" s="110">
        <v>1.9173304261065538</v>
      </c>
      <c r="F562" s="83" t="s">
        <v>1385</v>
      </c>
      <c r="G562" s="83" t="b">
        <v>0</v>
      </c>
      <c r="H562" s="83" t="b">
        <v>0</v>
      </c>
      <c r="I562" s="83" t="b">
        <v>0</v>
      </c>
      <c r="J562" s="83" t="b">
        <v>0</v>
      </c>
      <c r="K562" s="83" t="b">
        <v>0</v>
      </c>
      <c r="L562" s="83" t="b">
        <v>0</v>
      </c>
    </row>
    <row r="563" spans="1:12" ht="15">
      <c r="A563" s="84" t="s">
        <v>1985</v>
      </c>
      <c r="B563" s="83" t="s">
        <v>1741</v>
      </c>
      <c r="C563" s="83">
        <v>2</v>
      </c>
      <c r="D563" s="110">
        <v>0.007014482458221077</v>
      </c>
      <c r="E563" s="110">
        <v>1.9173304261065538</v>
      </c>
      <c r="F563" s="83" t="s">
        <v>1385</v>
      </c>
      <c r="G563" s="83" t="b">
        <v>0</v>
      </c>
      <c r="H563" s="83" t="b">
        <v>0</v>
      </c>
      <c r="I563" s="83" t="b">
        <v>0</v>
      </c>
      <c r="J563" s="83" t="b">
        <v>0</v>
      </c>
      <c r="K563" s="83" t="b">
        <v>0</v>
      </c>
      <c r="L563" s="83" t="b">
        <v>0</v>
      </c>
    </row>
    <row r="564" spans="1:12" ht="15">
      <c r="A564" s="84" t="s">
        <v>1428</v>
      </c>
      <c r="B564" s="83" t="s">
        <v>1623</v>
      </c>
      <c r="C564" s="83">
        <v>2</v>
      </c>
      <c r="D564" s="110">
        <v>0.007014482458221077</v>
      </c>
      <c r="E564" s="110">
        <v>1.5193904174345163</v>
      </c>
      <c r="F564" s="83" t="s">
        <v>1385</v>
      </c>
      <c r="G564" s="83" t="b">
        <v>0</v>
      </c>
      <c r="H564" s="83" t="b">
        <v>0</v>
      </c>
      <c r="I564" s="83" t="b">
        <v>0</v>
      </c>
      <c r="J564" s="83" t="b">
        <v>0</v>
      </c>
      <c r="K564" s="83" t="b">
        <v>0</v>
      </c>
      <c r="L564" s="83" t="b">
        <v>0</v>
      </c>
    </row>
    <row r="565" spans="1:12" ht="15">
      <c r="A565" s="84" t="s">
        <v>1743</v>
      </c>
      <c r="B565" s="83" t="s">
        <v>1990</v>
      </c>
      <c r="C565" s="83">
        <v>2</v>
      </c>
      <c r="D565" s="110">
        <v>0.007014482458221077</v>
      </c>
      <c r="E565" s="110">
        <v>1.9173304261065538</v>
      </c>
      <c r="F565" s="83" t="s">
        <v>1385</v>
      </c>
      <c r="G565" s="83" t="b">
        <v>0</v>
      </c>
      <c r="H565" s="83" t="b">
        <v>0</v>
      </c>
      <c r="I565" s="83" t="b">
        <v>0</v>
      </c>
      <c r="J565" s="83" t="b">
        <v>0</v>
      </c>
      <c r="K565" s="83" t="b">
        <v>0</v>
      </c>
      <c r="L565" s="83" t="b">
        <v>0</v>
      </c>
    </row>
    <row r="566" spans="1:12" ht="15">
      <c r="A566" s="84" t="s">
        <v>1991</v>
      </c>
      <c r="B566" s="83" t="s">
        <v>1550</v>
      </c>
      <c r="C566" s="83">
        <v>2</v>
      </c>
      <c r="D566" s="110">
        <v>0.007014482458221077</v>
      </c>
      <c r="E566" s="110">
        <v>1.6163004304425728</v>
      </c>
      <c r="F566" s="83" t="s">
        <v>1385</v>
      </c>
      <c r="G566" s="83" t="b">
        <v>0</v>
      </c>
      <c r="H566" s="83" t="b">
        <v>0</v>
      </c>
      <c r="I566" s="83" t="b">
        <v>0</v>
      </c>
      <c r="J566" s="83" t="b">
        <v>0</v>
      </c>
      <c r="K566" s="83" t="b">
        <v>0</v>
      </c>
      <c r="L566" s="83" t="b">
        <v>0</v>
      </c>
    </row>
    <row r="567" spans="1:12" ht="15">
      <c r="A567" s="84" t="s">
        <v>1550</v>
      </c>
      <c r="B567" s="83" t="s">
        <v>1992</v>
      </c>
      <c r="C567" s="83">
        <v>2</v>
      </c>
      <c r="D567" s="110">
        <v>0.007014482458221077</v>
      </c>
      <c r="E567" s="110">
        <v>1.6163004304425728</v>
      </c>
      <c r="F567" s="83" t="s">
        <v>1385</v>
      </c>
      <c r="G567" s="83" t="b">
        <v>0</v>
      </c>
      <c r="H567" s="83" t="b">
        <v>0</v>
      </c>
      <c r="I567" s="83" t="b">
        <v>0</v>
      </c>
      <c r="J567" s="83" t="b">
        <v>0</v>
      </c>
      <c r="K567" s="83" t="b">
        <v>0</v>
      </c>
      <c r="L567" s="83" t="b">
        <v>0</v>
      </c>
    </row>
    <row r="568" spans="1:12" ht="15">
      <c r="A568" s="84" t="s">
        <v>2004</v>
      </c>
      <c r="B568" s="83" t="s">
        <v>1583</v>
      </c>
      <c r="C568" s="83">
        <v>2</v>
      </c>
      <c r="D568" s="110">
        <v>0.007014482458221077</v>
      </c>
      <c r="E568" s="110">
        <v>1.6954816764901974</v>
      </c>
      <c r="F568" s="83" t="s">
        <v>1385</v>
      </c>
      <c r="G568" s="83" t="b">
        <v>0</v>
      </c>
      <c r="H568" s="83" t="b">
        <v>0</v>
      </c>
      <c r="I568" s="83" t="b">
        <v>0</v>
      </c>
      <c r="J568" s="83" t="b">
        <v>0</v>
      </c>
      <c r="K568" s="83" t="b">
        <v>0</v>
      </c>
      <c r="L568" s="83" t="b">
        <v>0</v>
      </c>
    </row>
    <row r="569" spans="1:12" ht="15">
      <c r="A569" s="84" t="s">
        <v>1583</v>
      </c>
      <c r="B569" s="83" t="s">
        <v>1747</v>
      </c>
      <c r="C569" s="83">
        <v>2</v>
      </c>
      <c r="D569" s="110">
        <v>0.007014482458221077</v>
      </c>
      <c r="E569" s="110">
        <v>1.5193904174345163</v>
      </c>
      <c r="F569" s="83" t="s">
        <v>1385</v>
      </c>
      <c r="G569" s="83" t="b">
        <v>0</v>
      </c>
      <c r="H569" s="83" t="b">
        <v>0</v>
      </c>
      <c r="I569" s="83" t="b">
        <v>0</v>
      </c>
      <c r="J569" s="83" t="b">
        <v>0</v>
      </c>
      <c r="K569" s="83" t="b">
        <v>0</v>
      </c>
      <c r="L569" s="83" t="b">
        <v>0</v>
      </c>
    </row>
    <row r="570" spans="1:12" ht="15">
      <c r="A570" s="84" t="s">
        <v>1747</v>
      </c>
      <c r="B570" s="83" t="s">
        <v>1641</v>
      </c>
      <c r="C570" s="83">
        <v>2</v>
      </c>
      <c r="D570" s="110">
        <v>0.007014482458221077</v>
      </c>
      <c r="E570" s="110">
        <v>1.6163004304425728</v>
      </c>
      <c r="F570" s="83" t="s">
        <v>1385</v>
      </c>
      <c r="G570" s="83" t="b">
        <v>0</v>
      </c>
      <c r="H570" s="83" t="b">
        <v>0</v>
      </c>
      <c r="I570" s="83" t="b">
        <v>0</v>
      </c>
      <c r="J570" s="83" t="b">
        <v>0</v>
      </c>
      <c r="K570" s="83" t="b">
        <v>0</v>
      </c>
      <c r="L570" s="83" t="b">
        <v>0</v>
      </c>
    </row>
    <row r="571" spans="1:12" ht="15">
      <c r="A571" s="84" t="s">
        <v>1751</v>
      </c>
      <c r="B571" s="83" t="s">
        <v>1750</v>
      </c>
      <c r="C571" s="83">
        <v>2</v>
      </c>
      <c r="D571" s="110">
        <v>0.009286406953798294</v>
      </c>
      <c r="E571" s="110">
        <v>1.7412391670508727</v>
      </c>
      <c r="F571" s="83" t="s">
        <v>1385</v>
      </c>
      <c r="G571" s="83" t="b">
        <v>0</v>
      </c>
      <c r="H571" s="83" t="b">
        <v>0</v>
      </c>
      <c r="I571" s="83" t="b">
        <v>0</v>
      </c>
      <c r="J571" s="83" t="b">
        <v>0</v>
      </c>
      <c r="K571" s="83" t="b">
        <v>0</v>
      </c>
      <c r="L571" s="83" t="b">
        <v>0</v>
      </c>
    </row>
    <row r="572" spans="1:12" ht="15">
      <c r="A572" s="84" t="s">
        <v>1996</v>
      </c>
      <c r="B572" s="83" t="s">
        <v>1746</v>
      </c>
      <c r="C572" s="83">
        <v>2</v>
      </c>
      <c r="D572" s="110">
        <v>0.007014482458221077</v>
      </c>
      <c r="E572" s="110">
        <v>1.9173304261065538</v>
      </c>
      <c r="F572" s="83" t="s">
        <v>1385</v>
      </c>
      <c r="G572" s="83" t="b">
        <v>0</v>
      </c>
      <c r="H572" s="83" t="b">
        <v>0</v>
      </c>
      <c r="I572" s="83" t="b">
        <v>0</v>
      </c>
      <c r="J572" s="83" t="b">
        <v>0</v>
      </c>
      <c r="K572" s="83" t="b">
        <v>0</v>
      </c>
      <c r="L572" s="83" t="b">
        <v>0</v>
      </c>
    </row>
    <row r="573" spans="1:12" ht="15">
      <c r="A573" s="84" t="s">
        <v>1748</v>
      </c>
      <c r="B573" s="83" t="s">
        <v>1999</v>
      </c>
      <c r="C573" s="83">
        <v>2</v>
      </c>
      <c r="D573" s="110">
        <v>0.009286406953798294</v>
      </c>
      <c r="E573" s="110">
        <v>2.093421685162235</v>
      </c>
      <c r="F573" s="83" t="s">
        <v>1385</v>
      </c>
      <c r="G573" s="83" t="b">
        <v>0</v>
      </c>
      <c r="H573" s="83" t="b">
        <v>0</v>
      </c>
      <c r="I573" s="83" t="b">
        <v>0</v>
      </c>
      <c r="J573" s="83" t="b">
        <v>0</v>
      </c>
      <c r="K573" s="83" t="b">
        <v>0</v>
      </c>
      <c r="L573" s="83" t="b">
        <v>0</v>
      </c>
    </row>
    <row r="574" spans="1:12" ht="15">
      <c r="A574" s="84" t="s">
        <v>1526</v>
      </c>
      <c r="B574" s="83" t="s">
        <v>2000</v>
      </c>
      <c r="C574" s="83">
        <v>2</v>
      </c>
      <c r="D574" s="110">
        <v>0.007014482458221077</v>
      </c>
      <c r="E574" s="110">
        <v>1.5493536408119595</v>
      </c>
      <c r="F574" s="83" t="s">
        <v>1385</v>
      </c>
      <c r="G574" s="83" t="b">
        <v>0</v>
      </c>
      <c r="H574" s="83" t="b">
        <v>0</v>
      </c>
      <c r="I574" s="83" t="b">
        <v>0</v>
      </c>
      <c r="J574" s="83" t="b">
        <v>0</v>
      </c>
      <c r="K574" s="83" t="b">
        <v>0</v>
      </c>
      <c r="L574" s="83" t="b">
        <v>0</v>
      </c>
    </row>
    <row r="575" spans="1:12" ht="15">
      <c r="A575" s="84" t="s">
        <v>1437</v>
      </c>
      <c r="B575" s="83" t="s">
        <v>1580</v>
      </c>
      <c r="C575" s="83">
        <v>4</v>
      </c>
      <c r="D575" s="110">
        <v>0.029614507579769755</v>
      </c>
      <c r="E575" s="110">
        <v>1.3521825181113625</v>
      </c>
      <c r="F575" s="83" t="s">
        <v>1386</v>
      </c>
      <c r="G575" s="83" t="b">
        <v>0</v>
      </c>
      <c r="H575" s="83" t="b">
        <v>0</v>
      </c>
      <c r="I575" s="83" t="b">
        <v>0</v>
      </c>
      <c r="J575" s="83" t="b">
        <v>0</v>
      </c>
      <c r="K575" s="83" t="b">
        <v>0</v>
      </c>
      <c r="L575" s="83" t="b">
        <v>0</v>
      </c>
    </row>
    <row r="576" spans="1:12" ht="15">
      <c r="A576" s="84" t="s">
        <v>1580</v>
      </c>
      <c r="B576" s="83" t="s">
        <v>1514</v>
      </c>
      <c r="C576" s="83">
        <v>2</v>
      </c>
      <c r="D576" s="110">
        <v>0.014807253789884877</v>
      </c>
      <c r="E576" s="110">
        <v>1.6532125137753437</v>
      </c>
      <c r="F576" s="83" t="s">
        <v>1386</v>
      </c>
      <c r="G576" s="83" t="b">
        <v>0</v>
      </c>
      <c r="H576" s="83" t="b">
        <v>0</v>
      </c>
      <c r="I576" s="83" t="b">
        <v>0</v>
      </c>
      <c r="J576" s="83" t="b">
        <v>0</v>
      </c>
      <c r="K576" s="83" t="b">
        <v>0</v>
      </c>
      <c r="L576" s="83" t="b">
        <v>0</v>
      </c>
    </row>
    <row r="577" spans="1:12" ht="15">
      <c r="A577" s="84" t="s">
        <v>1514</v>
      </c>
      <c r="B577" s="83" t="s">
        <v>1478</v>
      </c>
      <c r="C577" s="83">
        <v>2</v>
      </c>
      <c r="D577" s="110">
        <v>0.014807253789884877</v>
      </c>
      <c r="E577" s="110">
        <v>1.3521825181113625</v>
      </c>
      <c r="F577" s="83" t="s">
        <v>1386</v>
      </c>
      <c r="G577" s="83" t="b">
        <v>0</v>
      </c>
      <c r="H577" s="83" t="b">
        <v>0</v>
      </c>
      <c r="I577" s="83" t="b">
        <v>0</v>
      </c>
      <c r="J577" s="83" t="b">
        <v>0</v>
      </c>
      <c r="K577" s="83" t="b">
        <v>0</v>
      </c>
      <c r="L577" s="83" t="b">
        <v>0</v>
      </c>
    </row>
    <row r="578" spans="1:12" ht="15">
      <c r="A578" s="84" t="s">
        <v>1478</v>
      </c>
      <c r="B578" s="83" t="s">
        <v>1473</v>
      </c>
      <c r="C578" s="83">
        <v>2</v>
      </c>
      <c r="D578" s="110">
        <v>0.014807253789884877</v>
      </c>
      <c r="E578" s="110">
        <v>1.3521825181113625</v>
      </c>
      <c r="F578" s="83" t="s">
        <v>1386</v>
      </c>
      <c r="G578" s="83" t="b">
        <v>0</v>
      </c>
      <c r="H578" s="83" t="b">
        <v>0</v>
      </c>
      <c r="I578" s="83" t="b">
        <v>0</v>
      </c>
      <c r="J578" s="83" t="b">
        <v>0</v>
      </c>
      <c r="K578" s="83" t="b">
        <v>0</v>
      </c>
      <c r="L578" s="83" t="b">
        <v>0</v>
      </c>
    </row>
    <row r="579" spans="1:12" ht="15">
      <c r="A579" s="84" t="s">
        <v>1473</v>
      </c>
      <c r="B579" s="83" t="s">
        <v>1754</v>
      </c>
      <c r="C579" s="83">
        <v>2</v>
      </c>
      <c r="D579" s="110">
        <v>0.014807253789884877</v>
      </c>
      <c r="E579" s="110">
        <v>1.6532125137753437</v>
      </c>
      <c r="F579" s="83" t="s">
        <v>1386</v>
      </c>
      <c r="G579" s="83" t="b">
        <v>0</v>
      </c>
      <c r="H579" s="83" t="b">
        <v>0</v>
      </c>
      <c r="I579" s="83" t="b">
        <v>0</v>
      </c>
      <c r="J579" s="83" t="b">
        <v>1</v>
      </c>
      <c r="K579" s="83" t="b">
        <v>0</v>
      </c>
      <c r="L579" s="83" t="b">
        <v>0</v>
      </c>
    </row>
    <row r="580" spans="1:12" ht="15">
      <c r="A580" s="84" t="s">
        <v>1754</v>
      </c>
      <c r="B580" s="83" t="s">
        <v>1541</v>
      </c>
      <c r="C580" s="83">
        <v>2</v>
      </c>
      <c r="D580" s="110">
        <v>0.014807253789884877</v>
      </c>
      <c r="E580" s="110">
        <v>1.6532125137753437</v>
      </c>
      <c r="F580" s="83" t="s">
        <v>1386</v>
      </c>
      <c r="G580" s="83" t="b">
        <v>1</v>
      </c>
      <c r="H580" s="83" t="b">
        <v>0</v>
      </c>
      <c r="I580" s="83" t="b">
        <v>0</v>
      </c>
      <c r="J580" s="83" t="b">
        <v>0</v>
      </c>
      <c r="K580" s="83" t="b">
        <v>0</v>
      </c>
      <c r="L580" s="83" t="b">
        <v>0</v>
      </c>
    </row>
    <row r="581" spans="1:12" ht="15">
      <c r="A581" s="84" t="s">
        <v>1541</v>
      </c>
      <c r="B581" s="83" t="s">
        <v>1438</v>
      </c>
      <c r="C581" s="83">
        <v>2</v>
      </c>
      <c r="D581" s="110">
        <v>0.014807253789884877</v>
      </c>
      <c r="E581" s="110">
        <v>1.6532125137753437</v>
      </c>
      <c r="F581" s="83" t="s">
        <v>1386</v>
      </c>
      <c r="G581" s="83" t="b">
        <v>0</v>
      </c>
      <c r="H581" s="83" t="b">
        <v>0</v>
      </c>
      <c r="I581" s="83" t="b">
        <v>0</v>
      </c>
      <c r="J581" s="83" t="b">
        <v>1</v>
      </c>
      <c r="K581" s="83" t="b">
        <v>0</v>
      </c>
      <c r="L581" s="83" t="b">
        <v>0</v>
      </c>
    </row>
    <row r="582" spans="1:12" ht="15">
      <c r="A582" s="84" t="s">
        <v>1438</v>
      </c>
      <c r="B582" s="83" t="s">
        <v>2021</v>
      </c>
      <c r="C582" s="83">
        <v>2</v>
      </c>
      <c r="D582" s="110">
        <v>0.014807253789884877</v>
      </c>
      <c r="E582" s="110">
        <v>1.6532125137753437</v>
      </c>
      <c r="F582" s="83" t="s">
        <v>1386</v>
      </c>
      <c r="G582" s="83" t="b">
        <v>1</v>
      </c>
      <c r="H582" s="83" t="b">
        <v>0</v>
      </c>
      <c r="I582" s="83" t="b">
        <v>0</v>
      </c>
      <c r="J582" s="83" t="b">
        <v>0</v>
      </c>
      <c r="K582" s="83" t="b">
        <v>0</v>
      </c>
      <c r="L582" s="83" t="b">
        <v>0</v>
      </c>
    </row>
    <row r="583" spans="1:12" ht="15">
      <c r="A583" s="84" t="s">
        <v>2021</v>
      </c>
      <c r="B583" s="83" t="s">
        <v>2022</v>
      </c>
      <c r="C583" s="83">
        <v>2</v>
      </c>
      <c r="D583" s="110">
        <v>0.014807253789884877</v>
      </c>
      <c r="E583" s="110">
        <v>1.6532125137753437</v>
      </c>
      <c r="F583" s="83" t="s">
        <v>1386</v>
      </c>
      <c r="G583" s="83" t="b">
        <v>0</v>
      </c>
      <c r="H583" s="83" t="b">
        <v>0</v>
      </c>
      <c r="I583" s="83" t="b">
        <v>0</v>
      </c>
      <c r="J583" s="83" t="b">
        <v>0</v>
      </c>
      <c r="K583" s="83" t="b">
        <v>0</v>
      </c>
      <c r="L583" s="83" t="b">
        <v>0</v>
      </c>
    </row>
    <row r="584" spans="1:12" ht="15">
      <c r="A584" s="84" t="s">
        <v>2022</v>
      </c>
      <c r="B584" s="83" t="s">
        <v>2023</v>
      </c>
      <c r="C584" s="83">
        <v>2</v>
      </c>
      <c r="D584" s="110">
        <v>0.014807253789884877</v>
      </c>
      <c r="E584" s="110">
        <v>1.6532125137753437</v>
      </c>
      <c r="F584" s="83" t="s">
        <v>1386</v>
      </c>
      <c r="G584" s="83" t="b">
        <v>0</v>
      </c>
      <c r="H584" s="83" t="b">
        <v>0</v>
      </c>
      <c r="I584" s="83" t="b">
        <v>0</v>
      </c>
      <c r="J584" s="83" t="b">
        <v>0</v>
      </c>
      <c r="K584" s="83" t="b">
        <v>0</v>
      </c>
      <c r="L584" s="83" t="b">
        <v>0</v>
      </c>
    </row>
    <row r="585" spans="1:12" ht="15">
      <c r="A585" s="84" t="s">
        <v>2023</v>
      </c>
      <c r="B585" s="83" t="s">
        <v>1730</v>
      </c>
      <c r="C585" s="83">
        <v>2</v>
      </c>
      <c r="D585" s="110">
        <v>0.014807253789884877</v>
      </c>
      <c r="E585" s="110">
        <v>1.6532125137753437</v>
      </c>
      <c r="F585" s="83" t="s">
        <v>1386</v>
      </c>
      <c r="G585" s="83" t="b">
        <v>0</v>
      </c>
      <c r="H585" s="83" t="b">
        <v>0</v>
      </c>
      <c r="I585" s="83" t="b">
        <v>0</v>
      </c>
      <c r="J585" s="83" t="b">
        <v>0</v>
      </c>
      <c r="K585" s="83" t="b">
        <v>0</v>
      </c>
      <c r="L585" s="83" t="b">
        <v>0</v>
      </c>
    </row>
    <row r="586" spans="1:12" ht="15">
      <c r="A586" s="84" t="s">
        <v>1730</v>
      </c>
      <c r="B586" s="83" t="s">
        <v>1644</v>
      </c>
      <c r="C586" s="83">
        <v>2</v>
      </c>
      <c r="D586" s="110">
        <v>0.014807253789884877</v>
      </c>
      <c r="E586" s="110">
        <v>1.3521825181113625</v>
      </c>
      <c r="F586" s="83" t="s">
        <v>1386</v>
      </c>
      <c r="G586" s="83" t="b">
        <v>0</v>
      </c>
      <c r="H586" s="83" t="b">
        <v>0</v>
      </c>
      <c r="I586" s="83" t="b">
        <v>0</v>
      </c>
      <c r="J586" s="83" t="b">
        <v>0</v>
      </c>
      <c r="K586" s="83" t="b">
        <v>0</v>
      </c>
      <c r="L586" s="83" t="b">
        <v>0</v>
      </c>
    </row>
    <row r="587" spans="1:12" ht="15">
      <c r="A587" s="84" t="s">
        <v>1644</v>
      </c>
      <c r="B587" s="83" t="s">
        <v>1515</v>
      </c>
      <c r="C587" s="83">
        <v>2</v>
      </c>
      <c r="D587" s="110">
        <v>0.014807253789884877</v>
      </c>
      <c r="E587" s="110">
        <v>1.3521825181113625</v>
      </c>
      <c r="F587" s="83" t="s">
        <v>1386</v>
      </c>
      <c r="G587" s="83" t="b">
        <v>0</v>
      </c>
      <c r="H587" s="83" t="b">
        <v>0</v>
      </c>
      <c r="I587" s="83" t="b">
        <v>0</v>
      </c>
      <c r="J587" s="83" t="b">
        <v>0</v>
      </c>
      <c r="K587" s="83" t="b">
        <v>0</v>
      </c>
      <c r="L587" s="83" t="b">
        <v>0</v>
      </c>
    </row>
    <row r="588" spans="1:12" ht="15">
      <c r="A588" s="84" t="s">
        <v>1515</v>
      </c>
      <c r="B588" s="83" t="s">
        <v>1645</v>
      </c>
      <c r="C588" s="83">
        <v>2</v>
      </c>
      <c r="D588" s="110">
        <v>0.014807253789884877</v>
      </c>
      <c r="E588" s="110">
        <v>1.3521825181113625</v>
      </c>
      <c r="F588" s="83" t="s">
        <v>1386</v>
      </c>
      <c r="G588" s="83" t="b">
        <v>0</v>
      </c>
      <c r="H588" s="83" t="b">
        <v>0</v>
      </c>
      <c r="I588" s="83" t="b">
        <v>0</v>
      </c>
      <c r="J588" s="83" t="b">
        <v>0</v>
      </c>
      <c r="K588" s="83" t="b">
        <v>0</v>
      </c>
      <c r="L588" s="83" t="b">
        <v>0</v>
      </c>
    </row>
    <row r="589" spans="1:12" ht="15">
      <c r="A589" s="84" t="s">
        <v>1645</v>
      </c>
      <c r="B589" s="83" t="s">
        <v>1718</v>
      </c>
      <c r="C589" s="83">
        <v>2</v>
      </c>
      <c r="D589" s="110">
        <v>0.014807253789884877</v>
      </c>
      <c r="E589" s="110">
        <v>1.3521825181113625</v>
      </c>
      <c r="F589" s="83" t="s">
        <v>1386</v>
      </c>
      <c r="G589" s="83" t="b">
        <v>0</v>
      </c>
      <c r="H589" s="83" t="b">
        <v>0</v>
      </c>
      <c r="I589" s="83" t="b">
        <v>0</v>
      </c>
      <c r="J589" s="83" t="b">
        <v>0</v>
      </c>
      <c r="K589" s="83" t="b">
        <v>0</v>
      </c>
      <c r="L589" s="83" t="b">
        <v>0</v>
      </c>
    </row>
    <row r="590" spans="1:12" ht="15">
      <c r="A590" s="84" t="s">
        <v>1718</v>
      </c>
      <c r="B590" s="83" t="s">
        <v>1644</v>
      </c>
      <c r="C590" s="83">
        <v>2</v>
      </c>
      <c r="D590" s="110">
        <v>0.014807253789884877</v>
      </c>
      <c r="E590" s="110">
        <v>1.3521825181113625</v>
      </c>
      <c r="F590" s="83" t="s">
        <v>1386</v>
      </c>
      <c r="G590" s="83" t="b">
        <v>0</v>
      </c>
      <c r="H590" s="83" t="b">
        <v>0</v>
      </c>
      <c r="I590" s="83" t="b">
        <v>0</v>
      </c>
      <c r="J590" s="83" t="b">
        <v>0</v>
      </c>
      <c r="K590" s="83" t="b">
        <v>0</v>
      </c>
      <c r="L590" s="83" t="b">
        <v>0</v>
      </c>
    </row>
    <row r="591" spans="1:12" ht="15">
      <c r="A591" s="84" t="s">
        <v>1644</v>
      </c>
      <c r="B591" s="83" t="s">
        <v>1645</v>
      </c>
      <c r="C591" s="83">
        <v>2</v>
      </c>
      <c r="D591" s="110">
        <v>0.014807253789884877</v>
      </c>
      <c r="E591" s="110">
        <v>1.0511525224473812</v>
      </c>
      <c r="F591" s="83" t="s">
        <v>1386</v>
      </c>
      <c r="G591" s="83" t="b">
        <v>0</v>
      </c>
      <c r="H591" s="83" t="b">
        <v>0</v>
      </c>
      <c r="I591" s="83" t="b">
        <v>0</v>
      </c>
      <c r="J591" s="83" t="b">
        <v>0</v>
      </c>
      <c r="K591" s="83" t="b">
        <v>0</v>
      </c>
      <c r="L591" s="83" t="b">
        <v>0</v>
      </c>
    </row>
    <row r="592" spans="1:12" ht="15">
      <c r="A592" s="84" t="s">
        <v>1645</v>
      </c>
      <c r="B592" s="83" t="s">
        <v>1715</v>
      </c>
      <c r="C592" s="83">
        <v>2</v>
      </c>
      <c r="D592" s="110">
        <v>0.014807253789884877</v>
      </c>
      <c r="E592" s="110">
        <v>1.3521825181113625</v>
      </c>
      <c r="F592" s="83" t="s">
        <v>1386</v>
      </c>
      <c r="G592" s="83" t="b">
        <v>0</v>
      </c>
      <c r="H592" s="83" t="b">
        <v>0</v>
      </c>
      <c r="I592" s="83" t="b">
        <v>0</v>
      </c>
      <c r="J592" s="83" t="b">
        <v>0</v>
      </c>
      <c r="K592" s="83" t="b">
        <v>0</v>
      </c>
      <c r="L592" s="83" t="b">
        <v>0</v>
      </c>
    </row>
    <row r="593" spans="1:12" ht="15">
      <c r="A593" s="84" t="s">
        <v>1715</v>
      </c>
      <c r="B593" s="83" t="s">
        <v>1437</v>
      </c>
      <c r="C593" s="83">
        <v>2</v>
      </c>
      <c r="D593" s="110">
        <v>0.014807253789884877</v>
      </c>
      <c r="E593" s="110">
        <v>1.4771212547196624</v>
      </c>
      <c r="F593" s="83" t="s">
        <v>1386</v>
      </c>
      <c r="G593" s="83" t="b">
        <v>0</v>
      </c>
      <c r="H593" s="83" t="b">
        <v>0</v>
      </c>
      <c r="I593" s="83" t="b">
        <v>0</v>
      </c>
      <c r="J593" s="83" t="b">
        <v>0</v>
      </c>
      <c r="K593" s="83" t="b">
        <v>0</v>
      </c>
      <c r="L593" s="83" t="b">
        <v>0</v>
      </c>
    </row>
    <row r="594" spans="1:12" ht="15">
      <c r="A594" s="84" t="s">
        <v>1546</v>
      </c>
      <c r="B594" s="83" t="s">
        <v>1428</v>
      </c>
      <c r="C594" s="83">
        <v>3</v>
      </c>
      <c r="D594" s="110">
        <v>0.04095532896756019</v>
      </c>
      <c r="E594" s="110">
        <v>0.8836614351536176</v>
      </c>
      <c r="F594" s="83" t="s">
        <v>1387</v>
      </c>
      <c r="G594" s="83" t="b">
        <v>0</v>
      </c>
      <c r="H594" s="83" t="b">
        <v>0</v>
      </c>
      <c r="I594" s="83" t="b">
        <v>0</v>
      </c>
      <c r="J594" s="83" t="b">
        <v>0</v>
      </c>
      <c r="K594" s="83" t="b">
        <v>0</v>
      </c>
      <c r="L594" s="83" t="b">
        <v>0</v>
      </c>
    </row>
    <row r="595" spans="1:12" ht="15">
      <c r="A595" s="84" t="s">
        <v>1428</v>
      </c>
      <c r="B595" s="83" t="s">
        <v>1546</v>
      </c>
      <c r="C595" s="83">
        <v>2</v>
      </c>
      <c r="D595" s="110">
        <v>0.027303552645040127</v>
      </c>
      <c r="E595" s="110">
        <v>0.6283889300503115</v>
      </c>
      <c r="F595" s="83" t="s">
        <v>1387</v>
      </c>
      <c r="G595" s="83" t="b">
        <v>0</v>
      </c>
      <c r="H595" s="83" t="b">
        <v>0</v>
      </c>
      <c r="I595" s="83" t="b">
        <v>0</v>
      </c>
      <c r="J595" s="83" t="b">
        <v>0</v>
      </c>
      <c r="K595" s="83" t="b">
        <v>0</v>
      </c>
      <c r="L595" s="83" t="b">
        <v>0</v>
      </c>
    </row>
    <row r="596" spans="1:12" ht="15">
      <c r="A596" s="84" t="s">
        <v>1734</v>
      </c>
      <c r="B596" s="83" t="s">
        <v>1546</v>
      </c>
      <c r="C596" s="83">
        <v>2</v>
      </c>
      <c r="D596" s="110">
        <v>0.027303552645040127</v>
      </c>
      <c r="E596" s="110">
        <v>0.9294189257142927</v>
      </c>
      <c r="F596" s="83" t="s">
        <v>1387</v>
      </c>
      <c r="G596" s="83" t="b">
        <v>0</v>
      </c>
      <c r="H596" s="83" t="b">
        <v>0</v>
      </c>
      <c r="I596" s="83" t="b">
        <v>0</v>
      </c>
      <c r="J596" s="83" t="b">
        <v>0</v>
      </c>
      <c r="K596" s="83" t="b">
        <v>0</v>
      </c>
      <c r="L596" s="83" t="b">
        <v>0</v>
      </c>
    </row>
    <row r="597" spans="1:12" ht="15">
      <c r="A597" s="84" t="s">
        <v>1428</v>
      </c>
      <c r="B597" s="83" t="s">
        <v>1734</v>
      </c>
      <c r="C597" s="83">
        <v>2</v>
      </c>
      <c r="D597" s="110">
        <v>0.027303552645040127</v>
      </c>
      <c r="E597" s="110">
        <v>0.7533276666586114</v>
      </c>
      <c r="F597" s="83" t="s">
        <v>1387</v>
      </c>
      <c r="G597" s="83" t="b">
        <v>0</v>
      </c>
      <c r="H597" s="83" t="b">
        <v>0</v>
      </c>
      <c r="I597" s="83" t="b">
        <v>0</v>
      </c>
      <c r="J597" s="83" t="b">
        <v>0</v>
      </c>
      <c r="K597" s="83" t="b">
        <v>0</v>
      </c>
      <c r="L597" s="83" t="b">
        <v>0</v>
      </c>
    </row>
    <row r="598" spans="1:12" ht="15">
      <c r="A598" s="84" t="s">
        <v>1436</v>
      </c>
      <c r="B598" s="83" t="s">
        <v>1611</v>
      </c>
      <c r="C598" s="83">
        <v>2</v>
      </c>
      <c r="D598" s="110">
        <v>0.036193081413192725</v>
      </c>
      <c r="E598" s="110">
        <v>0.9149892102916513</v>
      </c>
      <c r="F598" s="83" t="s">
        <v>1388</v>
      </c>
      <c r="G598" s="83" t="b">
        <v>0</v>
      </c>
      <c r="H598" s="83" t="b">
        <v>0</v>
      </c>
      <c r="I598" s="83" t="b">
        <v>0</v>
      </c>
      <c r="J598" s="83" t="b">
        <v>0</v>
      </c>
      <c r="K598" s="83" t="b">
        <v>0</v>
      </c>
      <c r="L598" s="83" t="b">
        <v>0</v>
      </c>
    </row>
    <row r="599" spans="1:12" ht="15">
      <c r="A599" s="84" t="s">
        <v>1506</v>
      </c>
      <c r="B599" s="83" t="s">
        <v>1481</v>
      </c>
      <c r="C599" s="83">
        <v>4</v>
      </c>
      <c r="D599" s="110">
        <v>0.01350666675045447</v>
      </c>
      <c r="E599" s="110">
        <v>1.4985862088175177</v>
      </c>
      <c r="F599" s="83" t="s">
        <v>1394</v>
      </c>
      <c r="G599" s="83" t="b">
        <v>0</v>
      </c>
      <c r="H599" s="83" t="b">
        <v>0</v>
      </c>
      <c r="I599" s="83" t="b">
        <v>0</v>
      </c>
      <c r="J599" s="83" t="b">
        <v>0</v>
      </c>
      <c r="K599" s="83" t="b">
        <v>0</v>
      </c>
      <c r="L599" s="83" t="b">
        <v>0</v>
      </c>
    </row>
    <row r="600" spans="1:12" ht="15">
      <c r="A600" s="84" t="s">
        <v>1582</v>
      </c>
      <c r="B600" s="83" t="s">
        <v>1758</v>
      </c>
      <c r="C600" s="83">
        <v>3</v>
      </c>
      <c r="D600" s="110">
        <v>0.014492753623188406</v>
      </c>
      <c r="E600" s="110">
        <v>1.8173449714419305</v>
      </c>
      <c r="F600" s="83" t="s">
        <v>1394</v>
      </c>
      <c r="G600" s="83" t="b">
        <v>0</v>
      </c>
      <c r="H600" s="83" t="b">
        <v>0</v>
      </c>
      <c r="I600" s="83" t="b">
        <v>0</v>
      </c>
      <c r="J600" s="83" t="b">
        <v>0</v>
      </c>
      <c r="K600" s="83" t="b">
        <v>0</v>
      </c>
      <c r="L600" s="83" t="b">
        <v>0</v>
      </c>
    </row>
    <row r="601" spans="1:12" ht="15">
      <c r="A601" s="84" t="s">
        <v>1429</v>
      </c>
      <c r="B601" s="83" t="s">
        <v>1477</v>
      </c>
      <c r="C601" s="83">
        <v>2</v>
      </c>
      <c r="D601" s="110">
        <v>0.00966183574879227</v>
      </c>
      <c r="E601" s="110">
        <v>1.5954962218255742</v>
      </c>
      <c r="F601" s="83" t="s">
        <v>1394</v>
      </c>
      <c r="G601" s="83" t="b">
        <v>0</v>
      </c>
      <c r="H601" s="83" t="b">
        <v>0</v>
      </c>
      <c r="I601" s="83" t="b">
        <v>0</v>
      </c>
      <c r="J601" s="83" t="b">
        <v>0</v>
      </c>
      <c r="K601" s="83" t="b">
        <v>0</v>
      </c>
      <c r="L601" s="83" t="b">
        <v>0</v>
      </c>
    </row>
    <row r="602" spans="1:12" ht="15">
      <c r="A602" s="84" t="s">
        <v>1432</v>
      </c>
      <c r="B602" s="83" t="s">
        <v>1431</v>
      </c>
      <c r="C602" s="83">
        <v>2</v>
      </c>
      <c r="D602" s="110">
        <v>0.00966183574879227</v>
      </c>
      <c r="E602" s="110">
        <v>1.2152849801139682</v>
      </c>
      <c r="F602" s="83" t="s">
        <v>1394</v>
      </c>
      <c r="G602" s="83" t="b">
        <v>0</v>
      </c>
      <c r="H602" s="83" t="b">
        <v>0</v>
      </c>
      <c r="I602" s="83" t="b">
        <v>0</v>
      </c>
      <c r="J602" s="83" t="b">
        <v>0</v>
      </c>
      <c r="K602" s="83" t="b">
        <v>0</v>
      </c>
      <c r="L602" s="83" t="b">
        <v>0</v>
      </c>
    </row>
    <row r="603" spans="1:12" ht="15">
      <c r="A603" s="84" t="s">
        <v>2036</v>
      </c>
      <c r="B603" s="83" t="s">
        <v>1738</v>
      </c>
      <c r="C603" s="83">
        <v>2</v>
      </c>
      <c r="D603" s="110">
        <v>0.00966183574879227</v>
      </c>
      <c r="E603" s="110">
        <v>1.9934362304976116</v>
      </c>
      <c r="F603" s="83" t="s">
        <v>1394</v>
      </c>
      <c r="G603" s="83" t="b">
        <v>0</v>
      </c>
      <c r="H603" s="83" t="b">
        <v>0</v>
      </c>
      <c r="I603" s="83" t="b">
        <v>0</v>
      </c>
      <c r="J603" s="83" t="b">
        <v>0</v>
      </c>
      <c r="K603" s="83" t="b">
        <v>0</v>
      </c>
      <c r="L603" s="83" t="b">
        <v>0</v>
      </c>
    </row>
    <row r="604" spans="1:12" ht="15">
      <c r="A604" s="84" t="s">
        <v>1738</v>
      </c>
      <c r="B604" s="83" t="s">
        <v>1701</v>
      </c>
      <c r="C604" s="83">
        <v>2</v>
      </c>
      <c r="D604" s="110">
        <v>0.00966183574879227</v>
      </c>
      <c r="E604" s="110">
        <v>1.9934362304976116</v>
      </c>
      <c r="F604" s="83" t="s">
        <v>1394</v>
      </c>
      <c r="G604" s="83" t="b">
        <v>0</v>
      </c>
      <c r="H604" s="83" t="b">
        <v>0</v>
      </c>
      <c r="I604" s="83" t="b">
        <v>0</v>
      </c>
      <c r="J604" s="83" t="b">
        <v>0</v>
      </c>
      <c r="K604" s="83" t="b">
        <v>0</v>
      </c>
      <c r="L604" s="83" t="b">
        <v>0</v>
      </c>
    </row>
    <row r="605" spans="1:12" ht="15">
      <c r="A605" s="84" t="s">
        <v>1701</v>
      </c>
      <c r="B605" s="83" t="s">
        <v>1582</v>
      </c>
      <c r="C605" s="83">
        <v>2</v>
      </c>
      <c r="D605" s="110">
        <v>0.00966183574879227</v>
      </c>
      <c r="E605" s="110">
        <v>1.8173449714419305</v>
      </c>
      <c r="F605" s="83" t="s">
        <v>1394</v>
      </c>
      <c r="G605" s="83" t="b">
        <v>0</v>
      </c>
      <c r="H605" s="83" t="b">
        <v>0</v>
      </c>
      <c r="I605" s="83" t="b">
        <v>0</v>
      </c>
      <c r="J605" s="83" t="b">
        <v>0</v>
      </c>
      <c r="K605" s="83" t="b">
        <v>0</v>
      </c>
      <c r="L605" s="83" t="b">
        <v>0</v>
      </c>
    </row>
    <row r="606" spans="1:12" ht="15">
      <c r="A606" s="84" t="s">
        <v>2038</v>
      </c>
      <c r="B606" s="83" t="s">
        <v>1448</v>
      </c>
      <c r="C606" s="83">
        <v>2</v>
      </c>
      <c r="D606" s="110">
        <v>0.00966183574879227</v>
      </c>
      <c r="E606" s="110">
        <v>1.8173449714419305</v>
      </c>
      <c r="F606" s="83" t="s">
        <v>1394</v>
      </c>
      <c r="G606" s="83" t="b">
        <v>0</v>
      </c>
      <c r="H606" s="83" t="b">
        <v>0</v>
      </c>
      <c r="I606" s="83" t="b">
        <v>0</v>
      </c>
      <c r="J606" s="83" t="b">
        <v>0</v>
      </c>
      <c r="K606" s="83" t="b">
        <v>0</v>
      </c>
      <c r="L606" s="83" t="b">
        <v>0</v>
      </c>
    </row>
    <row r="607" spans="1:12" ht="15">
      <c r="A607" s="84" t="s">
        <v>1481</v>
      </c>
      <c r="B607" s="83" t="s">
        <v>1450</v>
      </c>
      <c r="C607" s="83">
        <v>2</v>
      </c>
      <c r="D607" s="110">
        <v>0.00966183574879227</v>
      </c>
      <c r="E607" s="110">
        <v>1.294466226161593</v>
      </c>
      <c r="F607" s="83" t="s">
        <v>1394</v>
      </c>
      <c r="G607" s="83" t="b">
        <v>0</v>
      </c>
      <c r="H607" s="83" t="b">
        <v>0</v>
      </c>
      <c r="I607" s="83" t="b">
        <v>0</v>
      </c>
      <c r="J607" s="83" t="b">
        <v>0</v>
      </c>
      <c r="K607" s="83" t="b">
        <v>0</v>
      </c>
      <c r="L607" s="83" t="b">
        <v>0</v>
      </c>
    </row>
    <row r="608" spans="1:12" ht="15">
      <c r="A608" s="84" t="s">
        <v>1450</v>
      </c>
      <c r="B608" s="83" t="s">
        <v>2044</v>
      </c>
      <c r="C608" s="83">
        <v>2</v>
      </c>
      <c r="D608" s="110">
        <v>0.00966183574879227</v>
      </c>
      <c r="E608" s="110">
        <v>1.6924062348336306</v>
      </c>
      <c r="F608" s="83" t="s">
        <v>1394</v>
      </c>
      <c r="G608" s="83" t="b">
        <v>0</v>
      </c>
      <c r="H608" s="83" t="b">
        <v>0</v>
      </c>
      <c r="I608" s="83" t="b">
        <v>0</v>
      </c>
      <c r="J608" s="83" t="b">
        <v>0</v>
      </c>
      <c r="K608" s="83" t="b">
        <v>0</v>
      </c>
      <c r="L608" s="83" t="b">
        <v>0</v>
      </c>
    </row>
    <row r="609" spans="1:12" ht="15">
      <c r="A609" s="84" t="s">
        <v>2044</v>
      </c>
      <c r="B609" s="83" t="s">
        <v>2045</v>
      </c>
      <c r="C609" s="83">
        <v>2</v>
      </c>
      <c r="D609" s="110">
        <v>0.00966183574879227</v>
      </c>
      <c r="E609" s="110">
        <v>1.9934362304976116</v>
      </c>
      <c r="F609" s="83" t="s">
        <v>1394</v>
      </c>
      <c r="G609" s="83" t="b">
        <v>0</v>
      </c>
      <c r="H609" s="83" t="b">
        <v>0</v>
      </c>
      <c r="I609" s="83" t="b">
        <v>0</v>
      </c>
      <c r="J609" s="83" t="b">
        <v>0</v>
      </c>
      <c r="K609" s="83" t="b">
        <v>0</v>
      </c>
      <c r="L609" s="83" t="b">
        <v>0</v>
      </c>
    </row>
    <row r="610" spans="1:12" ht="15">
      <c r="A610" s="84" t="s">
        <v>2045</v>
      </c>
      <c r="B610" s="83" t="s">
        <v>1558</v>
      </c>
      <c r="C610" s="83">
        <v>2</v>
      </c>
      <c r="D610" s="110">
        <v>0.00966183574879227</v>
      </c>
      <c r="E610" s="110">
        <v>1.9934362304976116</v>
      </c>
      <c r="F610" s="83" t="s">
        <v>1394</v>
      </c>
      <c r="G610" s="83" t="b">
        <v>0</v>
      </c>
      <c r="H610" s="83" t="b">
        <v>0</v>
      </c>
      <c r="I610" s="83" t="b">
        <v>0</v>
      </c>
      <c r="J610" s="83" t="b">
        <v>0</v>
      </c>
      <c r="K610" s="83" t="b">
        <v>0</v>
      </c>
      <c r="L610" s="83" t="b">
        <v>0</v>
      </c>
    </row>
    <row r="611" spans="1:12" ht="15">
      <c r="A611" s="84" t="s">
        <v>1558</v>
      </c>
      <c r="B611" s="83" t="s">
        <v>1544</v>
      </c>
      <c r="C611" s="83">
        <v>2</v>
      </c>
      <c r="D611" s="110">
        <v>0.00966183574879227</v>
      </c>
      <c r="E611" s="110">
        <v>1.9934362304976116</v>
      </c>
      <c r="F611" s="83" t="s">
        <v>1394</v>
      </c>
      <c r="G611" s="83" t="b">
        <v>0</v>
      </c>
      <c r="H611" s="83" t="b">
        <v>0</v>
      </c>
      <c r="I611" s="83" t="b">
        <v>0</v>
      </c>
      <c r="J611" s="83" t="b">
        <v>0</v>
      </c>
      <c r="K611" s="83" t="b">
        <v>0</v>
      </c>
      <c r="L611" s="83" t="b">
        <v>0</v>
      </c>
    </row>
    <row r="612" spans="1:12" ht="15">
      <c r="A612" s="84" t="s">
        <v>1544</v>
      </c>
      <c r="B612" s="83" t="s">
        <v>1465</v>
      </c>
      <c r="C612" s="83">
        <v>2</v>
      </c>
      <c r="D612" s="110">
        <v>0.00966183574879227</v>
      </c>
      <c r="E612" s="110">
        <v>1.8173449714419305</v>
      </c>
      <c r="F612" s="83" t="s">
        <v>1394</v>
      </c>
      <c r="G612" s="83" t="b">
        <v>0</v>
      </c>
      <c r="H612" s="83" t="b">
        <v>0</v>
      </c>
      <c r="I612" s="83" t="b">
        <v>0</v>
      </c>
      <c r="J612" s="83" t="b">
        <v>0</v>
      </c>
      <c r="K612" s="83" t="b">
        <v>0</v>
      </c>
      <c r="L612" s="83" t="b">
        <v>0</v>
      </c>
    </row>
    <row r="613" spans="1:12" ht="15">
      <c r="A613" s="84" t="s">
        <v>1481</v>
      </c>
      <c r="B613" s="83" t="s">
        <v>1457</v>
      </c>
      <c r="C613" s="83">
        <v>2</v>
      </c>
      <c r="D613" s="110">
        <v>0.00966183574879227</v>
      </c>
      <c r="E613" s="110">
        <v>1.5954962218255742</v>
      </c>
      <c r="F613" s="83" t="s">
        <v>1394</v>
      </c>
      <c r="G613" s="83" t="b">
        <v>0</v>
      </c>
      <c r="H613" s="83" t="b">
        <v>0</v>
      </c>
      <c r="I613" s="83" t="b">
        <v>0</v>
      </c>
      <c r="J613" s="83" t="b">
        <v>0</v>
      </c>
      <c r="K613" s="83" t="b">
        <v>0</v>
      </c>
      <c r="L613" s="83" t="b">
        <v>0</v>
      </c>
    </row>
    <row r="614" spans="1:12" ht="15">
      <c r="A614" s="84" t="s">
        <v>1457</v>
      </c>
      <c r="B614" s="83" t="s">
        <v>1696</v>
      </c>
      <c r="C614" s="83">
        <v>2</v>
      </c>
      <c r="D614" s="110">
        <v>0.00966183574879227</v>
      </c>
      <c r="E614" s="110">
        <v>1.9934362304976116</v>
      </c>
      <c r="F614" s="83" t="s">
        <v>1394</v>
      </c>
      <c r="G614" s="83" t="b">
        <v>0</v>
      </c>
      <c r="H614" s="83" t="b">
        <v>0</v>
      </c>
      <c r="I614" s="83" t="b">
        <v>0</v>
      </c>
      <c r="J614" s="83" t="b">
        <v>0</v>
      </c>
      <c r="K614" s="83" t="b">
        <v>0</v>
      </c>
      <c r="L614" s="83" t="b">
        <v>0</v>
      </c>
    </row>
    <row r="615" spans="1:12" ht="15">
      <c r="A615" s="84" t="s">
        <v>1696</v>
      </c>
      <c r="B615" s="83" t="s">
        <v>2042</v>
      </c>
      <c r="C615" s="83">
        <v>2</v>
      </c>
      <c r="D615" s="110">
        <v>0.00966183574879227</v>
      </c>
      <c r="E615" s="110">
        <v>1.9934362304976116</v>
      </c>
      <c r="F615" s="83" t="s">
        <v>1394</v>
      </c>
      <c r="G615" s="83" t="b">
        <v>0</v>
      </c>
      <c r="H615" s="83" t="b">
        <v>0</v>
      </c>
      <c r="I615" s="83" t="b">
        <v>0</v>
      </c>
      <c r="J615" s="83" t="b">
        <v>0</v>
      </c>
      <c r="K615" s="83" t="b">
        <v>0</v>
      </c>
      <c r="L615" s="83" t="b">
        <v>0</v>
      </c>
    </row>
    <row r="616" spans="1:12" ht="15">
      <c r="A616" s="84" t="s">
        <v>1479</v>
      </c>
      <c r="B616" s="83" t="s">
        <v>1446</v>
      </c>
      <c r="C616" s="83">
        <v>2</v>
      </c>
      <c r="D616" s="110">
        <v>0.00966183574879227</v>
      </c>
      <c r="E616" s="110">
        <v>1.9934362304976116</v>
      </c>
      <c r="F616" s="83" t="s">
        <v>1394</v>
      </c>
      <c r="G616" s="83" t="b">
        <v>0</v>
      </c>
      <c r="H616" s="83" t="b">
        <v>0</v>
      </c>
      <c r="I616" s="83" t="b">
        <v>0</v>
      </c>
      <c r="J616" s="83" t="b">
        <v>0</v>
      </c>
      <c r="K616" s="83" t="b">
        <v>0</v>
      </c>
      <c r="L616" s="83" t="b">
        <v>0</v>
      </c>
    </row>
    <row r="617" spans="1:12" ht="15">
      <c r="A617" s="84" t="s">
        <v>1446</v>
      </c>
      <c r="B617" s="83" t="s">
        <v>1480</v>
      </c>
      <c r="C617" s="83">
        <v>2</v>
      </c>
      <c r="D617" s="110">
        <v>0.00966183574879227</v>
      </c>
      <c r="E617" s="110">
        <v>1.9934362304976116</v>
      </c>
      <c r="F617" s="83" t="s">
        <v>1394</v>
      </c>
      <c r="G617" s="83" t="b">
        <v>0</v>
      </c>
      <c r="H617" s="83" t="b">
        <v>0</v>
      </c>
      <c r="I617" s="83" t="b">
        <v>0</v>
      </c>
      <c r="J617" s="83" t="b">
        <v>0</v>
      </c>
      <c r="K617" s="83" t="b">
        <v>0</v>
      </c>
      <c r="L617" s="83" t="b">
        <v>0</v>
      </c>
    </row>
    <row r="618" spans="1:12" ht="15">
      <c r="A618" s="84" t="s">
        <v>1480</v>
      </c>
      <c r="B618" s="83" t="s">
        <v>1434</v>
      </c>
      <c r="C618" s="83">
        <v>2</v>
      </c>
      <c r="D618" s="110">
        <v>0.00966183574879227</v>
      </c>
      <c r="E618" s="110">
        <v>1.6924062348336306</v>
      </c>
      <c r="F618" s="83" t="s">
        <v>1394</v>
      </c>
      <c r="G618" s="83" t="b">
        <v>0</v>
      </c>
      <c r="H618" s="83" t="b">
        <v>0</v>
      </c>
      <c r="I618" s="83" t="b">
        <v>0</v>
      </c>
      <c r="J618" s="83" t="b">
        <v>0</v>
      </c>
      <c r="K618" s="83" t="b">
        <v>0</v>
      </c>
      <c r="L618" s="83" t="b">
        <v>0</v>
      </c>
    </row>
    <row r="619" spans="1:12" ht="15">
      <c r="A619" s="84" t="s">
        <v>1434</v>
      </c>
      <c r="B619" s="83" t="s">
        <v>1639</v>
      </c>
      <c r="C619" s="83">
        <v>2</v>
      </c>
      <c r="D619" s="110">
        <v>0.00966183574879227</v>
      </c>
      <c r="E619" s="110">
        <v>1.6924062348336306</v>
      </c>
      <c r="F619" s="83" t="s">
        <v>1394</v>
      </c>
      <c r="G619" s="83" t="b">
        <v>0</v>
      </c>
      <c r="H619" s="83" t="b">
        <v>0</v>
      </c>
      <c r="I619" s="83" t="b">
        <v>0</v>
      </c>
      <c r="J619" s="83" t="b">
        <v>0</v>
      </c>
      <c r="K619" s="83" t="b">
        <v>0</v>
      </c>
      <c r="L619" s="83" t="b">
        <v>0</v>
      </c>
    </row>
    <row r="620" spans="1:12" ht="15">
      <c r="A620" s="84" t="s">
        <v>1639</v>
      </c>
      <c r="B620" s="83" t="s">
        <v>2041</v>
      </c>
      <c r="C620" s="83">
        <v>2</v>
      </c>
      <c r="D620" s="110">
        <v>0.00966183574879227</v>
      </c>
      <c r="E620" s="110">
        <v>1.9934362304976116</v>
      </c>
      <c r="F620" s="83" t="s">
        <v>1394</v>
      </c>
      <c r="G620" s="83" t="b">
        <v>0</v>
      </c>
      <c r="H620" s="83" t="b">
        <v>0</v>
      </c>
      <c r="I620" s="83" t="b">
        <v>0</v>
      </c>
      <c r="J620" s="83" t="b">
        <v>0</v>
      </c>
      <c r="K620" s="83" t="b">
        <v>0</v>
      </c>
      <c r="L620" s="83" t="b">
        <v>0</v>
      </c>
    </row>
    <row r="621" spans="1:12" ht="15">
      <c r="A621" s="84" t="s">
        <v>1430</v>
      </c>
      <c r="B621" s="83" t="s">
        <v>1646</v>
      </c>
      <c r="C621" s="83">
        <v>2</v>
      </c>
      <c r="D621" s="110">
        <v>0.00966183574879227</v>
      </c>
      <c r="E621" s="110">
        <v>1.294466226161593</v>
      </c>
      <c r="F621" s="83" t="s">
        <v>1394</v>
      </c>
      <c r="G621" s="83" t="b">
        <v>0</v>
      </c>
      <c r="H621" s="83" t="b">
        <v>0</v>
      </c>
      <c r="I621" s="83" t="b">
        <v>0</v>
      </c>
      <c r="J621" s="83" t="b">
        <v>0</v>
      </c>
      <c r="K621" s="83" t="b">
        <v>0</v>
      </c>
      <c r="L621" s="83" t="b">
        <v>0</v>
      </c>
    </row>
    <row r="622" spans="1:12" ht="15">
      <c r="A622" s="84" t="s">
        <v>1646</v>
      </c>
      <c r="B622" s="83" t="s">
        <v>2039</v>
      </c>
      <c r="C622" s="83">
        <v>2</v>
      </c>
      <c r="D622" s="110">
        <v>0.00966183574879227</v>
      </c>
      <c r="E622" s="110">
        <v>1.8173449714419305</v>
      </c>
      <c r="F622" s="83" t="s">
        <v>1394</v>
      </c>
      <c r="G622" s="83" t="b">
        <v>0</v>
      </c>
      <c r="H622" s="83" t="b">
        <v>0</v>
      </c>
      <c r="I622" s="83" t="b">
        <v>0</v>
      </c>
      <c r="J622" s="83" t="b">
        <v>0</v>
      </c>
      <c r="K622" s="83" t="b">
        <v>0</v>
      </c>
      <c r="L622" s="83" t="b">
        <v>0</v>
      </c>
    </row>
    <row r="623" spans="1:12" ht="15">
      <c r="A623" s="84" t="s">
        <v>2039</v>
      </c>
      <c r="B623" s="83" t="s">
        <v>2040</v>
      </c>
      <c r="C623" s="83">
        <v>2</v>
      </c>
      <c r="D623" s="110">
        <v>0.00966183574879227</v>
      </c>
      <c r="E623" s="110">
        <v>1.9934362304976116</v>
      </c>
      <c r="F623" s="83" t="s">
        <v>1394</v>
      </c>
      <c r="G623" s="83" t="b">
        <v>0</v>
      </c>
      <c r="H623" s="83" t="b">
        <v>0</v>
      </c>
      <c r="I623" s="83" t="b">
        <v>0</v>
      </c>
      <c r="J623" s="83" t="b">
        <v>0</v>
      </c>
      <c r="K623" s="83" t="b">
        <v>0</v>
      </c>
      <c r="L623" s="83" t="b">
        <v>0</v>
      </c>
    </row>
    <row r="624" spans="1:12" ht="15">
      <c r="A624" s="84" t="s">
        <v>1433</v>
      </c>
      <c r="B624" s="83" t="s">
        <v>1435</v>
      </c>
      <c r="C624" s="83">
        <v>3</v>
      </c>
      <c r="D624" s="110">
        <v>0.012924696890513785</v>
      </c>
      <c r="E624" s="110">
        <v>0.7958800173440752</v>
      </c>
      <c r="F624" s="83" t="s">
        <v>1395</v>
      </c>
      <c r="G624" s="83" t="b">
        <v>0</v>
      </c>
      <c r="H624" s="83" t="b">
        <v>0</v>
      </c>
      <c r="I624" s="83" t="b">
        <v>0</v>
      </c>
      <c r="J624" s="83" t="b">
        <v>0</v>
      </c>
      <c r="K624" s="83" t="b">
        <v>0</v>
      </c>
      <c r="L624" s="83" t="b">
        <v>0</v>
      </c>
    </row>
    <row r="625" spans="1:12" ht="15">
      <c r="A625" s="84" t="s">
        <v>1463</v>
      </c>
      <c r="B625" s="83" t="s">
        <v>1547</v>
      </c>
      <c r="C625" s="83">
        <v>2</v>
      </c>
      <c r="D625" s="110">
        <v>0.020760689356136633</v>
      </c>
      <c r="E625" s="110">
        <v>1.0969100130080565</v>
      </c>
      <c r="F625" s="83" t="s">
        <v>1395</v>
      </c>
      <c r="G625" s="83" t="b">
        <v>0</v>
      </c>
      <c r="H625" s="83" t="b">
        <v>0</v>
      </c>
      <c r="I625" s="83" t="b">
        <v>0</v>
      </c>
      <c r="J625" s="83" t="b">
        <v>0</v>
      </c>
      <c r="K625" s="83" t="b">
        <v>0</v>
      </c>
      <c r="L625" s="83" t="b">
        <v>0</v>
      </c>
    </row>
    <row r="626" spans="1:12" ht="15">
      <c r="A626" s="84" t="s">
        <v>1629</v>
      </c>
      <c r="B626" s="83" t="s">
        <v>2005</v>
      </c>
      <c r="C626" s="83">
        <v>2</v>
      </c>
      <c r="D626" s="110">
        <v>0.012542916485999216</v>
      </c>
      <c r="E626" s="110">
        <v>1.3617278360175928</v>
      </c>
      <c r="F626" s="83" t="s">
        <v>1398</v>
      </c>
      <c r="G626" s="83" t="b">
        <v>0</v>
      </c>
      <c r="H626" s="83" t="b">
        <v>0</v>
      </c>
      <c r="I626" s="83" t="b">
        <v>0</v>
      </c>
      <c r="J626" s="83" t="b">
        <v>0</v>
      </c>
      <c r="K626" s="83" t="b">
        <v>0</v>
      </c>
      <c r="L626" s="83" t="b">
        <v>0</v>
      </c>
    </row>
    <row r="627" spans="1:12" ht="15">
      <c r="A627" s="84" t="s">
        <v>2005</v>
      </c>
      <c r="B627" s="83" t="s">
        <v>2006</v>
      </c>
      <c r="C627" s="83">
        <v>2</v>
      </c>
      <c r="D627" s="110">
        <v>0.012542916485999216</v>
      </c>
      <c r="E627" s="110">
        <v>1.3617278360175928</v>
      </c>
      <c r="F627" s="83" t="s">
        <v>1398</v>
      </c>
      <c r="G627" s="83" t="b">
        <v>0</v>
      </c>
      <c r="H627" s="83" t="b">
        <v>0</v>
      </c>
      <c r="I627" s="83" t="b">
        <v>0</v>
      </c>
      <c r="J627" s="83" t="b">
        <v>0</v>
      </c>
      <c r="K627" s="83" t="b">
        <v>0</v>
      </c>
      <c r="L627" s="83" t="b">
        <v>0</v>
      </c>
    </row>
    <row r="628" spans="1:12" ht="15">
      <c r="A628" s="84" t="s">
        <v>2006</v>
      </c>
      <c r="B628" s="83" t="s">
        <v>2007</v>
      </c>
      <c r="C628" s="83">
        <v>2</v>
      </c>
      <c r="D628" s="110">
        <v>0.012542916485999216</v>
      </c>
      <c r="E628" s="110">
        <v>1.3617278360175928</v>
      </c>
      <c r="F628" s="83" t="s">
        <v>1398</v>
      </c>
      <c r="G628" s="83" t="b">
        <v>0</v>
      </c>
      <c r="H628" s="83" t="b">
        <v>0</v>
      </c>
      <c r="I628" s="83" t="b">
        <v>0</v>
      </c>
      <c r="J628" s="83" t="b">
        <v>0</v>
      </c>
      <c r="K628" s="83" t="b">
        <v>0</v>
      </c>
      <c r="L628" s="83" t="b">
        <v>0</v>
      </c>
    </row>
    <row r="629" spans="1:12" ht="15">
      <c r="A629" s="84" t="s">
        <v>2007</v>
      </c>
      <c r="B629" s="83" t="s">
        <v>2008</v>
      </c>
      <c r="C629" s="83">
        <v>2</v>
      </c>
      <c r="D629" s="110">
        <v>0.012542916485999216</v>
      </c>
      <c r="E629" s="110">
        <v>1.3617278360175928</v>
      </c>
      <c r="F629" s="83" t="s">
        <v>1398</v>
      </c>
      <c r="G629" s="83" t="b">
        <v>0</v>
      </c>
      <c r="H629" s="83" t="b">
        <v>0</v>
      </c>
      <c r="I629" s="83" t="b">
        <v>0</v>
      </c>
      <c r="J629" s="83" t="b">
        <v>0</v>
      </c>
      <c r="K629" s="83" t="b">
        <v>0</v>
      </c>
      <c r="L629" s="83" t="b">
        <v>0</v>
      </c>
    </row>
    <row r="630" spans="1:12" ht="15">
      <c r="A630" s="84" t="s">
        <v>2008</v>
      </c>
      <c r="B630" s="83" t="s">
        <v>2009</v>
      </c>
      <c r="C630" s="83">
        <v>2</v>
      </c>
      <c r="D630" s="110">
        <v>0.012542916485999216</v>
      </c>
      <c r="E630" s="110">
        <v>1.3617278360175928</v>
      </c>
      <c r="F630" s="83" t="s">
        <v>1398</v>
      </c>
      <c r="G630" s="83" t="b">
        <v>0</v>
      </c>
      <c r="H630" s="83" t="b">
        <v>0</v>
      </c>
      <c r="I630" s="83" t="b">
        <v>0</v>
      </c>
      <c r="J630" s="83" t="b">
        <v>0</v>
      </c>
      <c r="K630" s="83" t="b">
        <v>0</v>
      </c>
      <c r="L630" s="83" t="b">
        <v>0</v>
      </c>
    </row>
    <row r="631" spans="1:12" ht="15">
      <c r="A631" s="84" t="s">
        <v>2009</v>
      </c>
      <c r="B631" s="83" t="s">
        <v>2010</v>
      </c>
      <c r="C631" s="83">
        <v>2</v>
      </c>
      <c r="D631" s="110">
        <v>0.012542916485999216</v>
      </c>
      <c r="E631" s="110">
        <v>1.3617278360175928</v>
      </c>
      <c r="F631" s="83" t="s">
        <v>1398</v>
      </c>
      <c r="G631" s="83" t="b">
        <v>0</v>
      </c>
      <c r="H631" s="83" t="b">
        <v>0</v>
      </c>
      <c r="I631" s="83" t="b">
        <v>0</v>
      </c>
      <c r="J631" s="83" t="b">
        <v>0</v>
      </c>
      <c r="K631" s="83" t="b">
        <v>0</v>
      </c>
      <c r="L631" s="83" t="b">
        <v>0</v>
      </c>
    </row>
    <row r="632" spans="1:12" ht="15">
      <c r="A632" s="84" t="s">
        <v>2010</v>
      </c>
      <c r="B632" s="83" t="s">
        <v>2011</v>
      </c>
      <c r="C632" s="83">
        <v>2</v>
      </c>
      <c r="D632" s="110">
        <v>0.012542916485999216</v>
      </c>
      <c r="E632" s="110">
        <v>1.3617278360175928</v>
      </c>
      <c r="F632" s="83" t="s">
        <v>1398</v>
      </c>
      <c r="G632" s="83" t="b">
        <v>0</v>
      </c>
      <c r="H632" s="83" t="b">
        <v>0</v>
      </c>
      <c r="I632" s="83" t="b">
        <v>0</v>
      </c>
      <c r="J632" s="83" t="b">
        <v>0</v>
      </c>
      <c r="K632" s="83" t="b">
        <v>0</v>
      </c>
      <c r="L632" s="83" t="b">
        <v>0</v>
      </c>
    </row>
    <row r="633" spans="1:12" ht="15">
      <c r="A633" s="84" t="s">
        <v>2011</v>
      </c>
      <c r="B633" s="83" t="s">
        <v>2012</v>
      </c>
      <c r="C633" s="83">
        <v>2</v>
      </c>
      <c r="D633" s="110">
        <v>0.012542916485999216</v>
      </c>
      <c r="E633" s="110">
        <v>1.3617278360175928</v>
      </c>
      <c r="F633" s="83" t="s">
        <v>1398</v>
      </c>
      <c r="G633" s="83" t="b">
        <v>0</v>
      </c>
      <c r="H633" s="83" t="b">
        <v>0</v>
      </c>
      <c r="I633" s="83" t="b">
        <v>0</v>
      </c>
      <c r="J633" s="83" t="b">
        <v>0</v>
      </c>
      <c r="K633" s="83" t="b">
        <v>0</v>
      </c>
      <c r="L633" s="83" t="b">
        <v>0</v>
      </c>
    </row>
    <row r="634" spans="1:12" ht="15">
      <c r="A634" s="84" t="s">
        <v>2012</v>
      </c>
      <c r="B634" s="83" t="s">
        <v>2013</v>
      </c>
      <c r="C634" s="83">
        <v>2</v>
      </c>
      <c r="D634" s="110">
        <v>0.012542916485999216</v>
      </c>
      <c r="E634" s="110">
        <v>1.3617278360175928</v>
      </c>
      <c r="F634" s="83" t="s">
        <v>1398</v>
      </c>
      <c r="G634" s="83" t="b">
        <v>0</v>
      </c>
      <c r="H634" s="83" t="b">
        <v>0</v>
      </c>
      <c r="I634" s="83" t="b">
        <v>0</v>
      </c>
      <c r="J634" s="83" t="b">
        <v>0</v>
      </c>
      <c r="K634" s="83" t="b">
        <v>0</v>
      </c>
      <c r="L634" s="83" t="b">
        <v>0</v>
      </c>
    </row>
    <row r="635" spans="1:12" ht="15">
      <c r="A635" s="84" t="s">
        <v>2013</v>
      </c>
      <c r="B635" s="83" t="s">
        <v>2014</v>
      </c>
      <c r="C635" s="83">
        <v>2</v>
      </c>
      <c r="D635" s="110">
        <v>0.012542916485999216</v>
      </c>
      <c r="E635" s="110">
        <v>1.3617278360175928</v>
      </c>
      <c r="F635" s="83" t="s">
        <v>1398</v>
      </c>
      <c r="G635" s="83" t="b">
        <v>0</v>
      </c>
      <c r="H635" s="83" t="b">
        <v>0</v>
      </c>
      <c r="I635" s="83" t="b">
        <v>0</v>
      </c>
      <c r="J635" s="83" t="b">
        <v>0</v>
      </c>
      <c r="K635" s="83" t="b">
        <v>0</v>
      </c>
      <c r="L635" s="83" t="b">
        <v>0</v>
      </c>
    </row>
    <row r="636" spans="1:12" ht="15">
      <c r="A636" s="84" t="s">
        <v>2014</v>
      </c>
      <c r="B636" s="83" t="s">
        <v>2015</v>
      </c>
      <c r="C636" s="83">
        <v>2</v>
      </c>
      <c r="D636" s="110">
        <v>0.012542916485999216</v>
      </c>
      <c r="E636" s="110">
        <v>1.3617278360175928</v>
      </c>
      <c r="F636" s="83" t="s">
        <v>1398</v>
      </c>
      <c r="G636" s="83" t="b">
        <v>0</v>
      </c>
      <c r="H636" s="83" t="b">
        <v>0</v>
      </c>
      <c r="I636" s="83" t="b">
        <v>0</v>
      </c>
      <c r="J636" s="83" t="b">
        <v>0</v>
      </c>
      <c r="K636" s="83" t="b">
        <v>0</v>
      </c>
      <c r="L636" s="83" t="b">
        <v>0</v>
      </c>
    </row>
    <row r="637" spans="1:12" ht="15">
      <c r="A637" s="84" t="s">
        <v>2015</v>
      </c>
      <c r="B637" s="83" t="s">
        <v>2016</v>
      </c>
      <c r="C637" s="83">
        <v>2</v>
      </c>
      <c r="D637" s="110">
        <v>0.012542916485999216</v>
      </c>
      <c r="E637" s="110">
        <v>1.3617278360175928</v>
      </c>
      <c r="F637" s="83" t="s">
        <v>1398</v>
      </c>
      <c r="G637" s="83" t="b">
        <v>0</v>
      </c>
      <c r="H637" s="83" t="b">
        <v>0</v>
      </c>
      <c r="I637" s="83" t="b">
        <v>0</v>
      </c>
      <c r="J637" s="83" t="b">
        <v>0</v>
      </c>
      <c r="K637" s="83" t="b">
        <v>0</v>
      </c>
      <c r="L637" s="83" t="b">
        <v>0</v>
      </c>
    </row>
    <row r="638" spans="1:12" ht="15">
      <c r="A638" s="84" t="s">
        <v>1430</v>
      </c>
      <c r="B638" s="83" t="s">
        <v>1487</v>
      </c>
      <c r="C638" s="83">
        <v>3</v>
      </c>
      <c r="D638" s="110">
        <v>0.0265614702056454</v>
      </c>
      <c r="E638" s="110">
        <v>1.0280287236002434</v>
      </c>
      <c r="F638" s="83" t="s">
        <v>1399</v>
      </c>
      <c r="G638" s="83" t="b">
        <v>0</v>
      </c>
      <c r="H638" s="83" t="b">
        <v>0</v>
      </c>
      <c r="I638" s="83" t="b">
        <v>0</v>
      </c>
      <c r="J638" s="83" t="b">
        <v>0</v>
      </c>
      <c r="K638" s="83" t="b">
        <v>0</v>
      </c>
      <c r="L638" s="83" t="b">
        <v>0</v>
      </c>
    </row>
    <row r="639" spans="1:12" ht="15">
      <c r="A639" s="84" t="s">
        <v>2031</v>
      </c>
      <c r="B639" s="83" t="s">
        <v>1428</v>
      </c>
      <c r="C639" s="83">
        <v>2</v>
      </c>
      <c r="D639" s="110">
        <v>0.0177076468037636</v>
      </c>
      <c r="E639" s="110">
        <v>1.2041199826559248</v>
      </c>
      <c r="F639" s="83" t="s">
        <v>1399</v>
      </c>
      <c r="G639" s="83" t="b">
        <v>0</v>
      </c>
      <c r="H639" s="83" t="b">
        <v>0</v>
      </c>
      <c r="I639" s="83" t="b">
        <v>0</v>
      </c>
      <c r="J639" s="83" t="b">
        <v>0</v>
      </c>
      <c r="K639" s="83" t="b">
        <v>0</v>
      </c>
      <c r="L639" s="83" t="b">
        <v>0</v>
      </c>
    </row>
    <row r="640" spans="1:12" ht="15">
      <c r="A640" s="84" t="s">
        <v>1428</v>
      </c>
      <c r="B640" s="83" t="s">
        <v>1757</v>
      </c>
      <c r="C640" s="83">
        <v>2</v>
      </c>
      <c r="D640" s="110">
        <v>0.0177076468037636</v>
      </c>
      <c r="E640" s="110">
        <v>1.0280287236002434</v>
      </c>
      <c r="F640" s="83" t="s">
        <v>1399</v>
      </c>
      <c r="G640" s="83" t="b">
        <v>0</v>
      </c>
      <c r="H640" s="83" t="b">
        <v>0</v>
      </c>
      <c r="I640" s="83" t="b">
        <v>0</v>
      </c>
      <c r="J640" s="83" t="b">
        <v>0</v>
      </c>
      <c r="K640" s="83" t="b">
        <v>0</v>
      </c>
      <c r="L640" s="83" t="b">
        <v>0</v>
      </c>
    </row>
    <row r="641" spans="1:12" ht="15">
      <c r="A641" s="84" t="s">
        <v>1757</v>
      </c>
      <c r="B641" s="83" t="s">
        <v>1430</v>
      </c>
      <c r="C641" s="83">
        <v>2</v>
      </c>
      <c r="D641" s="110">
        <v>0.0177076468037636</v>
      </c>
      <c r="E641" s="110">
        <v>1.0280287236002434</v>
      </c>
      <c r="F641" s="83" t="s">
        <v>1399</v>
      </c>
      <c r="G641" s="83" t="b">
        <v>0</v>
      </c>
      <c r="H641" s="83" t="b">
        <v>0</v>
      </c>
      <c r="I641" s="83" t="b">
        <v>0</v>
      </c>
      <c r="J641" s="83" t="b">
        <v>0</v>
      </c>
      <c r="K641" s="83" t="b">
        <v>0</v>
      </c>
      <c r="L641" s="83" t="b">
        <v>0</v>
      </c>
    </row>
    <row r="642" spans="1:12" ht="15">
      <c r="A642" s="84" t="s">
        <v>1487</v>
      </c>
      <c r="B642" s="83" t="s">
        <v>1451</v>
      </c>
      <c r="C642" s="83">
        <v>2</v>
      </c>
      <c r="D642" s="110">
        <v>0.0177076468037636</v>
      </c>
      <c r="E642" s="110">
        <v>1.0280287236002434</v>
      </c>
      <c r="F642" s="83" t="s">
        <v>1399</v>
      </c>
      <c r="G642" s="83" t="b">
        <v>0</v>
      </c>
      <c r="H642" s="83" t="b">
        <v>0</v>
      </c>
      <c r="I642" s="83" t="b">
        <v>0</v>
      </c>
      <c r="J642" s="83" t="b">
        <v>0</v>
      </c>
      <c r="K642" s="83" t="b">
        <v>0</v>
      </c>
      <c r="L642" s="83" t="b">
        <v>0</v>
      </c>
    </row>
    <row r="643" spans="1:12" ht="15">
      <c r="A643" s="84" t="s">
        <v>1451</v>
      </c>
      <c r="B643" s="83" t="s">
        <v>1733</v>
      </c>
      <c r="C643" s="83">
        <v>2</v>
      </c>
      <c r="D643" s="110">
        <v>0.0177076468037636</v>
      </c>
      <c r="E643" s="110">
        <v>1.2041199826559248</v>
      </c>
      <c r="F643" s="83" t="s">
        <v>1399</v>
      </c>
      <c r="G643" s="83" t="b">
        <v>0</v>
      </c>
      <c r="H643" s="83" t="b">
        <v>0</v>
      </c>
      <c r="I643" s="83" t="b">
        <v>0</v>
      </c>
      <c r="J643" s="83" t="b">
        <v>0</v>
      </c>
      <c r="K643" s="83" t="b">
        <v>0</v>
      </c>
      <c r="L643"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2504535-B961-4763-893E-2F2393CE10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Digital Space Lab</dc:creator>
  <cp:keywords/>
  <dc:description/>
  <cp:lastModifiedBy>Digital Space Lab</cp:lastModifiedBy>
  <dcterms:created xsi:type="dcterms:W3CDTF">2008-01-30T00:41:58Z</dcterms:created>
  <dcterms:modified xsi:type="dcterms:W3CDTF">2022-06-29T15:28:44Z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