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801"/>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<sst xmlns="http://schemas.openxmlformats.org/spreadsheetml/2006/main" count="18083" uniqueCount="4541">
  <si>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</si>
  <si>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</si>
  <si>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</si>
  <si>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</si>
  <si>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</si>
  <si>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</si>
  <si>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</si>
  <si>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</si>
  <si>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</si>
  <si>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</si>
  <si>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</si>
  <si>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</si>
  <si>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</si>
  <si>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</si>
  <si>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</si>
  <si>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</si>
  <si>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</si>
  <si>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</si>
  <si>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</si>
  <si>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</si>
  <si>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</si>
  <si>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</si>
  <si>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</si>
  <si>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</si>
  <si>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</si>
  <si>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</si>
  <si>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</si>
  <si>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</si>
  <si>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</si>
  <si>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</si>
  <si>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</si>
  <si>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</si>
  <si>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</si>
  <si>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</si>
  <si>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</si>
  <si>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</si>
  <si>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</si>
  <si>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</si>
  <si>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</si>
  <si>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</si>
  <si>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</si>
  <si>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</si>
  <si>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</si>
  <si>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</si>
  <si>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</si>
  <si>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</si>
  <si>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</si>
  <si>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</si>
  <si>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</si>
  <si>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</si>
  <si>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</si>
  <si>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</si>
  <si>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</si>
  <si>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</si>
  <si>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</si>
  <si>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</si>
  <si>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</si>
  <si>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</si>
  <si>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</si>
  <si>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</si>
  <si>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</si>
  <si>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</si>
  <si>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</si>
  <si>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</si>
  <si>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</si>
  <si>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</si>
  <si>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</si>
  <si>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</si>
  <si>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</si>
  <si>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</si>
  <si>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</si>
  <si>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</si>
  <si>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</si>
  <si>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</si>
  <si>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</si>
  <si>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</si>
  <si>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</si>
  <si>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</si>
  <si>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</si>
  <si>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</si>
  <si>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</si>
  <si>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</si>
  <si>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</si>
  <si>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</si>
  <si>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</si>
  <si>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</si>
  <si>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</si>
  <si>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</si>
  <si>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</si>
  <si>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</si>
  <si>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</si>
  <si>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</si>
  <si>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</si>
  <si>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</si>
  <si>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</si>
  <si>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</si>
  <si>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</si>
  <si>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</si>
  <si>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</si>
  <si>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</si>
  <si>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</si>
  <si>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</si>
  <si>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</si>
  <si>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</si>
  <si>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</si>
  <si>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</si>
  <si>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</si>
  <si>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</si>
  <si>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</si>
  <si>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</si>
  <si>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</si>
  <si>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</si>
  <si>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</si>
  <si>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</si>
  <si>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</si>
  <si>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</si>
  <si>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</si>
  <si>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</si>
  <si>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</si>
  <si>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</si>
  <si>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</si>
  <si>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</si>
  <si>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</si>
  <si>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</si>
  <si>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</si>
  <si>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</si>
  <si>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</si>
  <si>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</si>
  <si>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</si>
  <si>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</si>
  <si>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</si>
  <si>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</si>
  <si>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</si>
  <si>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</si>
  <si>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</si>
  <si>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</si>
  <si>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</si>
  <si>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</si>
  <si>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</si>
  <si>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</si>
  <si>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</si>
  <si>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</si>
  <si>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</si>
  <si>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</si>
  <si>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</si>
  <si>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</si>
  <si>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</si>
  <si>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</si>
  <si>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</si>
  <si>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</si>
  <si>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</si>
  <si>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</si>
  <si>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</si>
  <si>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</si>
  <si>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</si>
  <si>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</si>
  <si>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</si>
  <si>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</si>
  <si>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</si>
  <si>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</si>
  <si>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</si>
  <si>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</si>
  <si>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</si>
  <si>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</si>
  <si>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</si>
  <si>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</si>
  <si>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</si>
  <si>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</si>
  <si>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</si>
  <si>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</si>
  <si>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</si>
  <si>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</si>
  <si>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</si>
  <si>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</si>
  <si>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</si>
  <si>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</si>
  <si>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</si>
  <si>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</si>
  <si>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</si>
  <si>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</si>
  <si>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</si>
  <si>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</si>
  <si>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</si>
  <si>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</si>
  <si>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</si>
  <si>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</si>
  <si>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</si>
  <si>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</si>
  <si>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</si>
  <si>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</si>
  <si>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</si>
  <si>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</si>
  <si>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 xml:space="preserve">&lt;?xml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&lt;value&gt;http://www.connectedaction.net/wp-content/uploads/2009/11/2009-Connected-Action-Logo.png&lt;/value&gt;
      &lt;/setting&gt;
    &lt;/ExportDataUserSettings&gt;
    &lt;PlugInUserSettings&gt;
      &lt;setting name="PlugInFolderPath" serializeAs="String"&gt;
      </t>
  </si>
  <si>
    <t xml:space="preserve">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t>
  </si>
  <si>
    <t>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t>
  </si>
  <si>
    <t>="SmtpHost"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t>
  </si>
  <si>
    <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t>
  </si>
  <si>
    <t>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t>
  </si>
  <si>
    <t>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t>
  </si>
  <si>
    <t>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t>
  </si>
  <si>
    <t>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t>
  </si>
  <si>
    <t>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t>
  </si>
  <si>
    <t>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t>
  </si>
  <si>
    <t>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t>
  </si>
  <si>
    <t>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t>
  </si>
  <si>
    <t>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t>
  </si>
  <si>
    <t>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t>
  </si>
  <si>
    <t xml:space="preserve">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t>
  </si>
  <si>
    <t xml:space="preserve">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t>
  </si>
  <si>
    <t>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</si>
  <si>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</si>
  <si>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</si>
  <si>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</si>
  <si>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</si>
  <si>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</si>
  <si>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</si>
  <si>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</si>
  <si>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</si>
  <si>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</si>
  <si>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</si>
  <si>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</si>
  <si>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</si>
  <si>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</si>
  <si>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</si>
  <si>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</si>
  <si>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</si>
  <si>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</si>
  <si>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</si>
  <si>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</si>
  <si>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</si>
  <si>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</si>
  <si>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</si>
  <si>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</si>
  <si>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</si>
  <si>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</si>
  <si>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</si>
  <si>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</si>
  <si>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</si>
  <si>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</si>
  <si>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</si>
  <si>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</si>
  <si>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</si>
  <si>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</si>
  <si>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</si>
  <si>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</si>
  <si>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</si>
  <si>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</si>
  <si>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</si>
  <si>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</si>
  <si>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</si>
  <si>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</si>
  <si>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</si>
  <si>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twbstaffsstoke</t>
  </si>
  <si>
    <t>themeekfirefly</t>
  </si>
  <si>
    <t>whhtpharmacy</t>
  </si>
  <si>
    <t>ukhsa_northwest</t>
  </si>
  <si>
    <t>triciag6</t>
  </si>
  <si>
    <t>wirralcouncil</t>
  </si>
  <si>
    <t>tmfnetworks</t>
  </si>
  <si>
    <t>warringtonccg</t>
  </si>
  <si>
    <t>vumc_idfellows</t>
  </si>
  <si>
    <t>yorksambulance</t>
  </si>
  <si>
    <t>ukhsa_southwest</t>
  </si>
  <si>
    <t>ukinatlanta</t>
  </si>
  <si>
    <t>umncvmresearch</t>
  </si>
  <si>
    <t>ukhsa_london</t>
  </si>
  <si>
    <t>utahdepofhealth</t>
  </si>
  <si>
    <t>ukhsa_yandh</t>
  </si>
  <si>
    <t>theamrdoc</t>
  </si>
  <si>
    <t>travel_iosi</t>
  </si>
  <si>
    <t>ucl_ccm</t>
  </si>
  <si>
    <t>vdhgov</t>
  </si>
  <si>
    <t>tehzeebzulfiqar</t>
  </si>
  <si>
    <t>ukhsa_eastmids</t>
  </si>
  <si>
    <t>vikkij89</t>
  </si>
  <si>
    <t>wintercourseid</t>
  </si>
  <si>
    <t>tewv</t>
  </si>
  <si>
    <t>ukhsa_northeast</t>
  </si>
  <si>
    <t>uwpharmacy</t>
  </si>
  <si>
    <t>ukhsa_southeast</t>
  </si>
  <si>
    <t>ukhsa_westmids</t>
  </si>
  <si>
    <t>zainablakhani5</t>
  </si>
  <si>
    <t>wchc_nhs</t>
  </si>
  <si>
    <t>thepfid</t>
  </si>
  <si>
    <t>uos_primarycare</t>
  </si>
  <si>
    <t>ukhsa_eoengland</t>
  </si>
  <si>
    <t>stauntonuk</t>
  </si>
  <si>
    <t>reactgroup</t>
  </si>
  <si>
    <t>redaktionmk</t>
  </si>
  <si>
    <t>ourhospitals</t>
  </si>
  <si>
    <t>polypidltd</t>
  </si>
  <si>
    <t>sawansa26253866</t>
  </si>
  <si>
    <t>mouthy_ip</t>
  </si>
  <si>
    <t>nhs_nelccg</t>
  </si>
  <si>
    <t>nhs_tnw</t>
  </si>
  <si>
    <t>nhswirralccg</t>
  </si>
  <si>
    <t>parshallison</t>
  </si>
  <si>
    <t>pen_no_sillyin</t>
  </si>
  <si>
    <t>sidpharm</t>
  </si>
  <si>
    <t>pandoraidnet</t>
  </si>
  <si>
    <t>preetyjr</t>
  </si>
  <si>
    <t>syheartlandsccg</t>
  </si>
  <si>
    <t>osuvetprevmed</t>
  </si>
  <si>
    <t>nhsnottsccg</t>
  </si>
  <si>
    <t>nhs_cityhackney</t>
  </si>
  <si>
    <t>ncscientist</t>
  </si>
  <si>
    <t>teamnuh</t>
  </si>
  <si>
    <t>nhsnlag</t>
  </si>
  <si>
    <t>pagemedical</t>
  </si>
  <si>
    <t>pharmacyuhdb</t>
  </si>
  <si>
    <t>pkamranpour</t>
  </si>
  <si>
    <t>ohiostate_id</t>
  </si>
  <si>
    <t>smelis73</t>
  </si>
  <si>
    <t>t2bio</t>
  </si>
  <si>
    <t>rcsi_irl</t>
  </si>
  <si>
    <t>reddy_suganya</t>
  </si>
  <si>
    <t>nhseastberksccg</t>
  </si>
  <si>
    <t>staffsccgs</t>
  </si>
  <si>
    <t>tanveer32915182</t>
  </si>
  <si>
    <t>nfidvaccines</t>
  </si>
  <si>
    <t>sunderlandccg</t>
  </si>
  <si>
    <t>rph_iram_malik</t>
  </si>
  <si>
    <t>phwalsall</t>
  </si>
  <si>
    <t>sbudeptofmed</t>
  </si>
  <si>
    <t>sefh_</t>
  </si>
  <si>
    <t>saveantibiotics</t>
  </si>
  <si>
    <t>surreyheartland</t>
  </si>
  <si>
    <t>phlpublichealth</t>
  </si>
  <si>
    <t>mountsinaisci</t>
  </si>
  <si>
    <t>rwjbhpharmacy</t>
  </si>
  <si>
    <t>nottmhospitals</t>
  </si>
  <si>
    <t>myhtams</t>
  </si>
  <si>
    <t>naveidiftikhar</t>
  </si>
  <si>
    <t>nihrspcr</t>
  </si>
  <si>
    <t>shea_epi</t>
  </si>
  <si>
    <t>mnhealth</t>
  </si>
  <si>
    <t>muzzamilrao21</t>
  </si>
  <si>
    <t>notts_ics</t>
  </si>
  <si>
    <t>nhsinbcwb</t>
  </si>
  <si>
    <t>nhswyrd</t>
  </si>
  <si>
    <t>nelhcp</t>
  </si>
  <si>
    <t>silvercrosshosp</t>
  </si>
  <si>
    <t>factconsultancy</t>
  </si>
  <si>
    <t>khcqi</t>
  </si>
  <si>
    <t>jordanchrlswrth</t>
  </si>
  <si>
    <t>mgh_ast</t>
  </si>
  <si>
    <t>larryttu05</t>
  </si>
  <si>
    <t>kevincuervo_</t>
  </si>
  <si>
    <t>linzyelton</t>
  </si>
  <si>
    <t>james_ciwf</t>
  </si>
  <si>
    <t>getready</t>
  </si>
  <si>
    <t>genmarkdx</t>
  </si>
  <si>
    <t>francesgarragh1</t>
  </si>
  <si>
    <t>hemofelo</t>
  </si>
  <si>
    <t>his_infection</t>
  </si>
  <si>
    <t>healthierbcwb</t>
  </si>
  <si>
    <t>jayp9298</t>
  </si>
  <si>
    <t>istsupsan</t>
  </si>
  <si>
    <t>hsecho7</t>
  </si>
  <si>
    <t>gujarattfgp</t>
  </si>
  <si>
    <t>michiganhhs</t>
  </si>
  <si>
    <t>liverpoolccg</t>
  </si>
  <si>
    <t>iapublichealth</t>
  </si>
  <si>
    <t>hpruamr</t>
  </si>
  <si>
    <t>irelandsouthwid</t>
  </si>
  <si>
    <t>keithridge1</t>
  </si>
  <si>
    <t>melintatx</t>
  </si>
  <si>
    <t>kyabxawareness</t>
  </si>
  <si>
    <t>haltonccg</t>
  </si>
  <si>
    <t>i_alfu</t>
  </si>
  <si>
    <t>farmacia_lapaz</t>
  </si>
  <si>
    <t>eu_health</t>
  </si>
  <si>
    <t>lydiapalumbo_</t>
  </si>
  <si>
    <t>med_shadow</t>
  </si>
  <si>
    <t>h3a1er</t>
  </si>
  <si>
    <t>lthtantibiotics</t>
  </si>
  <si>
    <t>imtiaza66426320</t>
  </si>
  <si>
    <t>ltepod</t>
  </si>
  <si>
    <t>healthsacademy</t>
  </si>
  <si>
    <t>marrcoalition</t>
  </si>
  <si>
    <t>evbuomwanefe</t>
  </si>
  <si>
    <t>lizcorteville</t>
  </si>
  <si>
    <t>epinireland</t>
  </si>
  <si>
    <t>iamaflatoon</t>
  </si>
  <si>
    <t>fda_drug_info</t>
  </si>
  <si>
    <t>microblog_me_uk</t>
  </si>
  <si>
    <t>jamiesonce</t>
  </si>
  <si>
    <t>sanfordguide</t>
  </si>
  <si>
    <t>behalalorg</t>
  </si>
  <si>
    <t>foodgov</t>
  </si>
  <si>
    <t>drnawaz888</t>
  </si>
  <si>
    <t>cuh_ams</t>
  </si>
  <si>
    <t>ekhuftpathology</t>
  </si>
  <si>
    <t>adhpio</t>
  </si>
  <si>
    <t>dirty_drinks</t>
  </si>
  <si>
    <t>cdc_ncezid</t>
  </si>
  <si>
    <t>bdandco</t>
  </si>
  <si>
    <t>drhussentareq</t>
  </si>
  <si>
    <t>bchpedsid</t>
  </si>
  <si>
    <t>atikaashraf11</t>
  </si>
  <si>
    <t>ahrqnews</t>
  </si>
  <si>
    <t>efnbrussels</t>
  </si>
  <si>
    <t>drkhabbazcdc</t>
  </si>
  <si>
    <t>dr_pbailey</t>
  </si>
  <si>
    <t>cdc_ar</t>
  </si>
  <si>
    <t>brettbarrettrph</t>
  </si>
  <si>
    <t>asc_scarolina</t>
  </si>
  <si>
    <t>cambspboroccg</t>
  </si>
  <si>
    <t>antibioticangel</t>
  </si>
  <si>
    <t>elizbeech</t>
  </si>
  <si>
    <t>aidakrajnc</t>
  </si>
  <si>
    <t>caryncoxphealth</t>
  </si>
  <si>
    <t>ellacasale</t>
  </si>
  <si>
    <t>ejmille1</t>
  </si>
  <si>
    <t>dayzerodx</t>
  </si>
  <si>
    <t>ahcpgy1</t>
  </si>
  <si>
    <t>ameliahma</t>
  </si>
  <si>
    <t>contagion_live</t>
  </si>
  <si>
    <t>amrcovid</t>
  </si>
  <si>
    <t>chapelmedical</t>
  </si>
  <si>
    <t>eaad_eu</t>
  </si>
  <si>
    <t>beva_news</t>
  </si>
  <si>
    <t>brxad</t>
  </si>
  <si>
    <t>cusuperbugs</t>
  </si>
  <si>
    <t>abimbola_pharm</t>
  </si>
  <si>
    <t>dgnhs</t>
  </si>
  <si>
    <t>drloudunsmure</t>
  </si>
  <si>
    <t>cdcgov</t>
  </si>
  <si>
    <t>chipublichealth</t>
  </si>
  <si>
    <t>ukhsa</t>
  </si>
  <si>
    <t>drdianeashiru</t>
  </si>
  <si>
    <t>cdc_tb</t>
  </si>
  <si>
    <t>apic</t>
  </si>
  <si>
    <t>alinaveed143p</t>
  </si>
  <si>
    <t>daisydumble</t>
  </si>
  <si>
    <t>efsa_eu</t>
  </si>
  <si>
    <t>countydurhamccg</t>
  </si>
  <si>
    <t>cppeengland</t>
  </si>
  <si>
    <t>curafdn</t>
  </si>
  <si>
    <t>devshealth</t>
  </si>
  <si>
    <t>cheshireeast</t>
  </si>
  <si>
    <t>battlesuperbugs</t>
  </si>
  <si>
    <t>arsl_raza</t>
  </si>
  <si>
    <t>alinfectdis</t>
  </si>
  <si>
    <t>ebpcooh</t>
  </si>
  <si>
    <t>awg_news</t>
  </si>
  <si>
    <t>dse22</t>
  </si>
  <si>
    <t>arlgnetwork</t>
  </si>
  <si>
    <t>vasiliouc</t>
  </si>
  <si>
    <t>cartertreacle</t>
  </si>
  <si>
    <t>westhertsnhs</t>
  </si>
  <si>
    <t>palfreymantom</t>
  </si>
  <si>
    <t>uhnm_trauma_pdn</t>
  </si>
  <si>
    <t>228uhnm</t>
  </si>
  <si>
    <t>mc_bugsy</t>
  </si>
  <si>
    <t>uhnm_nhs</t>
  </si>
  <si>
    <t>uhnmcharity</t>
  </si>
  <si>
    <t>idsainfo</t>
  </si>
  <si>
    <t>ecdc_eu</t>
  </si>
  <si>
    <t>unibonn</t>
  </si>
  <si>
    <t>umeauniversity</t>
  </si>
  <si>
    <t>karolinskainst</t>
  </si>
  <si>
    <t>cdc</t>
  </si>
  <si>
    <t>frodmanor</t>
  </si>
  <si>
    <t>drkieranhand</t>
  </si>
  <si>
    <t>nhssoutheast</t>
  </si>
  <si>
    <t>ukamrenvoy</t>
  </si>
  <si>
    <t>youtube</t>
  </si>
  <si>
    <t>cff_gnyc</t>
  </si>
  <si>
    <t>cf_foundation</t>
  </si>
  <si>
    <t>nydiavelazquez</t>
  </si>
  <si>
    <t>sengillibrand</t>
  </si>
  <si>
    <t>senschumer</t>
  </si>
  <si>
    <t>iscm_micro</t>
  </si>
  <si>
    <t>rcsi_research</t>
  </si>
  <si>
    <t>rcsi_micro</t>
  </si>
  <si>
    <t>ffitzp</t>
  </si>
  <si>
    <t>seimc_</t>
  </si>
  <si>
    <t>prangob</t>
  </si>
  <si>
    <t>geiras_seimc</t>
  </si>
  <si>
    <t>proavigo</t>
  </si>
  <si>
    <t>bradspellberg</t>
  </si>
  <si>
    <t>kdhe</t>
  </si>
  <si>
    <t>microhuse</t>
  </si>
  <si>
    <t>elfarodehuse</t>
  </si>
  <si>
    <t>erojomol</t>
  </si>
  <si>
    <t>leonorperianez</t>
  </si>
  <si>
    <t>luisama01043544</t>
  </si>
  <si>
    <t>sonespases</t>
  </si>
  <si>
    <t>doctorchrisvt</t>
  </si>
  <si>
    <t>uoflpeds</t>
  </si>
  <si>
    <t>proa_hulp</t>
  </si>
  <si>
    <t>mcdonalds</t>
  </si>
  <si>
    <t>hiow_ics</t>
  </si>
  <si>
    <t>jac_amr</t>
  </si>
  <si>
    <t>antonia_sagona</t>
  </si>
  <si>
    <t>biomerieux</t>
  </si>
  <si>
    <t>rakhi2382</t>
  </si>
  <si>
    <t>nhsbsolccg</t>
  </si>
  <si>
    <t>smhopkins</t>
  </si>
  <si>
    <t>absteward</t>
  </si>
  <si>
    <t>safetysamfoster</t>
  </si>
  <si>
    <t>jabicjenkins</t>
  </si>
  <si>
    <t>uhbtrust</t>
  </si>
  <si>
    <t>who</t>
  </si>
  <si>
    <t>ciwf</t>
  </si>
  <si>
    <t>philip_ciwf</t>
  </si>
  <si>
    <t>profmaryhorgan</t>
  </si>
  <si>
    <t>drcsadlier</t>
  </si>
  <si>
    <t>drjacksoncork</t>
  </si>
  <si>
    <t>blairmatthewd</t>
  </si>
  <si>
    <t>cuh_cork</t>
  </si>
  <si>
    <t>ekhuft</t>
  </si>
  <si>
    <t>gone_grayer</t>
  </si>
  <si>
    <t>dodgson_kj</t>
  </si>
  <si>
    <t>nhctpharmacy</t>
  </si>
  <si>
    <t>labmedicinemft</t>
  </si>
  <si>
    <t>mftnhs</t>
  </si>
  <si>
    <t>mft_pharmacy</t>
  </si>
  <si>
    <t>nhsbartshealth</t>
  </si>
  <si>
    <t>bh_infection</t>
  </si>
  <si>
    <t>bh_pharmacy</t>
  </si>
  <si>
    <t>newhamhospital</t>
  </si>
  <si>
    <t>thenasem</t>
  </si>
  <si>
    <t>herpez4</t>
  </si>
  <si>
    <t>sara_saracerdas</t>
  </si>
  <si>
    <t>bthftpharm</t>
  </si>
  <si>
    <t>pharmdeclares</t>
  </si>
  <si>
    <t>Mentions</t>
  </si>
  <si>
    <t>Replies to</t>
  </si>
  <si>
    <t>What is antibiotic resistance and why is it a problem? Watch this video to find out then sign up to become an #AntibioticGuardian https://t.co/ovul7kks9M</t>
  </si>
  <si>
    <t>Day :01 Inauguration
Antimicrobial resistance, a serious public health problem worldwide. Misuse of Antimicrobials puts everyone at risk. HSA kick started campaign today!
#HandlewithCare
#AntimicrobialResistance
#KeepAntibioticsWorking
#HSAAMRwarenessWeek
#WAAW2021 https://t.co/4zgqI6wlQV</t>
  </si>
  <si>
    <t>@WestHertsNHS @CarterTreacle Doctors taking their pledge as Antibiotic Guardians and getting an update on Antimicrobial EPR too!  #TeamWestHerts #AntibioticGuardian #AntibioticAwarenessWeek https://t.co/ZeuB4R6gsl</t>
  </si>
  <si>
    <t>#AntimicrobialResistance is one of the most urgent global threats to the public’s health. 
Antibiotics can cause side-effects, including nausea and diarrhoea and contribute to the development of #antibioticresistance.
#AntibioticGuardian #KeepAntibioticsWorking #WAAW21 https://t.co/3JWoMUjHig</t>
  </si>
  <si>
    <t>#AntimicrobialResistance is one of the most urgent global threats to the public's health.Antibiotics can cause side effects including nausea and diarrhoea and contribute to the development of antibiotic resistance #AntibioticGuardian #KeepAntibioticsWorking #WAAW</t>
  </si>
  <si>
    <t>#AntimicrobialResistance is one of the most urgent global threats to the public’s health. Antibiotics can cause side-effects, including nausea and diarrhoea and contribute to the development of antibiotic resistance.
Info: https://t.co/d70DQVsWje 
#KeepAntibioticsWorking #WAAW https://t.co/a7WOO84Plh</t>
  </si>
  <si>
    <t>#AntibioticResistance is still a #PublicHealth threat during the #COVID19 pandemic. CDC experts are closely monitoring the possible effects of COVID-19 on the national state of AR &amp;amp; antibiotic use. Read more: https://t.co/XFMjx7uxZa  #WAAW https://t.co/HIB0PbUbzP</t>
  </si>
  <si>
    <t>#AntimicrobialResistance is one of the most urgent global threats to the public’s health. Antibiotics can cause side-effects, including nausea and diarrhoea and contribute to the development of #antibioticresistance.
#AntibioticGuardian #KeepAntibioticsWorking #WAAW https://t.co/G4vtAh3IsZ</t>
  </si>
  <si>
    <t>#AntibioticResistance is still a #PublicHealth threat during the #COVID19 pandemic. CDC experts are closely monitoring the possible effects of COVID-19 on the national state of AR &amp;amp; antibiotic use. Read more: https://t.co/YXUSZowhbO  #WAAW21 https://t.co/HOvbdN9CpW</t>
  </si>
  <si>
    <t>#AntibioticResistance is one of the biggest threats facing us today and the overuse or misuse of antibiotics is making the problem worse. 
To help combat this you should take antibiotics exactly as prescribed, never save them for later, never share them with others. https://t.co/El3QYudwrJ</t>
  </si>
  <si>
    <t>#AntimicrobialResistance is one of the most urgent global threats to the public’s health. 
Antibiotics can cause side-effects, including nausea and diarrhoea and contribute to the development of #antibioticresistance.
#AntibioticGuardian #KeepAntibioticsWorking #WAAW https://t.co/SruWOPMMeN</t>
  </si>
  <si>
    <t>#AntibioticResistance is still a #PublicHealth threat during the #COVID19 pandemic. CDC experts are closely monitoring the possible effects of COVID-19 on the national state of AR &amp;amp; antibiotic use. Read more: https://t.co/rmYaOyGOOL  #WAAW https://t.co/8LSYx6vqJU</t>
  </si>
  <si>
    <t>#AntibioticResistance is still a #PublicHealth threat during the #COVID19 pandemic. CDC experts are closely monitoring the possible effects of COVID-19 on the national state of AR &amp;amp; antibiotic use. Read more: https://t.co/qLlLTMD3dB #WAAW</t>
  </si>
  <si>
    <t>#AntimicrobialResistance is still a #PublicHealth threat during the #COVID19 pandemic. UKHSA specialists are closely monitoring the possible effects of COVID-19 on the national state of antibiotic resistance &amp;amp; use. Read more: https://t.co/YvdaOQC5SN
#KeepAntibioticsWorking
#WAAW https://t.co/NuQLsry2QL</t>
  </si>
  <si>
    <t>#AntibioticResistance is one of the most urgent global threats to the public’s health. Any time #antibiotics are used, they can cause side effects and contribute to the development of antibiotic resistance. #WAAW21</t>
  </si>
  <si>
    <t>#AntimicrobialResistance is one of the most urgent global threats to the public’s health. Antibiotics can cause side-effects, such as nausea and diarrhoea and contribute to #AntibioticResistance.
Become an #AntibioticGuardian at: https://t.co/bayJC3Baxq
 #WAAW https://t.co/KGGnkmvqrg</t>
  </si>
  <si>
    <t>#AntimicrobialResistance is one of the most urgent global threats to the public’s health. #Antibiotics can cause side-effects, including nausea and diarrhoea and contribute to the development of #AntibioticResistance.
#AntibioticGuardian #KeepAntibioticsWorking #WAAW https://t.co/BWZne8e8ay</t>
  </si>
  <si>
    <t>Nothing else to add here. #WAAW2021 #AntimicrobialResistance #AntibioticGuardian #KeepAntibioticsWorking https://t.co/s3ybOu9bIZ</t>
  </si>
  <si>
    <t>It does not always have to be a 7 day course. #WAAW2021 #KeepAntibioticsWorking #AntibioticGuardian https://t.co/Mt0ubEzq1h</t>
  </si>
  <si>
    <t>It's #WAAW2021 from 18-24 November and we've made a short video celebrating the research we do to combat #AntimicrobialResistance https://t.co/yncsh72tdQ  #AntibioticResistance #AntibioticGuardian</t>
  </si>
  <si>
    <t>#AntibioticResistance is still a #PublicHealth threat during the #COVID19 pandemic. CDC experts are closely monitoring the possible effects of COVID-19 on the national state of Antibiotic Resistance (AR) &amp;amp; antibiotic use. Read more: https://t.co/ufdRBFqFa6  #WAAW https://t.co/m1weeHjQD6</t>
  </si>
  <si>
    <t>We’re proud to be a #BeAntibioticsAware partner for U.S. Antibiotic Awareness Week! Learn how you can participate: https://t.co/LfnEs5Xglu #USAAW21 #WAAW #AntibioticResistance https://t.co/dOdZB5psJZ</t>
  </si>
  <si>
    <t>Day :01 Inauguration
Antimicrobial resistance, a serious public health problem worldwide. Misuse of Antimicrobials puts everyone at risk. HSA kicked started campaign today!
#HandlewithCare
#AntimicrobialResistance
#KeepAntibioticsWorking
#HSAAMRwarenessWeek
#WAAW</t>
  </si>
  <si>
    <t>Day :01 Inauguration Day   ‘SPREAD AWARENESS, STOP RESISTANCE”
Annual World Antimicrobial Awareness Week from 18th–24th Nov globally. join hands with Health Services Academy, to spread awareness regarding AMR.
#HandlewithCare
#AntimicrobialResistance
#KeepAntibioticsWorking</t>
  </si>
  <si>
    <t>#AntimicrobialResistance is one of the most urgent global threats to the public’s health. 
Antibiotics can cause side-effects, including nausea and diarrhoea and contribute to the development of #antibioticresistance. #KeepAntibioticsWorking https://t.co/1mAfLNCZhZ</t>
  </si>
  <si>
    <t>Finished the tour on the trauma and orthopaedics floor, visiting ARTU, 226 and @228Uhnm @UHNM_trauma_PDN with key messages around vancomycin monitoring and administration #bugsyontour #EAAD2021 #AntibioticGuardian @mc_bugsy @PalfreymanTom @UHNMCharity @UHNM_NHS https://t.co/HmgggeycXD</t>
  </si>
  <si>
    <t>On gen med spreading awareness on good documentation and timely sampling of infections @UHNMCharity @UHNM_NHS @mc_bugsy #EAAD2021 #bugsyontour #AntibioticGuardian https://t.co/UZAy1GPuOW</t>
  </si>
  <si>
    <t>Anytime #antibiotics are used, they can cause side effects and lead to #AntibioticResistance. #BeAntibioticsAware!
https://t.co/Hj8qD85fav 
#USAAW21 #WAAW</t>
  </si>
  <si>
    <t>#AntibioticResistance is still a #PublicHealth threat during the #COVID19 pandemic. CDC experts are closely monitoring the possible effects of COVID-19 on the national state of AR &amp;amp; antibiotic use. Read more: https://t.co/tqqlojk7T7  #WAAW https://t.co/o6rdedngJo</t>
  </si>
  <si>
    <t>Taking #antibiotics only when needed is one thing you can do to help fight #AntibioticResistance. https://t.co/2lfuiO1Q1C #USAAW21 #BeAntibioticsAware  #WAAW #USAAW21</t>
  </si>
  <si>
    <t>Many of the nation’s efforts to prevent the spread of #COVID19 also help in the fight against #AntibioticResistance including CDC investments in infection prevention &amp;amp; control, training, surveillance, &amp;amp; public health personnel. https://t.co/iShz4Kg7Or https://t.co/mb12bwLE8v</t>
  </si>
  <si>
    <t>Antibiotic-Resistant Bacteria is a Growing Threat:
Where superbugs come from and what can be done to combat them. 
#WAAW #USAAW21 #BeAntibioticsAware #AntibioticResistance
https://t.co/0NRToiUkYQ</t>
  </si>
  <si>
    <t>Please help keep everyone safe. If you are prescribed antibiotics, please take them exactly as prescribed and never share them with others. #KeepAntibioticsWorking #WorldAntimicrobialAwarenessWeek https://t.co/08pfhC1mEn</t>
  </si>
  <si>
    <t>#AntimicrobialResistance is one of the most urgent global threats to the public’s health. Antibiotics can cause side-effects, including nausea and diarrhoea and contribute to the development of #antibioticresistance.
#AntibioticGuardian #KeepAntibioticsWorking #WAAW https://t.co/YpXxQqOL3Y</t>
  </si>
  <si>
    <t>It's World Antimicrobial Awareness Week and we're joining a national &amp;amp; international movement to spread #Antimicrobialawareness. We all have a role to play in fighting #Antibioticresistance. Check out resources at https://t.co/Dp4SXAfVtK #WAAW #HandleWithCare https://t.co/f9FAbD7tmp</t>
  </si>
  <si>
    <t>#AntimicrobialResistance is one of the most urgent global threats to public health. Antibiotics can cause side-effects, including nausea and diarrhoea, and contribute to the development of #AMR Become an #AntibioticGuardian #KeepAntibioticsWorking #WAAW_xD83D__xDC8A_https://t.co/o0GaEAFJFT https://t.co/vQEYy6B1D5</t>
  </si>
  <si>
    <t>During this #WAAW2021 #WorldAntimicrobialAwarenessWeek - we're encouraging #WestMidlands people to do their bit to tackle #AntimicrobialResistance #AMR 
Sign up to be an #AntibioticGuardian today &amp;amp; make a pledge to do your bit to #KeepAntibioticsWorking 
https://t.co/DdIzKOMTZu https://t.co/lZXUBsjbhW</t>
  </si>
  <si>
    <t>#AntimicrobialResistance is one of the most urgent global threats to #PublicHealth
Antibiotics can cause side-effects including nausea &amp;amp; diarrhoea &amp;amp; contribute to the development of #AntibioticResistance
#AntibioticGuardian #KeepAntibioticsWorking #WAAW #WAAW2021
#WestMidlands https://t.co/GJxWvKOJQ7</t>
  </si>
  <si>
    <t>Today is the start of #WorldAntimicrobialAwarenessWeek #WAAW2021 
#UKHSA has published a report on antimicrobial prescribing, resistance &amp;amp; stewardship
#WestMidlands people can read our news story on why we need to #KeepAntibioticsWorking 
https://t.co/5gptfP76XR https://t.co/zMJIAxrVkS</t>
  </si>
  <si>
    <t>Day :01 Inauguration
Antimicrobial resistance, a serious public health problem worldwide. Misuse of Antimicrobials puts everyone at risk. HSA kicked started campaign today!
#HandlewithCare
#AntimicrobialResistance
#KeepAntibioticsWorking
#HSAAMRwarenessWeek
#WAAW https://t.co/e7Ra8jQm4e</t>
  </si>
  <si>
    <t>#HandlewithCare
#AntimicrobialResistance
#KeepAntibioticsWorking
#HSAAMRwarenessWeek
#WAAW https://t.co/dvrc7HJEdu</t>
  </si>
  <si>
    <t>#AntimicrobialResistance is one of the most urgent global threats to our health. Misuse of antibiotics contributes to the development of #antibioticresistance. Be an #AntibioticGuardian and #KeepAntibioticsWorking #WAAW Find out more: https://t.co/Nt0SLnk2zX https://t.co/DI0yjkIsFi</t>
  </si>
  <si>
    <t>Many patients &amp;amp; their families have suffered the debilitating effects, even death due to #AntibioticResistance -resistant infections. @IDSAInfo has shared many stories that build a strong sense of urgency https://t.co/aLoOmDqy70 #WAAW #USAAW21 #SquashSuperbugs #BeAntibioticsAware https://t.co/ZFKI11rx7v</t>
  </si>
  <si>
    <t>#AMR is a threat to all of us, esp those w/ #chronicillness. W/o effective #antimicrobial medicines, #patients lose not just treatments for serious infections, but also face increased risks from many medical services https://t.co/f0aQw5zY37 #AntibioticResistance #WAAW  #USAAW21 https://t.co/oVH3MJMzTH</t>
  </si>
  <si>
    <t>The U.S. needs to develop an effective National Pandemic Preparedness Strategy focused not only on the infectious pathogen, but also resulting, collateral #healthcare challenges we can anticipate. https://t.co/DstFR4koSm #WAAW #USAAW21 #AntibioticResistance https://t.co/B0eSxcONsY https://t.co/TpOeRehVQO</t>
  </si>
  <si>
    <t>#SquashSuperbugs #WAAW #AntimicrobialResistance #AntibioticResistance #USAAW21 https://t.co/EY2PbITXGL</t>
  </si>
  <si>
    <t>We are supporting #WAAW. See our DEFINE project here https://t.co/SacoUxWfeq
#AntibioticGuardian #KeepAntibioticsWorking</t>
  </si>
  <si>
    <t>We are supporting #WAAW. See our OPEN project here https://t.co/qd9pSLhn27
#AntibioticGuardian #KeepAntibioticsWorking</t>
  </si>
  <si>
    <t>We are supporting #WAAW2021. See our VENUS project here https://t.co/brfiYHMh04
#AntibioticGuardian #KeepAntibioticsWorking
#AntimicrobialResistance  #WAAW</t>
  </si>
  <si>
    <t>We are supporting #WAAW. See our GERM DEFENCE project here https://t.co/exui7LjKU2
#AntibioticGuardian #KeepAntibioticsWorking</t>
  </si>
  <si>
    <t>We are supporting #WAAW2021 . See our OPEN project here https://t.co/qd9pSLhn27
#AntibioticGuardian #KeepAntibioticsWorking #AntimicrobialResistance  #WAAW</t>
  </si>
  <si>
    <t>We are supporting #WAAW2021. See our ARTIC PC project here https://t.co/AXLMWZOPM1
#AntibioticGuardian #KeepAntibioticsWorking
#AntimicrobialResistance  #WAAW</t>
  </si>
  <si>
    <t>We are supporting #WAAW2021. See our STOP AMR project here https://t.co/Ul4fIqvjWl
#AntibioticGuardian #KeepAntibioticsWorking 
#AntimicrobialResistance  #WAAW</t>
  </si>
  <si>
    <t>We are supporting #WAAW. See our CHAT COPD project here https://t.co/Um36mDJ3Kl
#AntibioticGuardian #KeepAntibioticsWorking</t>
  </si>
  <si>
    <t>We are supporting #WAAW2021. See our HATRIC project here https://t.co/iEYweqwGv2
#AntibioticGuardian #KeepAntibioticsWorking
#AntimicrobialResistance  #WAAW</t>
  </si>
  <si>
    <t>We are supporting #WAAW2021. See our PRINCESS project here https://t.co/ZZjOdSwvSY
#AntibioticGuardian #KeepAntibioticsWorking
#AntimicrobialResistance  #WAAW</t>
  </si>
  <si>
    <t>We are supporting #WAAW2021. See our RECUR project herehttps://bit.ly/RECURstudy
#AntibioticGuardian #KeepAntibioticsWorking
#AntimicrobialResistance  #WAAW</t>
  </si>
  <si>
    <t>We are supporting #WAAW. See our 4S project here https://t.co/cLygFASb28
#AntibioticGuardian #KeepAntibioticsWorking</t>
  </si>
  <si>
    <t>#AntimicrobialResistance is one of the most urgent global threats to the public’s health. Antibiotics can cause side-effects, including nausea and diarrhoea and contribute to the development of #antibioticresistance.
#AntibioticGuardian #KeepAntibioticsWorking #WAAW https://t.co/d8993gWd0P</t>
  </si>
  <si>
    <t>#AntimicrobialResistance is one of the most urgent global threats to the public’s health. Antibiotics can cause side-effects, including nausea and diarrhoea and contribute to the development of #antibioticresistance.
#AntibioticGuardian #KeepAntibioticsWorking #WAAW https://t.co/8bF7g2bsfy</t>
  </si>
  <si>
    <t>#AntimicrobialResistance is one of the most urgent global threats to the public’s health. Antibiotics can cause side-effects, including nausea and diarrhoea and contribute to the development of #antibioticresistance.
#AntibioticGuardian #KeepAntibioticsWorking #WAAW https://t.co/GGqT1AOcb0</t>
  </si>
  <si>
    <t>#AntibioticResistance is still a #PublicHealth threat during the #COVID19 pandemic. CDC experts are closely monitoring the possible effects of COVID-19 on the national state of AR &amp;amp; antibiotic use. Read more: https://t.co/DMEfj1KzBp  #WAAW https://t.co/xL2FLDGCRX</t>
  </si>
  <si>
    <t>On #EAAD @EAAD_EU!  
New report from @ECDC_EU:
#AntimicrobialConsumption in the EU/EEA (#ESACNet) - Annual Epidemiological Report for 2020. #WAAW2021 #AntimicrobialResistance #KeepAntibioticsWorking 
Full report ⬇️
https://t.co/fVPsla3ILa</t>
  </si>
  <si>
    <t>Forscher des @karolinskainst, der @UmeaUniversity und @UniBonn haben eine Gruppe von Molekülen identifiziert, die eine antibakterielle Wirkung gegen viele antibiotika-resistente Bakterien haben. https://t.co/meBNG1ws21 #antibiotics #antibioticresistance #antibioticstewardship</t>
  </si>
  <si>
    <t>The @CDCGov #USAAW21 starts today! #AntibioticResistance is still a #PublicHealth threat during #COVID19. #BeAntibioticsAware and take this quick quiz to see how much you know! https://t.co/72gUmIBXol https://t.co/MZgc6osjsZ</t>
  </si>
  <si>
    <t>#AntibioticResistance is still a #PublicHealth threat during the #COVID19 pandemic. @CDC experts are closely monitoring the possible effects of COVID-19 on the national state of AR &amp;amp; antibiotic use. Read more: https://t.co/669x75ScJV  
#WAAW</t>
  </si>
  <si>
    <t>World Antimicrobial Awareness Week is celebrated annually from 18th–24th Nov around the world. We invite you to join hands with Health Services Academy, to spread awareness regarding AMR. 
#HandlewithCare
#AntimicrobialResistance
#KeepAntibioticsWorking
#HSAAMRwarenessWeek
#WAAW https://t.co/gJfXswHosX</t>
  </si>
  <si>
    <t>It's a Twitter Storm for #AntibioticResistance and #WAAW!  Get in on the movement! https://t.co/mogHgbFcvC</t>
  </si>
  <si>
    <t>#AntimicrobialResistance is one of the most urgent global threats to the public’s health #AntibioticResistance #AntibioticGuardian #KeepAntibioticsWorking #WAAW https://t.co/iXMaTNF0hq https://t.co/8ieZ7lmB9c</t>
  </si>
  <si>
    <t>#AntimicrobialResistance is one of the most urgent global threats to the public’s health #AntibioticResistance. #AntibioticGuardian #KeepAntibioticsWorking #WAAW https://t.co/cAnerbQkkI https://t.co/29J7pqiSTR</t>
  </si>
  <si>
    <t>It's Antibiotic Awareness Week. #WAAW2021
What is Antimicrobial Resistance (AMR)?  In this video, Wirral GP Dr Diane Atherton explains what AMR is, why antibiotics are such a precious resource, and what you can do to #KeepAntibioticsWorking
https://t.co/hSeKNjqVzq https://t.co/VrPKqyLhbQ</t>
  </si>
  <si>
    <t>_xD83E__xDDA0_Ever wonder how bacteria become resistant to the antibiotics designed to kill them? Here's a video I made last year about the #AntibioticResistance crisis, why it matters, and what we can do to help: https://t.co/YPCIhoVphY #WAAW2021 #USAAW21 https://t.co/wTzDZWOvce</t>
  </si>
  <si>
    <t>#WAAW2021 As part of World Antibiotic Awareness Week, I thought I'd share that these resources are great for home learners too. (Thanks to our recent covid isolation.) Let's teach our kids how to #KeepAntibioticsWorking @FrodManor https://t.co/dho14pcGH3</t>
  </si>
  <si>
    <t>#AntibioticResistance is one of the most urgent global threats to the public’s health. Any time antibiotics are used, they can cause side effects and contribute to the development of antibiotic resistance. #WAAW21 
https://t.co/5j3QnEHiRJ</t>
  </si>
  <si>
    <t>It's #WAAW2021 from 18-24th November raising awareness of #AntimicrobialResistance and the things we can do to help! Sign up to become an #AntibioticGuardian https://t.co/ahNHBOHSG0</t>
  </si>
  <si>
    <t>#WAAW
#AntimicrobialResistance #AntibioticGuardian #KeepAntibioticsWorking #ESPAUR
@NHSsoutheast @KeithRidge1 @DrKieranHand @UKHSA @DrDianeAshiru @UKAMREnvoy https://t.co/cB3DQRU4Sk</t>
  </si>
  <si>
    <t>#AntimicrobialResistance is one of the most urgent global threats to the public’s health.
Antibiotics can cause side-effects, including nausea and diarrhoea and contribute to the development of #AntibioticResistance.
#WorldAntibioticsAwarenessWeek _xD83D__xDC49_ https://t.co/Xcz6D2z2SY https://t.co/qqUcbuuJaI</t>
  </si>
  <si>
    <t>During U.S. #AntibioticAwareness Week, commit to #BeAntibioticsAware. Appropriate #antibiotic use in people and pets helps protect the whole family from #antibioticresistance. #USAAW21 
https://t.co/KBqvZ6W5Nx 
https://t.co/Rkm3kH31Bz https://t.co/A2Mjv5G6aW</t>
  </si>
  <si>
    <t>#AntimicrobialResistance is one of the most urgent global threats to the public’s health. Antibiotics can cause side-effects, including nausea and diarrhoea and contribute to the development of #AntibioticResistance.
#AntibioticGuardian #KeepAntibioticsWorking #WAAW https://t.co/UkjOqSKlTK</t>
  </si>
  <si>
    <t>#AntimicrobialResistance is one of the most urgent global threats to the public’s health #AntibioticResistance. #AntibioticGuardian #KeepAntibioticsWorking #WAAW 
https://t.co/RiE8yqiQTq https://t.co/4qYLbqFCI5</t>
  </si>
  <si>
    <t>O contributo do Ciência em 3 minutos para o Dia Europeu do #Antibiótico. 
Informar para responsabilizar.
Vejam o vídeo _xD83D__xDC47__xD83C__xDFFC_
https://t.co/e3oPMkk0Ky via @YouTube
#eaad2021 #eaad #AntibioticAwarenessWeek #AntibioticResistance</t>
  </si>
  <si>
    <t>#AntimicrobialResistance is one of the most urgent global threats to the public’s health. Antibiotics can cause side-effects, including nausea and diarrhoea and contribute to the development of #antibioticresistance _xD83D__xDC8A_ 
#AntibioticGuardian #KeepAntibioticsWorking #WAAW https://t.co/YS1hxme6CH</t>
  </si>
  <si>
    <t>#AntimicrobialResistance is one of the most urgent global threats to the public’s health. #Antibiotics can cause side-effects, including nausea and diarrhoea and contribute to the development of #AntibioticResistance. #AntibioticGuardian #KeepAntibioticsWorking #WAAW https://t.co/mGWP9OOmya</t>
  </si>
  <si>
    <t>#AntimicrobialResistance is one of the most urgent global threats to  the public's health. Antibiotics can cause side-effects, including nausea and diarrhoea and contribute to the development of #antibioticresistance.
#AntibioticGuardian #KeepAntibioticsWorking #WAAW https://t.co/290cJMufSc</t>
  </si>
  <si>
    <t>Please ensure daily review of antibiotics and switch your patients antibiotics to oral at the earliest opportunity! #KeepAntibioticsWorking #AntibioticGuardian #WAAW2021 https://t.co/b8lEnlZ87G</t>
  </si>
  <si>
    <t>Thank you to all those HCPs who visited our WAAW/EAAD stand today. @WestHertsNHS #TeamWestHerts #WAAW2021 #AntibioticGuardian https://t.co/mWMMONqehu</t>
  </si>
  <si>
    <t>_xD83C__xDFA7_Listen in today at 2-3 PM EST for @CDCgov recommendations surrounding healthcare provider engagement in stewardship during the #COVID19 pandemic. _xD83E__xDDD1_‍⚕️ #WAAW #AntibioticResistance https://t.co/yqE6q2ImOA</t>
  </si>
  <si>
    <t>#AntibioticResistance is still a #PublicHealth threat during the #COVID19 pandemic. CDC experts are closely monitoring the possible effects of COVID-19 on the national state of AR &amp;amp; antibiotic use. Read more: https://t.co/WQqjBoRZCY  #WAAW https://t.co/vzIgffKzo0</t>
  </si>
  <si>
    <t>It is imperative to develop new and better antibiotics. People with #cysticfibrosis are vulnerable to #AntibioticResistance because of chronic infection. Pass the #PasteurAct!
@SenSchumer @SenGillibrand @NydiaVelazquez 
@CF_Foundation @CFF_GNYC #cfadvocacy https://t.co/PoYLgcgKyY</t>
  </si>
  <si>
    <t>We’re proud to be a #BeAntibioticsAware partner for U.S. Antibiotic Awareness Week! Throughout the week, our goal is to raise awareness of #AntibioticResistance.  Learn how you can participate: https://t.co/hsMoNdqgjN #USAAW21 #WAAW21 https://t.co/0PAVjVgQc6</t>
  </si>
  <si>
    <t>@FfitzP @RCSI_Micro @RCSI_Research @EAAD_EU @ECDC_EU @iscm_micro Visit https://t.co/Lp5Uh1sJ3D for evidence-based advice on how to manage the typical winter viral illnesses.
#KeepAntibioticsWorking 
#WinterHealth @RCSI_Micro</t>
  </si>
  <si>
    <t>Antimicrobial resistance is accelerated by the misuse and overuse of antibiotics.
This winter, handle antimicrobials with care.
@FfitzP #KeepAntibioticsWorking https://t.co/wM4JGrCr0i</t>
  </si>
  <si>
    <t>Watch “Antimicrobial Resistance and Lower UTI” on #Vimeo https://t.co/iAYQbShg9g
Prescribe antibiotics appropriately for UTI. Act now!
It’s WAAW! Let’s make a difference.
#WAAW2021 #KeepAntibioticsWorking #AntibioticGuardian</t>
  </si>
  <si>
    <t>When antibiotics are prescribed by a health professional it is important that you always take them as directed, never save them for later and never share them with others. #KeepAntibioticsWorking #WAAW #AntibioticGuardian 
https://t.co/Yu3oGAM1s3 https://t.co/SRbQV7AMAR</t>
  </si>
  <si>
    <t>What is antibiotic resistance and why is it a problem? Watch this video to find out then sign up to become an #AntibioticGuardian https://t.co/1b3hVfUn5d</t>
  </si>
  <si>
    <t>Day :01 Inauguration
Antimicrobial resistance, a serious public health problem worldwide. Misuse of Antimicrobials puts everyone at risk. HSA kick started campaign today!
#HandlewithCare
#AntimicrobialResistance
#KeepAntibioticsWorking
#HSAAMRwarenessWeek
#WAAW https://t.co/f28CL6pEUT</t>
  </si>
  <si>
    <t>Day :01 Inauguration
Antimicrobial resistance, a serious public health problem worldwide. Misuse of Antimicrobials puts everyone at risk. HSA kick started campaign today!
#HandlewithCare
#AntimicrobialResistance
#KeepAntibioticsWorking
#HSAAMRwarenessWeek
#WAAW https://t.co/oJZCbGNFQs</t>
  </si>
  <si>
    <t>Day :01 Inauguration
Antimicrobial resistance, a serious public health problem worldwide. Misuse of Antimicrobials puts everyone at risk. HSA kick started campaign today!
#HandlewithCare
#AntimicrobialResistance
#KeepAntibioticsWorking
#HSAAMRwarenessWeek
#WAAW https://t.co/9f8BiJZcNN</t>
  </si>
  <si>
    <t>#AntibioticResistance is still a #PublicHealth threat during the #COVID-19 pandemic. @CDCgov experts are closely monitoring  possible effects of COVID-19 on national state of antibiotic use and resisitance: https://t.co/zWH27L1Ok6  #WAAW https://t.co/VeC2O9j0Y7</t>
  </si>
  <si>
    <t>To tackle #Antimicrobialresistance we must preserve antibiotics for when we really need them!
Always follow your Doctor's advice!
Today marks the start of #WorldAntimicrobialAwarenessWeek
#KeepAntibioticsWorking
#WAAW https://t.co/tEY987dp25</t>
  </si>
  <si>
    <t>#AntibioticResistance  #BeAntibioticaware https://t.co/rSRHncaGGy</t>
  </si>
  <si>
    <t>#AntimicrobialResistance is one of the most urgent global threats to the public’s health. 
Antibiotics can cause side-effects, including nausea and diarrhoea and contribute to the development of #antibioticresistance.
#AntibioticGuardian #KeepAntibioticsWorking #WAAW https://t.co/ycJHV3eTRs</t>
  </si>
  <si>
    <t>#AntibioticResistance is still a #PublicHealth threat during the #COVID19 pandemic. CDC experts are closely monitoring the possible effects of COVID-19 on the national state of AR &amp;amp; antibiotic use. Read more: https://t.co/xuly2bRFF0 #WAAW https://t.co/4uQxZ7HU4x</t>
  </si>
  <si>
    <t>@ProaVigo @GEIRAS_SEIMC @PRANgob @SEIMC_ @EAAD_EU Una forma muy gráfica de recordar que #shorterisbetter _xD83D__xDE09_ Aquí os incluimos la versión de la tabla de @BradSpellberg actualizada en noviembre 2021 https://t.co/KuVA8trzO3
#EAAD2021 #WAAW2021 #WAAW #AntibioticResistance https://t.co/SBOhqhSp8F</t>
  </si>
  <si>
    <t>Without effective #antibiotics, even simple infections could become deadly.
Today, #antibioticresistance kills more than 35,000 Americans every year. #WAAW21 https://t.co/nUcPK3qTE0</t>
  </si>
  <si>
    <t>If the #COVID19 pandemic has taught us anything, it’s that we must be prepare now to combat looming global public health threats like #antibioticresistance. #WAAW21 https://t.co/CXmZha1C2H</t>
  </si>
  <si>
    <t>#AntibioticResistance is still a #PublicHealth threat during the #COVID19 pandemic. @CDCgov experts are closely monitoring the possible effects of COVID-19 on the national state of AR &amp;amp; antibiotic use. https://t.co/JEk8kLkk9j #WAAW21 https://t.co/VxOw5wZmxo</t>
  </si>
  <si>
    <t>#AntimicrobialResistance is one of the most urgent global threats to the public’s health.
Antibiotics can cause side-effects, including nausea and diarrhoea and contribute to the development of #AntibioticResistance.
#WorldAntibioticsAwarenessWeek _xD83D__xDC49_ https://t.co/NNX6wptEQs https://t.co/M62zihOus2</t>
  </si>
  <si>
    <t>The Philadelphia Department of Public Health is proud to be a #BeAntibioticsAware partner for U.S. Antibiotic Awareness Week! #USAAW21 #AntibioticResistance #WAAW https://t.co/aqzSWL4eoJ</t>
  </si>
  <si>
    <t>It's #AntibioticAwarenessWeek! Let's raise awareness of the importance of appropriate antibiotic use to combat the threat of antibiotic resistance. This week we will be sharing #Antiboitic facts and figures to help educate on #antibioticresistance #USAAW21 #BeAntibioticsAware https://t.co/7KcOZCAJVD</t>
  </si>
  <si>
    <t>#AntibioticResistance is still a #PublicHealth threat during the #COVID19 pandemic. CDC experts are closely monitoring the possible effects of COVID-19 on the national state of AR &amp;amp; antibiotic use. Read more: https://t.co/Nyk5id5l2I  #WAAW</t>
  </si>
  <si>
    <t>#AntimicrobialResistance is one of the most urgent global threats to the public’s health. Antibiotics can cause side-effects, including nausea and diarrhoea and contribute to the development of #antibioticresistance _xD83D__xDC8A_ 
#AntibioticGuardian #KeepAntibioticsWorking #WAAW https://t.co/mlVv9NyJ3B</t>
  </si>
  <si>
    <t>#AntimicrobialResistance is one of the most urgent global threats to the public’s health. Antibiotics can cause side-effects, including nausea and diarrhoea and contribute to the development of #antibioticresistance _xD83D__xDC8A_ 
#AntibioticGuardian #KeepAntibioticsWorking #WAAW https://t.co/yKGRvygSMv</t>
  </si>
  <si>
    <t>The Pharmacy dispensary team with their #AntibioticGuardian pledge to help #KeepAntibioticsWorking and tackle #AntimicrobialResistance for #WAAW #AntibioticResistance [1/2] https://t.co/rOueDpwbiB</t>
  </si>
  <si>
    <t>Woo number 7 trending in the UK within the first 10 minutes of the global twitter storm! #WAAW #keepantibioticsworking #antibioticguardian #AntimicrobialResistance https://t.co/Iinu6S4Ib3</t>
  </si>
  <si>
    <t>#AntimicrobialResistance is one of the most urgent global threats to the public’s health. Antibiotics can cause side-effects, including nausea and diarrhoea and contribute to the development of #antibioticresistance.
#AntibioticGuardian #KeepAntibioticsWorking #WAAW https://t.co/cd5BfQpdJ8</t>
  </si>
  <si>
    <t>Dr Stuart Bond, Consultant Antimicrobial Pharmacist with his #AntibioticGuardian pledge to help #KeepAntibioticsWorking and tackle #AntimicrobialResistance for #WAAW #AntibioticResistance https://t.co/A5uDsg1bqf</t>
  </si>
  <si>
    <t>Dr Jayanta Sarma, Consultant Microbiologist with his #AntibioticGuardian pledge to help #KeepAntibioticsWorking and tackle #AntimicrobialResistance for #WAAW #AntibioticResistance https://t.co/tVzKE4ZCWq</t>
  </si>
  <si>
    <t>The pharmacy dispensary team with their #AntibioticGuardian pledge to help #KeepAntibioticsWorking and tackle #AntimicrobialResistance for #WAAW #AntibioticResistance [2/2] https://t.co/R7OWgKlAQI</t>
  </si>
  <si>
    <t>The Pharmacy supply team with their #AntibioticGuardian pledge to help #KeepAntibioticsWorking and tackle #AntimicrobialResistance for #WAAW #AntibioticResistance https://t.co/baiGhHXw3V</t>
  </si>
  <si>
    <t>Day :01 Inauguration
Antimicrobial resistance, a serious public health problem worldwide. Misuse of Antimicrobials puts everyone at risk. HSA kick started campaign today!
#HandlewithCare
#AntimicrobialResistance
#KeepAntibioticsWorking
#HSAAMRwarenessWeek
#WAAW</t>
  </si>
  <si>
    <t>We are proud to support research into alternative treatments, to help reduce the need to prescribe antibiotics where possible. Read more about the UNITE study here: https://t.co/eNOSpvRco4
#AntibioticResistance #AntibioticGuardian #KeepAntibioticsWorking</t>
  </si>
  <si>
    <t>We are proud to support research into alternative treatments, to help reduce the need to prescribe antibiotics where possible. Read more about the Acne PROMS study here: https://t.co/gM9teZqmPi
#AntibioticResistance #AntibioticGuardian #KeepAntibioticsWorking</t>
  </si>
  <si>
    <t>We are proud to support research into alternative treatments, to help reduce the need to prescribe antibiotics where possible. Read more about the ATAFUTI study here: https://t.co/UR8VpdNtkd
#AntibioticResistance #AntibioticGuardian #KeepAntibioticsWorking</t>
  </si>
  <si>
    <t>We are proud to support research into alternative treatments, to help reduce the need to prescribe antibiotics where possible. Read more about the PAUSE study here: https://t.co/3liaAB4Mvl
#AntibioticResistance #AntibioticGuardian #KeepAntibioticsWorking</t>
  </si>
  <si>
    <t>#AntibioticResistance is still a #PublicHealth threat during the #COVID19 pandemic. CDC experts are closely monitoring the possible effects of COVID-19 on the national state of AR &amp;amp; antibiotic use. Read more: https://t.co/N8zkN6KEAo #WAAW21</t>
  </si>
  <si>
    <t>#Antibiotics aren’t needed for and won’t help treat colds, #flu, or #COVID19. #BeAntibioticsAware and talk to your #HCP: https://t.co/4uJ6YOCOpi #USAAW21 #WAAW #AntibioticResistance</t>
  </si>
  <si>
    <t>#AntibioticResistance is still a #PublicHealth threat during the #COVID19 pandemic. CDC experts are closely monitoring the possible effects of COVID-19 on the national state of AR &amp;amp; antibiotic use. Read more: https://t.co/TaHdLQncOS #WAAW21 https://t.co/7OmRfNTvPe</t>
  </si>
  <si>
    <t>Day :01 Inauguration
Antimicrobial resistance, a serious public health problem worldwide. Misuse of Antimicrobials puts everyone at risk. HSA kick started campaign today!
#HandlewithCare
#AntimicrobialResistance
#KeepAntibioticsWorking
#HSAAMRwarenessWeek
#WAAW2021</t>
  </si>
  <si>
    <t>#AntimicrobialResistance is one of the most urgent global threats to the public’s health. Antibiotics can cause side-effects, including nausea and diarrhoea and contribute to the development of #AntibioticResistance.
#AntibioticGuardian #KeepAntibioticsWorking #WAAW https://t.co/VPDgI2znb3</t>
  </si>
  <si>
    <t>#AntimicrobialResistance is one of the most urgent global threats to the public’s health.
Antibiotics can cause side-effects, including nausea and diarrhoea and contribute to the development of #antibioticresistance.
#AntibioticGuardian #KeepAntibioticsWorking #WAAW https://t.co/t1p44FYzuL</t>
  </si>
  <si>
    <t>#AntimicrobialResistance is one of the most urgent global threats to the public’s health. #Antibiotics can cause side-effects, including nausea and diarrhoea and contribute to the development of #AntibioticResistance.
#AntibioticGuardian #KeepAntibioticsWorking #WAAW https://t.co/NHvY1CKQT3</t>
  </si>
  <si>
    <t>#WAAW: English surveillance programme for antimicrobial utilisation and resistance (ESPAUR) Report 2020 to 2021 #AntibioticGuardian #KeepAntibioticsWorking #WAAW: https://t.co/HXrBQPEhvE https://t.co/28xTXQsnMz</t>
  </si>
  <si>
    <t>#AntimicrobialResistance is one of the most urgent global threats to the public’s health #AntibioticResistance. #AntibioticGuardian #KeepAntibioticsWorking #WAAW https://t.co/37ljfJ6EPy https://t.co/JQDsfsTIKY</t>
  </si>
  <si>
    <t>#AntibioticResistance is still a #PublicHealth threat during the #COVID19 pandemic. 
CDC experts are closely monitoring the possible effects of COVID-19 on the national state of AR &amp;amp; antibiotic use. 
Read more: https://t.co/Dop92kL2nw  #WAAW #USAAW21 https://t.co/gkzGnVh7kL</t>
  </si>
  <si>
    <t>#AntimicrobialResistance is one of the most urgent global threats to the public’s health. 
Antibiotics can cause side-effects, including nausea and diarrhoea and contribute to the development of #AntibioticResistance.
#AntibioticGuardian #KeepAntibioti… https://t.co/yCjq9yYLfU</t>
  </si>
  <si>
    <t>It's #UseAntibioticsWisely Week! Join Sabetha Community Hospital &amp;amp; others in spreading the word about what we can all do to slow #AntibioticResistance. Display this poster in your facility—free download here: https://t.co/oJdx15gwzo
—with @KDHE @CDC_AR @CDCgov #USAAW21 #WAAW https://t.co/pBvZD8f19f</t>
  </si>
  <si>
    <t>#AntimicrobialResistance is one of the most urgent global threats to the public’s health. Antibiotics can cause side-effects, including nausea and diarrhoea and contribute to the development of #AntibioticResistance. #AntibioticGuardian #KeepAntibioticsWorking #WAAW https://t.co/puJHkFLSjy</t>
  </si>
  <si>
    <t>#AntibioticResistance is still a #PublicHealth threat during the #COVID19 pandemic. CDC experts are closely monitoring the possible effects of COVID-19 on the national state of AR &amp;amp; antibiotic use. Read more: https://t.co/Mmsb3832j4  #WAAW https://t.co/F4ywNFPYGN</t>
  </si>
  <si>
    <t>#AntibioticResistance is still a #PublicHealth threat during the #COVID19 pandemic. CDC experts are closely monitoring the possible effects of COVID-19 on the national state of AR &amp;amp; antibiotic use. Read more: https://t.co/WBf8xb5eit  #WAAW</t>
  </si>
  <si>
    <t>Desde @SonEspases _xD83C__xDFE5_ estamos concienciados con un uso prudente de los antibióticos _xD83D__xDC8A_ y prueba de ello es nuestro equipazo PROA/Infecciosas! _xD83E__xDDEB__xD83E__xDDA0_ @LuisaMa01043544 @leonorperianez @erojomol @elfarodehuse @microHUSE #WAAW2021 #EAAD2021 #KeepAntibioticsWorking https://t.co/06HKtYheKy</t>
  </si>
  <si>
    <t>Day 1 of #WAAW and I’m tweeting #AMR stuff every day! I'm kicking off with an overview of what #AMR is, how microbes become resistant to drugs and why this is so incredibly important! https://t.co/0MpYH4Wv7M #antibioticguardian #AntimicrobialResistance #AntibioticResistance</t>
  </si>
  <si>
    <t>Overuse has fuelled the world's antibiotic-resistance crisis https://t.co/bL2M6u2gXO via @DoctorChrisVT #AntibioticAwarenessWeek #AntibioticResistance 
Sign the petition for responsible antibiotic use here: https://t.co/6xhROfoI3D</t>
  </si>
  <si>
    <t>#AntibioticResistance is one of the most urgent global threats to the public’s health. Any time antibiotics are used, they can cause side effects and contribute to the development of antibiotic resistance. #WAAW21 https://t.co/AtEaWXLNhr</t>
  </si>
  <si>
    <t>#AntibioticResistance is still a #PublicHealth threat during the #COVID19 pandemic. CDC experts are closely monitoring the possible effects of COVID-19 on the national state of AR &amp;amp; antibiotic use. Read more:   #WAAW https://t.co/Rkigw8LRI5 https://t.co/UAjXjcZ5hY</t>
  </si>
  <si>
    <t>Really proud of the @antibioticangel team for coordinating this event. 
A great way to engage our colleagues! #KeepAntibioticsWorking #WAAW https://t.co/eATPIuCD5u</t>
  </si>
  <si>
    <t>#WAAW #KeepAntibioticsWorking #AntibioticGuardian https://t.co/HqXEMfBhys</t>
  </si>
  <si>
    <t>Follow CDC global Twitter storm on antibiotic resistance.
Follow hashtag
#AntibioticResistance</t>
  </si>
  <si>
    <t>Today marks the start of World Antimicrobial Awareness Week. Antibiotic resistance is still one of the biggest threats facing the world today. Here are some ways you can help reduce #AntimicrobialResistance as a healthcare professional:
#WAAW21 #AMR #KeepAntibioticsWorking https://t.co/jSD2olZaSA</t>
  </si>
  <si>
    <t>#AntimicrobialResistance is one of the most urgent global threats to the public’s health. 
Antibiotics can cause side-effects, including nausea and diarrhoea and contribute to the development of #antibioticresistance.
#AntibioticGuardian #KeepAntibioticsWorking #WAAW https://t.co/uxbKdEr8zh</t>
  </si>
  <si>
    <t>#KeepAntibioticsWorking #AntibioticGuardian #WorldAntimicrobialAwarenessWeek https://t.co/iK2vv3mvQa</t>
  </si>
  <si>
    <t>_xD83D__xDC8A_RESISTENZA AGLI #ANTIBIOTICI, PERCENTUALI ANCORA ELEVATE
_xD83D__xDEA8_Italia tra Paesi europei ad alta resistenza. In pandemia, nel 2020, incidenze elevate per 8 patogeni sotto sorveglianza, in alcuni casi in calo
_xD83D__xDD0E_Report AR-ISS_xD83D__xDC47_
https://t.co/Awn6PXYcTI
#WAAW2021 #AntibioticResistance https://t.co/XERYQYRkjt</t>
  </si>
  <si>
    <t>On European Antibiotics Awareness Day we ask you to note that many antibiotics are no longer effective against some bacteria. Using antibiotics only when needed can help stop this happening  #KeepAntibioticsWorking  
https://t.co/ySj6h4rGlt</t>
  </si>
  <si>
    <t>#WAAW #AMR #AntibioticResistance https://t.co/qxEwZNncAa</t>
  </si>
  <si>
    <t>#AntibioticResistance is one of the most urgent global threats to the public’s health. Any time #antibiotics are used, they can cause side effects and contribute to the development of antibiotic resistance. #WAAW https://t.co/q48tUcoYHm</t>
  </si>
  <si>
    <t>It's World Antimicrobial Awareness Week.
Did you know that #AntimicrobialResistance is one of the most urgent global threats to the public’s health?
Become an #AntibioticGuardian this #WAAW to help #KeepAntibioticsWorking
https://t.co/wgMg89dw0g https://t.co/4XEBHPbpZT</t>
  </si>
  <si>
    <t>#AntibioticResistance is still a #PublicHealth threat during the #COVID19 pandemic. CDC experts are closely monitoring the possible effects of COVID-19 on the national state of AR &amp;amp; antibiotic use. Read more: https://t.co/hW0uXyKhIM  #WAAW https://t.co/YUaFdWv1KM</t>
  </si>
  <si>
    <t>Spread Awareness, Stop Resistance
#WAAW2021 #KeepAntibioticsWorking https://t.co/nMoQXAvgRK</t>
  </si>
  <si>
    <t>Today is European Antibiotic Awareness Day! Susan Potter, Antimicrobial Pharmacist reminds us how to take care of ourselves this winter and learn to treat common illnesses that do not require antibiotics by visiting https://t.co/95Vj6VmTxi #KeepAntibioticsWorking #EAAD2021 https://t.co/tFhYjgK98o</t>
  </si>
  <si>
    <t>The pandemic has taught us how important life-saving vaccines and medicines are to all of us &amp;amp; we all have a responsibility to only use antibiotics when we really need them so they remain as effective as possible #AntibioticGuardian #KeepAntibioticsWorking  #WAAW2021 @UKAMREnvoy https://t.co/bXl3M46ZY5</t>
  </si>
  <si>
    <t>Spread Awareness and Stop Resistance. Our mission is to provide innovative therapies to people impacted by acute and life-threatening illness. #AntibioticResistance #WAAW #WAAW2021 #USAAW21 https://t.co/YKk2IbVPFG</t>
  </si>
  <si>
    <t>#AntibioticResistance is one of the top 10 global public health threats facing humanity.  #WAAW #WAAW2021 #USAAW21 https://t.co/vsndTwdEZr</t>
  </si>
  <si>
    <t>#AntibioticResistance is one of the most urgent global threats to the public’s health. Any time #antibiotics are used, they can cause side effects and contribute to the development of antibiotic resistance. #WAAW #USAAW21 #TwitterStorm #BeAntibioticsAware 
@UofLPeds https://t.co/dxh7xjKEQD</t>
  </si>
  <si>
    <t>#AntimicrobialResistance is one of the most urgent global threats to the public’s health. Antibiotics can cause side-effects, including nausea and diarrhoea and contribute to the development of #antibioticresistance.
#AntibioticGuardian #KeepAntibioticsWorking #WAAW https://t.co/Mqb7AVqX0a</t>
  </si>
  <si>
    <t>#HandlewithCare
#AntimicrobialResistance
#KeepAntibioticsWorking
#HSAAMRwarenessWeek
#WAAW https://t.co/z284Vx3NA7 https://t.co/4WOWDuT0jh</t>
  </si>
  <si>
    <t>_xD83E__xDDA0__xD83E__xDDEB_ Desde el #HospitalLaPaz nos unimos al #DiaEuropeoUsoPrudenteAntibioticos @PROA_HULP 
#KeepAntibioticsWorking https://t.co/pb6ZBT7q2v</t>
  </si>
  <si>
    <t>We are now facing the possibility of a future where antibiotics will no longer be effective due to #AntimicrobialResistance
Our #EUPharmaStrategy will combat #AMR by
_xD83D__xDD39_Making the EU a best practice region
_xD83D__xDD39_Boosting research, development &amp;amp; innovation
#AntibioticResistance #WAAW</t>
  </si>
  <si>
    <t>Will #Antibiotics stop working?_xD83D__xDC8A_
Is there an EU Action Plan?_xD83D__xDCAA_
What does it mean?_xD83D__xDD2C_
And the animals?_xD83D__xDC2E_
What can I do?_xD83E__xDD14_
If you have questions on #AntibioticResistance, join our free #TwitterSpace _xD83D__xDE4F_
#WAAW
https://t.co/E542nU9Lh0</t>
  </si>
  <si>
    <t>#AntibioticResistance is a public health threat. @McDonalds can help by keeping its promise to reduce antibiotic use in its beef supplies #HoldTheABX #WAAW https://t.co/zo9C6mt6G0</t>
  </si>
  <si>
    <t>What happens when antibiotics hurt more than they help?  #WAAW #AntibioticResistance.
https://t.co/myOLJdMVfX https://t.co/DIeLKaSyNA</t>
  </si>
  <si>
    <t>Nov 18th is Antibiotic Awareness Week in the US. Below and 5 things you need to know about antibiotics, including the most common side effects. #AntibioticResistance
https://t.co/6z18eg7eSk</t>
  </si>
  <si>
    <t>Day :01 Inauguration
Antimicrobial resistance, a serious public health problem worldwide. Misuse of Antimicrobials puts everyone at risk. HSA kicked started campaign today!
#HandlewithCare
#AntimicrobialResistance
#KeepAntibioticsWorking
#HSAAMRwarenessWeek
#WAAW https://t.co/6XwM7J2xED</t>
  </si>
  <si>
    <t>#HandlewithCare
#AntimicrobialResistance
#KeepAntibioticsWorking
#HSAAMRwarenessWeek
#WAAW https://t.co/xq0azKF08P</t>
  </si>
  <si>
    <t>#HandlewithCare
#AntimicrobialResistance
#KeepAntibioticsWorking
#HSAAMRwarenessWeek
#WAAW https://t.co/4yb5l0RVnz</t>
  </si>
  <si>
    <t>#AntimicrobialResistance is one of the most urgent global threats to the public’s health. Antibiotics can cause side-effects, including nausea and diarrhoea and contribute to the development of #antibioticresistance.
#AntibioticGuardian #KeepAntibioticsWorking #WAAW</t>
  </si>
  <si>
    <t>#WAAW2021 #AntibioticResistance #KeepAntibioticsWorking https://t.co/Jj1SHjZz8k</t>
  </si>
  <si>
    <t>Day :01 Inauguration Day   ‘SPREAD AWARENESS, STOP RESISTANCE”
World Antimicrobial Awareness Week is celebrated annually from 18th–24th Nov around the world.
#HandlewithCare
#AntimicrobialResistance
#KeepAntibioticsWorking
#HSAAMRwarenessWeek
#WAAW https://t.co/kVTyQUMEtL</t>
  </si>
  <si>
    <t>Day :01 Inauguration Day ‘SPREAD AWARENESS, STOP RESISTANCE”
World Antimicrobial Awareness Week is celebrated annually from 18th–24th Nov around the world. We invite you to join hands with HSA!
#HandlewithCare
#AntimicrobialResistance
#KeepAntibioticsWorking
#HSAAMRwarenessWeek https://t.co/MIK3yPotMA</t>
  </si>
  <si>
    <t>#vice #virtue #oilspill #california #lanternfly #AntibioticResistance #antibiotics #resistance #cleanair #airscrubber #CO2 #podcast #episode #extinction #science #skepticism #skeptical #beskeptical #environment #wildlife #bebetter #dobetter https://t.co/kLf5g6MWNW</t>
  </si>
  <si>
    <t>Day 1: Inauguration of AMR Campaign at HSA
Antimicrobial resistance, a serious public health problem worldwide. Misuse of Antimicrobials has placed everyone at risk.
Lets act together.
#HandlewithCare
#AntimicrobialResistance
#KeepAntibioticsWorking
#HSAAMRwarenessWeek
#WAAW https://t.co/iHzzcbXY6K</t>
  </si>
  <si>
    <t>#Antibiotics aren’t needed for and won’t help treat colds, #flu, or #COVID19.  #AntibioticResistance #WAAW #BeAntibioticsAware #USAAW21 https://t.co/CnEmlEX7vx https://t.co/wMl8VWRrqQ</t>
  </si>
  <si>
    <t>Taking #antibiotics only when needed is one thing you can do to help fight #AntibioticResistance. https://t.co/VEOqV0dPWf #USAAW21 #BeAntibioticsAware  #WAAW #USAAW21</t>
  </si>
  <si>
    <t>Being #antibiotics aware = knowing that antibiotics aren’t needed for many #sinus infections and some ear #infections. https://t.co/xQfnWdhp0H  #AntibioticResistance #WAAW #BeAntibioticsAware #USAAW21 https://t.co/zakySdXUry</t>
  </si>
  <si>
    <t>#AntibioticResistance is still a #PublicHealth threat during the #COVID19 pandemic. CDC experts are closely monitoring the possible effects of COVID-19 on the national state of AR &amp;amp; antibiotic use. Read more: https://t.co/jM95TADAf5  #WAAW21</t>
  </si>
  <si>
    <t>Preventing another pandemic is our shared responsibility. Engage in the fight to #KeepAntibioticsWorking. #AntibioticGuardian #AntimicrobialResistance #WAAW
@LizCorteville @HIOW_ICS @DrDianeAshiru</t>
  </si>
  <si>
    <t>#AntimicrobialResistance is everyone’s problem. Let’s work together to #KeepAntibioticsWorking. Antibiotics do not cure viral infections. #AntibioticGuardian #WAAW
@LIzCorteville @HIOW_ICS</t>
  </si>
  <si>
    <t>I pledge to keep antibiotics working by being a champion for the correct use of antibiotics by counselling patients on the appropriate use of antibiotics and promoting antimicrobial stewardship. #AntibioticGuardian #KeepAntibioticsWorking #WAAW
@LizCorteville @HIOW_ICS</t>
  </si>
  <si>
    <t>#AntimicrobialResistance is one of the most urgent global threats to the public’s health. Antibiotics can cause side-effects, including nausea and diarrhoea and contribute to the development of #antibioticresistance.
#AntibioticGuardian #WAAW
@LizCorteville @HIOW_ICS</t>
  </si>
  <si>
    <t>Antibiotic resistance is set to rise. Become an #AntibioticGuardian to help keep antibiotics working https://t.co/00os2BHIvI https://t.co/y6iHR9SbcX</t>
  </si>
  <si>
    <t>Antibiotics no longer work for some infections – become an #AntibioticGuardian to help protect our life saving medicine https://t.co/00os2BZjUi https://t.co/oUPaKN8YKs</t>
  </si>
  <si>
    <t>@battlesuperbugs #KeepAntibioticsWorking is our shared responsibility. #AntibioticGuardian #AntimicrobialResistance #WAAW</t>
  </si>
  <si>
    <t>As with most healthcare professionals I am concerned with the consequence of #AntimicrobialResistance. As a pharmacist, I am committed to engage in the fight against AMR by promoting the optimal use of antimicrobial agents. #AntibioticGuardian #KeepAntibioticsWorking #WAAW</t>
  </si>
  <si>
    <t>Today is European #Antibiotic Awareness Day (EAAD), which aims to raise awareness on the prudent use of antibiotics in the #EU! 
#EAAD, #AntibioticResistance, #Antibiotics #KeepAntibioticsWorking #WAAW</t>
  </si>
  <si>
    <t>Join us to inform, educate and empower about antimicrobial resistance.
Positive steps of today will bring the  new dimension of hope for tomorrow's world _xD83C__xDF0E_
#HandlewithCare
#AntimicrobialResistance
#KeepAntibioticsWorking
#HSAAMRwarenessWeek
#WAAW https://t.co/zwmnaaSr3H</t>
  </si>
  <si>
    <t>Join us to spread awareness regarding global threat of antimicrobial resistance. 
#HandlewithCare
#AntimicrobialResistance
#KeepAntibioticsWorking
#HSAAMRwarenessWeek
#WAAW https://t.co/SJOQDRjiQL</t>
  </si>
  <si>
    <t>Day :01 Inauguration Day . Health Services Academy is spearheading the response with essence of sustainability, health system empowerment to curb the challenge of Antimicrobial Resistance. 
#HandlewithCare
#AntimicrobialResistance
#KeepAntibioticsWorking
#HSAAMRwarenessWeek
#WAAW</t>
  </si>
  <si>
    <t>Day :01 Inauguration Day.
World Antimicrobial Awareness Week is celebrated annually from 18th–24th Nov, We invite you to join hands with Health Services Academy, to spread awareness.
#HandlewithCare
#AntimicrobialResistance
#KeepAntibioticsWorking
#HSAAMRwarenessWeek
#WAAW https://t.co/pXiFOb5ZOc</t>
  </si>
  <si>
    <t>FDA is combating #AntibioticResistance by:
_xD83E__xDDA0_ Facilitating product development
_xD83E__xDDA0_ Promoting appropriate use of antibiotics
_xD83E__xDDA0_ Supporting improved surveillance
_xD83E__xDDA0_ Advancing regulatory science
#WAAW #USAAW21
https://t.co/EP8ET50giM</t>
  </si>
  <si>
    <t>#AntibioticResistance is still a #PublicHealth threat during the #COVID19 pandemic.
CDC experts are closely monitoring the possible effects of COVID-19 on the national state of AR &amp;amp; antibiotic use.
Read more: https://t.co/AOljhkPqfw
#WAAW https://t.co/mShS5aJDpw</t>
  </si>
  <si>
    <t>(59/50) Updated good practice recommendations for outpatient parenteral antimicrobial therapy (OPAT) in adults and children in the UK https://t.co/tKmS0aIn7K @jac_amr @jamiesonce @jabicjenkins #AntibioticGuardian #KeepAntibioticsWorking #WAAW2021 #EAAD2021 #DoIt4Das</t>
  </si>
  <si>
    <t>(55/50) Where are we now with #bacteriophage studies? @antonia_sagona #AntibioticGuardian #KeepAntibioticsWorking #WAAW2021 #EAAD2021 #DoIt4Das https://t.co/N55BQELtpC</t>
  </si>
  <si>
    <t>(52/50) Interesting to note how bacteria keep up with new antibiotics from @biomerieux #AntibioticGuardian #KeepAntibioticsWorking #WAAW2021 #EAAD2021 #DoIt4Das https://t.co/wFna5uSwXS</t>
  </si>
  <si>
    <t>#AntimicrobialResistance is one of the most urgent global threats to the public’s health. #Antibiotics can cause side-effects, including nausea and diarrhoea and contribute to the development of #AntibioticResistance.
#AntibioticGuardian #KeepAntibioticsWorking #WAAW</t>
  </si>
  <si>
    <t>(9/50) The battle against #AMR is across the whole health economy. Working with healthcare provider partners is at the centre of the #BirminghamAntibioticAdvisoryGroup @NHSBSolCCG @rakhi2382 @jamiesonce #KeepAntibioticsWorking #WAAW2021 #EAAD2021 #DoIt4Das</t>
  </si>
  <si>
    <t>(4/50) Yesterday the #ESPAUR report was published by @DrDianeAshiru @SMHopkins and colleagues. This is the most definitive examination of antibiotic prescribing in England over the last year. https://t.co/JBbSsp5cTY #KeepAntibioticsWorking #WAAW2021 #EAAD2021 #DoIt4Das</t>
  </si>
  <si>
    <t>(6/50) There is a lot of literature on #AMS. Follow @ABsteward for the most update breaking and seminal papers published across the world #KeepAntibioticsWorking #WAAW2021 #EAAD2021 #DoIt4Das</t>
  </si>
  <si>
    <t>(10/50) #AntimicrobialStewardship is the fourth pillar of #IPC after screening, cleaning and handhygiene (thanks @SafetySamFoster) #IPCInAction #KeepAntibioticsWorking #WAAW2021 #EAAD2021 #DoIt4Das</t>
  </si>
  <si>
    <t>#WAAW (World Antibiotic Awareness Week) is here! Use this opportunity to educate your patients about antimicrobial resistance. Visit https://t.co/BZ3hjsz9Ip for patient-facing resources to use in print, social media, and more!
#AntibioticResistance #USAAW21</t>
  </si>
  <si>
    <t>(14/50) Other important resources include the #BNF, #BNFC &amp;amp; #NNF as well as the #RenalDrugHandbook. If you are stuck look at the #SPC. Shout out to @sanfordguide for all infection specialists! #KeepAntibioticsWorking #WAAW2021 #EAAD2021 #DoIt4Das</t>
  </si>
  <si>
    <t>(26/50) It is essential to return unused antibiotics to the pharmacy and *not* stockpile them at home or in clinical areas #AntbioticAmnesty @jabicjenkins #KeepAntibioticsWorking #WAAW2021 #EAAD2021 #DoIt4Das</t>
  </si>
  <si>
    <t>(43/50) @uhbtrust guideline on the management of #sepsis and #COVID19 https://t.co/8lmFSekLTz #AntibioticGuardian #KeepAntibioticsWorking #WAAW2021 #EAAD2021 #DoIt4Das</t>
  </si>
  <si>
    <t>(41/50) Many hospitals have resources to guide on #microbiology testing. @uhbtrust page is here: https://t.co/glUFr5kPph #AntibioticGuardian #KeepAntibioticsWorking #WAAW2021 #EAAD2021 #DoIt4Das</t>
  </si>
  <si>
    <t>(13/50) Always make sure that you are familiar with your local prescribing guidelines, download them from #MicroGuide (@uhbtrust guidelines should be out this week) #TipsForNewPrescribers #KeepAntibioticsWorking #WAAW2021 #EAAD2021 #DoIt4Das</t>
  </si>
  <si>
    <t>(18/50) "Shorter is Better" - the best way to use antimicrobials from  @BradSpellberg https://t.co/eYhaQZ4SJL #KeepAntibioticsWorking #WAAW2021 #EAAD2021 #DoIt4Das</t>
  </si>
  <si>
    <t>(42/50) In the immediate management of #Sepsis, follow the #Sepsis6. Remember that it is best to take the blood culture before giving  the antibiotics #AntibioticGuardian #KeepAntibioticsWorking #WAAW2021 #EAAD2021 #DoIt4Das https://t.co/RMTKqfxZr3</t>
  </si>
  <si>
    <t>(50/50) The spread of resistant organisms across Europe is increasing #AntibioticGuardian #KeepAntibioticsWorking #WAAW2021 #EAAD2021 #DoIt4Das https://t.co/owkcOytHJt</t>
  </si>
  <si>
    <t>(39/50) When taking blood is best to fill the blood culture bottles first. Combined with good skin antisepsis, this can limit #contamination of the sample #AntibioticGuardian #KeepAntibioticsWorking #WAAW2021 #EAAD2021 #DoIt4Das</t>
  </si>
  <si>
    <t>(49/50) What is #CPE? Known by many acronyms, these organisms are resistant to our last-line antibiotics called carbapenems. #AntibioticGuardian #KeepAntibioticsWorking #WAAW2021 #EAAD2021 #DoIt4Das https://t.co/Iy2OIGUkSY</t>
  </si>
  <si>
    <t>(40/50) Make sure the blood culture bottles are adequately filled, local study recommends https://t.co/vOFKTsJlVa #AntibioticGuardian #KeepAntibioticsWorking #WAAW2021 #EAAD2021 #DoIt4Das</t>
  </si>
  <si>
    <t>(36/50) The microbiology report is edited to show the most appropriate agents to treat an organism causing infection. Selective reporting is an important way to manage #AMR #AntibioticGuardian #KeepAntibioticsWorking #WAAW2021 #EAAD2021 #DoIt4Das</t>
  </si>
  <si>
    <t>(38/50) #DiagnosticStewardship is as important as #AntimicrobialStewardship @elizbeech #AntibioticGuardian #KeepAntibioticsWorking #WAAW2021 #EAAD2021 #DoIt4Das https://t.co/wWy6ylCneg</t>
  </si>
  <si>
    <t>(56/50) #FMT studied to see if it can help with reducing the carriage of resistant organisms in the gut https://t.co/HtGEGw8hLM #AntibioticGuardian #KeepAntibioticsWorking #WAAW2021 #EAAD2021 #DoIt4Das https://t.co/4KxbNGmxXY</t>
  </si>
  <si>
    <t>(60/50) #AMS can be undertaken in teh most challenging pateint groups, including #CysticFibrosis https://t.co/qOae5rk9Ll #AntibioticGuardian #KeepAntibioticsWorking #WAAW2021 #EAAD2021 #DoIt4Das</t>
  </si>
  <si>
    <t>(47/50) What is #CDIFF? #AntibioticGuardian #KeepAntibioticsWorking #WAAW2021 #EAAD2021 #DoIt4Das https://t.co/ounrnulhxk</t>
  </si>
  <si>
    <t>(54/50) #Bacteriophages as an additional weapon against #AMR? #AntibioticGuardian #KeepAntibioticsWorking #WAAW2021 #EAAD2021 #DoIt4Das https://t.co/UIGhqwGjUS</t>
  </si>
  <si>
    <t>(44/50) Healthcare-associated infections are driven by #AMR #AntibioticGuardian #KeepAntibioticsWorking #WAAW2021 #EAAD2021 #DoIt4Das https://t.co/Et3vRRhMxF</t>
  </si>
  <si>
    <t>(46/50) What is #MRSA? #AntibioticGuardian #KeepAntibioticsWorking #WAAW2021 #EAAD2021 #DoIt4Das https://t.co/RFYD4RsON4</t>
  </si>
  <si>
    <t>(51/50) What does the future hold for the fight against #AMR? Have a look at the preclinical pipeline https://t.co/jhjai1A2Th #AntibioticGuardian #KeepAntibioticsWorking #WAAW2021 #EAAD2021 #DoIt4Das https://t.co/qFlQ9qMbMY</t>
  </si>
  <si>
    <t>(48/50) What is #VRE? #AntibioticGuardian #KeepAntibioticsWorking #WAAW2021 #EAAD2021 #DoIt4Das https://t.co/NYZYhU8mcQ</t>
  </si>
  <si>
    <t>(37/50) The microbiology report can help malke decisions about the IV -&amp;gt; PO switch of antibiotics #AntibioticGuardian #KeepAntibioticsWorking #WAAW2021 #EAAD2021 #DoIt4Das</t>
  </si>
  <si>
    <t>(53/50) Combining current antibiotics with new inhibitor molecules has invigorated well established antibiotics #AntibioticGuardian #KeepAntibioticsWorking #WAAW2021 #EAAD2021 #DoIt4Das https://t.co/XLA0OEZcAS</t>
  </si>
  <si>
    <t>(58/50) #Elastomeric devices are important to faciltate discharge and #OPAT. Community adminstration and supervision of antibiotics after discharge can be either oral or IV #AntibioticGuardian #KeepAntibioticsWorking #WAAW2021 #EAAD2021 #DoIt4Das https://t.co/ilBinbWxdH</t>
  </si>
  <si>
    <t>(45/50) Which healthcare associated infections do we worry about most? (apart from #COVID19)? #MRSA, #CDIFF #VRE #CPE #AntibioticGuardian #KeepAntibioticsWorking #WAAW2021 #EAAD2021 #DoIt4Das</t>
  </si>
  <si>
    <t>(57/50) #Ultraviolet light is used to clean clincal areas advised by #InfectionControl #IPCinAction #AntibioticGuardian #KeepAntibioticsWorking #WAAW2021 #EAAD2021 #DoIt4Das https://t.co/51VaLOSgWw</t>
  </si>
  <si>
    <t>(30/50) @WHO AWaRe. RESERVE
GROUP:
“last resort”
highly selected patients (life-threatening infections due to MDR bacteria)
closely monitored and prioritized as targets of #AMS to ensure their continued effectiveness #KeepAntibioticsWorking #WAAW2021 #EAAD2021 #DoIt4Das</t>
  </si>
  <si>
    <t>(19/.50) Start Smart Then Focus is a key toolkit for #AMS https://t.co/xO4CKMBkeI #KeepAntibioticsWorking #WAAW2021 #EAAD2021 #DoIt4Das</t>
  </si>
  <si>
    <t>(7/50) What are the most influential journals on #AMS? There are so many! You could start with https://t.co/EnCs4L7Y2g and https://t.co/f2dCVUI8NB #KeepAntibioticsWorking #WAAW2021 #EAAD2021 #DoIt4Das</t>
  </si>
  <si>
    <t>(32/50) The diagnosis of infection is as important as the treatment itself. Good sampling gives good quality results #AntibioticGuardian #KeepAntibioticsWorking #WAAW2021 #EAAD2021 #DoIt4Das</t>
  </si>
  <si>
    <t>(23/50) Antibiotic Spectra - a simplified diagram #KeepAntibioticsWorking #WAAW2021 #EAAD2021 #DoIt4Das https://t.co/9jBWtOCmYR</t>
  </si>
  <si>
    <t>(31/50) @WHO Anribiotics - Handle with Care https://t.co/7HTeECswrE #KeepAntibioticsWorking #WAAW2021 #EAAD2021 #DoIt4Das</t>
  </si>
  <si>
    <t>(34/50) Clincial interpretation of microbiology samples starts with a clearly labelled sample and form with the clinical indication and test request #AntibioticGuardian #KeepAntibioticsWorking #WAAW2021 #EAAD2021 #DoIt4Das</t>
  </si>
  <si>
    <t>(12/50) The nurse and/or the pharmacist is the last line of defense between the patient and the antibiotic. Your input is crucial! #KeepAntibioticsWorking #WAAW2021 #EAAD2021 #DoIt4Das</t>
  </si>
  <si>
    <t>(3/50) In previous years I have tagged accounts that really should be followed if you have a strong interest in #AMS. This year, it would be worth looking at accounts using these hashtags #KeepAntibioticsWorking #WAAW2021 #EAAD2021 #DoIt4Das</t>
  </si>
  <si>
    <t>(15/50) McCoy's syndrome: a new medical entity - also may influence empirical prescribing https://t.co/E7WdUYEBY3 #KeepAntibioticsWorking #WAAW2021 #EAAD2021 #DoIt4Das</t>
  </si>
  <si>
    <t>(27/50) @WHO classifies antibiotics into three groups based on (1) the potential to induce and propagate resistance
(2) antibiotics that are priorities for monitoring and surveillance of use. These are referred to as AWaRe #KeepAntibioticsWorking #WAAW2021 #EAAD2021 #DoIt4Das</t>
  </si>
  <si>
    <t>(17/50) R4 cycle of prescribing https://t.co/0eBZXt19wz #KeepAntibioticsWorking #WAAW2021 #EAAD2021 #DoIt4Das</t>
  </si>
  <si>
    <t>(22/50) Do you want to find out more about antibiotics and their posology? This is the gold standard reference: https://t.co/1Eb2Q4c4hd #KeepAntibioticsWorking #WAAW2021 #EAAD2021 #DoIt4Das</t>
  </si>
  <si>
    <t>(8/50) It would also be worth looking at https://t.co/L91mpPK9cR and https://t.co/XiTqq6zGIm #KeepAntibioticsWorking #WAAW2021 #EAAD2021 #DoIt4Das</t>
  </si>
  <si>
    <t>(35/50) Complex patients are best reviewed at the bedside in order to gain a wholistic view of the managment strategy #AntibioticGuardian #KeepAntibioticsWorking #WAAW2021 #EAAD2021 #DoIt4Das</t>
  </si>
  <si>
    <t>(16/50) Who knows what this is? What would have been the effect of this device on #AMR? #KeepAntibioticsWorking #WAAW2021 #EAAD2021 #DoIt4Das https://t.co/HrIQO54zey</t>
  </si>
  <si>
    <t>(20/50)  A quick reminder about the mechanims of action of antibiotics #KeepAntibioticsWorking #WAAW2021 #EAAD2021 #DoIt4Das https://t.co/aGNgU1CWut</t>
  </si>
  <si>
    <t>(5/50) If you want to look at your #AMR data use this *free* @UKHSA resource #PHEFingertips https://t.co/tV992hHvQn #KeepAntibioticsWorking #WAAW2021 #EAAD2021 #DoIt4Das</t>
  </si>
  <si>
    <t>(33/50) The most precious samples in the lab are "non-repeatable" and include blood cultures and CSF samples #AntibioticGuardian #KeepAntibioticsWorking #WAAW2021 #EAAD2021 #DoIt4Das</t>
  </si>
  <si>
    <t>(11/50) Who is responsible for #AMS? The answer is below! #KeepAntibioticsWorking #WAAW2021 #EAAD2021 #DoIt4Das https://t.co/4M5P7X4hff</t>
  </si>
  <si>
    <t>(29/50) @WHO AWaRe. WATCH
GROUP:
1st/2nd choice ABx
only indicated for specific, limited number of infective syndromes
prone to be a target of antibiotic resistance and prioritized as targets of #AMS and monitoring #KeepAntibioticsWorking #WAAW2021 #EAAD2021 #DoIt4Das</t>
  </si>
  <si>
    <t>(24/50)  #NewDocs ask "Which antbiotic covers which bug" and "Which antibiotic is best for certain infections". The answers depend on the local lab susceptibility data as well as local patient demongraphics. @UKHSA #SGSS #KeepAntibioticsWorking #WAAW2021 #EAAD2021 #DoIt4Das</t>
  </si>
  <si>
    <t>(21/50)  A quick reminder about the mechanims of resistance of antibiotics #KeepAntibioticsWorking #WAAW2021 #EAAD2021 #DoIt4Das https://t.co/OnBq7YB3M3</t>
  </si>
  <si>
    <t>(2/50) We will bring back the annual #AntibioticGuardian #DasPillayAward next year to recognise innovation in #AMS for junior grades of staff #KeepAntibioticsWorking #WAAW2021 #EAAD2021 #DoIt4Das</t>
  </si>
  <si>
    <t>(28/50) @WHO AWaRe. ACCESS
GROUP: first or second choice antibiotics
offer the best therapeutic value, while minimizing the potential for resistance. #KeepAntibioticsWorking #WAAW2021 #EAAD2021 #DoIt4Das</t>
  </si>
  <si>
    <t>(25/50) Is oral administration inferior to IV? Not really, Consider the #bioavailibility and the #PKPD. When it comes to beta-lactams give the highest dose you can for the indication #KeepAntibioticsWorking #WAAW2021 #EAAD2021 #DoIt4Das</t>
  </si>
  <si>
    <t>@foodgov If #AnimalWelfare conditions were improved and there was less intense use of #Antibiotics that would a good starting point at breaking the cycle. 
#AntimicrobialResistance 
#AntibioticResistance 
@philip_ciwf 
@ciwf</t>
  </si>
  <si>
    <t>#AntimicrobialResistance is one of the most urgent global threats to the public’s health. 
Antibiotics can cause side-effects, including nausea and diarrhoea and contribute to the development of #AntibioticResistance.
#AntibioticGuardian #KeepAntibioticsWorking #WAAW https://t.co/qftSfKaaBw</t>
  </si>
  <si>
    <t>Day :01 Inauguration Day   ‘SPREAD AWARENESS, STOP RESISTANCE”
World Antimicrobial Awareness Week is celebrated annually from 18th–24th Nov around the world. 
#HandlewithCare
#AntimicrobialResistance
#KeepAntibioticsWorking
#HSAAMRwarenessWeek
#WAAW https://t.co/Dsxr0MZ1qt</t>
  </si>
  <si>
    <t>Infectious Diseases team spreading awareness on #EAAD @CUH_Cork #EAAD @blairmatthewd #IDtwitter #KeepAntibioticsWorking @DrJacksonCork @drcsadlier @profmaryhorgan https://t.co/RSUsbFvumB</t>
  </si>
  <si>
    <t>Microbiology @EKHUFT #goingblue  to raise awareness about #AntimicrobialResistance _xD83E__xDDA0_ _xD83D__xDC8A_ #waaw #handlewithcare #amr #AntibioticGuardian #AntimicrobialStewardship #KeepAntibioticsWorking @WHO @UKHSA https://t.co/eltsdLGOo1</t>
  </si>
  <si>
    <t>#AntibioticResistance is still a #PublicHealth threat during the #COVID19 pandemic. CDC experts are closely monitoring the possible effects of COVID-19 on the national state of antibiotic resistance &amp;amp; antibiotic use. Read more: https://t.co/GgtbsnMykP  #WAAW https://t.co/TbN7m6mfIT</t>
  </si>
  <si>
    <t>It's a Twitter Storm for #AntibioticResistance and #WAAW!  Get in on the movement! https://t.co/qt2QcM2fTk</t>
  </si>
  <si>
    <t>Experts are concerned that the pandemic could undo much of the nation’s progress on #AntibioticResistance, especially in hospitals. Data show that #COVID19 can create a perfect storm for AR in healthcare settings. Learn more: https://t.co/8nO9iku0zh #WAAW https://t.co/gGHc03m0aP</t>
  </si>
  <si>
    <t>#Antibiotics are only needed for treating certain infections caused by bacteria. If you need antibiotics, take them exactly as prescribed. Talk with your #HCP if you have any questions about your antibiotics. https://t.co/9SdgWhan2S #AntibioticResistance #WAAW https://t.co/2LmfGgkr2v</t>
  </si>
  <si>
    <t>Antibiotic-resistant bacteria and fungi cause more than 2.8M infections and 35K deaths in the U.S. each year. Improving how you use antibiotics is one way to protect yourself &amp;amp; your family from these infections: https://t.co/jAqYsJJyZe #WAAW #AntibioticResistance https://t.co/D4f1eG5Glq</t>
  </si>
  <si>
    <t>#AntibioticResistance is still a public health threat during the #COVID19.  CDC experts are closely monitoring the possible effects of COVID-19 on the national state of #AMR and antibiotic uses.  Read more at https://t.co/qxTWDKaFMn
 #WAAW21 #HandleWithCare</t>
  </si>
  <si>
    <t>Day :01 Inauguration
Antimicrobial resistance, a serious public health problem worldwide. Misuse of Antimicrobials puts everyone at risk. HSA kicked started campaign today!
#HandlewithCare
#AntimicrobialResistance
#KeepAntibioticsWorking
#HSAAMRwarenessWeek
#WAAW2021</t>
  </si>
  <si>
    <t>#AntibioticResistance is still a #PublicHealth threat during the #COVID19 pandemic. CDC experts are closely monitoring the possible effects of COVID-19 on the national state of AR &amp;amp; antibiotic use. Read more: https://t.co/1sY3WJPrpb  #WAAW</t>
  </si>
  <si>
    <t>#AntibioticResistance is one of the most urgent global threats to the public's health. Any time #antibiotics are used, they can cause side effects and contribute to the development of antibiotic resistance. #USAAW21 #AHRQ @CDCgov https://t.co/H8skaUGxNr</t>
  </si>
  <si>
    <t>In combatting antibiotic resistance, nurses play a central role! Recognise the advanced roles of nurses in the AMR struggle is critical to making progress.
#AntimicrobialAwarnessWeek #WAAW2021 #keepAntibioticsWorking #EFN #WHO https://t.co/mqsnAxDKAK</t>
  </si>
  <si>
    <t>New CDC data shows 91% of U.S. hospitals report having an #antibiotic stewardship program that meets all 7 hospital Core Elements in 2020. Visit the #AntibioticResistance &amp;amp; Patient Safety Portal to view interactive state data maps from 2014-2020: https://t.co/HLpf235THh #WAAW https://t.co/WKciZXUEOl</t>
  </si>
  <si>
    <t>Many of the nation’s efforts to prevent the spread of #COVID19 also help in the fight against #AntibioticResistance including CDC investments in infection prevention &amp;amp; control, training, surveillance, &amp;amp; public health personnel. https://t.co/HogkyDp52v #WAAW https://t.co/X3073nELmD</t>
  </si>
  <si>
    <t>Healthcare Payers: @CDCgov’s “Improving Outpatient Prescribing: A Toolkit for Healthcare Payers” contains resources to get started on audit-and-feedback through measuring and tracking antibiotic use. Learn more:  https://t.co/LYS2a6Fk1a. #AntibioticResistance #WAAW https://t.co/8baYeJNnx1</t>
  </si>
  <si>
    <t>#BeAntibioticsAware #WAAW #AntibioticResistance https://t.co/JSokfyO8f0</t>
  </si>
  <si>
    <t>#beantibioticsaware #AntibioticResistance #WAAW https://t.co/7CNowvwYNu</t>
  </si>
  <si>
    <t>#Abx are frequently prescribed in nursing homes. Older adults have a higher risk for side effects, drug interactions, &amp;amp; C. diff infection from abx. Ask your loved one’s #HCP about the best treatment for their illness. https://t.co/C2v8QyHjzY #AntibioticResistance #WAAW</t>
  </si>
  <si>
    <t>#AntibioticResistance is one of the most urgent global threats to the public’s health. Any time #antibiotics are used, they can cause side effects and contribute to the development of antibiotic resistance. Read more: https://t.co/yYH5mDBoFD #WAAW https://t.co/N6mGlEYOM1</t>
  </si>
  <si>
    <t>Even in the middle of a pandemic, #AntibioticResistance matters!
Great _xD83E__xDDF5_on this issue and why the world needs to protect this shared resource. #WAAW2021 https://t.co/kit5JiXvjK</t>
  </si>
  <si>
    <t>Antibiotic awareness week begins today! #AntibioticResistance is one of the worlds most urgent public health issues. Follow along all week for more resources and information!  #WAAW #USAAW21 #BeAntibioticsAware https://t.co/eA61IpOpir</t>
  </si>
  <si>
    <t>#AntimicrobialResistance is one of the most urgent global threats to the public’s health. #Antibiotics can cause side-effects, including nausea and diarrhoea and contribute to the development of #AntibioticResistance.
#AntibioticGuardian #KeepAntibioticsWorking #WAAW https://t.co/Q3XKPI2mLS</t>
  </si>
  <si>
    <t>A great way to open #WAAW @MFT_Pharmacy @LabMedicineMFT 
Thank you to all of our experts &amp;amp; participants for joining our 1st virtual knowledge café #KeepAntibioticsWorking #AntibioticGuardian 
Thanks also @NHCTPharmacy &amp;amp; @UKHSA for the inspiration! 
@dodgson_kj @gone_grayer https://t.co/dHfdN0mBBh</t>
  </si>
  <si>
    <t>What a great topic for #WAAW from @antibioticangel for discussion #UTI #KeepAntibioticsWorking https://t.co/u1HRHLbTd4</t>
  </si>
  <si>
    <t>@elizbeech We knew you’d like the #UTI slide @elizbeech #WAAW #KeepAntibioticsWorking #AntibioticGuardian</t>
  </si>
  <si>
    <t>Lottie &amp;amp; Ross deserved a treat too. #GoBlueforAMR 
They are part of the team who work hard behind the scenes to #KeepAntibioticsWorking @MFT_Pharmacy @MFTnhs #AntibioticGuardian https://t.co/8v1ZPsRdji</t>
  </si>
  <si>
    <t>#antimicrobialresistance is urgent  threats to the public’s health. Stewardship team @NewhamHospital @BH_Pharmacy @BH_Infection @NHSBartsHealth will be promoting guidelines and reduce use of antibiotics in.Take a pledge,become
#AntibioticGuardian  #KeepAntibioticsWorking #WAAW https://t.co/8morQwDmpD</t>
  </si>
  <si>
    <t>#AntimicrobialResistance is one of the most urgent global threats to the public’s health. #antibiotics can cause side-effects, inc nausea &amp;amp; diarrhoea &amp;amp; contribute to the development of 
#AntibioticResistance 
#AntibioticGuardian 
#KeepAntibioticsWorking #WAAW</t>
  </si>
  <si>
    <t>#AntimicrobialResistance is one of the most urgent global threats to the public’s health. Antibiotics can cause side-effects, including nausea and diarrhoea and contribute to the development of #antibioticresistance. #AntibioticGuardian #KeepAntibioticsWorking #WAAW https://t.co/Rzl8oxJ9QX</t>
  </si>
  <si>
    <t>Good to see falling use of antibiotics in primary care, but increased hospital and dental use in covid19 pandemic. Increased resistance to antibiotics seen in last 5 years is worrying #WAAW #EAAD #KeepAntibioticsWorking https://t.co/cA0YEbBRDR</t>
  </si>
  <si>
    <t>Going Blue for AMR during World Antimicrobials Awareness Week November 18-24 #WAAW #AntibioticResistance #BeAntibioticsAware https://t.co/Hf7GcPWast</t>
  </si>
  <si>
    <t>#AntibioticResistance is one of the most urgent global threats to the public’s health. Any time #antibiotics are used, they can cause side effects and contribute to the development of antibiotic resistance. #AntibioticResistance #WAAW21</t>
  </si>
  <si>
    <t>Taking #antibiotics only when needed is one thing you can do to help fight #antibioticresistance. #USAAW21 #BeAntibioticsAware https://t.co/5JxZ8MWZX8</t>
  </si>
  <si>
    <t>Anytime #antibiotics are used, they can cause side effects and lead to #AntibioticResistance. #BeAntibioticsAware! #USAAW21 https://t.co/CwMDKJfK6c</t>
  </si>
  <si>
    <t>#AntimicrobialResistance is one of the most urgent global threats to the public’s health. Antibiotics can cause side-effects, including nausea and diarrhoea and contribute to the development of #antibioticresistance. #AntibioticGuardian #KeepAntibioticsWorking #WAAW https://t.co/QNEr8hu2vd</t>
  </si>
  <si>
    <t>In the second installment of our series on the @theNASEM report, we cover how improvements in diagnostic testing will advance #antibiotic use and combat #antibioticresistance
#BeAntibioticsAware  #USAAW21  #WAAW2021
https://t.co/bbB2wJ4X1B</t>
  </si>
  <si>
    <t>To mark the beginning of #WAAW2021 read about our project and how #COVID19 might be affecting the infections (and whether they're more resistant) that patients catch in hospital #AntimicrobialResistance #AntibioticResistance #AntibioticGuardian @HerpeZ4 https://t.co/jxZhY1OMCJ</t>
  </si>
  <si>
    <t>When antibiotics are prescribed by a health professional it is important that you always take them as directed, never save them for later and never share them with others. #KeepAntibioticsWorking #WAAW #AntibioticGuardian 
https://t.co/WFTMWmzae5 https://t.co/0oVGGfa0E1</t>
  </si>
  <si>
    <t>MEP @sara_saracerdas for #EAAD2021
https://t.co/82ob5Y6mV2
#WAAW #AntibioticResistance #AntimicrobialResistance #EAAD #WAAW2021</t>
  </si>
  <si>
    <t>We may be facing the possibility of a future where #antibiotics will no longer be effective due to the #AntimicrobialResistance.
What can you do as a #healthcare professional?
https://t.co/KoVo3psPYc
Take a stance against #AMR! #WAAW2021 #EAAD
#AntibioticResistance #WAAW</t>
  </si>
  <si>
    <t>Taking #antibiotics without the advice of a medical doctor can lead to you using them for the wrong reason or using them incorrectly.
Always seek for and follow your doctor’s advice on when and how to use antibiotics.
#AMR! #WAAW2021 #EAAD
#AntibioticResistance #WAAW https://t.co/a49oATWzrl</t>
  </si>
  <si>
    <t>What are #antibiotics?
They are medicines that can kill or inhibit the growth of bacteria.
This means they work ONLY for bacterial infections.
#COVID19, most colds or the #flu are caused by viruses against which antibiotics are NOT effective.
#WAAW #AntibioticResistance https://t.co/RqHGFpSfDQ</t>
  </si>
  <si>
    <t>#AntimicrobialResistance is one of the most urgent global threats to the public’s health. Antibiotics can cause side-effects, including nausea and diarrhoea and contribute to the development of #antibioticresistance.
#AntibioticGuardian #KeepAntibioticsWorking #WAAW https://t.co/OOUPKwXZeU</t>
  </si>
  <si>
    <t>Find out which antibiotic best matches your personality.
A #WAAW Tradition!
https://t.co/NFHn2oOOP2
 #antibioticresistance https://t.co/hzt3emoXaF</t>
  </si>
  <si>
    <t>Antibiotics have second-hand effects beyond the person receiving them. We have societal responsibility to use these medications judiciously. 
#AntibioticResistance #WAAW2021 #WAAW2021 
https://t.co/ABes3vIddx https://t.co/ngPtgcsKrZ</t>
  </si>
  <si>
    <t>It’s #WorldAntimicrobialAwarenessWeek! 
Enter the microbial world and find out more about the bacteria, in, on and around us. 
Use our platform to learn about #Antibiotics and #AntibioticResistance. 
▶️ https://t.co/pQoS9WH6W1
#WAAW #AMR #CUsuperbugs
https://t.co/6QacCXH913</t>
  </si>
  <si>
    <t>Spread the word- crucial work  #AntibioticGuardian #WAAW #EAAD #KeepAntibioticsWorking #AntimicrobialResistance @BTHFTPharm https://t.co/Cql4elYFll</t>
  </si>
  <si>
    <t>Today is European Antibiotic Awareness Day #EAAD2021 Antibiotics can cause side-effects and can contribute to the development of #AntibioticResistance 
Help spread awareness. Be an #AntibioticGuardian #KeepAntibioticsWorking - not all infections need drug intervention. https://t.co/NrTrFjlfRU</t>
  </si>
  <si>
    <t>#WAAW2021 #waaw #AntibioticGuardian https://t.co/ronWUgcq28</t>
  </si>
  <si>
    <t>Each year, at least 28% of abx are prescribed unnecessarily in doctors’ offices &amp;amp; ERs. Abx do NOT treat viruses, like those that cause #COVID19. Talk with your #HCP about how to feel better when abx are not needed. https://t.co/o7M3klo7Gw
#AntibioticResistance #WAAW https://t.co/SR83rnlOgi</t>
  </si>
  <si>
    <t>Welcome to CDC’s global Twitter Storm!  We’ll be sharing facts about #antibiotic use and antibiotic resistance. Please retweet and use the official hashtags #WAAW and #AntibioticResistance to join the conversation. Let’s get started! https://t.co/h4ted9OfKE</t>
  </si>
  <si>
    <t>#AntibioticResistance is still a #PublicHealth threat during the #COVID19 pandemic. CDC experts are closely monitoring the possible effects of COVID-19 on the national state of AR &amp;amp; antibiotic use. Read more: https://t.co/sXDiwvjrzD. #WAAW https://t.co/6J6wRoSdGo</t>
  </si>
  <si>
    <t>HCPs: the latest data on #COVID19 &amp;amp; #AntibioticResistance shows patients with COVID-19 may be more susceptible to getting a secondary bacterial or fungal infection while hospitalized. Take steps to protect your patients. https://t.co/XcI6KI79yJ #WAAW</t>
  </si>
  <si>
    <t>Antibiotics are critical tools for treating serious infections, but when abx aren’t needed—like for #COVID19—they won’t help you, &amp;amp; the side effects could cause harm. Talk to your HCP about the best treatment for your illness. https://t.co/SSwHzin9zq
#AntibioticResistance #WAAW https://t.co/15C8aeexTz</t>
  </si>
  <si>
    <t>#AntibioticResistance is still a #PublicHealth threat during the #COVID19 pandemic. CDC experts are closely monitoring the possible effects of COVID-19 on the national state of AR &amp;amp; antibiotic use. Read more: https://t.co/U11eoHsMey #WAAW21 #WAAW #AntibioticResistance #AMR https://t.co/KLtc6YR6wd</t>
  </si>
  <si>
    <t>We’re proud to be a #BeAntibioticsAware partner for U.S. Antibiotic Awareness Week! 
Learn how you can participate: https://t.co/KJgR9vlc49 #USAAW21 #WAAW #AntibioticResistance #AMR https://t.co/lQQ7fYVfVa</t>
  </si>
  <si>
    <t>#AntibioticResistance is still a #PublicHealth threat during the #COVID19 pandemic. UKHSA specialists are closely monitoring the possible effects of COVID-19 on the national state of antibiotic resistance &amp;amp; use. Read more: https://t.co/IwHLIlZ8MO  
#WAAW #KeepAntibioticsWorking https://t.co/L5VYweR6gL</t>
  </si>
  <si>
    <t>2/ #AntibioticResistance is still a #PublicHealth threat during the #COVID19 pandemic. @UKHSA is closely monitoring the possible effects of COVID-19 on the national state of Antibiotic Resistance &amp;amp; antibiotic use. Read more via #ESPAUR report:  https://t.co/KmnqaeY2ZO  
 #WAAW https://t.co/OEHOcE4hfF https://t.co/9nOEhKWzlj</t>
  </si>
  <si>
    <t>#KeepAntibioticsWorking #AntibioticGuardian #WAAW #WAAW2021 #EAAD https://t.co/aJG2jk4a0T</t>
  </si>
  <si>
    <t>It’s U.S. Antibiotic Awareness Week!
CDC has resources on the prevention and treatment of drug-resistant #TB: https://t.co/xEy9KEGg2w
#USAAW21 #BeAntibioticsAware #WAAW21 #AntibioticResistance</t>
  </si>
  <si>
    <t>Did you know it costs $182,000 to treat a patient with multidrug-resistant #TB? Drug-resistant TB is costly and complex to treat.
Learn more: https://t.co/a5J7KDHOEh
#USAAW21 #BeAntibioticsAware #WAAW21 #AntibioticResistance https://t.co/uCJiEIZr5R</t>
  </si>
  <si>
    <t>#AntibioticResistance is still a #PublicHealth threat during the #COVID19 pandemic. CDC experts are closely monitoring the possible effects of COVID-19 on the national state of AR &amp;amp; antibiotic use. Read more: https://t.co/kydsy0bGhv  #WAAW https://t.co/2bbv4Fy5ot</t>
  </si>
  <si>
    <t>So what exactly is #AntibioticResistance and why should you care? What causes resistance? How you can protect your future self by understanding when or when not to ask for antibiotics. Listen for more from #5SecondRuleShow Podcast: https://t.co/7gVXxHPlsg #WAAW https://t.co/fiSgVEPgNy</t>
  </si>
  <si>
    <t>Antibiotic use is the most important factor leading to antibiotic resistance worldwide. Therefore, healthcare providers must use caution when prescribing antibiotics. Learn more: https://t.co/tCBCdT0Qh1 #WAAW #AntibioticResistance https://t.co/LziI3HQiSY</t>
  </si>
  <si>
    <t>IPs, are you an Antibiotics Whiz? Lets find out! Take this fun quiz to celebrate #AntibioticAwarenessWeek: https://t.co/N8UC37o3ks 
#WAAW #BeAntibioticsAware #AntibioticResistance https://t.co/TsTiAiz6pt</t>
  </si>
  <si>
    <t>Day :01 Inauguration
Antimicrobial resistance, a serious public health problem worldwide. Misuse of Antimicrobials puts everyone at risk. HSA kick started campaign today!
#HandlewithCare
#AntimicrobialResistance
#KeepAntibioticsWorking
#HSAAMRwarenessWeek
#WAAW2021 https://t.co/BhUfVqKICv</t>
  </si>
  <si>
    <t>Simple steps we can all take to help #KeepAntibioticsWorking: 
✅ Take your Doctor's advice about antibiotics and only take them exactly as prescribed ✅
❌Never save antibiotics for later and never share them with others ❌
#WorldAntimicrobialAwareness Week #WAAW</t>
  </si>
  <si>
    <t>#AntibioticResistance poses a serious health risk to humans &amp;amp; animals in the _xD83C__xDDEA__xD83C__xDDFA_ &amp;amp; beyond. This week is #WAAW to encourage best practices to avoid the further spread of drug-resistant infections #BeAntibioticsAware, spread awareness, stop resistance! #EAAD 
https://t.co/2HIWSMNrnu</t>
  </si>
  <si>
    <t>#AntibioticResistance is a growing threat to human and #AnimalHealth. 
Taking #antibiotics only when needed is one thing you can do to help fight it. Want to learn more? Read here _xD83D__xDC47_ https://t.co/BR41JFyWgY
#BeAntibioticsAware #WAAW #EAAD</t>
  </si>
  <si>
    <t>Anytime #antibiotics are used, they can cause side effects and lead to #AntibioticResistance. 
#BeAntibioticsAware, read this page _xD83D__xDC47_
https://t.co/TdeF7WSn2E
#WAAW #EAAD</t>
  </si>
  <si>
    <t>If we carry on misusing antibiotics:
●            By 2050 a simple paper cut could become deadly.
●            Cancer treatments could become ineffective.
●            Superbugs could kill 10 million people per year.
#WAAW #AntimocrobialResistance #KeepAntibioticsWorking https://t.co/RwFlKESq6P</t>
  </si>
  <si>
    <t>_xD83D__xDC68_‍_xD83D__xDC69_‍_xD83D__xDC67__xD83D__xDC6A_Talk to friends and family about #AntibioticResistance. 
Remember that COVID, flu and other viruses won't respond to antibiotics ❌_xD83D__xDC8A_
#WorldAntimicrobialAwarenessWeek #WAAW</t>
  </si>
  <si>
    <t>#AntimicrobialResistance is one of the most urgent global threats to the public’s health. Antibiotics can cause side-effects, including nausea and diarrhoea and contribute to the development of 
#antibioticresistance.
#AntibioticGuardian #KeepAntibioticsWorking #WAAW https://t.co/6eRUBW9IaR</t>
  </si>
  <si>
    <t>#AntibioticResistance is one of the @WHO's top 10 public health threats today taking the lives 700,000 people globally every year. #WAAW #USAAW (2/3)</t>
  </si>
  <si>
    <t>We have to remind our patients that #antibiotics do NOT treat viruses, like those that cause colds, flu, or COVID-19 and that when antibiotics aren’t needed, they could cause side effects and lead to #AntibioticResistance. #WAAW #USAAW (3/3)</t>
  </si>
  <si>
    <t>#Antibiotics are critical tools for treating life-threatening conditions such as pneumonia and sepsis. They can save lives. When a patient needs antibiotics, the benefits outweigh the risks of side effects and #antibioticresistance. #WAAW #USAAW (1/3)</t>
  </si>
  <si>
    <t>Each year, 330000 people die from an infection due to bacteria resistant to antibiotics. It will be 10000000 deads in less than 20 years. Today it is the European Antibiotic Awareness Day and we have to work together to keep antibiotics working! #AMR #KeepAntibioticsWorking #WAAW https://t.co/RyC9n8aFan</t>
  </si>
  <si>
    <t>#AntimicrobialResistance is one of the most urgent global threats to the public’s health. Antibiotics can cause side-effects, including nausea and diarrhoea and contribute to the development of #antibioticresistance.
#AntibioticGuardian #KeepAntibioticsWorking #WAAW https://t.co/ycBYhHviwa</t>
  </si>
  <si>
    <t>The director-general of @WHO said this nearly a decade ago. How are we still so behind? 
#USAAW21 #EAAD #AntibioticResistance #Antibiotics #KeepAntibioticsWorking #WAAW https://t.co/e7LlpavFbr</t>
  </si>
  <si>
    <t>We simply cannot fail to act. 
#USAAW21 #EAAD #AntibioticResistance #Antibiotics #KeepAntibioticsWorking #WAAW https://t.co/kgMxDN3JPc</t>
  </si>
  <si>
    <t>This is an important reminder. Too often during World Antibiotic Resistance Week we don't focus the spotlight on food animal production. This sector abuses the drugs across the globe. Major reforms are needed. #USAAW21 #EAAD #AntibioticResistance #Antibiotics #WAAW https://t.co/LhstUuu7rN</t>
  </si>
  <si>
    <t>Sobering words from an organization not know for hyperbole. #USAAW21 #EAAD #AntibioticResistance #Antibiotics #KeepAntibioticsWorking #WAAW https://t.co/fFca8OBsjQ</t>
  </si>
  <si>
    <t>Today starts World Antibiotic Awareness Week! Please join us and Tweet and RT your hearts out! 
#USAAW21 #EAAD #AntibioticResistance #Antibiotics #KeepAntibioticsWorking #WAAW https://t.co/hogaGzICpn</t>
  </si>
  <si>
    <t>Who's hoggin' our #Antibiotics in the U.S.? Answer: PIGS. In 2019, the swine industry alone gave about 5.7 million POUNDS of antibiotics to pigs. So much of this use is unnecessary &amp;amp; must stop. #USAAW21 #EAAD #AntibioticResistance #KeepAntibioticsWorking #WAAW https://t.co/hbUagys1ZC</t>
  </si>
  <si>
    <t>Antibiotic resistance is one of the most urgent threats to the public’s health. This is our week to make some noise and wakeup governments and the general public. 
#USAAW21 #EAAD #AntibioticResistance #Antibiotics #KeepAntibioticsWorking #WAAW https://t.co/s1pS1hLIPc</t>
  </si>
  <si>
    <t>This is what is at stake. For all of us. 
#USAAW21 #EAAD #AntibioticResistance #Antibiotics #KeepAntibioticsWorking #WAAW https://t.co/p3wFBk1Sz5</t>
  </si>
  <si>
    <t>This pretty much says it all, doncha think?
#USAAW21 #EAAD #AntibioticResistance #Antibiotics #KeepAntibioticsWorking #WAAW https://t.co/UNnLFTm2nu</t>
  </si>
  <si>
    <t>We must call for global action to #saveantibiotics. Before it is too late. 
#USAAW21 #EAAD #AntibioticResistance #Antibiotics #KeepAntibioticsWorking #WAAW https://t.co/yWaaaXx1fT</t>
  </si>
  <si>
    <t>What she said. _xD83D__xDC47__xD83C__xDFFD__xD83D__xDC47__xD83C__xDFFD__xD83D__xDC47__xD83C__xDFFD_ 
#USAAW21 #EAAD #AntibioticResistance #Antibiotics
#KeepAntibioticsWorking #WAAW https://t.co/bxkZ7zq9Zk</t>
  </si>
  <si>
    <t>And more sobering words from yet another organization not know for hyperbole. #USAAW21 #EAAD #AntibioticResistance #Antibiotics #KeepAntibioticsWorking #WAAW https://t.co/KXfDgezhCD</t>
  </si>
  <si>
    <t>Spread Awareness, Stop Resistance. 
#HandlewithCare
#AntimicrobialResistance
#KeepAntibioticsWorking
#HSAAMRwarenessWeek
#WAAW https://t.co/6SRacgEnBJ</t>
  </si>
  <si>
    <t>#AntibioticResistance is 1️⃣ of the most urgent _xD83C__xDF0E_ threats to the public’s health. Any time #antibiotics are used, they can cause side effects and contribute to the development of
antibiotic resistance. #WAAW
Fight the _xD83E__xDDA0_, save the _xD83D__xDC8A_, &amp;amp; 
#PutALIDSonAntibioticResistance‼️</t>
  </si>
  <si>
    <t>When antibiotics are prescribed by a health professional it is important that you always take them as directed, never save them for later and never share them with others. #KeepAntibioticsWorking #WAAW #AntibioticGuardian 
https://t.co/4CcULe5MWW https://t.co/k6Qn1JjYRw</t>
  </si>
  <si>
    <t>Antibiotic Awareness Week starts today! This annual one-week observance is meant to raise awareness of the importance of appropriate antibiotic use to combat the threat of #AntibioticResistance. Learn More: https://t.co/hZZ76o1qBf #BeAntibioticsAware #USAAW21</t>
  </si>
  <si>
    <t>#AntimicrobialResistance is one of the most urgent global threats to the public’s health. Antibiotics can cause side-effects, including nausea and diarrhoea and contribute to the development of #antibioticresistance.
#AntibioticGuardian #KeepAntibioticsWorking #WAAW https://t.co/rI0iizoKhw</t>
  </si>
  <si>
    <t>#AntibioticResistance is still a #PublicHealth threat during the #COVID19 pandemic. CDC experts are closely monitoring the possible effects of COVID-19 on the national state of AR &amp;amp; antibiotic use. Read more: https://t.co/wmtyWaxUFC  #WAAW https://t.co/c9slnAMlEo</t>
  </si>
  <si>
    <t>World Antibiotic Awareness Week 2021 starts today! Appropriate disposal of antibiotics can reduce them being present in our environment and contributing to resistance #WAAW #KeepAntibioticsWorking #EAAD #AntibioticGuardian #GreenerNHS  @PharmDeclares https://t.co/fObW1W0xjt</t>
  </si>
  <si>
    <t>https://eur01.safelinks.protection.outlook.com/?url=https://www.gov.uk/government/publications/english-surveillance-programme-antimicrobial-utilisation-and-resistance-espaur-report&amp;data=04|01|Nick.Tiplady@phe.gov.uk|ccf5cbaf22ec41b3e5d808d88bb2bc3b|ee4e14994a354b2ead475f3cf9de8666|0|0|637412947057544774|Unknown|TWFpbGZsb3d8eyJWIjoiMC4wLjAwMDAiLCJQIjoiV2luMzIiLCJBTiI6Ik1haWwiLCJXVCI6Mn0%3D|1000&amp;sdata=3T%2BA/jwtsw3BsLevI4dVIUBfBARB2oQ2Ncsbpb/OZuo%3D&amp;reserved=0</t>
  </si>
  <si>
    <t>https://www.idsociety.org/public-health/patient-stories/patient-stories/ https://twitter.com/ThePFID/status/1461357650256355328</t>
  </si>
  <si>
    <t>https://c0c453c4-34c1-4bf2-90ea-3172c98da69b.filesusr.com/ugd/b11210_7b8f40a3fcb244e39060abb27049ea14.pdf?index=true https://twitter.com/CDCgov/status/1461349742592462858</t>
  </si>
  <si>
    <t>https://www.cdc.gov/healthypets/keeping-pets-and-people-healthy/pets-and-antibiotic-resistance.html https://vet.osu.edu/preventive-medicine/web-resources/osu-cvm-antimicrobial-stewardship-program</t>
  </si>
  <si>
    <t>https://www.dailymail.co.uk/debate/article-10215007/Overuse-fuelled-worlds-antibiotic-resistance-crisis-writes-Dr-CHRIS-VAN-TULLEKEN.html https://act.saveourantibiotics.org/page/92612/petition/1</t>
  </si>
  <si>
    <t>https://medshadow.org/fluoroquinolones-antibiotics/ https://medshadow.org/antibiotics-allergies/</t>
  </si>
  <si>
    <t>https://antibioticguardian.com/ https://twitter.com/DrDianeAshiru/status/1461246741584486405</t>
  </si>
  <si>
    <t>https://antibioticguardian.com/ https://twitter.com/rpharms/status/1461332861311717388</t>
  </si>
  <si>
    <t>https://www.tandfonline.com/action/showAxaArticles?journalCode=ierz20&amp;cookieSet=1 https://academic.oup.com/jacamr</t>
  </si>
  <si>
    <t>https://journals.lww.com/co-infectiousdiseases/pages/default.aspx https://www.journals.elsevier.com/journal-of-global-antimicrobial-resistance</t>
  </si>
  <si>
    <t>https://eur01.safelinks.protection.outlook.com/?url=https://www.gov.uk/government/publications/english-surveillance-programme-antimicrobial-utilisation-and-resistance-espaur-report&amp;data=04|01|Nick.Tiplady@phe.gov.uk|ccf5cbaf22ec41b3e5d808d88bb2bc3b|ee4e14994a354b2ead475f3cf9de8666|0|0|637412947057544774|Unknown|TWFpbGZsb3d8eyJWIjoiMC4wLjAwMDAiLCJQIjoiV2luMzIiLCJBTiI6Ik1haWwiLCJXVCI6Mn0%3D|1000&amp;sdata=3T%2BA/jwtsw3BsLevI4dVIUBfBARB2oQ2Ncsbpb/OZuo%3D&amp;reserved=0 https://twitter.com/DrDianeAshiru/status/1461226402603225093</t>
  </si>
  <si>
    <t>youtu.be</t>
  </si>
  <si>
    <t>antibioticguardian.com</t>
  </si>
  <si>
    <t>cdc.gov</t>
  </si>
  <si>
    <t>outlook.com</t>
  </si>
  <si>
    <t>ac.uk</t>
  </si>
  <si>
    <t>pewtrusts.org</t>
  </si>
  <si>
    <t>antimicrobialawareness.ca</t>
  </si>
  <si>
    <t>prgloo.com</t>
  </si>
  <si>
    <t>gov.uk</t>
  </si>
  <si>
    <t>nhs.uk</t>
  </si>
  <si>
    <t>idsociety.org twitter.com</t>
  </si>
  <si>
    <t>youtube.com</t>
  </si>
  <si>
    <t>filesusr.com twitter.com</t>
  </si>
  <si>
    <t>twitter.com</t>
  </si>
  <si>
    <t>europa.eu</t>
  </si>
  <si>
    <t>linkedin.com</t>
  </si>
  <si>
    <t>who.int</t>
  </si>
  <si>
    <t>cdc.gov osu.edu</t>
  </si>
  <si>
    <t>hse.ie</t>
  </si>
  <si>
    <t>vimeo.com</t>
  </si>
  <si>
    <t>org.uk</t>
  </si>
  <si>
    <t>bradspellberg.com</t>
  </si>
  <si>
    <t>khconline.org</t>
  </si>
  <si>
    <t>wordpress.com</t>
  </si>
  <si>
    <t>co.uk saveourantibiotics.org</t>
  </si>
  <si>
    <t>iss.it</t>
  </si>
  <si>
    <t>medshadow.org medshadow.org</t>
  </si>
  <si>
    <t>medshadow.org</t>
  </si>
  <si>
    <t>antibioticguardian.com twitter.com</t>
  </si>
  <si>
    <t>fda.gov</t>
  </si>
  <si>
    <t>oup.com</t>
  </si>
  <si>
    <t>heftpathology.com</t>
  </si>
  <si>
    <t>sciencedirect.com</t>
  </si>
  <si>
    <t>lww.com</t>
  </si>
  <si>
    <t>nature.com</t>
  </si>
  <si>
    <t>tandfonline.com oup.com</t>
  </si>
  <si>
    <t>elsevierhealth.com</t>
  </si>
  <si>
    <t>routledge.com</t>
  </si>
  <si>
    <t>lww.com elsevier.com</t>
  </si>
  <si>
    <t>radian6.com</t>
  </si>
  <si>
    <t>contagionlive.com</t>
  </si>
  <si>
    <t>tryinteract.com</t>
  </si>
  <si>
    <t>superbugs.online</t>
  </si>
  <si>
    <t>outlook.com twitter.com</t>
  </si>
  <si>
    <t>usa.gov</t>
  </si>
  <si>
    <t>5secondruleshow.org</t>
  </si>
  <si>
    <t>infectionpreventionandyou.org</t>
  </si>
  <si>
    <t>antibioticguardian</t>
  </si>
  <si>
    <t>handlewithcare antimicrobialresistance keepantibioticsworking hsaamrwarenessweek waaw2021</t>
  </si>
  <si>
    <t>teamwestherts antibioticguardian antibioticawarenessweek</t>
  </si>
  <si>
    <t>antimicrobialresistance antibioticresistance antibioticguardian keepantibioticsworking waaw21</t>
  </si>
  <si>
    <t>antimicrobialresistance antibioticguardian keepantibioticsworking waaw</t>
  </si>
  <si>
    <t>antimicrobialresistance keepantibioticsworking waaw</t>
  </si>
  <si>
    <t>antibioticresistance publichealth covid19 waaw</t>
  </si>
  <si>
    <t>antimicrobialresistance antibioticresistance antibioticguardian keepantibioticsworking waaw</t>
  </si>
  <si>
    <t>antibioticresistance publichealth covid19 waaw21</t>
  </si>
  <si>
    <t>antibioticresistance</t>
  </si>
  <si>
    <t>antimicrobialresistance publichealth covid19 keepantibioticsworking waaw</t>
  </si>
  <si>
    <t>antibioticresistance antibiotics waaw21</t>
  </si>
  <si>
    <t>antimicrobialresistance antibioticresistance antibioticguardian waaw</t>
  </si>
  <si>
    <t>antimicrobialresistance antibiotics antibioticresistance antibioticguardian keepantibioticsworking waaw</t>
  </si>
  <si>
    <t>waaw2021 antimicrobialresistance antibioticguardian keepantibioticsworking</t>
  </si>
  <si>
    <t>waaw2021 keepantibioticsworking antibioticguardian</t>
  </si>
  <si>
    <t>waaw2021 antimicrobialresistance antibioticresistance antibioticguardian</t>
  </si>
  <si>
    <t>beantibioticsaware usaaw21 waaw antibioticresistance</t>
  </si>
  <si>
    <t>handlewithcare antimicrobialresistance keepantibioticsworking hsaamrwarenessweek waaw</t>
  </si>
  <si>
    <t>handlewithcare antimicrobialresistance keepantibioticsworking</t>
  </si>
  <si>
    <t>antimicrobialresistance antibioticresistance keepantibioticsworking</t>
  </si>
  <si>
    <t>bugsyontour eaad2021 antibioticguardian</t>
  </si>
  <si>
    <t>eaad2021 bugsyontour antibioticguardian</t>
  </si>
  <si>
    <t>antibiotics antibioticresistance beantibioticsaware usaaw21 waaw</t>
  </si>
  <si>
    <t>antibiotics antibioticresistance usaaw21 beantibioticsaware waaw usaaw21</t>
  </si>
  <si>
    <t>covid19 antibioticresistance</t>
  </si>
  <si>
    <t>waaw usaaw21 beantibioticsaware antibioticresistance</t>
  </si>
  <si>
    <t>keepantibioticsworking worldantimicrobialawarenessweek</t>
  </si>
  <si>
    <t>antimicrobialawareness antibioticresistance waaw handlewithcare</t>
  </si>
  <si>
    <t>antimicrobialresistance amr antibioticguardian keepantibioticsworking waaw</t>
  </si>
  <si>
    <t>waaw2021 worldantimicrobialawarenessweek westmidlands antimicrobialresistance amr antibioticguardian keepantibioticsworking</t>
  </si>
  <si>
    <t>antimicrobialresistance publichealth antibioticresistance antibioticguardian keepantibioticsworking waaw waaw2021 westmidlands</t>
  </si>
  <si>
    <t>worldantimicrobialawarenessweek waaw2021 ukhsa westmidlands keepantibioticsworking</t>
  </si>
  <si>
    <t>antibioticresistance waaw usaaw21 squashsuperbugs beantibioticsaware</t>
  </si>
  <si>
    <t>amr chronicillness antimicrobial patients antibioticresistance waaw usaaw21</t>
  </si>
  <si>
    <t>healthcare waaw usaaw21 antibioticresistance</t>
  </si>
  <si>
    <t>squashsuperbugs waaw antimicrobialresistance antibioticresistance usaaw21</t>
  </si>
  <si>
    <t>waaw antibioticguardian keepantibioticsworking</t>
  </si>
  <si>
    <t>waaw2021 antibioticguardian keepantibioticsworking antimicrobialresistance waaw</t>
  </si>
  <si>
    <t>eaad antimicrobialconsumption esacnet waaw2021 antimicrobialresistance keepantibioticsworking</t>
  </si>
  <si>
    <t>antibiotics antibioticresistance antibioticstewardship</t>
  </si>
  <si>
    <t>usaaw21 antibioticresistance publichealth covid19 beantibioticsaware</t>
  </si>
  <si>
    <t>antibioticresistance waaw</t>
  </si>
  <si>
    <t>waaw2021 keepantibioticsworking</t>
  </si>
  <si>
    <t>antibioticresistance waaw2021 usaaw21</t>
  </si>
  <si>
    <t>antibioticresistance waaw21</t>
  </si>
  <si>
    <t>waaw2021 antimicrobialresistance antibioticguardian</t>
  </si>
  <si>
    <t>waaw antimicrobialresistance antibioticguardian keepantibioticsworking espaur</t>
  </si>
  <si>
    <t>antimicrobialresistance antibioticresistance worldantibioticsawarenessweek</t>
  </si>
  <si>
    <t>antibioticawareness beantibioticsaware antibiotic antibioticresistance usaaw21</t>
  </si>
  <si>
    <t>antibiótico eaad2021 eaad antibioticawarenessweek antibioticresistance</t>
  </si>
  <si>
    <t>keepantibioticsworking antibioticguardian waaw2021</t>
  </si>
  <si>
    <t>teamwestherts waaw2021 antibioticguardian</t>
  </si>
  <si>
    <t>covid19 waaw antibioticresistance</t>
  </si>
  <si>
    <t>cysticfibrosis antibioticresistance pasteuract cfadvocacy</t>
  </si>
  <si>
    <t>beantibioticsaware antibioticresistance usaaw21 waaw21</t>
  </si>
  <si>
    <t>keepantibioticsworking winterhealth</t>
  </si>
  <si>
    <t>keepantibioticsworking</t>
  </si>
  <si>
    <t>vimeo waaw2021 keepantibioticsworking antibioticguardian</t>
  </si>
  <si>
    <t>keepantibioticsworking waaw antibioticguardian</t>
  </si>
  <si>
    <t>antibioticresistance publichealth covid waaw</t>
  </si>
  <si>
    <t>antimicrobialresistance worldantimicrobialawarenessweek keepantibioticsworking waaw</t>
  </si>
  <si>
    <t>antibioticresistance beantibioticaware</t>
  </si>
  <si>
    <t>shorterisbetter eaad2021 waaw2021 waaw antibioticresistance</t>
  </si>
  <si>
    <t>antibiotics antibioticresistance waaw21</t>
  </si>
  <si>
    <t>covid19 antibioticresistance waaw21</t>
  </si>
  <si>
    <t>beantibioticsaware usaaw21 antibioticresistance waaw</t>
  </si>
  <si>
    <t>antibioticawarenessweek antiboitic antibioticresistance usaaw21 beantibioticsaware</t>
  </si>
  <si>
    <t>antibioticguardian keepantibioticsworking antimicrobialresistance waaw antibioticresistance</t>
  </si>
  <si>
    <t>waaw keepantibioticsworking antibioticguardian antimicrobialresistance</t>
  </si>
  <si>
    <t>antibioticresistance antibioticguardian keepantibioticsworking</t>
  </si>
  <si>
    <t>antibiotics flu covid19 beantibioticsaware hcp usaaw21 waaw antibioticresistance</t>
  </si>
  <si>
    <t>waaw antibioticguardian keepantibioticsworking waaw</t>
  </si>
  <si>
    <t>antibioticresistance publichealth covid19 waaw usaaw21</t>
  </si>
  <si>
    <t>antimicrobialresistance antibioticresistance antibioticguardian keepantibioti</t>
  </si>
  <si>
    <t>useantibioticswisely antibioticresistance usaaw21 waaw</t>
  </si>
  <si>
    <t>waaw2021 eaad2021 keepantibioticsworking</t>
  </si>
  <si>
    <t>waaw amr amr antibioticguardian antimicrobialresistance antibioticresistance</t>
  </si>
  <si>
    <t>antibioticawarenessweek antibioticresistance</t>
  </si>
  <si>
    <t>keepantibioticsworking waaw</t>
  </si>
  <si>
    <t>waaw keepantibioticsworking antibioticguardian</t>
  </si>
  <si>
    <t>antimicrobialresistance waaw21 amr keepantibioticsworking</t>
  </si>
  <si>
    <t>keepantibioticsworking antibioticguardian worldantimicrobialawarenessweek</t>
  </si>
  <si>
    <t>antibiotici waaw2021 antibioticresistance</t>
  </si>
  <si>
    <t>waaw amr antibioticresistance</t>
  </si>
  <si>
    <t>antibioticresistance antibiotics waaw</t>
  </si>
  <si>
    <t>antimicrobialresistance antibioticguardian waaw keepantibioticsworking</t>
  </si>
  <si>
    <t>keepantibioticsworking eaad2021</t>
  </si>
  <si>
    <t>antibioticguardian keepantibioticsworking waaw2021</t>
  </si>
  <si>
    <t>antibioticresistance waaw waaw2021 usaaw21</t>
  </si>
  <si>
    <t>antibioticresistance antibiotics waaw usaaw21 twitterstorm beantibioticsaware</t>
  </si>
  <si>
    <t>hospitallapaz diaeuropeousoprudenteantibioticos keepantibioticsworking</t>
  </si>
  <si>
    <t>antimicrobialresistance eupharmastrategy amr antibioticresistance waaw</t>
  </si>
  <si>
    <t>antibiotics antibioticresistance twitterspace waaw</t>
  </si>
  <si>
    <t>antibioticresistance holdtheabx waaw</t>
  </si>
  <si>
    <t>waaw antibioticresistance</t>
  </si>
  <si>
    <t>waaw2021 antibioticresistance keepantibioticsworking</t>
  </si>
  <si>
    <t>handlewithcare antimicrobialresistance keepantibioticsworking hsaamrwarenessweek</t>
  </si>
  <si>
    <t>vice virtue oilspill california lanternfly antibioticresistance antibiotics resistance cleanair airscrubber co2 podcast episode extinction science skepticism skeptical beskeptical environment wildlife bebetter dobetter</t>
  </si>
  <si>
    <t>antibiotics flu covid19 antibioticresistance waaw beantibioticsaware usaaw21</t>
  </si>
  <si>
    <t>antibiotics sinus infections antibioticresistance waaw beantibioticsaware usaaw21</t>
  </si>
  <si>
    <t>keepantibioticsworking antibioticguardian antimicrobialresistance waaw</t>
  </si>
  <si>
    <t>antimicrobialresistance keepantibioticsworking antibioticguardian waaw</t>
  </si>
  <si>
    <t>antibioticguardian keepantibioticsworking waaw</t>
  </si>
  <si>
    <t>antibiotic eu eaad antibioticresistance antibiotics keepantibioticsworking waaw</t>
  </si>
  <si>
    <t>antibioticresistance waaw usaaw21</t>
  </si>
  <si>
    <t>antibioticguardian keepantibioticsworking waaw2021 eaad2021 doit4das</t>
  </si>
  <si>
    <t>bacteriophage antibioticguardian keepantibioticsworking waaw2021 eaad2021 doit4das</t>
  </si>
  <si>
    <t>amr birminghamantibioticadvisorygroup keepantibioticsworking waaw2021 eaad2021 doit4das</t>
  </si>
  <si>
    <t>espaur keepantibioticsworking waaw2021 eaad2021 doit4das</t>
  </si>
  <si>
    <t>ams keepantibioticsworking waaw2021 eaad2021 doit4das</t>
  </si>
  <si>
    <t>antimicrobialstewardship ipc ipcinaction keepantibioticsworking waaw2021 eaad2021 doit4das</t>
  </si>
  <si>
    <t>waaw antibioticresistance usaaw21</t>
  </si>
  <si>
    <t>bnf bnfc nnf renaldrughandbook spc keepantibioticsworking waaw2021 eaad2021 doit4das</t>
  </si>
  <si>
    <t>antbioticamnesty keepantibioticsworking waaw2021 eaad2021 doit4das</t>
  </si>
  <si>
    <t>sepsis covid19 antibioticguardian keepantibioticsworking waaw2021 eaad2021 doit4das</t>
  </si>
  <si>
    <t>microbiology antibioticguardian keepantibioticsworking waaw2021 eaad2021 doit4das</t>
  </si>
  <si>
    <t>microguide tipsfornewprescribers keepantibioticsworking waaw2021 eaad2021 doit4das</t>
  </si>
  <si>
    <t>keepantibioticsworking waaw2021 eaad2021 doit4das</t>
  </si>
  <si>
    <t>sepsis sepsis6 antibioticguardian keepantibioticsworking waaw2021 eaad2021 doit4das</t>
  </si>
  <si>
    <t>contamination antibioticguardian keepantibioticsworking waaw2021 eaad2021 doit4das</t>
  </si>
  <si>
    <t>cpe antibioticguardian keepantibioticsworking waaw2021 eaad2021 doit4das</t>
  </si>
  <si>
    <t>amr antibioticguardian keepantibioticsworking waaw2021 eaad2021 doit4das</t>
  </si>
  <si>
    <t>diagnosticstewardship antimicrobialstewardship antibioticguardian keepantibioticsworking waaw2021 eaad2021 doit4das</t>
  </si>
  <si>
    <t>fmt antibioticguardian keepantibioticsworking waaw2021 eaad2021 doit4das</t>
  </si>
  <si>
    <t>ams cysticfibrosis antibioticguardian keepantibioticsworking waaw2021 eaad2021 doit4das</t>
  </si>
  <si>
    <t>cdiff antibioticguardian keepantibioticsworking waaw2021 eaad2021 doit4das</t>
  </si>
  <si>
    <t>bacteriophages amr antibioticguardian keepantibioticsworking waaw2021 eaad2021 doit4das</t>
  </si>
  <si>
    <t>mrsa antibioticguardian keepantibioticsworking waaw2021 eaad2021 doit4das</t>
  </si>
  <si>
    <t>vre antibioticguardian keepantibioticsworking waaw2021 eaad2021 doit4das</t>
  </si>
  <si>
    <t>elastomeric opat antibioticguardian keepantibioticsworking waaw2021 eaad2021 doit4das</t>
  </si>
  <si>
    <t>covid19 mrsa cdiff vre cpe antibioticguardian keepantibioticsworking waaw2021 eaad2021 doit4das</t>
  </si>
  <si>
    <t>ultraviolet infectioncontrol ipcinaction antibioticguardian keepantibioticsworking waaw2021 eaad2021 doit4das</t>
  </si>
  <si>
    <t>amr keepantibioticsworking waaw2021 eaad2021 doit4das</t>
  </si>
  <si>
    <t>amr phefingertips keepantibioticsworking waaw2021 eaad2021 doit4das</t>
  </si>
  <si>
    <t>newdocs sgss keepantibioticsworking waaw2021 eaad2021 doit4das</t>
  </si>
  <si>
    <t>antibioticguardian daspillayaward ams keepantibioticsworking waaw2021 eaad2021 doit4das</t>
  </si>
  <si>
    <t>bioavailibility pkpd keepantibioticsworking waaw2021 eaad2021 doit4das</t>
  </si>
  <si>
    <t>animalwelfare antibiotics antimicrobialresistance antibioticresistance</t>
  </si>
  <si>
    <t>eaad eaad idtwitter keepantibioticsworking</t>
  </si>
  <si>
    <t>goingblue antimicrobialresistance waaw handlewithcare amr antibioticguardian antimicrobialstewardship keepantibioticsworking</t>
  </si>
  <si>
    <t>antibioticresistance covid19 waaw</t>
  </si>
  <si>
    <t>antibiotics hcp antibioticresistance waaw</t>
  </si>
  <si>
    <t>antibioticresistance covid19 amr waaw21 handlewithcare</t>
  </si>
  <si>
    <t>antibioticresistance antibiotics usaaw21 ahrq</t>
  </si>
  <si>
    <t>antimicrobialawarnessweek waaw2021 keepantibioticsworking efn who</t>
  </si>
  <si>
    <t>antibiotic antibioticresistance waaw</t>
  </si>
  <si>
    <t>covid19 antibioticresistance waaw</t>
  </si>
  <si>
    <t>beantibioticsaware waaw antibioticresistance</t>
  </si>
  <si>
    <t>beantibioticsaware antibioticresistance waaw</t>
  </si>
  <si>
    <t>abx hcp antibioticresistance waaw</t>
  </si>
  <si>
    <t>antibioticresistance waaw2021</t>
  </si>
  <si>
    <t>antibioticresistance waaw usaaw21 beantibioticsaware</t>
  </si>
  <si>
    <t>waaw uti keepantibioticsworking</t>
  </si>
  <si>
    <t>uti waaw keepantibioticsworking antibioticguardian</t>
  </si>
  <si>
    <t>goblueforamr keepantibioticsworking antibioticguardian</t>
  </si>
  <si>
    <t>waaw eaad keepantibioticsworking</t>
  </si>
  <si>
    <t>waaw antibioticresistance beantibioticsaware</t>
  </si>
  <si>
    <t>antibioticresistance antibiotics antibioticresistance waaw21</t>
  </si>
  <si>
    <t>antibiotics antibioticresistance usaaw21 beantibioticsaware</t>
  </si>
  <si>
    <t>antibiotics antibioticresistance beantibioticsaware usaaw21</t>
  </si>
  <si>
    <t>antibiotic antibioticresistance beantibioticsaware usaaw21 waaw2021</t>
  </si>
  <si>
    <t>waaw2021 covid19 antimicrobialresistance antibioticresistance antibioticguardian</t>
  </si>
  <si>
    <t>eaad2021 waaw antibioticresistance antimicrobialresistance eaad waaw2021</t>
  </si>
  <si>
    <t>antibiotics antimicrobialresistance healthcare amr waaw2021 eaad antibioticresistance waaw</t>
  </si>
  <si>
    <t>antibiotics amr waaw2021 eaad antibioticresistance waaw</t>
  </si>
  <si>
    <t>antibiotics covid19 flu waaw antibioticresistance</t>
  </si>
  <si>
    <t>antibioticresistance waaw2021 waaw2021</t>
  </si>
  <si>
    <t>worldantimicrobialawarenessweek antibiotics antibioticresistance waaw amr cusuperbugs</t>
  </si>
  <si>
    <t>antibioticguardian waaw eaad keepantibioticsworking antimicrobialresistance</t>
  </si>
  <si>
    <t>eaad2021 antibioticresistance antibioticguardian keepantibioticsworking</t>
  </si>
  <si>
    <t>waaw2021 waaw antibioticguardian</t>
  </si>
  <si>
    <t>covid19 hcp antibioticresistance waaw</t>
  </si>
  <si>
    <t>antibiotic waaw antibioticresistance</t>
  </si>
  <si>
    <t>antibioticresistance publichealth covid19 waaw21 waaw antibioticresistance amr</t>
  </si>
  <si>
    <t>beantibioticsaware usaaw21 waaw antibioticresistance amr</t>
  </si>
  <si>
    <t>antibioticresistance publichealth covid19 waaw keepantibioticsworking</t>
  </si>
  <si>
    <t>antibioticresistance publichealth covid19 espaur waaw</t>
  </si>
  <si>
    <t>keepantibioticsworking antibioticguardian waaw waaw2021 eaad</t>
  </si>
  <si>
    <t>tb usaaw21 beantibioticsaware waaw21 antibioticresistance</t>
  </si>
  <si>
    <t>antibioticresistance 5secondruleshow waaw</t>
  </si>
  <si>
    <t>antibioticawarenessweek waaw beantibioticsaware antibioticresistance</t>
  </si>
  <si>
    <t>keepantibioticsworking worldantimicrobialawareness waaw</t>
  </si>
  <si>
    <t>antibioticresistance waaw beantibioticsaware eaad</t>
  </si>
  <si>
    <t>antibioticresistance animalhealth antibiotics beantibioticsaware waaw eaad</t>
  </si>
  <si>
    <t>antibiotics antibioticresistance beantibioticsaware waaw eaad</t>
  </si>
  <si>
    <t>waaw antimocrobialresistance keepantibioticsworking</t>
  </si>
  <si>
    <t>antibioticresistance worldantimicrobialawarenessweek waaw</t>
  </si>
  <si>
    <t>antibioticresistance waaw usaaw</t>
  </si>
  <si>
    <t>antibiotics antibioticresistance waaw usaaw</t>
  </si>
  <si>
    <t>amr keepantibioticsworking waaw</t>
  </si>
  <si>
    <t>usaaw21 eaad antibioticresistance antibiotics keepantibioticsworking waaw</t>
  </si>
  <si>
    <t>usaaw21 eaad antibioticresistance antibiotics waaw</t>
  </si>
  <si>
    <t>antibiotics usaaw21 eaad antibioticresistance keepantibioticsworking waaw</t>
  </si>
  <si>
    <t>saveantibiotics usaaw21 eaad antibioticresistance antibiotics keepantibioticsworking waaw</t>
  </si>
  <si>
    <t>antibioticresistance antibiotics waaw putalidsonantibioticresistance</t>
  </si>
  <si>
    <t>antibioticresistance beantibioticsaware usaaw21</t>
  </si>
  <si>
    <t>waaw keepantibioticsworking eaad antibioticguardian greenernhs</t>
  </si>
  <si>
    <t>15:05:20</t>
  </si>
  <si>
    <t>15:33:14</t>
  </si>
  <si>
    <t>15:09:17</t>
  </si>
  <si>
    <t>15:00:03</t>
  </si>
  <si>
    <t>15:54:38</t>
  </si>
  <si>
    <t>15:16:02</t>
  </si>
  <si>
    <t>15:00:01</t>
  </si>
  <si>
    <t>15:03:20</t>
  </si>
  <si>
    <t>15:05:00</t>
  </si>
  <si>
    <t>15:35:04</t>
  </si>
  <si>
    <t>15:01:14</t>
  </si>
  <si>
    <t>15:00:09</t>
  </si>
  <si>
    <t>15:11:50</t>
  </si>
  <si>
    <t>15:00:44</t>
  </si>
  <si>
    <t>15:00:00</t>
  </si>
  <si>
    <t>15:58:43</t>
  </si>
  <si>
    <t>15:57:20</t>
  </si>
  <si>
    <t>15:00:14</t>
  </si>
  <si>
    <t>15:17:31</t>
  </si>
  <si>
    <t>15:17:13</t>
  </si>
  <si>
    <t>15:12:31</t>
  </si>
  <si>
    <t>15:00:04</t>
  </si>
  <si>
    <t>15:58:33</t>
  </si>
  <si>
    <t>15:01:46</t>
  </si>
  <si>
    <t>15:12:57</t>
  </si>
  <si>
    <t>15:00:57</t>
  </si>
  <si>
    <t>15:08:58</t>
  </si>
  <si>
    <t>15:24:23</t>
  </si>
  <si>
    <t>15:29:08</t>
  </si>
  <si>
    <t>15:10:07</t>
  </si>
  <si>
    <t>15:18:44</t>
  </si>
  <si>
    <t>15:04:59</t>
  </si>
  <si>
    <t>15:40:00</t>
  </si>
  <si>
    <t>15:25:51</t>
  </si>
  <si>
    <t>15:12:39</t>
  </si>
  <si>
    <t>15:21:01</t>
  </si>
  <si>
    <t>15:02:45</t>
  </si>
  <si>
    <t>15:40:34</t>
  </si>
  <si>
    <t>15:15:41</t>
  </si>
  <si>
    <t>15:44:38</t>
  </si>
  <si>
    <t>15:17:26</t>
  </si>
  <si>
    <t>15:22:29</t>
  </si>
  <si>
    <t>15:48:02</t>
  </si>
  <si>
    <t>15:58:12</t>
  </si>
  <si>
    <t>15:46:39</t>
  </si>
  <si>
    <t>15:54:03</t>
  </si>
  <si>
    <t>15:57:34</t>
  </si>
  <si>
    <t>15:55:43</t>
  </si>
  <si>
    <t>15:06:28</t>
  </si>
  <si>
    <t>15:56:44</t>
  </si>
  <si>
    <t>15:56:13</t>
  </si>
  <si>
    <t>15:55:06</t>
  </si>
  <si>
    <t>15:15:38</t>
  </si>
  <si>
    <t>15:20:00</t>
  </si>
  <si>
    <t>15:45:00</t>
  </si>
  <si>
    <t>15:01:12</t>
  </si>
  <si>
    <t>15:23:51</t>
  </si>
  <si>
    <t>15:22:04</t>
  </si>
  <si>
    <t>15:00:20</t>
  </si>
  <si>
    <t>15:00:07</t>
  </si>
  <si>
    <t>15:19:51</t>
  </si>
  <si>
    <t>15:08:59</t>
  </si>
  <si>
    <t>15:05:05</t>
  </si>
  <si>
    <t>15:51:17</t>
  </si>
  <si>
    <t>15:21:27</t>
  </si>
  <si>
    <t>15:03:52</t>
  </si>
  <si>
    <t>15:00:35</t>
  </si>
  <si>
    <t>15:02:48</t>
  </si>
  <si>
    <t>15:15:00</t>
  </si>
  <si>
    <t>15:16:24</t>
  </si>
  <si>
    <t>15:30:06</t>
  </si>
  <si>
    <t>15:02:37</t>
  </si>
  <si>
    <t>15:42:55</t>
  </si>
  <si>
    <t>15:45:39</t>
  </si>
  <si>
    <t>15:18:35</t>
  </si>
  <si>
    <t>15:10:58</t>
  </si>
  <si>
    <t>15:19:17</t>
  </si>
  <si>
    <t>15:01:01</t>
  </si>
  <si>
    <t>15:45:04</t>
  </si>
  <si>
    <t>15:43:12</t>
  </si>
  <si>
    <t>15:04:30</t>
  </si>
  <si>
    <t>15:01:43</t>
  </si>
  <si>
    <t>15:04:56</t>
  </si>
  <si>
    <t>15:41:44</t>
  </si>
  <si>
    <t>15:37:53</t>
  </si>
  <si>
    <t>15:36:14</t>
  </si>
  <si>
    <t>15:00:25</t>
  </si>
  <si>
    <t>15:16:13</t>
  </si>
  <si>
    <t>15:43:42</t>
  </si>
  <si>
    <t>15:01:00</t>
  </si>
  <si>
    <t>15:03:36</t>
  </si>
  <si>
    <t>15:09:06</t>
  </si>
  <si>
    <t>15:14:53</t>
  </si>
  <si>
    <t>15:55:10</t>
  </si>
  <si>
    <t>15:00:29</t>
  </si>
  <si>
    <t>15:02:32</t>
  </si>
  <si>
    <t>15:02:54</t>
  </si>
  <si>
    <t>15:01:24</t>
  </si>
  <si>
    <t>15:00:45</t>
  </si>
  <si>
    <t>15:00:28</t>
  </si>
  <si>
    <t>15:14:40</t>
  </si>
  <si>
    <t>15:11:10</t>
  </si>
  <si>
    <t>15:00:43</t>
  </si>
  <si>
    <t>15:03:15</t>
  </si>
  <si>
    <t>15:06:27</t>
  </si>
  <si>
    <t>15:15:11</t>
  </si>
  <si>
    <t>15:09:42</t>
  </si>
  <si>
    <t>15:26:45</t>
  </si>
  <si>
    <t>15:42:53</t>
  </si>
  <si>
    <t>15:50:34</t>
  </si>
  <si>
    <t>15:36:58</t>
  </si>
  <si>
    <t>15:47:53</t>
  </si>
  <si>
    <t>15:00:50</t>
  </si>
  <si>
    <t>15:31:30</t>
  </si>
  <si>
    <t>15:10:00</t>
  </si>
  <si>
    <t>15:55:11</t>
  </si>
  <si>
    <t>15:01:41</t>
  </si>
  <si>
    <t>15:00:15</t>
  </si>
  <si>
    <t>15:45:01</t>
  </si>
  <si>
    <t>15:00:02</t>
  </si>
  <si>
    <t>15:00:13</t>
  </si>
  <si>
    <t>15:15:51</t>
  </si>
  <si>
    <t>15:05:11</t>
  </si>
  <si>
    <t>15:05:48</t>
  </si>
  <si>
    <t>15:00:19</t>
  </si>
  <si>
    <t>15:00:24</t>
  </si>
  <si>
    <t>15:48:04</t>
  </si>
  <si>
    <t>15:33:34</t>
  </si>
  <si>
    <t>15:04:51</t>
  </si>
  <si>
    <t>15:08:32</t>
  </si>
  <si>
    <t>15:23:02</t>
  </si>
  <si>
    <t>15:01:09</t>
  </si>
  <si>
    <t>15:17:02</t>
  </si>
  <si>
    <t>15:55:50</t>
  </si>
  <si>
    <t>15:20:33</t>
  </si>
  <si>
    <t>15:00:38</t>
  </si>
  <si>
    <t>15:01:13</t>
  </si>
  <si>
    <t>15:09:50</t>
  </si>
  <si>
    <t>15:33:54</t>
  </si>
  <si>
    <t>15:49:16</t>
  </si>
  <si>
    <t>15:50:04</t>
  </si>
  <si>
    <t>15:15:13</t>
  </si>
  <si>
    <t>15:02:28</t>
  </si>
  <si>
    <t>15:59:11</t>
  </si>
  <si>
    <t>15:12:50</t>
  </si>
  <si>
    <t>15:30:00</t>
  </si>
  <si>
    <t>15:44:49</t>
  </si>
  <si>
    <t>15:30:27</t>
  </si>
  <si>
    <t>15:02:43</t>
  </si>
  <si>
    <t>15:05:16</t>
  </si>
  <si>
    <t>15:14:15</t>
  </si>
  <si>
    <t>15:30:35</t>
  </si>
  <si>
    <t>15:32:45</t>
  </si>
  <si>
    <t>15:10:31</t>
  </si>
  <si>
    <t>15:38:45</t>
  </si>
  <si>
    <t>15:55:22</t>
  </si>
  <si>
    <t>15:18:18</t>
  </si>
  <si>
    <t>15:15:04</t>
  </si>
  <si>
    <t>15:07:05</t>
  </si>
  <si>
    <t>15:10:03</t>
  </si>
  <si>
    <t>15:03:30</t>
  </si>
  <si>
    <t>15:35:00</t>
  </si>
  <si>
    <t>15:23:40</t>
  </si>
  <si>
    <t>15:39:31</t>
  </si>
  <si>
    <t>15:37:40</t>
  </si>
  <si>
    <t>15:17:44</t>
  </si>
  <si>
    <t>15:06:30</t>
  </si>
  <si>
    <t>15:12:36</t>
  </si>
  <si>
    <t>15:05:04</t>
  </si>
  <si>
    <t>15:58:00</t>
  </si>
  <si>
    <t>15:54:00</t>
  </si>
  <si>
    <t>15:51:00</t>
  </si>
  <si>
    <t>15:08:00</t>
  </si>
  <si>
    <t>15:03:00</t>
  </si>
  <si>
    <t>15:09:00</t>
  </si>
  <si>
    <t>15:13:00</t>
  </si>
  <si>
    <t>15:25:00</t>
  </si>
  <si>
    <t>15:42:00</t>
  </si>
  <si>
    <t>15:12:00</t>
  </si>
  <si>
    <t>15:17:00</t>
  </si>
  <si>
    <t>15:41:00</t>
  </si>
  <si>
    <t>15:49:00</t>
  </si>
  <si>
    <t>15:38:00</t>
  </si>
  <si>
    <t>15:48:00</t>
  </si>
  <si>
    <t>15:39:00</t>
  </si>
  <si>
    <t>15:37:00</t>
  </si>
  <si>
    <t>15:55:00</t>
  </si>
  <si>
    <t>15:59:00</t>
  </si>
  <si>
    <t>15:46:00</t>
  </si>
  <si>
    <t>15:53:00</t>
  </si>
  <si>
    <t>15:43:00</t>
  </si>
  <si>
    <t>15:50:00</t>
  </si>
  <si>
    <t>15:47:00</t>
  </si>
  <si>
    <t>15:36:00</t>
  </si>
  <si>
    <t>15:52:00</t>
  </si>
  <si>
    <t>15:57:00</t>
  </si>
  <si>
    <t>15:44:00</t>
  </si>
  <si>
    <t>15:56:00</t>
  </si>
  <si>
    <t>15:29:00</t>
  </si>
  <si>
    <t>15:18:00</t>
  </si>
  <si>
    <t>15:06:00</t>
  </si>
  <si>
    <t>15:31:00</t>
  </si>
  <si>
    <t>15:22:00</t>
  </si>
  <si>
    <t>15:33:00</t>
  </si>
  <si>
    <t>15:11:00</t>
  </si>
  <si>
    <t>15:02:00</t>
  </si>
  <si>
    <t>15:14:00</t>
  </si>
  <si>
    <t>15:26:00</t>
  </si>
  <si>
    <t>15:16:00</t>
  </si>
  <si>
    <t>15:21:00</t>
  </si>
  <si>
    <t>15:07:00</t>
  </si>
  <si>
    <t>15:34:00</t>
  </si>
  <si>
    <t>15:19:00</t>
  </si>
  <si>
    <t>15:04:00</t>
  </si>
  <si>
    <t>15:32:00</t>
  </si>
  <si>
    <t>15:28:00</t>
  </si>
  <si>
    <t>15:23:00</t>
  </si>
  <si>
    <t>15:27:00</t>
  </si>
  <si>
    <t>15:24:00</t>
  </si>
  <si>
    <t>15:09:32</t>
  </si>
  <si>
    <t>15:03:51</t>
  </si>
  <si>
    <t>15:14:38</t>
  </si>
  <si>
    <t>15:25:34</t>
  </si>
  <si>
    <t>15:00:26</t>
  </si>
  <si>
    <t>15:08:18</t>
  </si>
  <si>
    <t>15:05:02</t>
  </si>
  <si>
    <t>15:25:02</t>
  </si>
  <si>
    <t>15:45:05</t>
  </si>
  <si>
    <t>15:01:34</t>
  </si>
  <si>
    <t>15:19:08</t>
  </si>
  <si>
    <t>15:12:45</t>
  </si>
  <si>
    <t>15:57:43</t>
  </si>
  <si>
    <t>15:00:23</t>
  </si>
  <si>
    <t>15:55:04</t>
  </si>
  <si>
    <t>15:15:05</t>
  </si>
  <si>
    <t>15:35:02</t>
  </si>
  <si>
    <t>15:09:28</t>
  </si>
  <si>
    <t>15:06:32</t>
  </si>
  <si>
    <t>15:55:28</t>
  </si>
  <si>
    <t>15:00:05</t>
  </si>
  <si>
    <t>15:00:18</t>
  </si>
  <si>
    <t>15:08:24</t>
  </si>
  <si>
    <t>15:53:53</t>
  </si>
  <si>
    <t>15:50:48</t>
  </si>
  <si>
    <t>15:49:51</t>
  </si>
  <si>
    <t>15:25:01</t>
  </si>
  <si>
    <t>15:07:09</t>
  </si>
  <si>
    <t>15:08:11</t>
  </si>
  <si>
    <t>15:30:01</t>
  </si>
  <si>
    <t>15:10:45</t>
  </si>
  <si>
    <t>15:01:07</t>
  </si>
  <si>
    <t>15:03:02</t>
  </si>
  <si>
    <t>15:25:54</t>
  </si>
  <si>
    <t>15:24:01</t>
  </si>
  <si>
    <t>15:47:41</t>
  </si>
  <si>
    <t>15:07:16</t>
  </si>
  <si>
    <t>15:30:14</t>
  </si>
  <si>
    <t>15:57:29</t>
  </si>
  <si>
    <t>15:50:06</t>
  </si>
  <si>
    <t>15:33:51</t>
  </si>
  <si>
    <t>15:08:33</t>
  </si>
  <si>
    <t>15:19:29</t>
  </si>
  <si>
    <t>15:31:07</t>
  </si>
  <si>
    <t>15:50:03</t>
  </si>
  <si>
    <t>15:05:03</t>
  </si>
  <si>
    <t>15:40:01</t>
  </si>
  <si>
    <t>15:20:02</t>
  </si>
  <si>
    <t>15:13:46</t>
  </si>
  <si>
    <t>15:02:19</t>
  </si>
  <si>
    <t>15:16:42</t>
  </si>
  <si>
    <t>15:32:07</t>
  </si>
  <si>
    <t>15:30:04</t>
  </si>
  <si>
    <t>15:02:29</t>
  </si>
  <si>
    <t>15:34:15</t>
  </si>
  <si>
    <t>15:12:02</t>
  </si>
  <si>
    <t>15:27:42</t>
  </si>
  <si>
    <t>15:38:01</t>
  </si>
  <si>
    <t>15:28:58</t>
  </si>
  <si>
    <t>15:02:27</t>
  </si>
  <si>
    <t>15:05:08</t>
  </si>
  <si>
    <t>15:10:05</t>
  </si>
  <si>
    <t>15:20:30</t>
  </si>
  <si>
    <t>15:23:27</t>
  </si>
  <si>
    <t>15:10:06</t>
  </si>
  <si>
    <t>15:04:06</t>
  </si>
  <si>
    <t>15:08:53</t>
  </si>
  <si>
    <t>15:05:15</t>
  </si>
  <si>
    <t>15:50:37</t>
  </si>
  <si>
    <t>15:55:38</t>
  </si>
  <si>
    <t>15:45:37</t>
  </si>
  <si>
    <t>15:15:40</t>
  </si>
  <si>
    <t>15:02:07</t>
  </si>
  <si>
    <t>15:25:40</t>
  </si>
  <si>
    <t>15:05:34</t>
  </si>
  <si>
    <t>15:35:37</t>
  </si>
  <si>
    <t>15:10:42</t>
  </si>
  <si>
    <t>15:30:55</t>
  </si>
  <si>
    <t>15:45:51</t>
  </si>
  <si>
    <t>15:02:52</t>
  </si>
  <si>
    <t>15:20:16</t>
  </si>
  <si>
    <t>15:03:10</t>
  </si>
  <si>
    <t>1461349811051843600</t>
  </si>
  <si>
    <t>1461356835567378438</t>
  </si>
  <si>
    <t>1461350805621985296</t>
  </si>
  <si>
    <t>1461348481159761920</t>
  </si>
  <si>
    <t>1461362217853460481</t>
  </si>
  <si>
    <t>1461352504877146117</t>
  </si>
  <si>
    <t>1461348474054754304</t>
  </si>
  <si>
    <t>1461349308482002960</t>
  </si>
  <si>
    <t>1461349729011265560</t>
  </si>
  <si>
    <t>1461357295288274959</t>
  </si>
  <si>
    <t>1461349727790936064</t>
  </si>
  <si>
    <t>1461348779869700108</t>
  </si>
  <si>
    <t>1461348506174513160</t>
  </si>
  <si>
    <t>1461351446536851457</t>
  </si>
  <si>
    <t>1461348653965008901</t>
  </si>
  <si>
    <t>1461348473077391360</t>
  </si>
  <si>
    <t>1461348471017906191</t>
  </si>
  <si>
    <t>1461363246846251013</t>
  </si>
  <si>
    <t>1461362900698689540</t>
  </si>
  <si>
    <t>1461348470363619336</t>
  </si>
  <si>
    <t>1461348527427055623</t>
  </si>
  <si>
    <t>1461352879676030987</t>
  </si>
  <si>
    <t>1461352801385152520</t>
  </si>
  <si>
    <t>1461351622152310785</t>
  </si>
  <si>
    <t>1461348485215576069</t>
  </si>
  <si>
    <t>1461363204248854539</t>
  </si>
  <si>
    <t>1461348912816541704</t>
  </si>
  <si>
    <t>1461351728805126146</t>
  </si>
  <si>
    <t>1461348708142837774</t>
  </si>
  <si>
    <t>1461350728455258116</t>
  </si>
  <si>
    <t>1461354607116836864</t>
  </si>
  <si>
    <t>1461355803923812352</t>
  </si>
  <si>
    <t>1461351017996378122</t>
  </si>
  <si>
    <t>1461349727690182657</t>
  </si>
  <si>
    <t>1461353186443218949</t>
  </si>
  <si>
    <t>1461349723252551690</t>
  </si>
  <si>
    <t>1461358535795785728</t>
  </si>
  <si>
    <t>1461348481558274048</t>
  </si>
  <si>
    <t>1461354976505073671</t>
  </si>
  <si>
    <t>1461351653366403081</t>
  </si>
  <si>
    <t>1461353760626671618</t>
  </si>
  <si>
    <t>1461349160385351682</t>
  </si>
  <si>
    <t>1461358678049583104</t>
  </si>
  <si>
    <t>1461352416591319048</t>
  </si>
  <si>
    <t>1461359702286037009</t>
  </si>
  <si>
    <t>1461352858553438220</t>
  </si>
  <si>
    <t>1461354126269317138</t>
  </si>
  <si>
    <t>1461360559333408772</t>
  </si>
  <si>
    <t>1461363114817974275</t>
  </si>
  <si>
    <t>1461360212158287890</t>
  </si>
  <si>
    <t>1461362070700453897</t>
  </si>
  <si>
    <t>1461362958718496773</t>
  </si>
  <si>
    <t>1461362492894973954</t>
  </si>
  <si>
    <t>1461350097103450112</t>
  </si>
  <si>
    <t>1461362747111739402</t>
  </si>
  <si>
    <t>1461362616958259206</t>
  </si>
  <si>
    <t>1461362335755345933</t>
  </si>
  <si>
    <t>1461352405828653058</t>
  </si>
  <si>
    <t>1461348474880937984</t>
  </si>
  <si>
    <t>1461353502295404544</t>
  </si>
  <si>
    <t>1461359793671598082</t>
  </si>
  <si>
    <t>1461348770117914624</t>
  </si>
  <si>
    <t>1461354471443759115</t>
  </si>
  <si>
    <t>1461354022502240256</t>
  </si>
  <si>
    <t>1461348552521646094</t>
  </si>
  <si>
    <t>1461348499639861260</t>
  </si>
  <si>
    <t>1461353464496156681</t>
  </si>
  <si>
    <t>1461350732175605781</t>
  </si>
  <si>
    <t>1461348481176678400</t>
  </si>
  <si>
    <t>1461349749936721933</t>
  </si>
  <si>
    <t>1461348471932391424</t>
  </si>
  <si>
    <t>1461361376081821724</t>
  </si>
  <si>
    <t>1461353868541902851</t>
  </si>
  <si>
    <t>1461348481235230740</t>
  </si>
  <si>
    <t>1461348481176592384</t>
  </si>
  <si>
    <t>1461349445342093315</t>
  </si>
  <si>
    <t>1461348615952080901</t>
  </si>
  <si>
    <t>1461348475614887952</t>
  </si>
  <si>
    <t>1461349175061217284</t>
  </si>
  <si>
    <t>1461352244687769614</t>
  </si>
  <si>
    <t>1461352595839074310</t>
  </si>
  <si>
    <t>1461356044009885705</t>
  </si>
  <si>
    <t>1461349174595633152</t>
  </si>
  <si>
    <t>1461349130320502805</t>
  </si>
  <si>
    <t>1461359272487383049</t>
  </si>
  <si>
    <t>1461359959652724747</t>
  </si>
  <si>
    <t>1461353148614778886</t>
  </si>
  <si>
    <t>1461351230467309583</t>
  </si>
  <si>
    <t>1461353321789231105</t>
  </si>
  <si>
    <t>1461348724257353732</t>
  </si>
  <si>
    <t>1461359810918563857</t>
  </si>
  <si>
    <t>1461359340384706571</t>
  </si>
  <si>
    <t>1461349603341574149</t>
  </si>
  <si>
    <t>1461348902225862668</t>
  </si>
  <si>
    <t>1461349712292810773</t>
  </si>
  <si>
    <t>1461358974398205954</t>
  </si>
  <si>
    <t>1461358003685265415</t>
  </si>
  <si>
    <t>1461357587706748928</t>
  </si>
  <si>
    <t>1461348576848535568</t>
  </si>
  <si>
    <t>1461352551844958215</t>
  </si>
  <si>
    <t>1461359469535772678</t>
  </si>
  <si>
    <t>1461348721996681227</t>
  </si>
  <si>
    <t>1461349376668798976</t>
  </si>
  <si>
    <t>1461350759484706824</t>
  </si>
  <si>
    <t>1461352215902244875</t>
  </si>
  <si>
    <t>1461362355246223363</t>
  </si>
  <si>
    <t>1461348590412963854</t>
  </si>
  <si>
    <t>1461349107373510661</t>
  </si>
  <si>
    <t>1461349200122171405</t>
  </si>
  <si>
    <t>1461348824220266513</t>
  </si>
  <si>
    <t>1461348657530163216</t>
  </si>
  <si>
    <t>1461348590920429582</t>
  </si>
  <si>
    <t>1461348588311617541</t>
  </si>
  <si>
    <t>1461352162710065161</t>
  </si>
  <si>
    <t>1461351279616086024</t>
  </si>
  <si>
    <t>1461348649590345741</t>
  </si>
  <si>
    <t>1461349289033015304</t>
  </si>
  <si>
    <t>1461350092154101780</t>
  </si>
  <si>
    <t>1461352289239633921</t>
  </si>
  <si>
    <t>1461350909439471621</t>
  </si>
  <si>
    <t>1461355201567158274</t>
  </si>
  <si>
    <t>1461359260936273923</t>
  </si>
  <si>
    <t>1461361197354156047</t>
  </si>
  <si>
    <t>1461357771941507083</t>
  </si>
  <si>
    <t>1461360520770961415</t>
  </si>
  <si>
    <t>1461348679877488653</t>
  </si>
  <si>
    <t>1461356397157761049</t>
  </si>
  <si>
    <t>1461350986082144256</t>
  </si>
  <si>
    <t>1461362359453184006</t>
  </si>
  <si>
    <t>1461348892893614096</t>
  </si>
  <si>
    <t>1461350985788448768</t>
  </si>
  <si>
    <t>1461348533039087617</t>
  </si>
  <si>
    <t>1461359799447142420</t>
  </si>
  <si>
    <t>1461348478249017344</t>
  </si>
  <si>
    <t>1461348524432363527</t>
  </si>
  <si>
    <t>1461352457930362883</t>
  </si>
  <si>
    <t>1461349775089954837</t>
  </si>
  <si>
    <t>1461349928492433417</t>
  </si>
  <si>
    <t>1461348550650908684</t>
  </si>
  <si>
    <t>1461348570087317523</t>
  </si>
  <si>
    <t>1461360565020872704</t>
  </si>
  <si>
    <t>1461348482258653193</t>
  </si>
  <si>
    <t>1461356917993865227</t>
  </si>
  <si>
    <t>1461348472754520064</t>
  </si>
  <si>
    <t>1461348778741436418</t>
  </si>
  <si>
    <t>1461349690469801988</t>
  </si>
  <si>
    <t>1461350618459561991</t>
  </si>
  <si>
    <t>1461354268443611136</t>
  </si>
  <si>
    <t>1461356915594723337</t>
  </si>
  <si>
    <t>1461353502723100677</t>
  </si>
  <si>
    <t>1461348761293058051</t>
  </si>
  <si>
    <t>1461352757713989640</t>
  </si>
  <si>
    <t>1461362519147118596</t>
  </si>
  <si>
    <t>1461353641676214283</t>
  </si>
  <si>
    <t>1461348628526600212</t>
  </si>
  <si>
    <t>1461348774509367308</t>
  </si>
  <si>
    <t>1461348721426239502</t>
  </si>
  <si>
    <t>1461350945535651851</t>
  </si>
  <si>
    <t>1461357000873287693</t>
  </si>
  <si>
    <t>1461360869967732752</t>
  </si>
  <si>
    <t>1461361071206195205</t>
  </si>
  <si>
    <t>1461352297791844363</t>
  </si>
  <si>
    <t>1461348475765985280</t>
  </si>
  <si>
    <t>1461349091565207557</t>
  </si>
  <si>
    <t>1461363362583826436</t>
  </si>
  <si>
    <t>1461351701051437058</t>
  </si>
  <si>
    <t>1461356021998182412</t>
  </si>
  <si>
    <t>1461348469856092165</t>
  </si>
  <si>
    <t>1461359747173478402</t>
  </si>
  <si>
    <t>1461356132027437072</t>
  </si>
  <si>
    <t>1461349153875783694</t>
  </si>
  <si>
    <t>1461349796849983499</t>
  </si>
  <si>
    <t>1461352056011182086</t>
  </si>
  <si>
    <t>1461353186086711296</t>
  </si>
  <si>
    <t>1461356166567522305</t>
  </si>
  <si>
    <t>1461356712204505092</t>
  </si>
  <si>
    <t>1461351118743621642</t>
  </si>
  <si>
    <t>1461358220732030989</t>
  </si>
  <si>
    <t>1461362403736576003</t>
  </si>
  <si>
    <t>1461353075248021515</t>
  </si>
  <si>
    <t>1461352260810674179</t>
  </si>
  <si>
    <t>1461350252472987664</t>
  </si>
  <si>
    <t>1461350998992056327</t>
  </si>
  <si>
    <t>1461349350852861964</t>
  </si>
  <si>
    <t>1461352243987427328</t>
  </si>
  <si>
    <t>1461357277479272476</t>
  </si>
  <si>
    <t>1461356020761079809</t>
  </si>
  <si>
    <t>1461349727816101888</t>
  </si>
  <si>
    <t>1461352244188631041</t>
  </si>
  <si>
    <t>1461349728147451906</t>
  </si>
  <si>
    <t>1461354424199102470</t>
  </si>
  <si>
    <t>1461348476982288384</t>
  </si>
  <si>
    <t>1461358416467611671</t>
  </si>
  <si>
    <t>1461357949532602373</t>
  </si>
  <si>
    <t>1461352933862232083</t>
  </si>
  <si>
    <t>1461350106163146761</t>
  </si>
  <si>
    <t>1461351639701331991</t>
  </si>
  <si>
    <t>1461359811220574209</t>
  </si>
  <si>
    <t>1461349744819593230</t>
  </si>
  <si>
    <t>1461363065463750656</t>
  </si>
  <si>
    <t>1461362058822180891</t>
  </si>
  <si>
    <t>1461361303747018752</t>
  </si>
  <si>
    <t>1461356019171217424</t>
  </si>
  <si>
    <t>1461350482639659014</t>
  </si>
  <si>
    <t>1461349224952467462</t>
  </si>
  <si>
    <t>1461349728059330560</t>
  </si>
  <si>
    <t>1461350734268567555</t>
  </si>
  <si>
    <t>1461350997415006235</t>
  </si>
  <si>
    <t>1461351741035724811</t>
  </si>
  <si>
    <t>1461354760934543374</t>
  </si>
  <si>
    <t>1461359038998867974</t>
  </si>
  <si>
    <t>1461358535925649424</t>
  </si>
  <si>
    <t>1461351489134383105</t>
  </si>
  <si>
    <t>1461352747429625869</t>
  </si>
  <si>
    <t>1461358787386691599</t>
  </si>
  <si>
    <t>1461360800577163270</t>
  </si>
  <si>
    <t>1461358032634273801</t>
  </si>
  <si>
    <t>1461360548923150339</t>
  </si>
  <si>
    <t>1461358283818553360</t>
  </si>
  <si>
    <t>1461357277387145216</t>
  </si>
  <si>
    <t>1461357780338622464</t>
  </si>
  <si>
    <t>1461362310484615189</t>
  </si>
  <si>
    <t>1461363316907986945</t>
  </si>
  <si>
    <t>1461360045820506128</t>
  </si>
  <si>
    <t>1461361807281451018</t>
  </si>
  <si>
    <t>1461359290372046849</t>
  </si>
  <si>
    <t>1461359794367832073</t>
  </si>
  <si>
    <t>1461361052201881617</t>
  </si>
  <si>
    <t>1461360296967163904</t>
  </si>
  <si>
    <t>1461357528726528000</t>
  </si>
  <si>
    <t>1461361555195547648</t>
  </si>
  <si>
    <t>1461362813805285396</t>
  </si>
  <si>
    <t>1461359542285967369</t>
  </si>
  <si>
    <t>1461362561945849856</t>
  </si>
  <si>
    <t>1461355767177441289</t>
  </si>
  <si>
    <t>1461352999108841479</t>
  </si>
  <si>
    <t>1461349979075883008</t>
  </si>
  <si>
    <t>1461356271232176129</t>
  </si>
  <si>
    <t>1461354006110900231</t>
  </si>
  <si>
    <t>1461356019016163328</t>
  </si>
  <si>
    <t>1461356774003462144</t>
  </si>
  <si>
    <t>1461351237442580480</t>
  </si>
  <si>
    <t>1461348972887375889</t>
  </si>
  <si>
    <t>1461351992387727368</t>
  </si>
  <si>
    <t>1461355012186066944</t>
  </si>
  <si>
    <t>1461352496064991241</t>
  </si>
  <si>
    <t>1461353753903304704</t>
  </si>
  <si>
    <t>1461350230755008512</t>
  </si>
  <si>
    <t>1461357025795788805</t>
  </si>
  <si>
    <t>1461352244352225291</t>
  </si>
  <si>
    <t>1461353250842558464</t>
  </si>
  <si>
    <t>1461349476711350280</t>
  </si>
  <si>
    <t>1461356522257240064</t>
  </si>
  <si>
    <t>1461350985767522304</t>
  </si>
  <si>
    <t>1461355515758346246</t>
  </si>
  <si>
    <t>1461354257123356675</t>
  </si>
  <si>
    <t>1461353502714773504</t>
  </si>
  <si>
    <t>1461348720990113792</t>
  </si>
  <si>
    <t>1461355263831674880</t>
  </si>
  <si>
    <t>1461354509054083086</t>
  </si>
  <si>
    <t>1461350869010509838</t>
  </si>
  <si>
    <t>1461349438367039497</t>
  </si>
  <si>
    <t>1461351699017191429</t>
  </si>
  <si>
    <t>1461352151452557315</t>
  </si>
  <si>
    <t>1461354904056844306</t>
  </si>
  <si>
    <t>1461348577918083093</t>
  </si>
  <si>
    <t>1461350557449216004</t>
  </si>
  <si>
    <t>1461349738670804996</t>
  </si>
  <si>
    <t>1461354771298750466</t>
  </si>
  <si>
    <t>1461359815381323776</t>
  </si>
  <si>
    <t>1461348864254873618</t>
  </si>
  <si>
    <t>1461353285147717635</t>
  </si>
  <si>
    <t>1461351679257833476</t>
  </si>
  <si>
    <t>1461348585983803403</t>
  </si>
  <si>
    <t>1461362995108335622</t>
  </si>
  <si>
    <t>1461348567667277828</t>
  </si>
  <si>
    <t>1461348474947981325</t>
  </si>
  <si>
    <t>1461362328121712646</t>
  </si>
  <si>
    <t>1461352265109757955</t>
  </si>
  <si>
    <t>1461357284953518086</t>
  </si>
  <si>
    <t>1461350851163791364</t>
  </si>
  <si>
    <t>1461350113662496781</t>
  </si>
  <si>
    <t>1461351680587415556</t>
  </si>
  <si>
    <t>1461356019838160913</t>
  </si>
  <si>
    <t>1461362427899961346</t>
  </si>
  <si>
    <t>1461348492668928002</t>
  </si>
  <si>
    <t>1461348471122837504</t>
  </si>
  <si>
    <t>1461348545550716936</t>
  </si>
  <si>
    <t>1461350585672683527</t>
  </si>
  <si>
    <t>1461362029420179462</t>
  </si>
  <si>
    <t>1461361255692660749</t>
  </si>
  <si>
    <t>1461361013865914376</t>
  </si>
  <si>
    <t>1461354764726267910</t>
  </si>
  <si>
    <t>1461350270038724614</t>
  </si>
  <si>
    <t>1461350531251654674</t>
  </si>
  <si>
    <t>1461356044223877130</t>
  </si>
  <si>
    <t>1461348471609298946</t>
  </si>
  <si>
    <t>1461356023168438281</t>
  </si>
  <si>
    <t>1461357277676408841</t>
  </si>
  <si>
    <t>1461351174284578827</t>
  </si>
  <si>
    <t>1461348751465877511</t>
  </si>
  <si>
    <t>1461348478102253568</t>
  </si>
  <si>
    <t>1461349231667515393</t>
  </si>
  <si>
    <t>1461354988475543560</t>
  </si>
  <si>
    <t>1461354515999850499</t>
  </si>
  <si>
    <t>1461360471592734742</t>
  </si>
  <si>
    <t>1461350299361103873</t>
  </si>
  <si>
    <t>1461356077576974352</t>
  </si>
  <si>
    <t>1461362936090222594</t>
  </si>
  <si>
    <t>1461361078013628425</t>
  </si>
  <si>
    <t>1461356990177763348</t>
  </si>
  <si>
    <t>1461350622876164109</t>
  </si>
  <si>
    <t>1461353372825518088</t>
  </si>
  <si>
    <t>1461356300462219270</t>
  </si>
  <si>
    <t>1461361067175518222</t>
  </si>
  <si>
    <t>1461348550298587140</t>
  </si>
  <si>
    <t>1461349742592462858</t>
  </si>
  <si>
    <t>1461358540245782539</t>
  </si>
  <si>
    <t>1461353513137553422</t>
  </si>
  <si>
    <t>1461351932975484930</t>
  </si>
  <si>
    <t>1461356020802981888</t>
  </si>
  <si>
    <t>1461349052751044610</t>
  </si>
  <si>
    <t>1461352673358213121</t>
  </si>
  <si>
    <t>1461356550983864325</t>
  </si>
  <si>
    <t>1461348565767233550</t>
  </si>
  <si>
    <t>1461356038548955139</t>
  </si>
  <si>
    <t>1461349094220132353</t>
  </si>
  <si>
    <t>1461357091159904282</t>
  </si>
  <si>
    <t>1461351498864988178</t>
  </si>
  <si>
    <t>1461355440810332165</t>
  </si>
  <si>
    <t>1461358035482202116</t>
  </si>
  <si>
    <t>1461355758893690887</t>
  </si>
  <si>
    <t>1461349084753657873</t>
  </si>
  <si>
    <t>1461349760300765191</t>
  </si>
  <si>
    <t>1461351009456844805</t>
  </si>
  <si>
    <t>1461353628988366849</t>
  </si>
  <si>
    <t>1461352300165746697</t>
  </si>
  <si>
    <t>1461354372349136897</t>
  </si>
  <si>
    <t>1461348711359913986</t>
  </si>
  <si>
    <t>1461350253362225159</t>
  </si>
  <si>
    <t>1461351012191539218</t>
  </si>
  <si>
    <t>1461349502921502734</t>
  </si>
  <si>
    <t>1461350705067814914</t>
  </si>
  <si>
    <t>1461349793347694595</t>
  </si>
  <si>
    <t>1461361208901074957</t>
  </si>
  <si>
    <t>1461362469729824772</t>
  </si>
  <si>
    <t>1461359951541006349</t>
  </si>
  <si>
    <t>1461352411352625161</t>
  </si>
  <si>
    <t>1461349001836433410</t>
  </si>
  <si>
    <t>1461354929331720194</t>
  </si>
  <si>
    <t>1461349872972427265</t>
  </si>
  <si>
    <t>1461358680591376387</t>
  </si>
  <si>
    <t>1461357433691926531</t>
  </si>
  <si>
    <t>1461353641600716806</t>
  </si>
  <si>
    <t>1461351161601003521</t>
  </si>
  <si>
    <t>1461356249845415953</t>
  </si>
  <si>
    <t>1461360008575127564</t>
  </si>
  <si>
    <t>1461349193126060041</t>
  </si>
  <si>
    <t>1461349231747219459</t>
  </si>
  <si>
    <t>1461353569240576016</t>
  </si>
  <si>
    <t>1461349266710876163</t>
  </si>
  <si>
    <t>1461348480446865408</t>
  </si>
  <si>
    <t>1461352459629068291</t>
  </si>
  <si>
    <t>1461349456519962634</t>
  </si>
  <si>
    <t>1461349888013193223</t>
  </si>
  <si>
    <t>1461361244909158414</t>
  </si>
  <si>
    <t>1461354986214809600</t>
  </si>
  <si>
    <t>1461348178205179918</t>
  </si>
  <si>
    <t/>
  </si>
  <si>
    <t>56652363</t>
  </si>
  <si>
    <t>45535365</t>
  </si>
  <si>
    <t>1214635675145973760</t>
  </si>
  <si>
    <t>198919608</t>
  </si>
  <si>
    <t>1062672870260781056</t>
  </si>
  <si>
    <t>3288561903</t>
  </si>
  <si>
    <t>68686173</t>
  </si>
  <si>
    <t>3651960681</t>
  </si>
  <si>
    <t>1725283578</t>
  </si>
  <si>
    <t>2449608931</t>
  </si>
  <si>
    <t>en</t>
  </si>
  <si>
    <t>und</t>
  </si>
  <si>
    <t>de</t>
  </si>
  <si>
    <t>pt</t>
  </si>
  <si>
    <t>es</t>
  </si>
  <si>
    <t>fr</t>
  </si>
  <si>
    <t>it</t>
  </si>
  <si>
    <t>1461357650256355328</t>
  </si>
  <si>
    <t>1461329618632327171</t>
  </si>
  <si>
    <t>1461302711786348550</t>
  </si>
  <si>
    <t>1461050274399850501</t>
  </si>
  <si>
    <t>1461333432701800454</t>
  </si>
  <si>
    <t>1461304886356815873</t>
  </si>
  <si>
    <t>1461128236935618563</t>
  </si>
  <si>
    <t>1461285628038070282</t>
  </si>
  <si>
    <t>1461351326713991169</t>
  </si>
  <si>
    <t>1461246741584486405</t>
  </si>
  <si>
    <t>1461332861311717388</t>
  </si>
  <si>
    <t>1064116004094136320</t>
  </si>
  <si>
    <t>1461341271004356618</t>
  </si>
  <si>
    <t>1461347210927296513</t>
  </si>
  <si>
    <t>1461308340009586699</t>
  </si>
  <si>
    <t>1461226402603225093</t>
  </si>
  <si>
    <t>1461353712534769673</t>
  </si>
  <si>
    <t>Twitter Web App</t>
  </si>
  <si>
    <t>Twitter for iPhone</t>
  </si>
  <si>
    <t>Twitter for Android</t>
  </si>
  <si>
    <t>TweetDeck</t>
  </si>
  <si>
    <t>Hootsuite Inc.</t>
  </si>
  <si>
    <t>Emplifi</t>
  </si>
  <si>
    <t>Sprout Social</t>
  </si>
  <si>
    <t>Orlo</t>
  </si>
  <si>
    <t>Agorapulse app</t>
  </si>
  <si>
    <t>Meltwater Social</t>
  </si>
  <si>
    <t>IFTTT</t>
  </si>
  <si>
    <t>TweetDeck Web App</t>
  </si>
  <si>
    <t>Twitter for Advertisers</t>
  </si>
  <si>
    <t>Loomly</t>
  </si>
  <si>
    <t>Buffer</t>
  </si>
  <si>
    <t>Salesforce - Social Studio</t>
  </si>
  <si>
    <t>Twitter for Mac</t>
  </si>
  <si>
    <t>Twitter Media Studio</t>
  </si>
  <si>
    <t>Zapier.com</t>
  </si>
  <si>
    <t>CrowdControlHQ</t>
  </si>
  <si>
    <t>LaterMedia</t>
  </si>
  <si>
    <t>69.328873,27.708226 
75.382124,27.708226 
75.382124,34.019989 
69.328873,34.019989</t>
  </si>
  <si>
    <t>-73.151367,40.868719 
-73.096505,40.868719 
-73.096505,40.948108 
-73.151367,40.948108</t>
  </si>
  <si>
    <t>-71.06853356502923,42.36369224925539 
-71.06853356502923,42.36369224925539 
-71.06853356502923,42.36369224925539 
-71.06853356502923,42.36369224925539</t>
  </si>
  <si>
    <t>2.5637824,39.1250696 
2.9761535,39.1250696 
2.9761535,39.6583262 
2.5637824,39.6583262</t>
  </si>
  <si>
    <t>Pakistan</t>
  </si>
  <si>
    <t>United States</t>
  </si>
  <si>
    <t>Spain</t>
  </si>
  <si>
    <t>PK</t>
  </si>
  <si>
    <t>US</t>
  </si>
  <si>
    <t>ES</t>
  </si>
  <si>
    <t>Punjab, Pakistan</t>
  </si>
  <si>
    <t>Stony Brook, NY</t>
  </si>
  <si>
    <t>Massachusetts General Hospital</t>
  </si>
  <si>
    <t>Palma, Spain</t>
  </si>
  <si>
    <t>00cc0d5640394308</t>
  </si>
  <si>
    <t>8241555e75571517</t>
  </si>
  <si>
    <t>07d9c931c8c86000</t>
  </si>
  <si>
    <t>6c1be133511970bc</t>
  </si>
  <si>
    <t>Punjab</t>
  </si>
  <si>
    <t>Stony Brook</t>
  </si>
  <si>
    <t>Palma</t>
  </si>
  <si>
    <t>admin</t>
  </si>
  <si>
    <t>city</t>
  </si>
  <si>
    <t>poi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</si>
  <si>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</si>
  <si>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</si>
  <si>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</si>
  <si>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</si>
  <si>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</si>
  <si>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</si>
  <si>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</si>
  <si>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</si>
  <si>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</si>
  <si>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</si>
  <si>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</si>
  <si>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</si>
  <si>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</si>
  <si>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</si>
  <si>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</si>
  <si>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</si>
  <si>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</si>
  <si>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</si>
  <si>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</si>
  <si>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</si>
  <si>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</si>
  <si>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</si>
  <si>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PharmacyDeclares!</t>
  </si>
  <si>
    <t>TWB Staffs &amp; Stoke</t>
  </si>
  <si>
    <t>Alina</t>
  </si>
  <si>
    <t>Pharmacy West Herts Hospitals NHS Trust</t>
  </si>
  <si>
    <t>Tracey Carter MBE _xD83D__xDC99__xD83C__xDF08__xD83E__xDDCD__xD83C__xDFFC_‍♂️xx_xD83E__xDDCD__xD83C__xDFFE_‍♀️</t>
  </si>
  <si>
    <t>West Herts Hospitals</t>
  </si>
  <si>
    <t>UKHSA North West</t>
  </si>
  <si>
    <t>Tricia Gordon</t>
  </si>
  <si>
    <t>Wirral Council</t>
  </si>
  <si>
    <t>TMF Networks</t>
  </si>
  <si>
    <t>NHS Warrington Clinical Commissioning Group</t>
  </si>
  <si>
    <t>VUMC_IDFellows</t>
  </si>
  <si>
    <t>Yorkshire Ambulance</t>
  </si>
  <si>
    <t>UKHSA South West</t>
  </si>
  <si>
    <t>British Consulate-General Atlanta</t>
  </si>
  <si>
    <t>UMN College of Veterinary Medicine Research</t>
  </si>
  <si>
    <t>UKHSA London region</t>
  </si>
  <si>
    <t>Utah Dept. of Health</t>
  </si>
  <si>
    <t>UKHSA Yorkshire and Humber</t>
  </si>
  <si>
    <t>Katie Hopkins</t>
  </si>
  <si>
    <t>Christiana</t>
  </si>
  <si>
    <t>Centre for Clinical Microbiology UCL</t>
  </si>
  <si>
    <t>Va Dept of Health</t>
  </si>
  <si>
    <t>Dr Tehzeeb Zulfiqar</t>
  </si>
  <si>
    <t>UKHSA East Midlands</t>
  </si>
  <si>
    <t>Vikki #getvaccinated Lloyd</t>
  </si>
  <si>
    <t>Tom Palfreyman</t>
  </si>
  <si>
    <t>UHNM T&amp;O PDN</t>
  </si>
  <si>
    <t>Neurosurgery ward 228</t>
  </si>
  <si>
    <t>BugsyMcBugface</t>
  </si>
  <si>
    <t>UHNM NHS Trust _xD83C__xDFE5_</t>
  </si>
  <si>
    <t>UHNM Charity _xD83C__xDFE5_</t>
  </si>
  <si>
    <t>Remington WinterCourse on Infectious Diseases</t>
  </si>
  <si>
    <t>Tees, Esk &amp; Wear Valleys NHS Foundation Trust</t>
  </si>
  <si>
    <t>UKHSA North East</t>
  </si>
  <si>
    <t>Waterloo Pharmacy</t>
  </si>
  <si>
    <t>UKHSA South East</t>
  </si>
  <si>
    <t>UKHSA West Midlands</t>
  </si>
  <si>
    <t>Zainab Lakhani</t>
  </si>
  <si>
    <t>Wirral Community Health&amp;Care NHS Foundation Trust</t>
  </si>
  <si>
    <t>The Partnership to Fight Infectious Disease</t>
  </si>
  <si>
    <t>IDSA</t>
  </si>
  <si>
    <t>Primary Care Research Centre</t>
  </si>
  <si>
    <t>@UKHSA_EoEngland</t>
  </si>
  <si>
    <t>Andrew Staunton</t>
  </si>
  <si>
    <t>ReAct - Action on Antibiotic Resistance</t>
  </si>
  <si>
    <t>ECDC</t>
  </si>
  <si>
    <t>EAAD</t>
  </si>
  <si>
    <t>Management &amp; Krankenhaus</t>
  </si>
  <si>
    <t>Rheinische Friedrich-Wilhelms-Universität Bonn</t>
  </si>
  <si>
    <t>Umeå University</t>
  </si>
  <si>
    <t>Karolinska Institutet</t>
  </si>
  <si>
    <t>America's Essential Hospitals</t>
  </si>
  <si>
    <t>CDC</t>
  </si>
  <si>
    <t>PolyPid</t>
  </si>
  <si>
    <t>This is not the CDC</t>
  </si>
  <si>
    <t>Sawan Sarkar</t>
  </si>
  <si>
    <t>Mouthy IP</t>
  </si>
  <si>
    <t>NHS North East London CCG</t>
  </si>
  <si>
    <t>NHS North East London CCG (TNW)</t>
  </si>
  <si>
    <t>NHS Wirral CCG</t>
  </si>
  <si>
    <t>Allison Parshall</t>
  </si>
  <si>
    <t>Rebecca Hetherington</t>
  </si>
  <si>
    <t>Frodsham Manor House</t>
  </si>
  <si>
    <t>SIDP</t>
  </si>
  <si>
    <t>PANDORA-ID-NET</t>
  </si>
  <si>
    <t>Preety Ramdut</t>
  </si>
  <si>
    <t>Kieran Hand PhD</t>
  </si>
  <si>
    <t>NHS South East</t>
  </si>
  <si>
    <t>Prof. Dame Sally Davies</t>
  </si>
  <si>
    <t>Diane Ashiru, PhD</t>
  </si>
  <si>
    <t>UK Health Security Agency</t>
  </si>
  <si>
    <t>Keith Ridge</t>
  </si>
  <si>
    <t>NHS Surrey Heartlands CCG</t>
  </si>
  <si>
    <t>Ohio State Veterinary Preventive Medicine</t>
  </si>
  <si>
    <t>NHS Nottingham and Nottinghamshire CCG</t>
  </si>
  <si>
    <t>NHS North East London CCG (City and Hackney)</t>
  </si>
  <si>
    <t>Ana Cadete</t>
  </si>
  <si>
    <t>YouTube</t>
  </si>
  <si>
    <t>T e a m N U H _xD83C__xDFF3_️‍_xD83C__xDF08_</t>
  </si>
  <si>
    <t>NHS NLaG</t>
  </si>
  <si>
    <t>Page Medical</t>
  </si>
  <si>
    <t>UHDB Pharmacy</t>
  </si>
  <si>
    <t>Pegah Kamranpour</t>
  </si>
  <si>
    <t>Division of Infectious Diseases at Ohio State</t>
  </si>
  <si>
    <t>Melissa Shiffman</t>
  </si>
  <si>
    <t>CFF Greater New York Chapter</t>
  </si>
  <si>
    <t>Cystic Fibrosis Foundation</t>
  </si>
  <si>
    <t>Rep. Nydia Velazquez</t>
  </si>
  <si>
    <t>Kirsten Gillibrand</t>
  </si>
  <si>
    <t>Chuck Schumer</t>
  </si>
  <si>
    <t>T2 Biosystems</t>
  </si>
  <si>
    <t>RCSI</t>
  </si>
  <si>
    <t>Irish Society of Clinical Microbiologists</t>
  </si>
  <si>
    <t>RCSI_Research</t>
  </si>
  <si>
    <t>RCSI Clinical Microbiology</t>
  </si>
  <si>
    <t>Prof. Fidelma Fitzpatrick</t>
  </si>
  <si>
    <t>Suganya reddy</t>
  </si>
  <si>
    <t>NHS East Berkshire CCG</t>
  </si>
  <si>
    <t>Staffsccgs</t>
  </si>
  <si>
    <t>Tanveer</t>
  </si>
  <si>
    <t>NFID</t>
  </si>
  <si>
    <t>NHS Sunderland CCG</t>
  </si>
  <si>
    <t>Iram Malik</t>
  </si>
  <si>
    <t>PublicHealthWalsall #StayAlertSaveLives</t>
  </si>
  <si>
    <t>Stony Brook Department of Medicine</t>
  </si>
  <si>
    <t>S.E.F.H</t>
  </si>
  <si>
    <t>SEIMC</t>
  </si>
  <si>
    <t>Plan Antibióticos</t>
  </si>
  <si>
    <t>GEIRAS (SEIMC)</t>
  </si>
  <si>
    <t>PROA_Vigo</t>
  </si>
  <si>
    <t>Brad Spellberg</t>
  </si>
  <si>
    <t>Save Antibiotics</t>
  </si>
  <si>
    <t>Surrey Heartlands Integrated Care System</t>
  </si>
  <si>
    <t>Philadelphia Public Health</t>
  </si>
  <si>
    <t>Mount Sinai Spinal Cord Injury</t>
  </si>
  <si>
    <t>RWJBhpharmacy</t>
  </si>
  <si>
    <t>Nottingham University Hospitals ⬅️_xD83D__xDE37_➡️</t>
  </si>
  <si>
    <t>MY AMS</t>
  </si>
  <si>
    <t>Naveed Iftikhar</t>
  </si>
  <si>
    <t>NIHR SPCR</t>
  </si>
  <si>
    <t>SHEA</t>
  </si>
  <si>
    <t>Muhammad Muzzamil</t>
  </si>
  <si>
    <t>Nottingham+Nottinghamshire Integrated Care System</t>
  </si>
  <si>
    <t>NHS Black Country and West Birmingham CCG</t>
  </si>
  <si>
    <t>West Yorkshire R&amp;D</t>
  </si>
  <si>
    <t>North East London Health and Care Partnership</t>
  </si>
  <si>
    <t>Silver Cross Hospital</t>
  </si>
  <si>
    <t>Food Advisory Consultancy &amp; Training</t>
  </si>
  <si>
    <t>Kansas Healthcare Collaborative</t>
  </si>
  <si>
    <t>KDHE</t>
  </si>
  <si>
    <t>CDC Antibiotic Resistance</t>
  </si>
  <si>
    <t>Jordan Charlesworth</t>
  </si>
  <si>
    <t>MGH Antimicrobial Stewardship Team</t>
  </si>
  <si>
    <t>Larry Pineda</t>
  </si>
  <si>
    <t>Kevin Cuervo</t>
  </si>
  <si>
    <t>Microbiología Clínica HUSE</t>
  </si>
  <si>
    <t>Farmacia Son Espases</t>
  </si>
  <si>
    <t>Estrella RM</t>
  </si>
  <si>
    <t>LeonorPeriañez</t>
  </si>
  <si>
    <t>Luisa Martin</t>
  </si>
  <si>
    <t>HU Son Espases</t>
  </si>
  <si>
    <t>Linzy Elton, PhD</t>
  </si>
  <si>
    <t>James West</t>
  </si>
  <si>
    <t>Chris van Tulleken _xD83C__xDFF3_️‍_xD83C__xDF08_</t>
  </si>
  <si>
    <t>APHA Get Ready</t>
  </si>
  <si>
    <t>GenMark Diagnostics</t>
  </si>
  <si>
    <t>Fran Garraghan</t>
  </si>
  <si>
    <t>Antibiotic angels@MFT</t>
  </si>
  <si>
    <t>HEM/ONC IS DISTANCE SOCIALIZING</t>
  </si>
  <si>
    <t>Healthcare Infection Society</t>
  </si>
  <si>
    <t>Healthier Futures</t>
  </si>
  <si>
    <t>Jay</t>
  </si>
  <si>
    <t>Istituto Superiore di Sanità</t>
  </si>
  <si>
    <t>HSE Dublin South, Kildare &amp; West Wicklow</t>
  </si>
  <si>
    <t>TFGP GUJARAT</t>
  </si>
  <si>
    <t>Michigan HHS Dept</t>
  </si>
  <si>
    <t>NHS Liverpool CCG</t>
  </si>
  <si>
    <t>IDPH - Public Health</t>
  </si>
  <si>
    <t>HPRU AMR</t>
  </si>
  <si>
    <t>Ireland South Women &amp; Infants Directorate</t>
  </si>
  <si>
    <t>Melinta Therapeutics</t>
  </si>
  <si>
    <t>Kentucky Antibiotic Awareness</t>
  </si>
  <si>
    <t>UofL Dept of Pediatrics</t>
  </si>
  <si>
    <t>NHS Halton Clinical Commissioning Group</t>
  </si>
  <si>
    <t>ALF</t>
  </si>
  <si>
    <t>Sº Farmacia La Paz</t>
  </si>
  <si>
    <t>PROA_HULP</t>
  </si>
  <si>
    <t>EU Health</t>
  </si>
  <si>
    <t>Lydia Palumbo</t>
  </si>
  <si>
    <t>McDonald’s</t>
  </si>
  <si>
    <t>MedShadow Foundation</t>
  </si>
  <si>
    <t>The Girl with Short Hair</t>
  </si>
  <si>
    <t>Pharmacy Infection</t>
  </si>
  <si>
    <t>imtiaz Ali</t>
  </si>
  <si>
    <t>Living Through Extinction</t>
  </si>
  <si>
    <t>Health Services Academy-Official</t>
  </si>
  <si>
    <t>MARR Coalition</t>
  </si>
  <si>
    <t>Efe Evbuomwan</t>
  </si>
  <si>
    <t>Hampshire and Isle of Wight Integrated Care System</t>
  </si>
  <si>
    <t>Liz Corteville</t>
  </si>
  <si>
    <t>Battle Superbugs</t>
  </si>
  <si>
    <t>EPinIreland</t>
  </si>
  <si>
    <t>Dr Aryan</t>
  </si>
  <si>
    <t>FDA Drug Information</t>
  </si>
  <si>
    <t>Abid Hussain</t>
  </si>
  <si>
    <t>JAC-AMR</t>
  </si>
  <si>
    <t>Antonia Sagona</t>
  </si>
  <si>
    <t>bioMérieux</t>
  </si>
  <si>
    <t>Conor Jamieson</t>
  </si>
  <si>
    <t>Rakhi</t>
  </si>
  <si>
    <t>NHS B'ham &amp; Solihull CCG</t>
  </si>
  <si>
    <t>Susan Hopkins</t>
  </si>
  <si>
    <t>Antibiotic Stewa®️x_xD83C__xDD94_ Bassam Ghanem</t>
  </si>
  <si>
    <t>Sam Foster RN</t>
  </si>
  <si>
    <t>Sanford Guide</t>
  </si>
  <si>
    <t>Abi Jenkins</t>
  </si>
  <si>
    <t>University Hospitals Birmingham</t>
  </si>
  <si>
    <t>Elizabeth Beech MBE</t>
  </si>
  <si>
    <t>World Health Organization (WHO)</t>
  </si>
  <si>
    <t>The be in behalal is an #EHO #Female</t>
  </si>
  <si>
    <t>Compassion in World Farming</t>
  </si>
  <si>
    <t>Philip Lymbery</t>
  </si>
  <si>
    <t>Food Standards Agency</t>
  </si>
  <si>
    <t>Dr-NaWaZ(Khushii)</t>
  </si>
  <si>
    <t>CUH Antimicrobial Stewardship</t>
  </si>
  <si>
    <t>Mary Horgan</t>
  </si>
  <si>
    <t>Corinna Sadlier</t>
  </si>
  <si>
    <t>Dr Arthur Jackson</t>
  </si>
  <si>
    <t>Matthew Blair</t>
  </si>
  <si>
    <t>Cork University Hosp</t>
  </si>
  <si>
    <t>EKHUFT Pathology</t>
  </si>
  <si>
    <t>East Kent Hospitals</t>
  </si>
  <si>
    <t>Ark. Dept. of Health</t>
  </si>
  <si>
    <t>Dirty Drinks Podcast</t>
  </si>
  <si>
    <t>CDC Emerging Infections</t>
  </si>
  <si>
    <t>BD</t>
  </si>
  <si>
    <t>Dr Hussen Tareq, PharmD PhD</t>
  </si>
  <si>
    <t>BCH Infectious Diseases</t>
  </si>
  <si>
    <t>Atikah Ashraf</t>
  </si>
  <si>
    <t>AHRQ</t>
  </si>
  <si>
    <t>EFN</t>
  </si>
  <si>
    <t>Dr. Rima Khabbaz</t>
  </si>
  <si>
    <t>Pamela Bailey, DO, MPH</t>
  </si>
  <si>
    <t>Brett Barrett (she/her)</t>
  </si>
  <si>
    <t>ASC-SC</t>
  </si>
  <si>
    <t>NHS Cambs and Pboro CCG</t>
  </si>
  <si>
    <t>Dr Ryan George</t>
  </si>
  <si>
    <t>KJDodgson</t>
  </si>
  <si>
    <t>Northumbria Pharmacy</t>
  </si>
  <si>
    <t>Lab Medicine MFT</t>
  </si>
  <si>
    <t>MFT NHS</t>
  </si>
  <si>
    <t>MFT_Pharmacy</t>
  </si>
  <si>
    <t>aida krajnc</t>
  </si>
  <si>
    <t>Barts Health</t>
  </si>
  <si>
    <t>Barts Health Clinical Infection</t>
  </si>
  <si>
    <t>BH_Pharmacy</t>
  </si>
  <si>
    <t>Newham Hospital</t>
  </si>
  <si>
    <t>Caryn Cox _xD83C__xDFF4__xDB40__xDC67__xDB40__xDC62__xDB40__xDC77__xDB40__xDC6C__xDB40__xDC73__xDB40__xDC7F_</t>
  </si>
  <si>
    <t>Ella Casale</t>
  </si>
  <si>
    <t>Dr Elizabeth Miller _xD83D__xDC99__xD83D__xDC1D_ MRPSGB</t>
  </si>
  <si>
    <t>DZD</t>
  </si>
  <si>
    <t>Atrium Health Cabarrus PGY1</t>
  </si>
  <si>
    <t>Amelia Andrews</t>
  </si>
  <si>
    <t>Contagion</t>
  </si>
  <si>
    <t>National Academies</t>
  </si>
  <si>
    <t>COVID AMR project</t>
  </si>
  <si>
    <t>@HerpeZ</t>
  </si>
  <si>
    <t>The Chapel Medical Centre</t>
  </si>
  <si>
    <t>Sara Cerdas</t>
  </si>
  <si>
    <t>BEVA</t>
  </si>
  <si>
    <t>Brad Langford</t>
  </si>
  <si>
    <t>Superbugs _xD83E__xDDA0__xD83D__xDD2C__xD83C__xDFEB__xD83E__xDDD2__xD83C__xDFFD_</t>
  </si>
  <si>
    <t>Abimbola Olusoga</t>
  </si>
  <si>
    <t>BTHFT Pharmacy _xD83D__xDC8A_</t>
  </si>
  <si>
    <t>NHS DG</t>
  </si>
  <si>
    <t>louise dunsmure_xD83D__xDC99_</t>
  </si>
  <si>
    <t>Chicago Department of Public Health - CDPH</t>
  </si>
  <si>
    <t>CDC TB</t>
  </si>
  <si>
    <t>APIC</t>
  </si>
  <si>
    <t>Naveed Ali</t>
  </si>
  <si>
    <t>mjc</t>
  </si>
  <si>
    <t>EFSA</t>
  </si>
  <si>
    <t>NHS County Durham CCG</t>
  </si>
  <si>
    <t>CPPE</t>
  </si>
  <si>
    <t>The Cura Foundation</t>
  </si>
  <si>
    <t>Devs Health</t>
  </si>
  <si>
    <t>Cheshire East Council</t>
  </si>
  <si>
    <t>Arslan Raza</t>
  </si>
  <si>
    <t>ALIDS</t>
  </si>
  <si>
    <t>EBPCOOH</t>
  </si>
  <si>
    <t>Antimicrobials Working Group</t>
  </si>
  <si>
    <t>DONNA FRANCIS</t>
  </si>
  <si>
    <t>Antibacterial Resistance Leadership Group</t>
  </si>
  <si>
    <t>Costas Vasiliou</t>
  </si>
  <si>
    <t>1370139113991630848</t>
  </si>
  <si>
    <t>2827080417</t>
  </si>
  <si>
    <t>619103975</t>
  </si>
  <si>
    <t>1315640669491417092</t>
  </si>
  <si>
    <t>2369952327</t>
  </si>
  <si>
    <t>1358969828</t>
  </si>
  <si>
    <t>21522601</t>
  </si>
  <si>
    <t>162018121</t>
  </si>
  <si>
    <t>1144218458021908480</t>
  </si>
  <si>
    <t>264101295</t>
  </si>
  <si>
    <t>1286081578318217216</t>
  </si>
  <si>
    <t>494291435</t>
  </si>
  <si>
    <t>1374759968</t>
  </si>
  <si>
    <t>103949714</t>
  </si>
  <si>
    <t>1360351548782632967</t>
  </si>
  <si>
    <t>214063337</t>
  </si>
  <si>
    <t>36099461</t>
  </si>
  <si>
    <t>1358991378</t>
  </si>
  <si>
    <t>1371086258282369027</t>
  </si>
  <si>
    <t>1082208903599919104</t>
  </si>
  <si>
    <t>965578170417205248</t>
  </si>
  <si>
    <t>188369254</t>
  </si>
  <si>
    <t>4062020953</t>
  </si>
  <si>
    <t>1359103958</t>
  </si>
  <si>
    <t>1253389369911717889</t>
  </si>
  <si>
    <t>1262831122771333123</t>
  </si>
  <si>
    <t>1380949209923383301</t>
  </si>
  <si>
    <t>1251184722371317760</t>
  </si>
  <si>
    <t>1199050248758398976</t>
  </si>
  <si>
    <t>1372138002</t>
  </si>
  <si>
    <t>403343999</t>
  </si>
  <si>
    <t>1428551821</t>
  </si>
  <si>
    <t>57061632</t>
  </si>
  <si>
    <t>1359068448</t>
  </si>
  <si>
    <t>2161088306</t>
  </si>
  <si>
    <t>1374710232</t>
  </si>
  <si>
    <t>1359098408</t>
  </si>
  <si>
    <t>1393572535711768580</t>
  </si>
  <si>
    <t>2152897284</t>
  </si>
  <si>
    <t>1253827213784494080</t>
  </si>
  <si>
    <t>76417139</t>
  </si>
  <si>
    <t>2744666365</t>
  </si>
  <si>
    <t>1377247476</t>
  </si>
  <si>
    <t>1002202370351206400</t>
  </si>
  <si>
    <t>373360050</t>
  </si>
  <si>
    <t>204752573</t>
  </si>
  <si>
    <t>958342730681270273</t>
  </si>
  <si>
    <t>80858333</t>
  </si>
  <si>
    <t>20660144</t>
  </si>
  <si>
    <t>26710622</t>
  </si>
  <si>
    <t>81412512</t>
  </si>
  <si>
    <t>146569971</t>
  </si>
  <si>
    <t>1339220466116997121</t>
  </si>
  <si>
    <t>1532281</t>
  </si>
  <si>
    <t>1322223185228713990</t>
  </si>
  <si>
    <t>1433525903787765760</t>
  </si>
  <si>
    <t>1374660990369996805</t>
  </si>
  <si>
    <t>1655026784</t>
  </si>
  <si>
    <t>2175720200</t>
  </si>
  <si>
    <t>1313844616404312072</t>
  </si>
  <si>
    <t>1306522469688389633</t>
  </si>
  <si>
    <t>2893919075</t>
  </si>
  <si>
    <t>2215603908</t>
  </si>
  <si>
    <t>999989672037289984</t>
  </si>
  <si>
    <t>1012453824123064320</t>
  </si>
  <si>
    <t>1048126788227031040</t>
  </si>
  <si>
    <t>925729346983165954</t>
  </si>
  <si>
    <t>4524846597</t>
  </si>
  <si>
    <t>1951791067</t>
  </si>
  <si>
    <t>41822696</t>
  </si>
  <si>
    <t>152684452</t>
  </si>
  <si>
    <t>1240239979332239361</t>
  </si>
  <si>
    <t>1333824489432477698</t>
  </si>
  <si>
    <t>111613782</t>
  </si>
  <si>
    <t>429842803</t>
  </si>
  <si>
    <t>4142265737</t>
  </si>
  <si>
    <t>10228272</t>
  </si>
  <si>
    <t>932516509</t>
  </si>
  <si>
    <t>932055271</t>
  </si>
  <si>
    <t>49969897</t>
  </si>
  <si>
    <t>1138875185891880960</t>
  </si>
  <si>
    <t>1184100736717742091</t>
  </si>
  <si>
    <t>1191727186295738368</t>
  </si>
  <si>
    <t>109919567</t>
  </si>
  <si>
    <t>425330612</t>
  </si>
  <si>
    <t>59526518</t>
  </si>
  <si>
    <t>164369297</t>
  </si>
  <si>
    <t>72198806</t>
  </si>
  <si>
    <t>17494010</t>
  </si>
  <si>
    <t>1418173861</t>
  </si>
  <si>
    <t>1349082826130550787</t>
  </si>
  <si>
    <t>866655960244289541</t>
  </si>
  <si>
    <t>1445712963487219719</t>
  </si>
  <si>
    <t>482389086</t>
  </si>
  <si>
    <t>1053190093106827264</t>
  </si>
  <si>
    <t>970613094367014912</t>
  </si>
  <si>
    <t>1022842723060117504</t>
  </si>
  <si>
    <t>1239260670903885826</t>
  </si>
  <si>
    <t>247351807</t>
  </si>
  <si>
    <t>2331761587</t>
  </si>
  <si>
    <t>1378512255394910211</t>
  </si>
  <si>
    <t>1562877217</t>
  </si>
  <si>
    <t>1126121531518660609</t>
  </si>
  <si>
    <t>914462377</t>
  </si>
  <si>
    <t>409115385</t>
  </si>
  <si>
    <t>808645358125465601</t>
  </si>
  <si>
    <t>868147885531160576</t>
  </si>
  <si>
    <t>711561973138259968</t>
  </si>
  <si>
    <t>903193501936091136</t>
  </si>
  <si>
    <t>500964316</t>
  </si>
  <si>
    <t>1369764581208363019</t>
  </si>
  <si>
    <t>930103264917512197</t>
  </si>
  <si>
    <t>24703791</t>
  </si>
  <si>
    <t>1458364616589852678</t>
  </si>
  <si>
    <t>1510830871</t>
  </si>
  <si>
    <t>270479160</t>
  </si>
  <si>
    <t>25149628</t>
  </si>
  <si>
    <t>1303799230319013889</t>
  </si>
  <si>
    <t>1233324745334099970</t>
  </si>
  <si>
    <t>151513624</t>
  </si>
  <si>
    <t>720609511229296640</t>
  </si>
  <si>
    <t>831857856425107456</t>
  </si>
  <si>
    <t>87722948</t>
  </si>
  <si>
    <t>131148572</t>
  </si>
  <si>
    <t>356936094</t>
  </si>
  <si>
    <t>70775228</t>
  </si>
  <si>
    <t>1414577827698159618</t>
  </si>
  <si>
    <t>137954450</t>
  </si>
  <si>
    <t>1155154630399156224</t>
  </si>
  <si>
    <t>2555132480</t>
  </si>
  <si>
    <t>484339022</t>
  </si>
  <si>
    <t>1313734365734731778</t>
  </si>
  <si>
    <t>3020154741</t>
  </si>
  <si>
    <t>1062295023008604160</t>
  </si>
  <si>
    <t>1125231541</t>
  </si>
  <si>
    <t>1382036392663003137</t>
  </si>
  <si>
    <t>109010580</t>
  </si>
  <si>
    <t>3227670093</t>
  </si>
  <si>
    <t>454747154</t>
  </si>
  <si>
    <t>410059729</t>
  </si>
  <si>
    <t>6751882</t>
  </si>
  <si>
    <t>1202670477770022912</t>
  </si>
  <si>
    <t>1019649513647157251</t>
  </si>
  <si>
    <t>1020245343160741888</t>
  </si>
  <si>
    <t>820346994342449154</t>
  </si>
  <si>
    <t>1608750632</t>
  </si>
  <si>
    <t>1169578169646686208</t>
  </si>
  <si>
    <t>1117198713775099907</t>
  </si>
  <si>
    <t>2446734732</t>
  </si>
  <si>
    <t>1195347808271908864</t>
  </si>
  <si>
    <t>888434877477138432</t>
  </si>
  <si>
    <t>57338289</t>
  </si>
  <si>
    <t>1203955226</t>
  </si>
  <si>
    <t>36790269</t>
  </si>
  <si>
    <t>2515135916</t>
  </si>
  <si>
    <t>1007362466509131783</t>
  </si>
  <si>
    <t>3317357074</t>
  </si>
  <si>
    <t>1032277451932618754</t>
  </si>
  <si>
    <t>1638030776</t>
  </si>
  <si>
    <t>586436215</t>
  </si>
  <si>
    <t>3888185141</t>
  </si>
  <si>
    <t>3151376967</t>
  </si>
  <si>
    <t>264864456</t>
  </si>
  <si>
    <t>606325697</t>
  </si>
  <si>
    <t>1199415970202292224</t>
  </si>
  <si>
    <t>71026122</t>
  </si>
  <si>
    <t>586943826</t>
  </si>
  <si>
    <t>505158929</t>
  </si>
  <si>
    <t>2650639254</t>
  </si>
  <si>
    <t>1458858304118177794</t>
  </si>
  <si>
    <t>1173751434870833152</t>
  </si>
  <si>
    <t>1415590609080004608</t>
  </si>
  <si>
    <t>471965376</t>
  </si>
  <si>
    <t>1452561980129226752</t>
  </si>
  <si>
    <t>557036574</t>
  </si>
  <si>
    <t>4874132008</t>
  </si>
  <si>
    <t>1008673909</t>
  </si>
  <si>
    <t>1459551139511226368</t>
  </si>
  <si>
    <t>53039176</t>
  </si>
  <si>
    <t>59750982</t>
  </si>
  <si>
    <t>1257604508580003840</t>
  </si>
  <si>
    <t>720971934700281856</t>
  </si>
  <si>
    <t>22746537</t>
  </si>
  <si>
    <t>4210973465</t>
  </si>
  <si>
    <t>2820659740</t>
  </si>
  <si>
    <t>22630625</t>
  </si>
  <si>
    <t>19585645</t>
  </si>
  <si>
    <t>204748499</t>
  </si>
  <si>
    <t>912121688</t>
  </si>
  <si>
    <t>217121576</t>
  </si>
  <si>
    <t>1074913039</t>
  </si>
  <si>
    <t>25067779</t>
  </si>
  <si>
    <t>14499829</t>
  </si>
  <si>
    <t>156385075</t>
  </si>
  <si>
    <t>17177897</t>
  </si>
  <si>
    <t>159146922</t>
  </si>
  <si>
    <t>731209336832311296</t>
  </si>
  <si>
    <t>1424660092322996227</t>
  </si>
  <si>
    <t>2822741891</t>
  </si>
  <si>
    <t>963158134729650177</t>
  </si>
  <si>
    <t>318055680</t>
  </si>
  <si>
    <t>929810225280028673</t>
  </si>
  <si>
    <t>3169919951</t>
  </si>
  <si>
    <t>941285316169818113</t>
  </si>
  <si>
    <t>140484104</t>
  </si>
  <si>
    <t>111630094</t>
  </si>
  <si>
    <t>1417970672907784195</t>
  </si>
  <si>
    <t>1262167370</t>
  </si>
  <si>
    <t>92391733</t>
  </si>
  <si>
    <t>451263338</t>
  </si>
  <si>
    <t>1093932227719819264</t>
  </si>
  <si>
    <t>3964977975</t>
  </si>
  <si>
    <t>44957814</t>
  </si>
  <si>
    <t>2813358969</t>
  </si>
  <si>
    <t>1024647800</t>
  </si>
  <si>
    <t>1158765857016864768</t>
  </si>
  <si>
    <t>2938408880</t>
  </si>
  <si>
    <t>811322528329306112</t>
  </si>
  <si>
    <t>22129041</t>
  </si>
  <si>
    <t>2725661872</t>
  </si>
  <si>
    <t>1047487311540310016</t>
  </si>
  <si>
    <t>270543051</t>
  </si>
  <si>
    <t>607232023</t>
  </si>
  <si>
    <t>356127438</t>
  </si>
  <si>
    <t>1157350792216682499</t>
  </si>
  <si>
    <t>802983560</t>
  </si>
  <si>
    <t>988868700</t>
  </si>
  <si>
    <t>1177513252097413120</t>
  </si>
  <si>
    <t>1150800137075200000</t>
  </si>
  <si>
    <t>4126390492</t>
  </si>
  <si>
    <t>1665136896</t>
  </si>
  <si>
    <t>1090252530741923840</t>
  </si>
  <si>
    <t>2288794207</t>
  </si>
  <si>
    <t>761492744435032064</t>
  </si>
  <si>
    <t>1326514840152772612</t>
  </si>
  <si>
    <t>83110204</t>
  </si>
  <si>
    <t>4860678929</t>
  </si>
  <si>
    <t>16564324</t>
  </si>
  <si>
    <t>1414934167050203136</t>
  </si>
  <si>
    <t>1049810355491401728</t>
  </si>
  <si>
    <t>1260488764922761216</t>
  </si>
  <si>
    <t>625048553</t>
  </si>
  <si>
    <t>82368596</t>
  </si>
  <si>
    <t>34671743</t>
  </si>
  <si>
    <t>1409540709732990983</t>
  </si>
  <si>
    <t>778703958499926016</t>
  </si>
  <si>
    <t>893936379851362306</t>
  </si>
  <si>
    <t>388903275</t>
  </si>
  <si>
    <t>4396079182</t>
  </si>
  <si>
    <t>159822837</t>
  </si>
  <si>
    <t>3145168942</t>
  </si>
  <si>
    <t>17140902</t>
  </si>
  <si>
    <t>814928355015454720</t>
  </si>
  <si>
    <t>61037091</t>
  </si>
  <si>
    <t>84582815</t>
  </si>
  <si>
    <t>166106255</t>
  </si>
  <si>
    <t>436969570</t>
  </si>
  <si>
    <t>1409534534962630662</t>
  </si>
  <si>
    <t>205636848</t>
  </si>
  <si>
    <t>755380548739166208</t>
  </si>
  <si>
    <t>903767393956220928</t>
  </si>
  <si>
    <t>2900998659</t>
  </si>
  <si>
    <t>1137399061</t>
  </si>
  <si>
    <t>1231417381</t>
  </si>
  <si>
    <t>1177311688434966528</t>
  </si>
  <si>
    <t>20708776</t>
  </si>
  <si>
    <t>Environmentally conscious Pharmacy professionals calling for Climate/Health Action, Leadership &amp; Education. Join us! #GreenNHS</t>
  </si>
  <si>
    <t>Together We’re Better brings the NHS and local government together to transform the way we provide health and care across Staffordshire and Stoke-on-Trent.</t>
  </si>
  <si>
    <t>_xD83D__xDC3F_ Public Health Advocate</t>
  </si>
  <si>
    <t>West Hertfordshire Hospitals NHS Trust Pharmacy Department.</t>
  </si>
  <si>
    <t>After 30 years I still think being a nurse is the best job in the world and it is a privilege to get up and be one everyday. Chief Nurse, West Herts.</t>
  </si>
  <si>
    <t>Watford General, Hemel Hempstead &amp; St Albans City Hospitals. Our vision is the very best care for every patient, every day #NHS</t>
  </si>
  <si>
    <t>This is an official feed of the UK Health Security Agency (UKHSA) providing regular news updates on the work of the organisation in the North West.</t>
  </si>
  <si>
    <t>Updates from our communications team. We always try and help with enquiries but most issues should be reported online _xD83D__xDE0A_</t>
  </si>
  <si>
    <t>TMF Networks support health care providers in all settings to collaborate and identify solutions to improve health care outcomes. Email: tmfnetworks@tmf.org.</t>
  </si>
  <si>
    <t>Led by GPs working in partnership with local people and organisations, we commission health services for Warrington.  Tweets monitored 9-5, Mon-Fri.</t>
  </si>
  <si>
    <t>Official home of the @VUMCHealth ID fellowship program. RTs &amp; likes ≠ endorsements. https://t.co/ZzsGdfjf8b</t>
  </si>
  <si>
    <t>The official Twitter page of Yorkshire Ambulance Service NHS Trust. Bringing you the latest news about your ambulance service.</t>
  </si>
  <si>
    <t>This is an official feed of the UK Health Security Agency (UKHSA) providing regular news updates on the work of the organisation in the South West.</t>
  </si>
  <si>
    <t>Official account of the British Consulate-General in Atlanta, serving the US Southeast. Follow our CG @StauntonUK Press: Atlanta.Communications@fcdo.gov.uk</t>
  </si>
  <si>
    <t>The latest scientific news &amp; updates from researchers at @umnCVM. View our research output &amp; most recent publications at https://t.co/tbUUcOFnQt.</t>
  </si>
  <si>
    <t>This is an official feed of the UK Health Security Agency (UKHSA) providing regular news updates on the work of the organisation in London.</t>
  </si>
  <si>
    <t>Our vision is for Utah to be a place where all people can enjoy the best health possible, where all can live, grow and prosper in healthy and safe communities.</t>
  </si>
  <si>
    <t>This is an official feed of the UK Health Security Agency (UKHSA) providing regular news updates on the work of the organisation in Yorkshire &amp; the Humber.</t>
  </si>
  <si>
    <t>Clinical Scientist in microbiology.   Interests: antimicrobial resistance; epidemiology of Gram-negatives; diagnostics for resistance detection.   Views my own.</t>
  </si>
  <si>
    <t>Infectious Disease/Antimicrobial Pharmacist. Freelance Writer Travel X Health</t>
  </si>
  <si>
    <t>Centre for Clinical Microbiology at UCL combines internationally  renowned academic, research and clinical expertise in microbiology.</t>
  </si>
  <si>
    <t>Official Twitter page for the Virginia Department of Health. All Virginians should register for a vaccine at 877-VAX-IN-VA  or visit https://t.co/7ysNmjfMtA</t>
  </si>
  <si>
    <t>Clinician, Researcher at RSPH, ANU, Canberra. Research interests Childhood-obesity, inequalities, lifestyle diseases, immigrant and refugee health.</t>
  </si>
  <si>
    <t>This is an official feed of the UK Health Security Agency (UKHSA) providing regular news updates on the work of the organisation in the East Midlands</t>
  </si>
  <si>
    <t>Pharmacist | Antibiotic geek _xD83E__xDD13_ | Bake-Off Wannabe | Attempted Runner | Poodle afficionado | She/Her All views my own</t>
  </si>
  <si>
    <t>Advanced Specialist Pharmacist Trauma&amp;Orthopaedics and Neurosurgery at University Hospital North Midlands</t>
  </si>
  <si>
    <t>Becky Marsh
Practice Development Nurse for Trauma, Orthopaedics &amp; Neurosurgery at UHNM.
Love all things _xD83C__xDF70_. Mum of 2 beautiful boys _xD83D__xDC99_.
All views my own.</t>
  </si>
  <si>
    <t>Neurosurgery team at UHNM, a specialist ward for patients with brain and spinal conditions.</t>
  </si>
  <si>
    <t>The (sort of) official Twitter account of #AntimicrobialStewardship team @UHNM_NHS. Tackling #AMResistance with education &amp; interventions. Media @JonSnape70</t>
  </si>
  <si>
    <t>The official Twitter feed for University Hospitals of North Midlands NHS Trust. Join the UHNM Family - https://t.co/aabKavp9vL</t>
  </si>
  <si>
    <t>UHNM Charity is working to make a real difference at the Royal Stoke University Hospital and County Hospital, Stafford. Part of @UHNM_NHS.</t>
  </si>
  <si>
    <t>Providing evidence-based info to Infectious Disease professionals via meetings, education, networking &amp; clinical info since 1973. Likes/RT≠endorsement.</t>
  </si>
  <si>
    <t>We provide mental health and learning disability services in Co. Durham, Tees Valley, N Yorks and York. Crisis info: https://t.co/rauRmjI3SE…</t>
  </si>
  <si>
    <t>This is an official feed of the UK Health Security Agency (UKHSA) providing regular news updates on the work of the organisation in the North East</t>
  </si>
  <si>
    <t>School of Pharmacy at University of Waterloo. Canada's newest and only cooperative pharmacy program.</t>
  </si>
  <si>
    <t>Official feed for the UK Health Security Agency in the South East, giving regular news and updates on UKHSA's work in the area.</t>
  </si>
  <si>
    <t>Official feed for the UK Health Security Agency in the West Midlands region, giving regular news and updates on UKHSA's work in the area.</t>
  </si>
  <si>
    <t>Your faith should be bigger than your fear! Doctor ~ _xD83D__xDC3C_ ~ Public Health Extrovert ~ Traveling ~ _xD83E__xDD1F__xD83C__xDFFB__xD83D__xDE0E_                Be kind it’s Cooler than Being Cool._xD83D__xDE0E__xD83E__xDD1F__xD83C__xDFFB_</t>
  </si>
  <si>
    <t>We're Wirral Community Health &amp; Care NHS Foundation Trust, providing a wide range of outstanding community based care. This account is monitored Mon-Fri 9am-5pm</t>
  </si>
  <si>
    <t>A @PFCD initiative, PFID is patients, providers, community orgs, health policy experts &amp; more working to advance awareness &amp; action on #AMR &amp; vaccine confidence</t>
  </si>
  <si>
    <t>News &amp; information from the Infectious Diseases Society of America, a community of 12,000+ physicians, scientists &amp; public health experts who specialize in ID.</t>
  </si>
  <si>
    <t>At Southampton we undertake world leading primary care research, helping to inform and improve evidence based health care.</t>
  </si>
  <si>
    <t>Official Twitter feed for UKHSA (UK Health Security Agency), East of England, giving regular news and updates on UKHSA's work in the East of England region.</t>
  </si>
  <si>
    <t>British Consul General representing UK interests in AL, GA, MS, NC, SC and TN. Proud #Scotsman happy to be here in the Southeast USA. Follow us @UKinAtlanta.</t>
  </si>
  <si>
    <t>An independent global network for concerted action on Antibiotic Resistance. Privacy policy: https://t.co/80SuOXKHTp…</t>
  </si>
  <si>
    <t>The European Centre for Disease Prevention and Control. We aim at strengthening #Europe's defences against infectious diseases.</t>
  </si>
  <si>
    <t>European Antibiotic Awareness Day, every 18 November, raises awareness on the public health threat of antibiotic resistance. It is coordinated by @ECDC_EU</t>
  </si>
  <si>
    <t>Der Twitter-Account der Fachzeitung Management &amp; Krankenhaus. Wir berichten umfassend über alle für das stationäre Gesundheitswesen relevanten Themen.</t>
  </si>
  <si>
    <t>University of Bonn: founded in 1818, University of Excellence since 2019 / Universität Bonn: gegründet 1818, Exzellenzuniversität seit 2019.</t>
  </si>
  <si>
    <t>Flagship institution of higher education in northern Sweden. Characterised by excellence, innovation, openness and diversity. Tweets by Communications Office.</t>
  </si>
  <si>
    <t>News from the Swedish medical university Karolinska Institutet (KI).</t>
  </si>
  <si>
    <t>We represent more than 300 hospitals and health systems dedicated to high-quality care for all, including the vulnerable. Retweets not endorsements.</t>
  </si>
  <si>
    <t>CDC's official Twitter source for daily credible health &amp; safety updates from Centers for Disease Control &amp; Prevention. Privacy policy: https://t.co/N3OhkbXTAq</t>
  </si>
  <si>
    <t>We are PolyPid! A late-stage biopharmaceutical company aiming to improve surgical outcomes. #LayerByLayer</t>
  </si>
  <si>
    <t>A man with different thoughts who do not blindly follows the trends, always tries to make his own. an optimist who want to give hope to people.</t>
  </si>
  <si>
    <t>#Dental #infectionprevention and #infectioncontrol is for every facility! Podcast links are at the website listed under the "Podcast Link" menu.</t>
  </si>
  <si>
    <t>We are responsible for planning, buying and monitoring healthcare services for people living in north east London. We are part of @NELHCP.</t>
  </si>
  <si>
    <t>We are part of @NHS_NELCCG responsible for healthcare services for people in Tower Hamlets, Newham and Waltham Forest.</t>
  </si>
  <si>
    <t>Your partner in a healthier future for all</t>
  </si>
  <si>
    <t>Science journalist, SHERP 40 @nyu_journalism (she/her)</t>
  </si>
  <si>
    <t>Mummy of two. 
Antimicrobial pharmacist.
In need of a tardis.
Loves family days out, music*, dance*, long walks*, good books*, chocolate (*see need for tardis.)</t>
  </si>
  <si>
    <t>Hand in hand, we imagine, we believe and we achieve in the heart of our community. Cheshire Primary School of the Year 2016.</t>
  </si>
  <si>
    <t>Official Twitter account of the Society of Infectious Diseases Pharmacists (SIDP). #AntimicrobialStewardship #IDTwitter
COVID-19 Resources: https://t.co/nzJXjFADYM</t>
  </si>
  <si>
    <t>PANDORA-ID-NET is an EDCTP-funded project to strengthen the capacity of African countries to respond to Ebola and other outbreak infectious diseases.</t>
  </si>
  <si>
    <t>NHSE&amp;I: Regional Antimicrobial Stewardship Lead (SE) |Pharmacist| Highly Commended #AntibioticGuardian Award Winner| Interests: AMR Research, QI |A Loreto girl.</t>
  </si>
  <si>
    <t>AMR: National Pharmacy &amp; Prescribing Clinical Lead</t>
  </si>
  <si>
    <t>We are the NHS in the South East. This account is only monitored between Monday-Friday 9am-5pm. https://t.co/jFsqrPiuUz</t>
  </si>
  <si>
    <t>UK Special Envoy on Antimicrobial Resistance. Former Chief Medical Officer for England. (For my 'day job' as Master @TrinCollCam pls see @MasterSallyTrin)</t>
  </si>
  <si>
    <t>Lead Pharmacist HCAI &amp; AMR. Dep Chair #ESPAUR, Chair #Antibioticguardian. Mum. FRPharmS. FFRPS #CwPAMS #TEDx x2 speaker. Views mine</t>
  </si>
  <si>
    <t>Official feed of the UK Health Security Agency (UKHSA) providing regular news updates on the work of the organisation.</t>
  </si>
  <si>
    <t>Chief Pharmaceutical Officer for NHS England, Department of Health, Health Education England - https://t.co/edsO7frSrX</t>
  </si>
  <si>
    <t>Planning and buying health and care services for residents across Surrey Heartlands. Please refer to our website for the latest info on Covid-19 vaccinations.</t>
  </si>
  <si>
    <t>Promoting veterinary and public health through research, education, and service since 1934'</t>
  </si>
  <si>
    <t>Responsible for the healthcare of everyone living in our City and County #TogetherWeAreNotts</t>
  </si>
  <si>
    <t>We are part of @NHS_NELCCG responsible for healthcare services for people in Hackney and City of London</t>
  </si>
  <si>
    <t>Formulation Scientist (Boston) | Science communicator | Committed to empower women in science | Content and views are my own</t>
  </si>
  <si>
    <t>like and subscribe.</t>
  </si>
  <si>
    <t>The official Team NUH Twitter feed bringing news, &amp; celebrating &amp; recognising the many achievements of the 17,000 staff who make up #TeamNUH #WeListenWeCare</t>
  </si>
  <si>
    <t>We run #GrimsbyHospital, #ScunthorpeHospital and #GooleHospital as well as community services. Account monitored Mon-Fri, 9-5 (excl Bank Hols).</t>
  </si>
  <si>
    <t>Experts in infection, Page Medical are your agency partner for Marketing, Education and Events... no one knows infection like us!</t>
  </si>
  <si>
    <t>The official page of #TeamUHDBPharmacy. Delivering exceptional care together</t>
  </si>
  <si>
    <t>The official Twitter account for the @OSUWexMed Infectious Diseases Division, Fellowship and Antimicrobial Stewardship</t>
  </si>
  <si>
    <t>Healthcare advocate for @CF_Foundation. @CFReSHC. Founding member @grandstreetdems. Eternal optimist. WEAR A GODDAMN MASK.
Love this guy @ssatlon.</t>
  </si>
  <si>
    <t>The @CF_Foundation Greater New York Chapter supports the search for a cure for CF by fundraising, promoting awareness &amp; providing community support.</t>
  </si>
  <si>
    <t>Recognized globally, the CF Foundation has led the way in the fight against cystic fibrosis, fueling extraordinary medical and scientific progress.</t>
  </si>
  <si>
    <t>Represents New York's 7th Congressional District in the U.S. House of Representatives. Chair of House Small Business Committee. 
Follow us @HouseSmallBiz.</t>
  </si>
  <si>
    <t>Mom to Theo, Henry and dog Maple. Wife to Jonathan. U.S. Senator for New York. Not “very polite.” She/her.</t>
  </si>
  <si>
    <t>Official Account of Senator Chuck Schumer, New York’s Senator and the Senate Majority Leader.</t>
  </si>
  <si>
    <t>T2 Biosystems is dedicated to saving lives and reducing the cost of healthcare by empowering clinicians to effectively treat patients faster than ever before.</t>
  </si>
  <si>
    <t>Official Twitter account for RCSI University of Medicine and Health Sciences. Leading the world to better health.</t>
  </si>
  <si>
    <t>Clinical specialists in infection prevention and control, laboratory diagnosis of infection and management of complex infections.</t>
  </si>
  <si>
    <t>RCSI translational research enhances patient treatment, informs policy and clinical practice, and improves the quality of education of healthcare professionals.</t>
  </si>
  <si>
    <t>Official Twitter account RCSI Clinical Microbiology. Sharing our healthcare research, clinical and education activities, serving patients and the public.</t>
  </si>
  <si>
    <t>MD, Professor and Head of Clinical Microbiology Dept, RCSI &amp; Consultant Microbiologist Beaumont Hospital. Ireland. SPSP fellow Cohort 6. Instagram @rcsi_micro</t>
  </si>
  <si>
    <t>Consultant Microbiologist, proud to be working for the NHS.</t>
  </si>
  <si>
    <t>Since 1 April 2018 the CCGs in East Berkshire–Slough CCG, Bracknell and Ascot CCG, Windsor, Ascot and Maidenhead CCG merged to become East Berkshire CCG</t>
  </si>
  <si>
    <t>The Staffordshire &amp; Stoke-on-Trent CCGs are clinically led and work as a team to commission health services to meet the needs of local people. mediacsu@nhs.net</t>
  </si>
  <si>
    <t>Public Health Professional and Anthropologist</t>
  </si>
  <si>
    <t>NFID is a non-profit dedicated to educating the public and healthcare professionals about the prevention and treatment of infectious diseases #StopTheSpread</t>
  </si>
  <si>
    <t>NHS Sunderland Clinical Commissioning Group is responsible for the planning &amp; buying of local NHS care. Delivering better health for Sunderland. 
Mon-Fri 9-5.</t>
  </si>
  <si>
    <t>Pharm D|MPhil Pharmacy Practice|PhD Scholar 
The Islamia University of Bahawalpur, Pakistan
https://t.co/LjtEpXSSsI</t>
  </si>
  <si>
    <t>Aiming to protect and improve the Health of Walsall people. Tweets by Vikki &amp; David from Walsall Council Public Health Team Mon-Fri only.</t>
  </si>
  <si>
    <t>Committed to excellence in education, #research &amp; clinical care #RenaissanceSchoolofMedicine #SBURSOM #WeAreSBUDeptMed @stonybrooku @StonyBrookMed #internalmed</t>
  </si>
  <si>
    <t>Sociedad Española de Farmacia Hospitalaria, SEFH.
Política de privacidad ➡️ https://t.co/69mnkTxXo5</t>
  </si>
  <si>
    <t>Cuenta oficial de la Sociedad Española de Enfermedades Infecciosas y Microbiología Clínica</t>
  </si>
  <si>
    <t>Plan Nacional frente a la Resistencia a los Antibióticos (PRAN)</t>
  </si>
  <si>
    <t>Cuenta oficial de GEIRAS* de la SEIMC.  * Grupo de Estudio de Infecciones Relacionadas con la Asistencia Sanitaria (y PROA)</t>
  </si>
  <si>
    <t>Grupo #PROA (Programa Optimización Antibioterapia), Vigo. 
Antimicrobial Stewardship Program, Vigo</t>
  </si>
  <si>
    <t>CMO LAC+USC, infectious diseases expert, researcher</t>
  </si>
  <si>
    <t>Working to save antibiotics by supporting new drug innovation &amp; responsible use in agriculture &amp; health care. A @PewTrusts campaign.</t>
  </si>
  <si>
    <t>Surrey Heartlands – a partnership of health and care organisations helping people in Surrey live better and healthier lives</t>
  </si>
  <si>
    <t>Dedicated to serving the public's health in Philadelphia</t>
  </si>
  <si>
    <t>Mount Sinai Spinal Cord Injury Program provides persons with spinal cord injury (SCI) with information on events, programs, treatments &amp; research. #WeFindAWay</t>
  </si>
  <si>
    <t>QMC, Nottingham City Hospital &amp; Ropewalk House. Home to the @eastmidsMTC &amp; @nottmchildrens. Join the brilliant #TeamNUH: https://t.co/4s5An9Is4N #WeListen #WeCare _xD83C__xDFF3_️‍_xD83C__xDF08_</t>
  </si>
  <si>
    <t>Twitter feed for the Pharmacy Antimicrobial Stewardship team @MidYorkshireNHS.</t>
  </si>
  <si>
    <t>NIHR School for Primary Care Research is a partnership between 9 leading academic centres for primary care research in England.
a/c managed by Christina Farrall</t>
  </si>
  <si>
    <t>The Society for Healthcare Epidemiology of America’s mission is to prevent &amp; control HAIs &amp; advance healthcare epidemiology.</t>
  </si>
  <si>
    <t>Minnesota Department of Health is responsible for protecting, maintaining and improving the health of all Minnesotans. Phone: 651-201-5000</t>
  </si>
  <si>
    <t>General Dentist_xD83D__xDC89_ | Blessed ∞ | Simple and Ambitious | An amateur photographer |</t>
  </si>
  <si>
    <t>Working together with our NHS, councils and voluntary sector. Helping people live longer, healthier and happier lives in our City and County #TogetherWeAreNotts</t>
  </si>
  <si>
    <t>Healthier place, Healthier people, Healthier futures_xD83D__xDC99_ This account is monitored Monday to Friday from 9am - 5pm_xD83D__xDCBB_</t>
  </si>
  <si>
    <t>The R&amp;D team for general practices and CCGs across West Yorkshire - hosted by @NHSBfdCraven on behalf of the West Yorkshire CCGs.</t>
  </si>
  <si>
    <t>North East Health and Care Partnership brings the NHS and local authorities together to help local people live happier, healthier lives.</t>
  </si>
  <si>
    <t>300-bed community hospital, serving the health care needs of community in New Lenox and surrounding areas since Thanksgiving Day 1895.</t>
  </si>
  <si>
    <t>Trainer and auditor within the hospitality, licensed retail and food manufacturing sectors who has a bit of a thing for good shoes, cake and laughter</t>
  </si>
  <si>
    <t>KHC is a provider-led 501(c)3 organization with a mission to transform health care through patient-centered initiatives that improve quality, safety, and value.</t>
  </si>
  <si>
    <t>Kansas Department of Health &amp; Environment works to protect &amp; improve the health &amp; environment of all KSans. More: https://t.co/i6MX4SSYgB. Social Policy: https://t.co/iRWxfQ01PT</t>
  </si>
  <si>
    <t>CDC leads the fight against #AntibioticResistance, working w/ partners to drive actions in the U.S. &amp; abroad to keep people safe. We all have a role to play.</t>
  </si>
  <si>
    <t>Programme Officer @PHE_uk. Passionate about public health, antimicrobial resistance and immunology - so having a ball right now! all views are my own</t>
  </si>
  <si>
    <t>@mgh_id Antimicrobial Stewardship Team: Ramy Elshaboury, @JHuang_PharmD, Ronak Gandhi, Monique Bidell, @madamsick, @ARLetourneau &amp; Molly Paras</t>
  </si>
  <si>
    <t>Farmacéutico de hospital | El don de la oratoria | Infectious Diseases | Antimicrobial Stewardship</t>
  </si>
  <si>
    <t>Servicio de Microbiología y Parasitología Clínica del Hospital Universitario Son Espases. Clinical Microbiology Department. Son Espases Hospital. Mallorca.</t>
  </si>
  <si>
    <t>Servicio de Farmacia Hospital Son Espases [antes Son Dureta...]</t>
  </si>
  <si>
    <t>Clinical microbiologist _xD83D__xDD2C_ Hospital Son Espases  _xD83C__xDFE5_</t>
  </si>
  <si>
    <t>Farma especialista hospitalaria.
Comité coordinador PRAN-AEM y CAIB.
Grupo coordinador AFinf . JAMRAI-EU.
Máster enf infcc paciente crítico.
Menorquina!</t>
  </si>
  <si>
    <t>Twitter de l'Hospital Universitari Son Espases</t>
  </si>
  <si>
    <t>#GlobalHealth researcher #AMR #sequencing, football fan &amp; lover of all dogs that have ever existed. Postdoc for @pandoraIDNet @UCL_CCM, PI @AmrCovid (she/her)</t>
  </si>
  <si>
    <t>Senior Policy Manager at Compassion in World Farming. Working to end factory farming.</t>
  </si>
  <si>
    <t>Infection Dr @UCLH @HTropDis Hon. Assoc Prof @UCL Broadcaster #OperationOuch TV: @MiradorMgmt Books: @RCWZW</t>
  </si>
  <si>
    <t>@publichealth's Get Ready campaign helps Americans prepare for all health hazards, including #flu, infectious diseases, #disasters and other health emergencies.</t>
  </si>
  <si>
    <t>We help tackle the growing threat of infectious diseases by developing innovative diagnostic tests that rapidly identify causes of infection.</t>
  </si>
  <si>
    <t>Antimicrobial stewardship pharm/angel at MFT. CPhO Global Health Fellow. CPA AMR technical advisor. Its NOT about not prescribing antibiotics _xD83E__xDD84_</t>
  </si>
  <si>
    <t>Antibiotic guardians at Manchester Foundation Trust ensuring antimicrobials are used safely &amp; effectively #AMSChange</t>
  </si>
  <si>
    <t>Extensive experience in lymphoma and transplant, switching specialty late in career. Will be focusing on bronchogenic carcinoma.</t>
  </si>
  <si>
    <t>Preventing healthcare-associated infections by sharing research, evidence and best practice in UK healthcare and around the world.</t>
  </si>
  <si>
    <t>Black Country and West Birmingham Integrated Care System (ICS)_xD83C__xDF89_</t>
  </si>
  <si>
    <t>Trainee Hospital Pharmacist and Manchester United season ticket sufferer. All views my own.</t>
  </si>
  <si>
    <t>Account ufficiale - Principale centro di ricerca, controllo e consulenza tecnico-scientifica in materia di sanità pubblica in Italia</t>
  </si>
  <si>
    <t>HSE Dublin South, Kildare &amp; West Wicklow Community Healthcare. This account is not monitored 24/7. Contact @hselive for queries</t>
  </si>
  <si>
    <t>The Federation of Government Pharmacist ||
Happy to help for the welfare of #Pharmacists and #PublicHealth ||</t>
  </si>
  <si>
    <t>Michigan's Department of Health and Human Services</t>
  </si>
  <si>
    <t>We're responsible for the city's 85 GP practices. We spend around £963m a year on hospital &amp; community health services. Account monitored: Mon - Fri, 9am-5pm.</t>
  </si>
  <si>
    <t>The Iowa Dept. of Public Health works to protect and improve the health of Iowans. Content from followed feeds does not necessarily represent the views of IDPH.</t>
  </si>
  <si>
    <t>@NIHRresearch Health Protection Research Unit in #Healthcare-associated #Infections and #Antimicrobial Resistance at @imperialcollege. RT≠ endorse</t>
  </si>
  <si>
    <t>Network of maternity hospitals incl. Cork University Maternity Hospital #CUMH and the maternity units of #UHK, #UHW and Tipperary University Hospital #TUH</t>
  </si>
  <si>
    <t>Kentucky Antibiotic Awareness is a campaign to reduce inappropriate antibiotic use across the state of Kentucky.</t>
  </si>
  <si>
    <t>The official Twitter page for the Department of Pediatrics, the largest department at the @UofLMedSchool.</t>
  </si>
  <si>
    <t>NHS Halton Clinical Commissioning Group is responsible for commissioning and shaping local health services in Halton.</t>
  </si>
  <si>
    <t>In search of right path!</t>
  </si>
  <si>
    <t>Servicio de Farmacia del Hospital Universitario La Paz #PAZientes</t>
  </si>
  <si>
    <t>Twitter del programa de optimización de uso de antibióticos-HULP. Hospital Universitario La Paz Antimicrobial Stewardship Program Twitter account. Madrid, Spain</t>
  </si>
  <si>
    <t>EU Commission's DG Health &amp; Food Safety (SANTE). We are building the foundations of a stronger European #HealthUnion RT ≠ endorsement. Food tweets @Food_EU</t>
  </si>
  <si>
    <t>Public health campaign associate with @uspirg, @BucknellU grad, gardening enthusiast</t>
  </si>
  <si>
    <t>grimace is a close personal friend of mine</t>
  </si>
  <si>
    <t>Independent health news site dedicated to helping people understand the risks &amp; benefits of medicines. #SideEffects</t>
  </si>
  <si>
    <t>aka billiyon wali sarkar…   Unraveling life, one mystery at a time! Tried but couldn’t Succeed so still Mad at the Universe! Sarkari But Not So Sarkari!</t>
  </si>
  <si>
    <t>Leeds Teaching Hospitals Antimicrobial Stewardship Team</t>
  </si>
  <si>
    <t>Anthropogist/
Public health Professional</t>
  </si>
  <si>
    <t>A podcast with segments about skepticism, wildlife, environment &amp; things to smile about bookending a researched topic on how we can &amp; should do better.</t>
  </si>
  <si>
    <t>The Academy remains committed to strengthen the capacity of public health professionals by excellence in teaching, research, and policy advice.</t>
  </si>
  <si>
    <t>Dedicated to preserving our antibiotic lifeline through education, research, and collaborative partnerships.</t>
  </si>
  <si>
    <t>Dynamic and diligent healthcare professional</t>
  </si>
  <si>
    <t>This is the joint account for Hampshire and the Isle of Wight Integrated Care System and Hampshire, Southampton and Isle of Wight Clinical Commissioning Group.</t>
  </si>
  <si>
    <t>Pharmacist with a passion for patient safety.</t>
  </si>
  <si>
    <t>Join the #AntibioticResistance Action Center at the George Washington University (#GWSPH) in the global battle against #antibioticresistance &amp; #superbugs</t>
  </si>
  <si>
    <t>European Parliament in Ireland _xD83C__xDDEE__xD83C__xDDEA_ | https://t.co/SbHd4TuTM7 | https://t.co/kNZasMDtcT | @Europarl_GA | RTs ≠ endorsement</t>
  </si>
  <si>
    <t>from intensity of ecstasy to absolute annihilation and stillness.</t>
  </si>
  <si>
    <t>Receive the latest drug information from the US FDA. Contact us at 1.855.543.3784 or druginfo@fda.hhs.gov. Privacy Policy - http://t.co/DUce95M3Ty.</t>
  </si>
  <si>
    <t>Associate Medical Director, Medical Microbiologist &amp; Infection Control Doctor. All Tweets my own. #QI #ClinGov @uhbtrust. Team twitter: @uhbipc #IPCinAction</t>
  </si>
  <si>
    <t>The vanguard of AMR research | Interdisciplinary approach | Treatment beyond drugs | Stewardship resource reviews | Thought leadership | Committed to One Health</t>
  </si>
  <si>
    <t>Associate Professor in @WarwickLifeSci studying the molecular &amp; cellular mechanisms of phage therapy and phages as diagnostics.</t>
  </si>
  <si>
    <t>We provide diagnostic solutions which determine the source of disease &amp; contamination to improve patient health &amp; ensure consumer safety. #DiagnosticsIsPower</t>
  </si>
  <si>
    <t>Regional Antimicrobial Stewardship Lead (Midlands) NHS England; Chair - BSAC Drug Stability Testing working party; Senior Editor JAC-AMR. All views my own.</t>
  </si>
  <si>
    <t>All views are my own. CCG pharmacist, mummy of boys #amrschools #antibioticguardian #Doit4Das #keepantibioticsworking</t>
  </si>
  <si>
    <t>NHS Birmingham and Solihull CCG became the largest CCG in England on 1 April 2018. We commission health services for 1.3m people. Open 9am-5pm, Mon-Fri.</t>
  </si>
  <si>
    <t>Epidemiologist, Infectious Diseases Consultant, Wife &amp; Mother. @UKHSA, Royal Free London, UCL. Retweets are not endorsements. Tweets in personal capacity</t>
  </si>
  <si>
    <t>Infectious Diseases Clinical Pharmacist, Drug therapy specialist,Up to date information, Best of #IDTwitter &amp; #COVID19 #TwitteRx #medtwitter #wikiIDguide</t>
  </si>
  <si>
    <t>Chief Nursing Officer  @ouh Oxford University Hospitals</t>
  </si>
  <si>
    <t>Facilitating antimicrobial stewardship with innovative technology and industry-leading guidelines.</t>
  </si>
  <si>
    <t>Advanced Pharmacist in Infection Prevention and Control, University Hospitals Birmingham.</t>
  </si>
  <si>
    <t>Heartlands, Solihull and Good Hope Hospitals, Queen Elizabeth Hospital Birmingham, Solihull Community Services and Birmingham Chest Clinic. Tweets 9-5, Mon-Fri</t>
  </si>
  <si>
    <t>Pharmacist &amp; NHS E/I Regional Antimicrobial Stewardship Lead  South West Region; #ToDipOrNotToDip #AntibioticGuardian; Q community;  All views my own</t>
  </si>
  <si>
    <t>We are the #UnitedNations’ health agency - #HealthForAll.
▶️ Always check our latest tweets on #COVID19 for updated advice/information.</t>
  </si>
  <si>
    <t>Pursuing Truth, Transparency &amp; Intregity :
#Halal #MisLabellingHALAL  #AnimalWelfare #BanLiveExports #Health #Diet #Eatlessmeat #BCCWW #Cancer #foodsecruity</t>
  </si>
  <si>
    <t>Our vision is a world where farm animals are treated with compassion &amp; respect. 
Our mission is to end factory farming. #TeamCompassion_xD83D__xDC9A_ #EndTheCageAge</t>
  </si>
  <si>
    <t>Animal advocate, author. Global CEO: Compassion in World Farming, Visiting Professor Winchester, President: Eurogroup for Animals
Books Farmageddon, Dead Zone.</t>
  </si>
  <si>
    <t>Official Twitter feed from the Food Standards Agency (FSA). Keep up with the latest food safety tips, news and alerts. Also here to help Mon-Fri 9am-5pm</t>
  </si>
  <si>
    <t>In Service of Deserving Humanity;Sapiosexual;MSPH,
Public Health at HSA islamadad.
_In great attempts its glorious to fail.</t>
  </si>
  <si>
    <t>Antimicrobial Stewardship Comittee in Cork University Hospital</t>
  </si>
  <si>
    <t>President of the Royal College of Physicians Ireland &amp; Former Dean of UCC Medical School. Consultant in Infectious Diseases. Kerry _xD83D__xDC9A__xD83D__xDC9B_</t>
  </si>
  <si>
    <t>Infectious Diseases Consultant Cork
#Holdfirm_xD83C__xDF08_</t>
  </si>
  <si>
    <t>ID doctor; jack of a few trades, better at some of them.</t>
  </si>
  <si>
    <t>Infectious Diseases. Views are my own. He/him</t>
  </si>
  <si>
    <t>CUH is the largest university teaching hospital in Ireland and the only Level 1 Trauma centre in the country. Unfortunately tweets will not be responded to #CUH</t>
  </si>
  <si>
    <t>We are the Pathology Department for East Kent Hospitals University NHS Foundation Trust, employing more than 300 staff and undertaking 11 million tests/y.</t>
  </si>
  <si>
    <t>Official Twitter for East Kent Hospitals University NHS Foundation Trust. It is actively monitored 9am to 5pm Monday to Friday.</t>
  </si>
  <si>
    <t>It is our mission to protect and improve the health and well-being of all Arkansans.</t>
  </si>
  <si>
    <t>#infectiousdisease and #infectionprevention #podcast.  Find us wherever you listen to podcasts! DM us if you'd like to be a guest!</t>
  </si>
  <si>
    <t>NCEZID works to protect people from emerging and zoonotic infectious diseases, from anthrax to Zika.</t>
  </si>
  <si>
    <t>Tweeting news and information about BD (Becton, Dickinson and Co.) - a leading global medical technology company. #bectondickinson #BD #BDX</t>
  </si>
  <si>
    <t>MIT trained, Nobel laureate supervised infectious diseases Scientist, Pharmacist, Public health professional, healthcare technologies expert &amp; changemaker,</t>
  </si>
  <si>
    <t>Official account of Boston Children's Division of Infectious Disease. Tweets are not medical advice. Disclaimer: https://t.co/mnGpEfJgCd</t>
  </si>
  <si>
    <t>Nutritionist</t>
  </si>
  <si>
    <t>U.S. Department of Health and Human Services' Agency for Healthcare Research and Quality https://t.co/FnhwDDq9FV</t>
  </si>
  <si>
    <t>EFN is the united and independent voice of the nursing profession in the EU.</t>
  </si>
  <si>
    <t>Director of CDC’s National Center for Emerging and Zoonotic Infectious Diseases: Using the latest science to prevent and control infectious diseases</t>
  </si>
  <si>
    <t>Infectious diseases attending, antimicrobial steward, epidemiologist...otherwise, bibliophile, musician, and travel enthusiast.</t>
  </si>
  <si>
    <t>Clinical Lecturer @UWPharmacy
Consultant Pharmacist @GRHospitalKW
Obsessive about Infectious Disease Rx &amp; Antimicrobial Stewardship (Opinions expressed my own)</t>
  </si>
  <si>
    <t>Antimicrobial Stewardship Collaborative of South Carolina (ASC-SC) - Working to coordinate and improve antimicrobial stewardship across South Carolina</t>
  </si>
  <si>
    <t>We are the leader of the local NHS in Cambridgeshire and Peterborough, UK. Monitored 9am-5pm Monday to Friday (excl Bank Holidays).</t>
  </si>
  <si>
    <t>Clinical Scientist in IPC | Defender of LGBT Rights | Free Speech Advocate | Anti-bully _xD83C__xDFF3_️‍_xD83C__xDF08__xD83C__xDDEC__xD83C__xDDE7_</t>
  </si>
  <si>
    <t>Happy wife, proud mum, microbiologist _xD83E__xDDA0__xD83D__xDE37_, sometimes runner _xD83C__xDFC3__xD83C__xDFFD_‍♀️ , cake baker _xD83E__xDDC1_, feeder, ENFP, liverpool fan, proud Lancastrian _xD83C__xDF39_ .</t>
  </si>
  <si>
    <t>Welcome to Northumbria Pharmacy's Twitter page.</t>
  </si>
  <si>
    <t>Performing over 23 million core and specialist tests per year, Manchester University NHS Foundation Trust is a pathology one-stop shop</t>
  </si>
  <si>
    <t>News from Manchester University NHS Foundation Trust, (MFT): the leading provider of healthcare services in Manchester and Trafford.</t>
  </si>
  <si>
    <t>Welcome to Manchester University NHS  Foundation Trust Pharmacy twitter page</t>
  </si>
  <si>
    <t>Official Twitter feed for Barts Health NHS Trust. Find out how we're providing safe and compassionate care in east London and beyond. Here to chat Mon-Fri 9-5pm</t>
  </si>
  <si>
    <t>Providing clinical infection support to Barts Health NHS Trust and GPs across East London</t>
  </si>
  <si>
    <t>This is the official Twitter account for Barts Health Pharmacy Department</t>
  </si>
  <si>
    <t>Official Twitter feed for Newham Hospital @NHSBartsHealth.
Here to chat Monday to Friday, 9am-5pm</t>
  </si>
  <si>
    <t>NHS Consultant in Communicable Diseases-Wales &amp; England. FFPH, FRSTMH, FCIEH. Health Protection Lead for the 2022 Commonwealth Games. Trustee @stjohncymru</t>
  </si>
  <si>
    <t>Programme Officer in the Antimicrobial Resistance Team @UKHSA Big fan of public health, as we all should be at the moment.... Views are my own of course.</t>
  </si>
  <si>
    <t>Trust Pharmacist @EMASNHSTRUST tweets #palliativecare #emergency #urgentcare and _xD83C__xDDF3__xD83C__xDDFF_ All views my own.           
Orcid: 0000-0003-2008-6764</t>
  </si>
  <si>
    <t>Day Zero Diagnostics #DZD is pioneering a new class of infectious disease diagnostics using genome sequencing &amp; #MachineLearning to combat #AntibioticResistance</t>
  </si>
  <si>
    <t>PGY1 Pharmacy Residency program at Atrium Health Cabarrus, a 457-bed community teaching hospital located in Concord, North Carolina</t>
  </si>
  <si>
    <t>Epidemiologist @UKHSA &amp; @UniofOxford HPRU DPhil Student @NDMOxford @ReubenCollege _xD83D__xDCCA__xD83D__xDC8A_My own views _xD83D__xDE46__xD83C__xDFFB_‍♀️</t>
  </si>
  <si>
    <t>Providing timely news to improve the diagnosis, treatment, and prevention of infectious diseases.</t>
  </si>
  <si>
    <t>The official account of The National Academies of Sciences, Engineering, and Medicine. Advising the nation, advancing the discussion, connecting new frontiers.</t>
  </si>
  <si>
    <t>A collaboration between @UCL_CCM @HerpeZ4 and the Institute for Endemic Diseases, Sudan, funded by @BSACandJAC. Part of the @PandoraIDNet family!</t>
  </si>
  <si>
    <t>HerpeZ is a Zambian medical research organization. We work on TB, outbreaks, bacterial infections, and of course, herpesvirus infections.</t>
  </si>
  <si>
    <t>The Chapel Medical Centre has been established for around 10 years serving the community of #Slough to provide excellent healthcare.</t>
  </si>
  <si>
    <t>Eurodeputada ∣ MEP 2019-2024
@psocialista @PSMadeira @PSnaEuropa @TheProgressives • https://t.co/fDRK1khjn3 • https://t.co/mkOLYGnPTT • MD MSc Public Health</t>
  </si>
  <si>
    <t>BEVA is a membership association for Equine Veterinary Surgeons both within the UK and abroad.</t>
  </si>
  <si>
    <t>#AntimicrobialStewardship pharmacist and #AMR researcher @PublicHealthON and @HotelDieuShaver 
Master of Public Health Student @MPHMcMaster</t>
  </si>
  <si>
    <t>An educational resource to increase awareness of the microbial world in, on and around us. In English and Welsh. #CUSuperbugs @cardiffuni @bristoluni</t>
  </si>
  <si>
    <t>Pharmacist/Medication Safety Officer @BTHFT/ Clinical Leadership Fellow (2016/17). Patient safety, improvement science, antimicrobial stewardship, views my own</t>
  </si>
  <si>
    <t>Official feed from Bradford Teaching Hospitals Pharmacy Dept, monitored 9-5 Mon-Fri.</t>
  </si>
  <si>
    <t>NHS DG News &amp; Events. Medical Advice contact your GP or NHS 24 -111. General and FOI enquiries email dg.feedback2@nhs.scot. Account not monitored 24/7</t>
  </si>
  <si>
    <t>I can’t think of anything quirky to write here! All opinions are my own.</t>
  </si>
  <si>
    <t>The official account of the Chicago Department of Public Health. Get the latest updates on COVID-19.
Find our nondiscrimination statement on our website.</t>
  </si>
  <si>
    <t>The official Twitter account of CDC’s Division of Tuberculosis Elimination.  Leading source of credible news &amp; updates on TB. Policy: http://t.co/5gXhjbGHkX</t>
  </si>
  <si>
    <t>APIC: Improving health by preventing the spread of infection in healthcare settings through education and implementation of best practices.</t>
  </si>
  <si>
    <t>Pharmacist _xD83D__xDC8A_ Quaidian once Quaidian forever</t>
  </si>
  <si>
    <t>Biodegradable. I will decompose in due course! Possibly the worst singer in the world but it doesn't stop me trying!</t>
  </si>
  <si>
    <t>European Food Safety Authority - Trusted science for safe food | 
Data protection https://t.co/Zcha2yD55B</t>
  </si>
  <si>
    <t>NHS County Durham Clinical Commissioning Group is responsible for planning, designing and paying for a range of local NHS services.</t>
  </si>
  <si>
    <t>The Centre for Pharmacy Postgraduate Education offers high quality learning to support workforce transformation in England
✉️ info@cppe.ac.uk  _xD83D__xDCDE_ 0161 778 4000</t>
  </si>
  <si>
    <t>Taking action to improve human health and increase quality of life, globally. 
#UniteToPrevent.</t>
  </si>
  <si>
    <t>DevsHealth is a bioinformatics company that develops machine learning (AI) and real-world data (RWD) based methods for computational drug development</t>
  </si>
  <si>
    <t>Cheshire East Council's official page for news, updates &amp; emergency information. Mentions monitored 9-5pm. For our policy see https://t.co/iMVT6bbX3i</t>
  </si>
  <si>
    <t>Let better sense prevail.</t>
  </si>
  <si>
    <t>Alabama Infectious Diseases Society | Statewide collaboration to improve patient care through antimicrobial stewardship</t>
  </si>
  <si>
    <t>East Berkshire Primary Care Out Of Hours Service provide urgent out of hours medical care when your doctor's surgery is closed.</t>
  </si>
  <si>
    <t>Dedicated to improving the regulatory, investment and commercial environment for emerging antimicrobials and diagnostics companies.</t>
  </si>
  <si>
    <t>Experts dedicated to prioritizing, designing, and executing clinical research that will reduce the public health threat of antibacterial resistance.</t>
  </si>
  <si>
    <t>Staffordshire &amp; Stoke-on-Trent</t>
  </si>
  <si>
    <t>Islamabad, Pakistan</t>
  </si>
  <si>
    <t>West Hertfordshire Hospitals</t>
  </si>
  <si>
    <t>views my own</t>
  </si>
  <si>
    <t>Hertfordshire</t>
  </si>
  <si>
    <t>North West, England</t>
  </si>
  <si>
    <t>County Durham</t>
  </si>
  <si>
    <t>Wirral, Merseyside, England</t>
  </si>
  <si>
    <t>Warrington</t>
  </si>
  <si>
    <t>Yorkshire, UK</t>
  </si>
  <si>
    <t>South West</t>
  </si>
  <si>
    <t>Atlanta, GA</t>
  </si>
  <si>
    <t>St. Paul, MN</t>
  </si>
  <si>
    <t>London</t>
  </si>
  <si>
    <t>Salt Lake City, Utah</t>
  </si>
  <si>
    <t>Yorkshire and the Humber, UK</t>
  </si>
  <si>
    <t>Colindale, United Kingdom</t>
  </si>
  <si>
    <t>Reading, England</t>
  </si>
  <si>
    <t>UCL Royal Free Campus, London</t>
  </si>
  <si>
    <t>Virginia</t>
  </si>
  <si>
    <t>Canberra, Australian Capital Territory</t>
  </si>
  <si>
    <t>East Midlands, UK</t>
  </si>
  <si>
    <t>Stoke-on-Trent, England</t>
  </si>
  <si>
    <t>Stoke-on-Trent / Stafford</t>
  </si>
  <si>
    <t>Staffordshire</t>
  </si>
  <si>
    <t>Colorado, USA</t>
  </si>
  <si>
    <t>Account not monitored 24/7</t>
  </si>
  <si>
    <t>North East England</t>
  </si>
  <si>
    <t>Kitchener, Ontario, Canada</t>
  </si>
  <si>
    <t>South East, England</t>
  </si>
  <si>
    <t>West Midlands, UK</t>
  </si>
  <si>
    <t>Wirral</t>
  </si>
  <si>
    <t>Arlington, VA</t>
  </si>
  <si>
    <t>University of Southampton</t>
  </si>
  <si>
    <t>East, England</t>
  </si>
  <si>
    <t>Stockholm, Sweden</t>
  </si>
  <si>
    <t>Weinheim, Deutschland</t>
  </si>
  <si>
    <t>Bonn, Germany</t>
  </si>
  <si>
    <t>Umeå, Sweden</t>
  </si>
  <si>
    <t>Washington, DC</t>
  </si>
  <si>
    <t>Nebraska</t>
  </si>
  <si>
    <t>North East London</t>
  </si>
  <si>
    <t>Frodsham, Cheshire</t>
  </si>
  <si>
    <t>Geneva, IL</t>
  </si>
  <si>
    <t>United Kingdom</t>
  </si>
  <si>
    <t>England, United Kingdom</t>
  </si>
  <si>
    <t>London, England</t>
  </si>
  <si>
    <t xml:space="preserve">United Kingdom </t>
  </si>
  <si>
    <t>Surrey</t>
  </si>
  <si>
    <t>The Ohio State University</t>
  </si>
  <si>
    <t>Notts</t>
  </si>
  <si>
    <t>Cambridge, MA</t>
  </si>
  <si>
    <t>San Bruno, CA</t>
  </si>
  <si>
    <t>Nottingham</t>
  </si>
  <si>
    <t>Grimsby, Scunthorpe, Goole</t>
  </si>
  <si>
    <t>Ely, Cambridgeshire</t>
  </si>
  <si>
    <t>Columbus, OH</t>
  </si>
  <si>
    <t>New York, NY</t>
  </si>
  <si>
    <t>Headquarters in Bethesda, MD</t>
  </si>
  <si>
    <t>NYC and DC</t>
  </si>
  <si>
    <t>New York</t>
  </si>
  <si>
    <t>Lexington, MA</t>
  </si>
  <si>
    <t>Dublin, Ireland</t>
  </si>
  <si>
    <t>Ireland</t>
  </si>
  <si>
    <t>Dublin, Ireland.</t>
  </si>
  <si>
    <t>Dublin City, Ireland</t>
  </si>
  <si>
    <t>Dublin,Ireland</t>
  </si>
  <si>
    <t>windsor</t>
  </si>
  <si>
    <t>Stafford, England</t>
  </si>
  <si>
    <t>Bethesda, MD</t>
  </si>
  <si>
    <t>Sunderland, Tyne and Wear</t>
  </si>
  <si>
    <t>Walsall, West Midlands</t>
  </si>
  <si>
    <t>C/ Serrano, 40 – 2º Dcha. 28001 Madrid</t>
  </si>
  <si>
    <t>España</t>
  </si>
  <si>
    <t>Vigo</t>
  </si>
  <si>
    <t>Philadelphia, PA</t>
  </si>
  <si>
    <t>Wakefield, England</t>
  </si>
  <si>
    <t>St. Paul, Minnesota</t>
  </si>
  <si>
    <t>Karachi, Pakistan</t>
  </si>
  <si>
    <t>Nottingham and Nottinghamshire</t>
  </si>
  <si>
    <t>Black Country, United Kingdom</t>
  </si>
  <si>
    <t>West Yorkshire</t>
  </si>
  <si>
    <t>North east London</t>
  </si>
  <si>
    <t>New Lenox, IL 60451, USA</t>
  </si>
  <si>
    <t>Yorkshire, England</t>
  </si>
  <si>
    <t>Topeka, KS</t>
  </si>
  <si>
    <t>Derbyshire</t>
  </si>
  <si>
    <t>Boston, MA</t>
  </si>
  <si>
    <t>Comunidad de Madrid, España</t>
  </si>
  <si>
    <t>Palma de Mallorca</t>
  </si>
  <si>
    <t>Palma, España</t>
  </si>
  <si>
    <t>Godalming, UK</t>
  </si>
  <si>
    <t>@HTropDis @UCLH</t>
  </si>
  <si>
    <t>Carlsbad, CA</t>
  </si>
  <si>
    <t>Manchester, England</t>
  </si>
  <si>
    <t>viale Regina Elena, 299</t>
  </si>
  <si>
    <t xml:space="preserve">Dublin, Kildare &amp; Wicklow </t>
  </si>
  <si>
    <t>Gujarat, India</t>
  </si>
  <si>
    <t>Lansing, Michigan</t>
  </si>
  <si>
    <t>Liverpool</t>
  </si>
  <si>
    <t>Iowa</t>
  </si>
  <si>
    <t>London, UK</t>
  </si>
  <si>
    <t>Previously known as @CorkCUMH</t>
  </si>
  <si>
    <t>Louisville, KY</t>
  </si>
  <si>
    <t>Halton</t>
  </si>
  <si>
    <t>Madrid</t>
  </si>
  <si>
    <t>Madrid, Spain</t>
  </si>
  <si>
    <t>Brussels, Europe</t>
  </si>
  <si>
    <t>Leeds, UK</t>
  </si>
  <si>
    <t>Chak Shahzad, Islamabad</t>
  </si>
  <si>
    <t>Michigan</t>
  </si>
  <si>
    <t>Silver Spring</t>
  </si>
  <si>
    <t>UK</t>
  </si>
  <si>
    <t>University of Warwick</t>
  </si>
  <si>
    <t>ÜT: 45.778838,4.83433</t>
  </si>
  <si>
    <t>Birmingham, England</t>
  </si>
  <si>
    <t>_xD83C__xDF0D_</t>
  </si>
  <si>
    <t>Oxford, England</t>
  </si>
  <si>
    <t>Sperryville, VA USA</t>
  </si>
  <si>
    <t>West Midlands</t>
  </si>
  <si>
    <t>Wiltshire</t>
  </si>
  <si>
    <t>Geneva, Switzerland</t>
  </si>
  <si>
    <t>CIWF International, offices in 12 countries, inc UK, USA, Brussels &amp; China.</t>
  </si>
  <si>
    <t>England, Wales, N. Ireland</t>
  </si>
  <si>
    <t>Cork, Ireland</t>
  </si>
  <si>
    <t>Cork</t>
  </si>
  <si>
    <t>Wilton, Cork, Ireland</t>
  </si>
  <si>
    <t>England</t>
  </si>
  <si>
    <t>Little Rock, AR 72205</t>
  </si>
  <si>
    <t>Franklin Lakes, NJ</t>
  </si>
  <si>
    <t xml:space="preserve">Singapore &amp; Pakistan </t>
  </si>
  <si>
    <t>Rockville, Maryland</t>
  </si>
  <si>
    <t>Brussels</t>
  </si>
  <si>
    <t>Kitchener, Ontario</t>
  </si>
  <si>
    <t>South Carolina, USA</t>
  </si>
  <si>
    <t>Cambridgeshire, UK</t>
  </si>
  <si>
    <t>Northumberland &amp; Nth Tyneside</t>
  </si>
  <si>
    <t>Manchester</t>
  </si>
  <si>
    <t>East London</t>
  </si>
  <si>
    <t>Malvern, Wales, West Midlands</t>
  </si>
  <si>
    <t>Sheffield, England</t>
  </si>
  <si>
    <t>Cranbury, NJ</t>
  </si>
  <si>
    <t>Lusaka, Zambia</t>
  </si>
  <si>
    <t xml:space="preserve">Slough </t>
  </si>
  <si>
    <t>Europe</t>
  </si>
  <si>
    <t>Fordham, Cambridgeshire</t>
  </si>
  <si>
    <t>Toronto, Canada</t>
  </si>
  <si>
    <t>Cardiff, Wales</t>
  </si>
  <si>
    <t>Bradford, England</t>
  </si>
  <si>
    <t>Dumfries and Galloway</t>
  </si>
  <si>
    <t>Chicago, Illinois USA</t>
  </si>
  <si>
    <t>Sindh, Pakistan</t>
  </si>
  <si>
    <t>UK up North - not grim</t>
  </si>
  <si>
    <t>Parma, Italy</t>
  </si>
  <si>
    <t>Barcelona</t>
  </si>
  <si>
    <t>Cheshire East</t>
  </si>
  <si>
    <t>Kotli, AJK</t>
  </si>
  <si>
    <t>Alabama, USA</t>
  </si>
  <si>
    <t>East Berkshire</t>
  </si>
  <si>
    <t>Ilkley, England</t>
  </si>
  <si>
    <t>Open Twitter Page for This Person</t>
  </si>
  <si>
    <t xml:space="preserve">pharmdeclares
</t>
  </si>
  <si>
    <t>twbstaffsstoke
What is antibiotic resistance and
why is it a problem? Watch this
video to find out then sign up
to become an #AntibioticGuardian
https://t.co/ovul7kks9M</t>
  </si>
  <si>
    <t>themeekfirefly
Day :01 Inauguration Antimicrobial
resistance, a serious public health
problem worldwide. Misuse of Antimicrobials
puts everyone at risk. HSA kick
started campaign today! #HandlewithCare
#AntimicrobialResistance #KeepAntibioticsWorking
#HSAAMRwarenessWeek #WAAW2021 https://t.co/4zgqI6wlQV</t>
  </si>
  <si>
    <t>whhtpharmacy
@WestHertsNHS @CarterTreacle Doctors
taking their pledge as Antibiotic
Guardians and getting an update
on Antimicrobial EPR too! #TeamWestHerts
#AntibioticGuardian #AntibioticAwarenessWeek
https://t.co/ZeuB4R6gsl</t>
  </si>
  <si>
    <t xml:space="preserve">cartertreacle
</t>
  </si>
  <si>
    <t xml:space="preserve">westhertsnhs
</t>
  </si>
  <si>
    <t>ukhsa_northwest
#AntimicrobialResistance is one
of the most urgent global threats
to the public’s health. Antibiotics
can cause side-effects, including
nausea and diarrhoea and contribute
to the development of #antibioticresistance.
#AntibioticGuardian #KeepAntibioticsWorking
#WAAW21 https://t.co/3JWoMUjHig</t>
  </si>
  <si>
    <t>triciag6
#AntimicrobialResistance is one
of the most urgent global threats
to the public's health.Antibiotics
can cause side effects including
nausea and diarrhoea and contribute
to the development of antibiotic
resistance #AntibioticGuardian
#KeepAntibioticsWorking #WAAW</t>
  </si>
  <si>
    <t>wirralcouncil
#AntimicrobialResistance is one
of the most urgent global threats
to the public’s health. Antibiotics
can cause side-effects, including
nausea and diarrhoea and contribute
to the development of antibiotic
resistance. Info: https://t.co/d70DQVsWje
#KeepAntibioticsWorking #WAAW https://t.co/a7WOO84Plh</t>
  </si>
  <si>
    <t>tmfnetworks
#AntibioticResistance is still
a #PublicHealth threat during the
#COVID19 pandemic. CDC experts
are closely monitoring the possible
effects of COVID-19 on the national
state of AR &amp;amp; antibiotic use.
Read more: https://t.co/XFMjx7uxZa
#WAAW https://t.co/HIB0PbUbzP</t>
  </si>
  <si>
    <t>warringtonccg
#AntimicrobialResistance is one
of the most urgent global threats
to the public’s health. Antibiotics
can cause side-effects, including
nausea and diarrhoea and contribute
to the development of #antibioticresistance.
#AntibioticGuardian #KeepAntibioticsWorking
#WAAW https://t.co/G4vtAh3IsZ</t>
  </si>
  <si>
    <t>vumc_idfellows
#AntibioticResistance is still
a #PublicHealth threat during the
#COVID19 pandemic. CDC experts
are closely monitoring the possible
effects of COVID-19 on the national
state of AR &amp;amp; antibiotic use.
Read more: https://t.co/YXUSZowhbO
#WAAW21 https://t.co/HOvbdN9CpW</t>
  </si>
  <si>
    <t>yorksambulance
#AntibioticResistance is one of
the biggest threats facing us today
and the overuse or misuse of antibiotics
is making the problem worse. To
help combat this you should take
antibiotics exactly as prescribed,
never save them for later, never
share them with others. https://t.co/El3QYudwrJ</t>
  </si>
  <si>
    <t>ukhsa_southwest
#AntimicrobialResistance is one
of the most urgent global threats
to the public’s health. Antibiotics
can cause side-effects, including
nausea and diarrhoea and contribute
to the development of #antibioticresistance.
#AntibioticGuardian #KeepAntibioticsWorking
#WAAW https://t.co/SruWOPMMeN</t>
  </si>
  <si>
    <t>ukinatlanta
#AntibioticResistance is still
a #PublicHealth threat during the
#COVID19 pandemic. CDC experts
are closely monitoring the possible
effects of COVID-19 on the national
state of AR &amp;amp; antibiotic use.
Read more: https://t.co/rmYaOyGOOL
#WAAW https://t.co/8LSYx6vqJU</t>
  </si>
  <si>
    <t>umncvmresearch
#AntibioticResistance is still
a #PublicHealth threat during the
#COVID19 pandemic. CDC experts
are closely monitoring the possible
effects of COVID-19 on the national
state of AR &amp;amp; antibiotic use.
Read more: https://t.co/qLlLTMD3dB
#WAAW</t>
  </si>
  <si>
    <t>ukhsa_london
#AntimicrobialResistance is still
a #PublicHealth threat during the
#COVID19 pandemic. UKHSA specialists
are closely monitoring the possible
effects of COVID-19 on the national
state of antibiotic resistance
&amp;amp; use. Read more: https://t.co/YvdaOQC5SN
#KeepAntibioticsWorking #WAAW https://t.co/NuQLsry2QL</t>
  </si>
  <si>
    <t>utahdepofhealth
#AntibioticResistance is one of
the most urgent global threats
to the public’s health. Any time
#antibiotics are used, they can
cause side effects and contribute
to the development of antibiotic
resistance. #WAAW21</t>
  </si>
  <si>
    <t>ukhsa_yandh
#AntimicrobialResistance is one
of the most urgent global threats
to the public’s health. Antibiotics
can cause side-effects, such as
nausea and diarrhoea and contribute
to #AntibioticResistance. Become
an #AntibioticGuardian at: https://t.co/bayJC3Baxq
#WAAW https://t.co/KGGnkmvqrg</t>
  </si>
  <si>
    <t>theamrdoc
#AntimicrobialResistance is one
of the most urgent global threats
to the public’s health. #Antibiotics
can cause side-effects, including
nausea and diarrhoea and contribute
to the development of #AntibioticResistance.
#AntibioticGuardian #KeepAntibioticsWorking
#WAAW https://t.co/BWZne8e8ay</t>
  </si>
  <si>
    <t>travel_iosi
It does not always have to be a
7 day course. #WAAW2021 #KeepAntibioticsWorking
#AntibioticGuardian https://t.co/Mt0ubEzq1h</t>
  </si>
  <si>
    <t>ucl_ccm
It's #WAAW2021 from 18-24 November
and we've made a short video celebrating
the research we do to combat #AntimicrobialResistance
https://t.co/yncsh72tdQ #AntibioticResistance
#AntibioticGuardian</t>
  </si>
  <si>
    <t>vdhgov
We’re proud to be a #BeAntibioticsAware
partner for U.S. Antibiotic Awareness
Week! Learn how you can participate:
https://t.co/LfnEs5Xglu #USAAW21
#WAAW #AntibioticResistance https://t.co/dOdZB5psJZ</t>
  </si>
  <si>
    <t>tehzeebzulfiqar
Day :01 Inauguration Day   ‘SPREAD
AWARENESS, STOP RESISTANCE” Annual
World Antimicrobial Awareness Week
from 18th–24th Nov globally. join
hands with Health Services Academy,
to spread awareness regarding AMR.
#HandlewithCare #AntimicrobialResistance
#KeepAntibioticsWorking</t>
  </si>
  <si>
    <t>ukhsa_eastmids
#AntimicrobialResistance is one
of the most urgent global threats
to the public’s health. Antibiotics
can cause side-effects, including
nausea and diarrhoea and contribute
to the development of #antibioticresistance.
#KeepAntibioticsWorking https://t.co/1mAfLNCZhZ</t>
  </si>
  <si>
    <t>vikkij89
On gen med spreading awareness
on good documentation and timely
sampling of infections @UHNMCharity
@UHNM_NHS @mc_bugsy #EAAD2021 #bugsyontour
#AntibioticGuardian https://t.co/UZAy1GPuOW</t>
  </si>
  <si>
    <t xml:space="preserve">palfreymantom
</t>
  </si>
  <si>
    <t xml:space="preserve">uhnm_trauma_pdn
</t>
  </si>
  <si>
    <t xml:space="preserve">228uhnm
</t>
  </si>
  <si>
    <t xml:space="preserve">mc_bugsy
</t>
  </si>
  <si>
    <t xml:space="preserve">uhnm_nhs
</t>
  </si>
  <si>
    <t xml:space="preserve">uhnmcharity
</t>
  </si>
  <si>
    <t>wintercourseid
Antibiotic-Resistant Bacteria is
a Growing Threat: Where superbugs
come from and what can be done
to combat them. #WAAW #USAAW21
#BeAntibioticsAware #AntibioticResistance
https://t.co/0NRToiUkYQ</t>
  </si>
  <si>
    <t>tewv
Please help keep everyone safe.
If you are prescribed antibiotics,
please take them exactly as prescribed
and never share them with others.
#KeepAntibioticsWorking #WorldAntimicrobialAwarenessWeek
https://t.co/08pfhC1mEn</t>
  </si>
  <si>
    <t>ukhsa_northeast
#AntimicrobialResistance is one
of the most urgent global threats
to the public’s health. Antibiotics
can cause side-effects, including
nausea and diarrhoea and contribute
to the development of #antibioticresistance.
#AntibioticGuardian #KeepAntibioticsWorking
#WAAW https://t.co/YpXxQqOL3Y</t>
  </si>
  <si>
    <t>uwpharmacy
It's World Antimicrobial Awareness
Week and we're joining a national
&amp;amp; international movement to
spread #Antimicrobialawareness.
We all have a role to play in fighting
#Antibioticresistance. Check out
resources at https://t.co/Dp4SXAfVtK
#WAAW #HandleWithCare https://t.co/f9FAbD7tmp</t>
  </si>
  <si>
    <t>ukhsa_southeast
#AntimicrobialResistance is one
of the most urgent global threats
to public health. Antibiotics can
cause side-effects, including nausea
and diarrhoea, and contribute to
the development of #AMR Become
an #AntibioticGuardian #KeepAntibioticsWorking
#WAAW_xD83D__xDC8A_https://t.co/o0GaEAFJFT
https://t.co/vQEYy6B1D5</t>
  </si>
  <si>
    <t>ukhsa_westmids
Today is the start of #WorldAntimicrobialAwarenessWeek
#WAAW2021 #UKHSA has published
a report on antimicrobial prescribing,
resistance &amp;amp; stewardship #WestMidlands
people can read our news story
on why we need to #KeepAntibioticsWorking
https://t.co/5gptfP76XR https://t.co/zMJIAxrVkS</t>
  </si>
  <si>
    <t>zainablakhani5
#HandlewithCare #AntimicrobialResistance
#KeepAntibioticsWorking #HSAAMRwarenessWeek
#WAAW https://t.co/dvrc7HJEdu</t>
  </si>
  <si>
    <t>wchc_nhs
#AntimicrobialResistance is one
of the most urgent global threats
to our health. Misuse of antibiotics
contributes to the development
of #antibioticresistance. Be an
#AntibioticGuardian and #KeepAntibioticsWorking
#WAAW Find out more: https://t.co/Nt0SLnk2zX
https://t.co/DI0yjkIsFi</t>
  </si>
  <si>
    <t>thepfid
#SquashSuperbugs #WAAW #AntimicrobialResistance
#AntibioticResistance #USAAW21
https://t.co/EY2PbITXGL</t>
  </si>
  <si>
    <t xml:space="preserve">idsainfo
</t>
  </si>
  <si>
    <t>uos_primarycare
We are supporting #WAAW. See our
4S project here https://t.co/cLygFASb28
#AntibioticGuardian #KeepAntibioticsWorking</t>
  </si>
  <si>
    <t>ukhsa_eoengland
#AntimicrobialResistance is one
of the most urgent global threats
to the public’s health. Antibiotics
can cause side-effects, including
nausea and diarrhoea and contribute
to the development of #antibioticresistance.
#AntibioticGuardian #KeepAntibioticsWorking
#WAAW https://t.co/GGqT1AOcb0</t>
  </si>
  <si>
    <t>stauntonuk
#AntibioticResistance is still
a #PublicHealth threat during the
#COVID19 pandemic. CDC experts
are closely monitoring the possible
effects of COVID-19 on the national
state of AR &amp;amp; antibiotic use.
Read more: https://t.co/DMEfj1KzBp
#WAAW https://t.co/xL2FLDGCRX</t>
  </si>
  <si>
    <t>reactgroup
On #EAAD @EAAD_EU! New report from
@ECDC_EU: #AntimicrobialConsumption
in the EU/EEA (#ESACNet) - Annual
Epidemiological Report for 2020.
#WAAW2021 #AntimicrobialResistance
#KeepAntibioticsWorking Full report
⬇️ https://t.co/fVPsla3ILa</t>
  </si>
  <si>
    <t xml:space="preserve">ecdc_eu
</t>
  </si>
  <si>
    <t>eaad_eu
MEP @sara_saracerdas for #EAAD2021
https://t.co/82ob5Y6mV2 #WAAW #AntibioticResistance
#AntimicrobialResistance #EAAD
#WAAW2021</t>
  </si>
  <si>
    <t>redaktionmk
Forscher des @karolinskainst, der
@UmeaUniversity und @UniBonn haben
eine Gruppe von Molekülen identifiziert,
die eine antibakterielle Wirkung
gegen viele antibiotika-resistente
Bakterien haben. https://t.co/meBNG1ws21
#antibiotics #antibioticresistance
#antibioticstewardship</t>
  </si>
  <si>
    <t xml:space="preserve">unibonn
</t>
  </si>
  <si>
    <t xml:space="preserve">umeauniversity
</t>
  </si>
  <si>
    <t xml:space="preserve">karolinskainst
</t>
  </si>
  <si>
    <t>ourhospitals
The @CDCGov #USAAW21 starts today!
#AntibioticResistance is still
a #PublicHealth threat during #COVID19.
#BeAntibioticsAware and take this
quick quiz to see how much you
know! https://t.co/72gUmIBXol https://t.co/MZgc6osjsZ</t>
  </si>
  <si>
    <t>cdcgov
Antibiotics are critical tools
for treating serious infections,
but when abx aren’t needed—like
for #COVID19—they won’t help you,
&amp;amp; the side effects could cause
harm. Talk to your HCP about the
best treatment for your illness.
https://t.co/SSwHzin9zq #AntibioticResistance
#WAAW https://t.co/15C8aeexTz</t>
  </si>
  <si>
    <t>polypidltd
#AntibioticResistance is still
a #PublicHealth threat during the
#COVID19 pandemic. @CDC experts
are closely monitoring the possible
effects of COVID-19 on the national
state of AR &amp;amp; antibiotic use.
Read more: https://t.co/669x75ScJV
#WAAW</t>
  </si>
  <si>
    <t xml:space="preserve">cdc
</t>
  </si>
  <si>
    <t>sawansa26253866
World Antimicrobial Awareness Week
is celebrated annually from 18th–24th
Nov around the world. We invite
you to join hands with Health Services
Academy, to spread awareness regarding
AMR. #HandlewithCare #AntimicrobialResistance
#KeepAntibioticsWorking #HSAAMRwarenessWeek
#WAAW https://t.co/gJfXswHosX</t>
  </si>
  <si>
    <t>mouthy_ip
It's a Twitter Storm for #AntibioticResistance
and #WAAW! Get in on the movement!
https://t.co/mogHgbFcvC</t>
  </si>
  <si>
    <t>nhs_nelccg
#AntimicrobialResistance is one
of the most urgent global threats
to the public’s health #AntibioticResistance
#AntibioticGuardian #KeepAntibioticsWorking
#WAAW https://t.co/iXMaTNF0hq https://t.co/8ieZ7lmB9c</t>
  </si>
  <si>
    <t>nhs_tnw
#AntimicrobialResistance is one
of the most urgent global threats
to the public’s health #AntibioticResistance.
#AntibioticGuardian #KeepAntibioticsWorking
#WAAW https://t.co/cAnerbQkkI https://t.co/29J7pqiSTR</t>
  </si>
  <si>
    <t>nhswirralccg
It's Antibiotic Awareness Week.
#WAAW2021 What is Antimicrobial
Resistance (AMR)? In this video,
Wirral GP Dr Diane Atherton explains
what AMR is, why antibiotics are
such a precious resource, and what
you can do to #KeepAntibioticsWorking
https://t.co/hSeKNjqVzq https://t.co/VrPKqyLhbQ</t>
  </si>
  <si>
    <t>parshallison
_xD83E__xDDA0_Ever wonder how bacteria become
resistant to the antibiotics designed
to kill them? Here's a video I
made last year about the #AntibioticResistance
crisis, why it matters, and what
we can do to help: https://t.co/YPCIhoVphY
#WAAW2021 #USAAW21 https://t.co/wTzDZWOvce</t>
  </si>
  <si>
    <t>pen_no_sillyin
#WAAW2021 As part of World Antibiotic
Awareness Week, I thought I'd share
that these resources are great
for home learners too. (Thanks
to our recent covid isolation.)
Let's teach our kids how to #KeepAntibioticsWorking
@FrodManor https://t.co/dho14pcGH3</t>
  </si>
  <si>
    <t xml:space="preserve">frodmanor
</t>
  </si>
  <si>
    <t>sidpharm
#AntibioticResistance is one of
the most urgent global threats
to the public’s health. Any time
antibiotics are used, they can
cause side effects and contribute
to the development of antibiotic
resistance. #WAAW21 https://t.co/5j3QnEHiRJ</t>
  </si>
  <si>
    <t>pandoraidnet
It's #WAAW2021 from 18-24th November
raising awareness of #AntimicrobialResistance
and the things we can do to help!
Sign up to become an #AntibioticGuardian
https://t.co/ahNHBOHSG0</t>
  </si>
  <si>
    <t>preetyjr
#WAAW #AntimicrobialResistance
#AntibioticGuardian #KeepAntibioticsWorking
#ESPAUR @NHSsoutheast @KeithRidge1
@DrKieranHand @UKHSA @DrDianeAshiru
@UKAMREnvoy https://t.co/cB3DQRU4Sk</t>
  </si>
  <si>
    <t xml:space="preserve">drkieranhand
</t>
  </si>
  <si>
    <t xml:space="preserve">nhssoutheast
</t>
  </si>
  <si>
    <t xml:space="preserve">ukamrenvoy
</t>
  </si>
  <si>
    <t>drdianeashiru
2/ #AntibioticResistance is still
a #PublicHealth threat during the
#COVID19 pandemic. @UKHSA is closely
monitoring the possible effects
of COVID-19 on the national state
of Antibiotic Resistance &amp;amp;
antibiotic use. Read more via #ESPAUR
report: https://t.co/KmnqaeY2ZO
#WAAW https://t.co/OEHOcE4hfF https://t.co/9nOEhKWzlj</t>
  </si>
  <si>
    <t>ukhsa
#AntibioticResistance is still
a #PublicHealth threat during the
#COVID19 pandemic. UKHSA specialists
are closely monitoring the possible
effects of COVID-19 on the national
state of antibiotic resistance
&amp;amp; use. Read more: https://t.co/IwHLIlZ8MO
#WAAW #KeepAntibioticsWorking https://t.co/L5VYweR6gL</t>
  </si>
  <si>
    <t>keithridge1
The pandemic has taught us how
important life-saving vaccines
and medicines are to all of us
&amp;amp; we all have a responsibility
to only use antibiotics when we
really need them so they remain
as effective as possible #AntibioticGuardian
#KeepAntibioticsWorking #WAAW2021
@UKAMREnvoy https://t.co/bXl3M46ZY5</t>
  </si>
  <si>
    <t>syheartlandsccg
#AntimicrobialResistance is one
of the most urgent global threats
to the public’s health. Antibiotics
can cause side-effects, including
nausea and diarrhoea and contribute
to the development of #AntibioticResistance.
#WorldAntibioticsAwarenessWeek
_xD83D__xDC49_ https://t.co/Xcz6D2z2SY https://t.co/qqUcbuuJaI</t>
  </si>
  <si>
    <t>osuvetprevmed
During U.S. #AntibioticAwareness
Week, commit to #BeAntibioticsAware.
Appropriate #antibiotic use in
people and pets helps protect the
whole family from #antibioticresistance.
#USAAW21 https://t.co/KBqvZ6W5Nx
https://t.co/Rkm3kH31Bz https://t.co/A2Mjv5G6aW</t>
  </si>
  <si>
    <t>nhsnottsccg
#AntimicrobialResistance is one
of the most urgent global threats
to the public’s health. Antibiotics
can cause side-effects, including
nausea and diarrhoea and contribute
to the development of #AntibioticResistance.
#AntibioticGuardian #KeepAntibioticsWorking
#WAAW https://t.co/UkjOqSKlTK</t>
  </si>
  <si>
    <t>nhs_cityhackney
#AntimicrobialResistance is one
of the most urgent global threats
to the public’s health #AntibioticResistance.
#AntibioticGuardian #KeepAntibioticsWorking
#WAAW  https://t.co/RiE8yqiQTq
https://t.co/4qYLbqFCI5</t>
  </si>
  <si>
    <t>ncscientist
O contributo do Ciência em 3 minutos
para o Dia Europeu do #Antibiótico.
Informar para responsabilizar.
Vejam o vídeo _xD83D__xDC47__xD83C__xDFFC_ https://t.co/e3oPMkk0Ky
via @YouTube #eaad2021 #eaad #AntibioticAwarenessWeek
#AntibioticResistance</t>
  </si>
  <si>
    <t xml:space="preserve">youtube
</t>
  </si>
  <si>
    <t>teamnuh
#AntimicrobialResistance is one
of the most urgent global threats
to the public’s health. Antibiotics
can cause side-effects, including
nausea and diarrhoea and contribute
to the development of #antibioticresistance
_xD83D__xDC8A_ #AntibioticGuardian #KeepAntibioticsWorking
#WAAW https://t.co/YS1hxme6CH</t>
  </si>
  <si>
    <t>nhsnlag
#AntimicrobialResistance is one
of the most urgent global threats
to the public’s health. #Antibiotics
can cause side-effects, including
nausea and diarrhoea and contribute
to the development of #AntibioticResistance.
#AntibioticGuardian #KeepAntibioticsWorking
#WAAW https://t.co/mGWP9OOmya</t>
  </si>
  <si>
    <t>pagemedical
#AntimicrobialResistance is one
of the most urgent global threats
to the public's health. Antibiotics
can cause side-effects, including
nausea and diarrhoea and contribute
to the development of #antibioticresistance.
#AntibioticGuardian #KeepAntibioticsWorking
#WAAW https://t.co/290cJMufSc</t>
  </si>
  <si>
    <t>pharmacyuhdb
Please ensure daily review of antibiotics
and switch your patients antibiotics
to oral at the earliest opportunity!
#KeepAntibioticsWorking #AntibioticGuardian
#WAAW2021 https://t.co/b8lEnlZ87G</t>
  </si>
  <si>
    <t>pkamranpour
Thank you to all those HCPs who
visited our WAAW/EAAD stand today.
@WestHertsNHS #TeamWestHerts #WAAW2021
#AntibioticGuardian https://t.co/mWMMONqehu</t>
  </si>
  <si>
    <t>ohiostate_id
#AntibioticResistance is still
a #PublicHealth threat during the
#COVID19 pandemic. CDC experts
are closely monitoring the possible
effects of COVID-19 on the national
state of AR &amp;amp; antibiotic use.
Read more: https://t.co/WQqjBoRZCY
#WAAW https://t.co/vzIgffKzo0</t>
  </si>
  <si>
    <t>smelis73
It is imperative to develop new
and better antibiotics. People
with #cysticfibrosis are vulnerable
to #AntibioticResistance because
of chronic infection. Pass the
#PasteurAct! @SenSchumer @SenGillibrand
@NydiaVelazquez @CF_Foundation
@CFF_GNYC #cfadvocacy https://t.co/PoYLgcgKyY</t>
  </si>
  <si>
    <t xml:space="preserve">cff_gnyc
</t>
  </si>
  <si>
    <t xml:space="preserve">cf_foundation
</t>
  </si>
  <si>
    <t xml:space="preserve">nydiavelazquez
</t>
  </si>
  <si>
    <t xml:space="preserve">sengillibrand
</t>
  </si>
  <si>
    <t xml:space="preserve">senschumer
</t>
  </si>
  <si>
    <t>t2bio
We’re proud to be a #BeAntibioticsAware
partner for U.S. Antibiotic Awareness
Week! Throughout the week, our
goal is to raise awareness of #AntibioticResistance.
Learn how you can participate:
https://t.co/hsMoNdqgjN #USAAW21
#WAAW21 https://t.co/0PAVjVgQc6</t>
  </si>
  <si>
    <t>rcsi_irl
Antimicrobial resistance is accelerated
by the misuse and overuse of antibiotics.
This winter, handle antimicrobials
with care. @FfitzP #KeepAntibioticsWorking
https://t.co/wM4JGrCr0i</t>
  </si>
  <si>
    <t xml:space="preserve">iscm_micro
</t>
  </si>
  <si>
    <t xml:space="preserve">rcsi_research
</t>
  </si>
  <si>
    <t xml:space="preserve">rcsi_micro
</t>
  </si>
  <si>
    <t xml:space="preserve">ffitzp
</t>
  </si>
  <si>
    <t>reddy_suganya
Watch “Antimicrobial Resistance
and Lower UTI” on #Vimeo https://t.co/iAYQbShg9g
Prescribe antibiotics appropriately
for UTI. Act now! It’s WAAW! Let’s
make a difference. #WAAW2021 #KeepAntibioticsWorking
#AntibioticGuardian</t>
  </si>
  <si>
    <t>nhseastberksccg
When antibiotics are prescribed
by a health professional it is
important that you always take
them as directed, never save them
for later and never share them
with others. #KeepAntibioticsWorking
#WAAW #AntibioticGuardian https://t.co/Yu3oGAM1s3
https://t.co/SRbQV7AMAR</t>
  </si>
  <si>
    <t>staffsccgs
What is antibiotic resistance and
why is it a problem? Watch this
video to find out then sign up
to become an #AntibioticGuardian
https://t.co/1b3hVfUn5d</t>
  </si>
  <si>
    <t>tanveer32915182
Day :01 Inauguration Antimicrobial
resistance, a serious public health
problem worldwide. Misuse of Antimicrobials
puts everyone at risk. HSA kick
started campaign today! #HandlewithCare
#AntimicrobialResistance #KeepAntibioticsWorking
#HSAAMRwarenessWeek #WAAW https://t.co/9f8BiJZcNN</t>
  </si>
  <si>
    <t>nfidvaccines
#AntibioticResistance is still
a #PublicHealth threat during the
#COVID-19 pandemic. @CDCgov experts
are closely monitoring possible
effects of COVID-19 on national
state of antibiotic use and resisitance:
https://t.co/zWH27L1Ok6 #WAAW https://t.co/VeC2O9j0Y7</t>
  </si>
  <si>
    <t>sunderlandccg
To tackle #Antimicrobialresistance
we must preserve antibiotics for
when we really need them! Always
follow your Doctor's advice! Today
marks the start of #WorldAntimicrobialAwarenessWeek
#KeepAntibioticsWorking #WAAW https://t.co/tEY987dp25</t>
  </si>
  <si>
    <t>rph_iram_malik
#AntibioticResistance #BeAntibioticaware
https://t.co/rSRHncaGGy</t>
  </si>
  <si>
    <t>phwalsall
#AntimicrobialResistance is one
of the most urgent global threats
to the public’s health. Antibiotics
can cause side-effects, including
nausea and diarrhoea and contribute
to the development of #antibioticresistance.
#AntibioticGuardian #KeepAntibioticsWorking
#WAAW https://t.co/ycJHV3eTRs</t>
  </si>
  <si>
    <t>sbudeptofmed
#AntibioticResistance is still
a #PublicHealth threat during the
#COVID19 pandemic. CDC experts
are closely monitoring the possible
effects of COVID-19 on the national
state of AR &amp;amp; antibiotic use.
Read more: https://t.co/xuly2bRFF0 #WAAW
https://t.co/4uQxZ7HU4x</t>
  </si>
  <si>
    <t>sefh_
@ProaVigo @GEIRAS_SEIMC @PRANgob
@SEIMC_ @EAAD_EU Una forma muy
gráfica de recordar que #shorterisbetter
_xD83D__xDE09_ Aquí os incluimos la versión
de la tabla de @BradSpellberg actualizada
en noviembre 2021 https://t.co/KuVA8trzO3
#EAAD2021 #WAAW2021 #WAAW #AntibioticResistance
https://t.co/SBOhqhSp8F</t>
  </si>
  <si>
    <t xml:space="preserve">seimc_
</t>
  </si>
  <si>
    <t xml:space="preserve">prangob
</t>
  </si>
  <si>
    <t xml:space="preserve">geiras_seimc
</t>
  </si>
  <si>
    <t xml:space="preserve">proavigo
</t>
  </si>
  <si>
    <t xml:space="preserve">bradspellberg
</t>
  </si>
  <si>
    <t>saveantibiotics
#AntibioticResistance is still
a #PublicHealth threat during the
#COVID19 pandemic. @CDCgov experts
are closely monitoring the possible
effects of COVID-19 on the national
state of AR &amp;amp; antibiotic use.
https://t.co/JEk8kLkk9j #WAAW21
https://t.co/VxOw5wZmxo</t>
  </si>
  <si>
    <t>surreyheartland
#AntimicrobialResistance is one
of the most urgent global threats
to the public’s health. Antibiotics
can cause side-effects, including
nausea and diarrhoea and contribute
to the development of #AntibioticResistance.
#WorldAntibioticsAwarenessWeek
_xD83D__xDC49_ https://t.co/NNX6wptEQs https://t.co/M62zihOus2</t>
  </si>
  <si>
    <t>phlpublichealth
The Philadelphia Department of
Public Health is proud to be a
#BeAntibioticsAware partner for
U.S. Antibiotic Awareness Week!
#USAAW21 #AntibioticResistance
#WAAW https://t.co/aqzSWL4eoJ</t>
  </si>
  <si>
    <t>mountsinaisci
It's #AntibioticAwarenessWeek!
Let's raise awareness of the importance
of appropriate antibiotic use to
combat the threat of antibiotic
resistance. This week we will be
sharing #Antiboitic facts and figures
to help educate on #antibioticresistance
#USAAW21 #BeAntibioticsAware https://t.co/7KcOZCAJVD</t>
  </si>
  <si>
    <t>rwjbhpharmacy
#AntibioticResistance is still
a #PublicHealth threat during the
#COVID19 pandemic. CDC experts
are closely monitoring the possible
effects of COVID-19 on the national
state of AR &amp;amp; antibiotic use.
Read more: https://t.co/Nyk5id5l2I
#WAAW</t>
  </si>
  <si>
    <t>nottmhospitals
#AntimicrobialResistance is one
of the most urgent global threats
to the public’s health. Antibiotics
can cause side-effects, including
nausea and diarrhoea and contribute
to the development of #antibioticresistance
_xD83D__xDC8A_ #AntibioticGuardian #KeepAntibioticsWorking
#WAAW https://t.co/yKGRvygSMv</t>
  </si>
  <si>
    <t>myhtams
The Pharmacy supply team with their
#AntibioticGuardian pledge to help
#KeepAntibioticsWorking and tackle
#AntimicrobialResistance for #WAAW
#AntibioticResistance https://t.co/baiGhHXw3V</t>
  </si>
  <si>
    <t>naveidiftikhar
Day :01 Inauguration Antimicrobial
resistance, a serious public health
problem worldwide. Misuse of Antimicrobials
puts everyone at risk. HSA kick
started campaign today! #HandlewithCare
#AntimicrobialResistance #KeepAntibioticsWorking
#HSAAMRwarenessWeek #WAAW</t>
  </si>
  <si>
    <t>nihrspcr
We are proud to support research
into alternative treatments, to
help reduce the need to prescribe
antibiotics where possible. Read
more about the PAUSE study here:
https://t.co/3liaAB4Mvl #AntibioticResistance
#AntibioticGuardian #KeepAntibioticsWorking</t>
  </si>
  <si>
    <t>shea_epi
#Antibiotics aren’t needed for
and won’t help treat colds, #flu,
or #COVID19. #BeAntibioticsAware
and talk to your #HCP: https://t.co/4uJ6YOCOpi
#USAAW21 #WAAW #AntibioticResistance</t>
  </si>
  <si>
    <t>mnhealth
#AntibioticResistance is still
a #PublicHealth threat during the
#COVID19 pandemic. CDC experts
are closely monitoring the possible
effects of COVID-19 on the national
state of AR &amp;amp; antibiotic use.
Read more: https://t.co/TaHdLQncOS
#WAAW21 https://t.co/7OmRfNTvPe</t>
  </si>
  <si>
    <t>muzzamilrao21
Day :01 Inauguration Antimicrobial
resistance, a serious public health
problem worldwide. Misuse of Antimicrobials
puts everyone at risk. HSA kick
started campaign today! #HandlewithCare
#AntimicrobialResistance #KeepAntibioticsWorking
#HSAAMRwarenessWeek #WAAW2021</t>
  </si>
  <si>
    <t>notts_ics
#AntimicrobialResistance is one
of the most urgent global threats
to the public’s health. Antibiotics
can cause side-effects, including
nausea and diarrhoea and contribute
to the development of #AntibioticResistance.
#AntibioticGuardian #KeepAntibioticsWorking
#WAAW https://t.co/VPDgI2znb3</t>
  </si>
  <si>
    <t>nhsinbcwb
#AntimicrobialResistance is one
of the most urgent global threats
to the public’s health. Antibiotics
can cause side-effects, including
nausea and diarrhoea and contribute
to the development of #antibioticresistance.
#AntibioticGuardian #KeepAntibioticsWorking
#WAAW https://t.co/t1p44FYzuL</t>
  </si>
  <si>
    <t>nhswyrd
#WAAW: English surveillance programme
for antimicrobial utilisation and
resistance (ESPAUR) Report 2020
to 2021 #AntibioticGuardian #KeepAntibioticsWorking
#WAAW: https://t.co/HXrBQPEhvE
https://t.co/28xTXQsnMz</t>
  </si>
  <si>
    <t>nelhcp
#AntimicrobialResistance is one
of the most urgent global threats
to the public’s health #AntibioticResistance.
#AntibioticGuardian #KeepAntibioticsWorking
#WAAW https://t.co/37ljfJ6EPy https://t.co/JQDsfsTIKY</t>
  </si>
  <si>
    <t>silvercrosshosp
#AntibioticResistance is still
a #PublicHealth threat during the
#COVID19 pandemic. CDC experts
are closely monitoring the possible
effects of COVID-19 on the national
state of AR &amp;amp; antibiotic use.
Read more: https://t.co/Dop92kL2nw
#WAAW #USAAW21 https://t.co/gkzGnVh7kL</t>
  </si>
  <si>
    <t>factconsultancy
#AntimicrobialResistance is one
of the most urgent global threats
to the public’s health. Antibiotics
can cause side-effects, including
nausea and diarrhoea and contribute
to the development of #AntibioticResistance.
#AntibioticGuardian #KeepAntibioti…
https://t.co/yCjq9yYLfU</t>
  </si>
  <si>
    <t>khcqi
It's #UseAntibioticsWisely Week!
Join Sabetha Community Hospital
&amp;amp; others in spreading the word
about what we can all do to slow
#AntibioticResistance. Display
this poster in your facility—free
download here: https://t.co/oJdx15gwzo
—with @KDHE @CDC_AR @CDCgov #USAAW21
#WAAW https://t.co/pBvZD8f19f</t>
  </si>
  <si>
    <t xml:space="preserve">kdhe
</t>
  </si>
  <si>
    <t>cdc_ar
#AntibioticResistance is one of
the most urgent global threats
to the public’s health. Any time
#antibiotics are used, they can
cause side effects and contribute
to the development of antibiotic
resistance. Read more: https://t.co/yYH5mDBoFD
#WAAW https://t.co/N6mGlEYOM1</t>
  </si>
  <si>
    <t>jordanchrlswrth
#AntimicrobialResistance is one
of the most urgent global threats
to the public’s health. Antibiotics
can cause side-effects, including
nausea and diarrhoea and contribute
to the development of #AntibioticResistance.
#AntibioticGuardian #KeepAntibioticsWorking
#WAAW https://t.co/puJHkFLSjy</t>
  </si>
  <si>
    <t>mgh_ast
#AntibioticResistance is still
a #PublicHealth threat during the
#COVID19 pandemic. CDC experts
are closely monitoring the possible
effects of COVID-19 on the national
state of AR &amp;amp; antibiotic use.
Read more: https://t.co/Mmsb3832j4 
#WAAW https://t.co/F4ywNFPYGN</t>
  </si>
  <si>
    <t>larryttu05
#AntibioticResistance is still
a #PublicHealth threat during the
#COVID19 pandemic. CDC experts
are closely monitoring the possible
effects of COVID-19 on the national
state of AR &amp;amp; antibiotic use.
Read more: https://t.co/WBf8xb5eit 
#WAAW</t>
  </si>
  <si>
    <t>kevincuervo_
Desde @SonEspases _xD83C__xDFE5_ estamos concienciados
con un uso prudente de los antibióticos
_xD83D__xDC8A_ y prueba de ello es nuestro
equipazo PROA/Infecciosas! _xD83E__xDDEB__xD83E__xDDA0_
@LuisaMa01043544 @leonorperianez
@erojomol @elfarodehuse @microHUSE
#WAAW2021 #EAAD2021 #KeepAntibioticsWorking
https://t.co/06HKtYheKy</t>
  </si>
  <si>
    <t xml:space="preserve">microhuse
</t>
  </si>
  <si>
    <t xml:space="preserve">elfarodehuse
</t>
  </si>
  <si>
    <t xml:space="preserve">erojomol
</t>
  </si>
  <si>
    <t xml:space="preserve">leonorperianez
</t>
  </si>
  <si>
    <t xml:space="preserve">luisama01043544
</t>
  </si>
  <si>
    <t xml:space="preserve">sonespases
</t>
  </si>
  <si>
    <t>linzyelton
Day 1 of #WAAW and I’m tweeting
#AMR stuff every day! I'm kicking
off with an overview of what #AMR
is, how microbes become resistant
to drugs and why this is so incredibly
important! https://t.co/0MpYH4Wv7M
#antibioticguardian #AntimicrobialResistance
#AntibioticResistance</t>
  </si>
  <si>
    <t>james_ciwf
Overuse has fuelled the world's
antibiotic-resistance crisis https://t.co/bL2M6u2gXO
via @DoctorChrisVT #AntibioticAwarenessWeek
#AntibioticResistance Sign the
petition for responsible antibiotic
use here: https://t.co/6xhROfoI3D</t>
  </si>
  <si>
    <t xml:space="preserve">doctorchrisvt
</t>
  </si>
  <si>
    <t>getready
#AntibioticResistance is one of
the most urgent global threats
to the public’s health. Any time
antibiotics are used, they can
cause side effects and contribute
to the development of antibiotic
resistance. #WAAW21 https://t.co/AtEaWXLNhr</t>
  </si>
  <si>
    <t>genmarkdx
#AntibioticResistance is still
a #PublicHealth threat during the
#COVID19 pandemic. CDC experts
are closely monitoring the possible
effects of COVID-19 on the national
state of AR &amp;amp; antibiotic use.
Read more: #WAAW https://t.co/Rkigw8LRI5
https://t.co/UAjXjcZ5hY</t>
  </si>
  <si>
    <t>francesgarragh1
#WAAW #KeepAntibioticsWorking #AntibioticGuardian
https://t.co/HqXEMfBhys</t>
  </si>
  <si>
    <t>antibioticangel
Lottie &amp;amp; Ross deserved a treat
too. #GoBlueforAMR They are part
of the team who work hard behind
the scenes to #KeepAntibioticsWorking
@MFT_Pharmacy @MFTnhs #AntibioticGuardian
https://t.co/8v1ZPsRdji</t>
  </si>
  <si>
    <t>hemofelo
Follow CDC global Twitter storm
on antibiotic resistance. Follow
hashtag #AntibioticResistance</t>
  </si>
  <si>
    <t>his_infection
Today marks the start of World
Antimicrobial Awareness Week. Antibiotic
resistance is still one of the
biggest threats facing the world
today. Here are some ways you can
help reduce #AntimicrobialResistance
as a healthcare professional: #WAAW21
#AMR #KeepAntibioticsWorking https://t.co/jSD2olZaSA</t>
  </si>
  <si>
    <t>healthierbcwb
#AntimicrobialResistance is one
of the most urgent global threats
to the public’s health. Antibiotics
can cause side-effects, including
nausea and diarrhoea and contribute
to the development of #antibioticresistance.
#AntibioticGuardian #KeepAntibioticsWorking
#WAAW https://t.co/uxbKdEr8zh</t>
  </si>
  <si>
    <t>jayp9298
#KeepAntibioticsWorking #AntibioticGuardian
#WorldAntimicrobialAwarenessWeek
https://t.co/iK2vv3mvQa</t>
  </si>
  <si>
    <t>istsupsan
_xD83D__xDC8A_RESISTENZA AGLI #ANTIBIOTICI,
PERCENTUALI ANCORA ELEVATE _xD83D__xDEA8_Italia
tra Paesi europei ad alta resistenza.
In pandemia, nel 2020, incidenze
elevate per 8 patogeni sotto sorveglianza,
in alcuni casi in calo _xD83D__xDD0E_Report
AR-ISS_xD83D__xDC47_ https://t.co/Awn6PXYcTI
#WAAW2021 #AntibioticResistance
https://t.co/XERYQYRkjt</t>
  </si>
  <si>
    <t>hsecho7
On European Antibiotics Awareness
Day we ask you to note that many
antibiotics are no longer effective
against some bacteria. Using antibiotics
only when needed can help stop
this happening #KeepAntibioticsWorking
https://t.co/ySj6h4rGlt</t>
  </si>
  <si>
    <t>gujarattfgp
#WAAW #AMR #AntibioticResistance
https://t.co/qxEwZNncAa</t>
  </si>
  <si>
    <t>michiganhhs
#AntibioticResistance is one of
the most urgent global threats
to the public’s health. Any time
#antibiotics are used, they can
cause side effects and contribute
to the development of antibiotic
resistance. #WAAW https://t.co/q48tUcoYHm</t>
  </si>
  <si>
    <t>liverpoolccg
It's World Antimicrobial Awareness
Week. Did you know that #AntimicrobialResistance
is one of the most urgent global
threats to the public’s health?
Become an #AntibioticGuardian this
#WAAW to help #KeepAntibioticsWorking
https://t.co/wgMg89dw0g https://t.co/4XEBHPbpZT</t>
  </si>
  <si>
    <t>iapublichealth
#AntibioticResistance is still
a #PublicHealth threat during the
#COVID19 pandemic. CDC experts
are closely monitoring the possible
effects of COVID-19 on the national
state of AR &amp;amp; antibiotic use.
Read more: https://t.co/hW0uXyKhIM
#WAAW https://t.co/YUaFdWv1KM</t>
  </si>
  <si>
    <t>hpruamr
Spread Awareness, Stop Resistance
#WAAW2021 #KeepAntibioticsWorking
https://t.co/nMoQXAvgRK</t>
  </si>
  <si>
    <t>irelandsouthwid
Today is European Antibiotic Awareness
Day! Susan Potter, Antimicrobial
Pharmacist reminds us how to take
care of ourselves this winter and
learn to treat common illnesses
that do not require antibiotics
by visiting https://t.co/95Vj6VmTxi
#KeepAntibioticsWorking #EAAD2021
https://t.co/tFhYjgK98o</t>
  </si>
  <si>
    <t>melintatx
#AntibioticResistance is one of
the top 10 global public health
threats facing humanity. #WAAW
#WAAW2021 #USAAW21 https://t.co/vsndTwdEZr</t>
  </si>
  <si>
    <t>kyabxawareness
#AntibioticResistance is one of
the most urgent global threats
to the public’s health. Any time
#antibiotics are used, they can
cause side effects and contribute
to the development of antibiotic
resistance. #WAAW #USAAW21 #TwitterStorm
#BeAntibioticsAware @UofLPeds https://t.co/dxh7xjKEQD</t>
  </si>
  <si>
    <t xml:space="preserve">uoflpeds
</t>
  </si>
  <si>
    <t>haltonccg
#AntimicrobialResistance is one
of the most urgent global threats
to the public’s health. Antibiotics
can cause side-effects, including
nausea and diarrhoea and contribute
to the development of #antibioticresistance.
#AntibioticGuardian #KeepAntibioticsWorking
#WAAW https://t.co/Mqb7AVqX0a</t>
  </si>
  <si>
    <t>i_alfu
#HandlewithCare #AntimicrobialResistance
#KeepAntibioticsWorking #HSAAMRwarenessWeek
#WAAW https://t.co/z284Vx3NA7 https://t.co/4WOWDuT0jh</t>
  </si>
  <si>
    <t>farmacia_lapaz
_xD83E__xDDA0__xD83E__xDDEB_ Desde el #HospitalLaPaz nos
unimos al #DiaEuropeoUsoPrudenteAntibioticos
@PROA_HULP #KeepAntibioticsWorking
https://t.co/pb6ZBT7q2v</t>
  </si>
  <si>
    <t xml:space="preserve">proa_hulp
</t>
  </si>
  <si>
    <t>eu_health
Will #Antibiotics stop working?_xD83D__xDC8A_
Is there an EU Action Plan?_xD83D__xDCAA_ What
does it mean?_xD83D__xDD2C_ And the animals?_xD83D__xDC2E_
What can I do?_xD83E__xDD14_ If you have questions
on #AntibioticResistance, join
our free #TwitterSpace _xD83D__xDE4F_ #WAAW
https://t.co/E542nU9Lh0</t>
  </si>
  <si>
    <t>lydiapalumbo_
#AntibioticResistance is a public
health threat. @McDonalds can help
by keeping its promise to reduce
antibiotic use in its beef supplies
#HoldTheABX #WAAW https://t.co/zo9C6mt6G0</t>
  </si>
  <si>
    <t xml:space="preserve">mcdonalds
</t>
  </si>
  <si>
    <t>med_shadow
Nov 18th is Antibiotic Awareness
Week in the US. Below and 5 things
you need to know about antibiotics,
including the most common side
effects. #AntibioticResistance
https://t.co/6z18eg7eSk</t>
  </si>
  <si>
    <t>h3a1er
#HandlewithCare #AntimicrobialResistance
#KeepAntibioticsWorking #HSAAMRwarenessWeek
#WAAW https://t.co/4yb5l0RVnz</t>
  </si>
  <si>
    <t>lthtantibiotics
#WAAW2021 #AntibioticResistance
#KeepAntibioticsWorking https://t.co/Jj1SHjZz8k</t>
  </si>
  <si>
    <t>imtiaza66426320
Day :01 Inauguration Day ‘SPREAD
AWARENESS, STOP RESISTANCE” World
Antimicrobial Awareness Week is
celebrated annually from 18th–24th
Nov around the world. We invite
you to join hands with HSA! #HandlewithCare
#AntimicrobialResistance #KeepAntibioticsWorking
#HSAAMRwarenessWeek https://t.co/MIK3yPotMA</t>
  </si>
  <si>
    <t>ltepod
#vice #virtue #oilspill #california
#lanternfly #AntibioticResistance
#antibiotics #resistance #cleanair
#airscrubber #CO2 #podcast #episode
#extinction #science #skepticism
#skeptical #beskeptical #environment
#wildlife #bebetter #dobetter https://t.co/kLf5g6MWNW</t>
  </si>
  <si>
    <t>healthsacademy
Day 1: Inauguration of AMR Campaign
at HSA Antimicrobial resistance,
a serious public health problem
worldwide. Misuse of Antimicrobials
has placed everyone at risk. Lets
act together. #HandlewithCare #AntimicrobialResistance
#KeepAntibioticsWorking #HSAAMRwarenessWeek
#WAAW https://t.co/iHzzcbXY6K</t>
  </si>
  <si>
    <t>marrcoalition
#AntibioticResistance is still
a #PublicHealth threat during the
#COVID19 pandemic. CDC experts
are closely monitoring the possible
effects of COVID-19 on the national
state of AR &amp;amp; antibiotic use.
Read more: https://t.co/jM95TADAf5
#WAAW21</t>
  </si>
  <si>
    <t>evbuomwanefe
As with most healthcare professionals
I am concerned with the consequence
of #AntimicrobialResistance. As
a pharmacist, I am committed to
engage in the fight against AMR
by promoting the optimal use of
antimicrobial agents. #AntibioticGuardian
#KeepAntibioticsWorking #WAAW</t>
  </si>
  <si>
    <t xml:space="preserve">hiow_ics
</t>
  </si>
  <si>
    <t>lizcorteville
Antibiotics no longer work for
some infections – become an #AntibioticGuardian
to help protect our life saving
medicine https://t.co/00os2BZjUi
https://t.co/oUPaKN8YKs</t>
  </si>
  <si>
    <t>battlesuperbugs
And more sobering words from yet
another organization not know for
hyperbole. #USAAW21 #EAAD #AntibioticResistance
#Antibiotics #KeepAntibioticsWorking
#WAAW https://t.co/KXfDgezhCD</t>
  </si>
  <si>
    <t>epinireland
Today is European #Antibiotic Awareness
Day (EAAD), which aims to raise
awareness on the prudent use of
antibiotics in the #EU! #EAAD,
#AntibioticResistance, #Antibiotics
#KeepAntibioticsWorking #WAAW</t>
  </si>
  <si>
    <t>iamaflatoon
Day :01 Inauguration Day. World
Antimicrobial Awareness Week is
celebrated annually from 18th–24th
Nov, We invite you to join hands
with Health Services Academy, to
spread awareness. #HandlewithCare
#AntimicrobialResistance #KeepAntibioticsWorking
#HSAAMRwarenessWeek #WAAW https://t.co/pXiFOb5ZOc</t>
  </si>
  <si>
    <t>fda_drug_info
#AntibioticResistance is still
a #PublicHealth threat during the
#COVID19 pandemic. CDC experts
are closely monitoring the possible
effects of COVID-19 on the national
state of AR &amp;amp; antibiotic use.
Read more: https://t.co/AOljhkPqfw
#WAAW https://t.co/mShS5aJDpw</t>
  </si>
  <si>
    <t>microblog_me_uk
(25/50) Is oral administration
inferior to IV? Not really, Consider
the #bioavailibility and the #PKPD.
When it comes to beta-lactams give
the highest dose you can for the
indication #KeepAntibioticsWorking
#WAAW2021 #EAAD2021 #DoIt4Das</t>
  </si>
  <si>
    <t xml:space="preserve">jac_amr
</t>
  </si>
  <si>
    <t xml:space="preserve">antonia_sagona
</t>
  </si>
  <si>
    <t xml:space="preserve">biomerieux
</t>
  </si>
  <si>
    <t>jamiesonce
#AntimicrobialResistance is one
of the most urgent global threats
to the public’s health. #Antibiotics
can cause side-effects, including
nausea and diarrhoea and contribute
to the development of #AntibioticResistance.
#AntibioticGuardian #KeepAntibioticsWorking
#WAAW</t>
  </si>
  <si>
    <t xml:space="preserve">rakhi2382
</t>
  </si>
  <si>
    <t xml:space="preserve">nhsbsolccg
</t>
  </si>
  <si>
    <t xml:space="preserve">smhopkins
</t>
  </si>
  <si>
    <t xml:space="preserve">absteward
</t>
  </si>
  <si>
    <t xml:space="preserve">safetysamfoster
</t>
  </si>
  <si>
    <t>sanfordguide
#WAAW (World Antibiotic Awareness
Week) is here! Use this opportunity
to educate your patients about
antimicrobial resistance. Visit
https://t.co/BZ3hjsz9Ip for patient-facing
resources to use in print, social
media, and more! #AntibioticResistance
#USAAW21</t>
  </si>
  <si>
    <t xml:space="preserve">jabicjenkins
</t>
  </si>
  <si>
    <t xml:space="preserve">uhbtrust
</t>
  </si>
  <si>
    <t>elizbeech
What a great topic for #WAAW from
@antibioticangel for discussion
#UTI #KeepAntibioticsWorking https://t.co/u1HRHLbTd4</t>
  </si>
  <si>
    <t xml:space="preserve">who
</t>
  </si>
  <si>
    <t>behalalorg
@foodgov If #AnimalWelfare conditions
were improved and there was less
intense use of #Antibiotics that
would a good starting point at
breaking the cycle. #AntimicrobialResistance
#AntibioticResistance @philip_ciwf
@ciwf</t>
  </si>
  <si>
    <t xml:space="preserve">ciwf
</t>
  </si>
  <si>
    <t xml:space="preserve">philip_ciwf
</t>
  </si>
  <si>
    <t>foodgov
#AntimicrobialResistance is one
of the most urgent global threats
to the public’s health. Antibiotics
can cause side-effects, including
nausea and diarrhoea and contribute
to the development of #AntibioticResistance.
#AntibioticGuardian #KeepAntibioticsWorking
#WAAW https://t.co/qftSfKaaBw</t>
  </si>
  <si>
    <t>drnawaz888
Day :01 Inauguration Day ‘SPREAD
AWARENESS, STOP RESISTANCE” World
Antimicrobial Awareness Week is
celebrated annually from 18th–24th
Nov around the world. #HandlewithCare
#AntimicrobialResistance #KeepAntibioticsWorking
#HSAAMRwarenessWeek #WAAW https://t.co/Dsxr0MZ1qt</t>
  </si>
  <si>
    <t>cuh_ams
Infectious Diseases team spreading
awareness on #EAAD @CUH_Cork #EAAD
@blairmatthewd #IDtwitter #KeepAntibioticsWorking
@DrJacksonCork @drcsadlier @profmaryhorgan
https://t.co/RSUsbFvumB</t>
  </si>
  <si>
    <t xml:space="preserve">profmaryhorgan
</t>
  </si>
  <si>
    <t xml:space="preserve">drcsadlier
</t>
  </si>
  <si>
    <t xml:space="preserve">drjacksoncork
</t>
  </si>
  <si>
    <t xml:space="preserve">blairmatthewd
</t>
  </si>
  <si>
    <t xml:space="preserve">cuh_cork
</t>
  </si>
  <si>
    <t>ekhuftpathology
Microbiology @EKHUFT #goingblue
to raise awareness about #AntimicrobialResistance
_xD83E__xDDA0_ _xD83D__xDC8A_ #waaw #handlewithcare #amr
#AntibioticGuardian #AntimicrobialStewardship
#KeepAntibioticsWorking @WHO @UKHSA
https://t.co/eltsdLGOo1</t>
  </si>
  <si>
    <t xml:space="preserve">ekhuft
</t>
  </si>
  <si>
    <t>adhpio
#AntibioticResistance is still
a #PublicHealth threat during the
#COVID19 pandemic. CDC experts
are closely monitoring the possible
effects of COVID-19 on the national
state of antibiotic resistance
&amp;amp; antibiotic use. Read more:
https://t.co/GgtbsnMykP #WAAW https://t.co/TbN7m6mfIT</t>
  </si>
  <si>
    <t>dirty_drinks
It's a Twitter Storm for #AntibioticResistance
and #WAAW! Get in on the movement!
https://t.co/qt2QcM2fTk</t>
  </si>
  <si>
    <t>cdc_ncezid
Antibiotic-resistant bacteria and
fungi cause more than 2.8M infections
and 35K deaths in the U.S. each
year. Improving how you use antibiotics
is one way to protect yourself
&amp;amp; your family from these infections:
https://t.co/jAqYsJJyZe #WAAW #AntibioticResistance
https://t.co/D4f1eG5Glq</t>
  </si>
  <si>
    <t>bdandco
#AntibioticResistance is still
a public health threat during the
#COVID19. CDC experts are closely
monitoring the possible effects
of COVID-19 on the national state
of #AMR and antibiotic uses. Read
more at https://t.co/qxTWDKaFMn
#WAAW21 #HandleWithCare</t>
  </si>
  <si>
    <t>drhussentareq
Day :01 Inauguration Antimicrobial
resistance, a serious public health
problem worldwide. Misuse of Antimicrobials
puts everyone at risk. HSA kicked
started campaign today! #HandlewithCare
#AntimicrobialResistance #KeepAntibioticsWorking
#HSAAMRwarenessWeek #WAAW2021</t>
  </si>
  <si>
    <t>bchpedsid
#AntibioticResistance is still
a #PublicHealth threat during the
#COVID19 pandemic. CDC experts
are closely monitoring the possible
effects of COVID-19 on the national
state of AR &amp;amp; antibiotic use.
Read more: https://t.co/1sY3WJPrpb 
#WAAW</t>
  </si>
  <si>
    <t>atikaashraf11
Day :01 Inauguration Antimicrobial
resistance, a serious public health
problem worldwide. Misuse of Antimicrobials
puts everyone at risk. HSA kicked
started campaign today! #HandlewithCare
#AntimicrobialResistance #KeepAntibioticsWorking
#HSAAMRwarenessWeek #WAAW</t>
  </si>
  <si>
    <t>ahrqnews
#AntibioticResistance is one of
the most urgent global threats
to the public's health. Any time
#antibiotics are used, they can
cause side effects and contribute
to the development of antibiotic
resistance. #USAAW21 #AHRQ @CDCgov
https://t.co/H8skaUGxNr</t>
  </si>
  <si>
    <t>efnbrussels
In combatting antibiotic resistance,
nurses play a central role! Recognise
the advanced roles of nurses in
the AMR struggle is critical to
making progress. #AntimicrobialAwarnessWeek
#WAAW2021 #keepAntibioticsWorking
#EFN #WHO https://t.co/mqsnAxDKAK</t>
  </si>
  <si>
    <t>drkhabbazcdc
Healthcare Payers: @CDCgov’s “Improving
Outpatient Prescribing: A Toolkit
for Healthcare Payers” contains
resources to get started on audit-and-feedback
through measuring and tracking
antibiotic use. Learn more: https://t.co/LYS2a6Fk1a.
#AntibioticResistance #WAAW https://t.co/8baYeJNnx1</t>
  </si>
  <si>
    <t>dr_pbailey
#beantibioticsaware #AntibioticResistance
#WAAW https://t.co/7CNowvwYNu</t>
  </si>
  <si>
    <t>brettbarrettrph
Even in the middle of a pandemic,
#AntibioticResistance matters!
Great _xD83E__xDDF5_on this issue and why the
world needs to protect this shared
resource. #WAAW2021 https://t.co/kit5JiXvjK</t>
  </si>
  <si>
    <t>asc_scarolina
Antibiotic awareness week begins
today! #AntibioticResistance is
one of the worlds most urgent public
health issues. Follow along all
week for more resources and information!
#WAAW #USAAW21 #BeAntibioticsAware
https://t.co/eA61IpOpir</t>
  </si>
  <si>
    <t>cambspboroccg
#AntimicrobialResistance is one
of the most urgent global threats
to the public’s health. #Antibiotics
can cause side-effects, including
nausea and diarrhoea and contribute
to the development of #AntibioticResistance.
#AntibioticGuardian #KeepAntibioticsWorking
#WAAW https://t.co/Q3XKPI2mLS</t>
  </si>
  <si>
    <t xml:space="preserve">gone_grayer
</t>
  </si>
  <si>
    <t xml:space="preserve">dodgson_kj
</t>
  </si>
  <si>
    <t xml:space="preserve">nhctpharmacy
</t>
  </si>
  <si>
    <t xml:space="preserve">labmedicinemft
</t>
  </si>
  <si>
    <t xml:space="preserve">mftnhs
</t>
  </si>
  <si>
    <t xml:space="preserve">mft_pharmacy
</t>
  </si>
  <si>
    <t>aidakrajnc
#antimicrobialresistance is urgent
threats to the public’s health.
Stewardship team @NewhamHospital
@BH_Pharmacy @BH_Infection @NHSBartsHealth
will be promoting guidelines and
reduce use of antibiotics in.Take
a pledge,become #AntibioticGuardian
#KeepAntibioticsWorking #WAAW https://t.co/8morQwDmpD</t>
  </si>
  <si>
    <t xml:space="preserve">nhsbartshealth
</t>
  </si>
  <si>
    <t xml:space="preserve">bh_infection
</t>
  </si>
  <si>
    <t xml:space="preserve">bh_pharmacy
</t>
  </si>
  <si>
    <t xml:space="preserve">newhamhospital
</t>
  </si>
  <si>
    <t>caryncoxphealth
#AntimicrobialResistance is one
of the most urgent global threats
to the public’s health. #antibiotics
can cause side-effects, inc nausea
&amp;amp; diarrhoea &amp;amp; contribute
to the development of #AntibioticResistance
#AntibioticGuardian #KeepAntibioticsWorking
#WAAW</t>
  </si>
  <si>
    <t>ellacasale
#AntimicrobialResistance is one
of the most urgent global threats
to the public’s health. Antibiotics
can cause side-effects, including
nausea and diarrhoea and contribute
to the development of #antibioticresistance.
#AntibioticGuardian #KeepAntibioticsWorking
#WAAW https://t.co/Rzl8oxJ9QX</t>
  </si>
  <si>
    <t>ejmille1
Good to see falling use of antibiotics
in primary care, but increased
hospital and dental use in covid19
pandemic. Increased resistance
to antibiotics seen in last 5 years
is worrying #WAAW #EAAD #KeepAntibioticsWorking
https://t.co/cA0YEbBRDR</t>
  </si>
  <si>
    <t>dayzerodx
Going Blue for AMR during World
Antimicrobials Awareness Week November
18-24 #WAAW #AntibioticResistance
#BeAntibioticsAware https://t.co/Hf7GcPWast</t>
  </si>
  <si>
    <t>ahcpgy1
Anytime #antibiotics are used,
they can cause side effects and
lead to #AntibioticResistance.
#BeAntibioticsAware! #USAAW21 https://t.co/CwMDKJfK6c</t>
  </si>
  <si>
    <t>ameliahma
#AntimicrobialResistance is one
of the most urgent global threats
to the public’s health. Antibiotics
can cause side-effects, including
nausea and diarrhoea and contribute
to the development of #antibioticresistance.
#AntibioticGuardian #KeepAntibioticsWorking
#WAAW https://t.co/QNEr8hu2vd</t>
  </si>
  <si>
    <t>contagion_live
In the second installment of our
series on the @theNASEM report,
we cover how improvements in diagnostic
testing will advance #antibiotic
use and combat #antibioticresistance
#BeAntibioticsAware #USAAW21 #WAAW2021
https://t.co/bbB2wJ4X1B</t>
  </si>
  <si>
    <t xml:space="preserve">thenasem
</t>
  </si>
  <si>
    <t>amrcovid
To mark the beginning of #WAAW2021
read about our project and how
#COVID19 might be affecting the
infections (and whether they're
more resistant) that patients catch
in hospital #AntimicrobialResistance
#AntibioticResistance #AntibioticGuardian
@HerpeZ4 https://t.co/jxZhY1OMCJ</t>
  </si>
  <si>
    <t xml:space="preserve">herpez4
</t>
  </si>
  <si>
    <t>chapelmedical
When antibiotics are prescribed
by a health professional it is
important that you always take
them as directed, never save them
for later and never share them
with others. #KeepAntibioticsWorking
#WAAW #AntibioticGuardian https://t.co/WFTMWmzae5
https://t.co/0oVGGfa0E1</t>
  </si>
  <si>
    <t xml:space="preserve">sara_saracerdas
</t>
  </si>
  <si>
    <t>beva_news
#AntimicrobialResistance is one
of the most urgent global threats
to the public’s health. Antibiotics
can cause side-effects, including
nausea and diarrhoea and contribute
to the development of #antibioticresistance.
#AntibioticGuardian #KeepAntibioticsWorking
#WAAW https://t.co/OOUPKwXZeU</t>
  </si>
  <si>
    <t>brxad
Antibiotics have second-hand effects
beyond the person receiving them.
We have societal responsibility
to use these medications judiciously.
#AntibioticResistance #WAAW2021
#WAAW2021 https://t.co/ABes3vIddx
https://t.co/ngPtgcsKrZ</t>
  </si>
  <si>
    <t>cusuperbugs
It’s #WorldAntimicrobialAwarenessWeek!
Enter the microbial world and find
out more about the bacteria, in,
on and around us. Use our platform
to learn about #Antibiotics and
#AntibioticResistance. ▶️ https://t.co/pQoS9WH6W1
#WAAW #AMR #CUsuperbugs https://t.co/6QacCXH913</t>
  </si>
  <si>
    <t>abimbola_pharm
Spread the word- crucial work #AntibioticGuardian
#WAAW #EAAD #KeepAntibioticsWorking
#AntimicrobialResistance @BTHFTPharm
https://t.co/Cql4elYFll</t>
  </si>
  <si>
    <t xml:space="preserve">bthftpharm
</t>
  </si>
  <si>
    <t>dgnhs
Today is European Antibiotic Awareness
Day #EAAD2021 Antibiotics can cause
side-effects and can contribute
to the development of #AntibioticResistance
Help spread awareness. Be an #AntibioticGuardian
#KeepAntibioticsWorking - not all
infections need drug intervention.
https://t.co/NrTrFjlfRU</t>
  </si>
  <si>
    <t>drloudunsmure
#WAAW2021 #waaw #AntibioticGuardian
https://t.co/ronWUgcq28</t>
  </si>
  <si>
    <t>chipublichealth
We’re proud to be a #BeAntibioticsAware
partner for U.S. Antibiotic Awareness
Week! Learn how you can participate:
https://t.co/KJgR9vlc49 #USAAW21
#WAAW #AntibioticResistance #AMR
https://t.co/lQQ7fYVfVa</t>
  </si>
  <si>
    <t>cdc_tb
Did you know it costs $182,000
to treat a patient with multidrug-resistant
#TB? Drug-resistant TB is costly
and complex to treat. Learn more:
https://t.co/a5J7KDHOEh #USAAW21
#BeAntibioticsAware #WAAW21 #AntibioticResistance
https://t.co/uCJiEIZr5R</t>
  </si>
  <si>
    <t>apic
IPs, are you an Antibiotics Whiz?
Lets find out! Take this fun quiz
to celebrate #AntibioticAwarenessWeek:
https://t.co/N8UC37o3ks #WAAW #BeAntibioticsAware
#AntibioticResistance https://t.co/TsTiAiz6pt</t>
  </si>
  <si>
    <t>alinaveed143p
Day :01 Inauguration Antimicrobial
resistance, a serious public health
problem worldwide. Misuse of Antimicrobials
puts everyone at risk. HSA kick
started campaign today! #HandlewithCare
#AntimicrobialResistance #KeepAntibioticsWorking
#HSAAMRwarenessWeek #WAAW2021 https://t.co/BhUfVqKICv</t>
  </si>
  <si>
    <t>daisydumble
Simple steps we can all take to
help #KeepAntibioticsWorking: ✅
Take your Doctor's advice about
antibiotics and only take them
exactly as prescribed ✅ ❌Never
save antibiotics for later and
never share them with others ❌
#WorldAntimicrobialAwareness Week
#WAAW</t>
  </si>
  <si>
    <t>efsa_eu
Anytime #antibiotics are used,
they can cause side effects and
lead to #AntibioticResistance.
#BeAntibioticsAware, read this
page _xD83D__xDC47_ https://t.co/TdeF7WSn2E
#WAAW #EAAD</t>
  </si>
  <si>
    <t>countydurhamccg
_xD83D__xDC68_‍_xD83D__xDC69_‍_xD83D__xDC67__xD83D__xDC6A_Talk to friends and family
about #AntibioticResistance. Remember
that COVID, flu and other viruses
won't respond to antibiotics ❌_xD83D__xDC8A_
#WorldAntimicrobialAwarenessWeek
#WAAW</t>
  </si>
  <si>
    <t>cppeengland
#AntimicrobialResistance is one
of the most urgent global threats
to the public’s health. Antibiotics
can cause side-effects, including
nausea and diarrhoea and contribute
to the development of #antibioticresistance.
#AntibioticGuardian #KeepAntibioticsWorking
#WAAW https://t.co/6eRUBW9IaR</t>
  </si>
  <si>
    <t>curafdn
#Antibiotics are critical tools
for treating life-threatening conditions
such as pneumonia and sepsis. They
can save lives. When a patient
needs antibiotics, the benefits
outweigh the risks of side effects
and #antibioticresistance. #WAAW
#USAAW (1/3)</t>
  </si>
  <si>
    <t>devshealth
Each year, 330000 people die from
an infection due to bacteria resistant
to antibiotics. It will be 10000000
deads in less than 20 years. Today
it is the European Antibiotic Awareness
Day and we have to work together
to keep antibiotics working! #AMR
#KeepAntibioticsWorking #WAAW https://t.co/RyC9n8aFan</t>
  </si>
  <si>
    <t>cheshireeast
#AntimicrobialResistance is one
of the most urgent global threats
to the public’s health. Antibiotics
can cause side-effects, including
nausea and diarrhoea and contribute
to the development of #antibioticresistance.
#AntibioticGuardian #KeepAntibioticsWorking
#WAAW https://t.co/ycBYhHviwa</t>
  </si>
  <si>
    <t>arsl_raza
Spread Awareness, Stop Resistance.
#HandlewithCare #AntimicrobialResistance
#KeepAntibioticsWorking #HSAAMRwarenessWeek
#WAAW https://t.co/6SRacgEnBJ</t>
  </si>
  <si>
    <t>alinfectdis
#AntibioticResistance is 1️⃣ of
the most urgent _xD83C__xDF0E_ threats to the
public’s health. Any time #antibiotics
are used, they can cause side effects
and contribute to the development
of antibiotic resistance. #WAAW
Fight the _xD83E__xDDA0_, save the _xD83D__xDC8A_, &amp;amp;
#PutALIDSonAntibioticResistance‼️</t>
  </si>
  <si>
    <t>ebpcooh
When antibiotics are prescribed
by a health professional it is
important that you always take
them as directed, never save them
for later and never share them
with others. #KeepAntibioticsWorking
#WAAW #AntibioticGuardian https://t.co/4CcULe5MWW
https://t.co/k6Qn1JjYRw</t>
  </si>
  <si>
    <t>awg_news
Antibiotic Awareness Week starts
today! This annual one-week observance
is meant to raise awareness of
the importance of appropriate antibiotic
use to combat the threat of #AntibioticResistance.
Learn More: https://t.co/hZZ76o1qBf
#BeAntibioticsAware #USAAW21</t>
  </si>
  <si>
    <t>dse22
#AntimicrobialResistance is one
of the most urgent global threats
to the public’s health. Antibiotics
can cause side-effects, including
nausea and diarrhoea and contribute
to the development of #antibioticresistance.
#AntibioticGuardian #KeepAntibioticsWorking
#WAAW https://t.co/rI0iizoKhw</t>
  </si>
  <si>
    <t>arlgnetwork
#AntibioticResistance is still
a #PublicHealth threat during the
#COVID19 pandemic. CDC experts
are closely monitoring the possible
effects of COVID-19 on the national
state of AR &amp;amp; antibiotic use.
Read more: https://t.co/wmtyWaxUFC
#WAAW https://t.co/c9slnAMlEo</t>
  </si>
  <si>
    <t>vasiliouc
World Antibiotic Awareness Week
2021 starts today! Appropriate
disposal of antibiotics can reduce
them being present in our environment
and contributing to resistance
#WAAW #KeepAntibioticsWorking #EAAD
#AntibioticGuardian #GreenerNHS
@PharmDeclares https://t.co/fObW1W0xjt</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</si>
  <si>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</si>
  <si>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</si>
  <si>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</si>
  <si>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</si>
  <si>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</si>
  <si>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</si>
  <si>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</si>
  <si>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</si>
  <si>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</si>
  <si>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</si>
  <si>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</si>
  <si>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</si>
  <si>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</si>
  <si>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</si>
  <si>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</si>
  <si>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</si>
  <si>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</si>
  <si>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</si>
  <si>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</si>
  <si>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</si>
  <si>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</si>
  <si>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</si>
  <si>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</si>
  <si>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</si>
  <si>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</si>
  <si>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</si>
  <si>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</si>
  <si>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</si>
  <si>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</si>
  <si>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</si>
  <si>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</si>
  <si>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</si>
  <si>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</si>
  <si>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</si>
  <si>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</si>
  <si>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</si>
  <si>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</si>
  <si>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</si>
  <si>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</si>
  <si>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</si>
  <si>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</si>
  <si>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</si>
  <si>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</si>
  <si>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</si>
  <si>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https://www.cdc.gov/drugresistance/covid19.html</t>
  </si>
  <si>
    <t>https://antibioticguardian.com/</t>
  </si>
  <si>
    <t>https://www.cdc.gov/antibiotic-use/q-a.html</t>
  </si>
  <si>
    <t>https://twitter.com/HealthSAcademy/status/1461353075248021515</t>
  </si>
  <si>
    <t>https://www.frimleyhealthandcare.org.uk/news/posts/2021/november/keep-antibiotics-working/?utm_source=Twitter&amp;utm_medium=social&amp;utm_campaign=Orlo</t>
  </si>
  <si>
    <t>https://www.efsa.europa.eu/en/topics/topic/antimicrobial-resistance</t>
  </si>
  <si>
    <t>https://www.cdc.gov/antibiotic-use/week/get-involved.html</t>
  </si>
  <si>
    <t>https://www.cdc.gov/antibiotic-use/antibiotic-resistance.html</t>
  </si>
  <si>
    <t>https://www.cdc.gov/antibiotic-use/common-illnesses.html</t>
  </si>
  <si>
    <t>Entire Graph Count</t>
  </si>
  <si>
    <t>Top URLs in Tweet in G1</t>
  </si>
  <si>
    <t>https://youtu.be/7PhmyNBWGik</t>
  </si>
  <si>
    <t>https://www.southampton.ac.uk/medicine/academic_units/academic_units/open-study.page</t>
  </si>
  <si>
    <t>Top URLs in Tweet in G2</t>
  </si>
  <si>
    <t>G1 Count</t>
  </si>
  <si>
    <t>https://twitter.com/DrDianeAshiru/status/1461226402603225093</t>
  </si>
  <si>
    <t>https://twitter.com/rhiannon_tapp/status/1461353712534769673</t>
  </si>
  <si>
    <t>https://twitter.com/rpharms/status/1461332861311717388</t>
  </si>
  <si>
    <t>https://twitter.com/DrDianeAshiru/status/1461246741584486405</t>
  </si>
  <si>
    <t>https://twitter.com/DrKieranHand/status/1461128236935618563</t>
  </si>
  <si>
    <t>Top URLs in Tweet in G3</t>
  </si>
  <si>
    <t>G2 Count</t>
  </si>
  <si>
    <t>https://twitter.com/EAAD_EU/status/1461347210927296513</t>
  </si>
  <si>
    <t>https://www.youtube.com/watch?v=3yxRL2TAGOQ&amp;feature=youtu.be</t>
  </si>
  <si>
    <t>https://www.bradspellberg.com/shorter-is-better</t>
  </si>
  <si>
    <t>https://www2.hse.ie/under-the-weather/</t>
  </si>
  <si>
    <t>https://www.ecdc.europa.eu/en/publications-data/surveillance-antimicrobial-consumption-europe-2020</t>
  </si>
  <si>
    <t>Top URLs in Tweet in G4</t>
  </si>
  <si>
    <t>G3 Count</t>
  </si>
  <si>
    <t>https://www.sciencedirect.com/science/article/pii/S2590088919300071?via%3Dihub</t>
  </si>
  <si>
    <t>https://www.sciencedirect.com/science/article/pii/S1198743X18307961</t>
  </si>
  <si>
    <t>https://journals.lww.com/clinpulm/Abstract/2020/09000/Antibiotic_Use_and_Stewardship_in_Cystic_Fibrosis_.2.aspx</t>
  </si>
  <si>
    <t>https://idp.nature.com/authorize?response_type=cookie&amp;client_id=grover&amp;redirect_uri=https%3A%2F%2Fwww.nature.com%2Farticles%2Fs41579-019-0288-0</t>
  </si>
  <si>
    <t>https://www.gov.uk/government/publications/antimicrobial-stewardship-start-smart-then-focus</t>
  </si>
  <si>
    <t>https://www.tandfonline.com/action/showAxaArticles?journalCode=ierz20&amp;cookieSet=1</t>
  </si>
  <si>
    <t>https://academic.oup.com/jacamr</t>
  </si>
  <si>
    <t>https://secure.jbs.elsevierhealth.com/action/getSharedSiteSession?redirect=https%3A%2F%2Fwww.thelancet.com%2Fjournals%2Flancet%2Farticle%2FPIIS0140-6736%2812%2960192-5%2Ffulltext&amp;rc=0</t>
  </si>
  <si>
    <t>https://twitter.com/MicrobLog_me_uk/status/1064116004094136320?s=20</t>
  </si>
  <si>
    <t>Top URLs in Tweet in G5</t>
  </si>
  <si>
    <t>G4 Count</t>
  </si>
  <si>
    <t>https://www.cdc.gov/antibiotic-use/core-elements/outpatient/implementation.html#anchor_1630602042080</t>
  </si>
  <si>
    <t>https://arpsp.cdc.gov/profile/stewardship</t>
  </si>
  <si>
    <t>https://www.cdc.gov/antibiotic-use/do-and-dont.html</t>
  </si>
  <si>
    <t>https://www.cdc.gov/drugresistance/protecting_patients.html</t>
  </si>
  <si>
    <t>https://www.khconline.org/14-khc-initiatives/402-hai-ar</t>
  </si>
  <si>
    <t>https://www.pewtrusts.org/en/research-and-analysis/data-visualizations/2020/antibiotic-resistant-bacteria-is-a-growing-threat?utm_campaign=saveantibiotics&amp;utm_source=twitter&amp;utm_medium=social</t>
  </si>
  <si>
    <t>https://www.pewtrusts.org/en/research-and-analysis/articles/2020/04/15/the-invaluable-role-of-antibiotics-in-a-pandemic-and-beyond?utm_campaign=saveantibiotics&amp;utm_source=twitter&amp;utm_medium=social</t>
  </si>
  <si>
    <t>https://twitter.com/CDCgov/status/1461050274399850501</t>
  </si>
  <si>
    <t>Top URLs in Tweet in G6</t>
  </si>
  <si>
    <t>G5 Count</t>
  </si>
  <si>
    <t>https://twitter.com/antibioticangel/status/1461348545550716936</t>
  </si>
  <si>
    <t>https://twitter.com/antibioticangel/status/1461304886356815873</t>
  </si>
  <si>
    <t>Top URLs in Tweet in G7</t>
  </si>
  <si>
    <t>G6 Count</t>
  </si>
  <si>
    <t>Top URLs in Tweet in G8</t>
  </si>
  <si>
    <t>G7 Count</t>
  </si>
  <si>
    <t>Top URLs in Tweet in G9</t>
  </si>
  <si>
    <t>G8 Count</t>
  </si>
  <si>
    <t>Top URLs in Tweet in G10</t>
  </si>
  <si>
    <t>G9 Count</t>
  </si>
  <si>
    <t>https://twitter.com/DrKhabbazCDC/status/1461352265109757955</t>
  </si>
  <si>
    <t>G10 Count</t>
  </si>
  <si>
    <t>Top URLs in Tweet</t>
  </si>
  <si>
    <t>https://www.cdc.gov/drugresistance/covid19.html https://antibioticguardian.com/ https://www.cdc.gov/antibiotic-use/q-a.html https://twitter.com/HealthSAcademy/status/1461353075248021515 https://www.cdc.gov/antibiotic-use/week/get-involved.html https://www.cdc.gov/antibiotic-use/antibiotic-resistance.html https://www.frimleyhealthandcare.org.uk/news/posts/2021/november/keep-antibiotics-working/?utm_source=Twitter&amp;utm_medium=social&amp;utm_campaign=Orlo https://www.efsa.europa.eu/en/topics/topic/antimicrobial-resistance https://youtu.be/7PhmyNBWGik https://www.southampton.ac.uk/medicine/academic_units/academic_units/open-study.page</t>
  </si>
  <si>
    <t>https://eur01.safelinks.protection.outlook.com/?url=https://www.gov.uk/government/publications/english-surveillance-programme-antimicrobial-utilisation-and-resistance-espaur-report&amp;data=04|01|Nick.Tiplady@phe.gov.uk|ccf5cbaf22ec41b3e5d808d88bb2bc3b|ee4e14994a354b2ead475f3cf9de8666|0|0|637412947057544774|Unknown|TWFpbGZsb3d8eyJWIjoiMC4wLjAwMDAiLCJQIjoiV2luMzIiLCJBTiI6Ik1haWwiLCJXVCI6Mn0%3D|1000&amp;sdata=3T%2BA/jwtsw3BsLevI4dVIUBfBARB2oQ2Ncsbpb/OZuo%3D&amp;reserved=0 https://antibioticguardian.com/ https://twitter.com/DrDianeAshiru/status/1461226402603225093 https://twitter.com/rhiannon_tapp/status/1461353712534769673 https://twitter.com/rpharms/status/1461332861311717388 https://twitter.com/DrDianeAshiru/status/1461246741584486405 https://twitter.com/DrKieranHand/status/1461128236935618563</t>
  </si>
  <si>
    <t>https://twitter.com/EAAD_EU/status/1461347210927296513 https://www.youtube.com/watch?v=3yxRL2TAGOQ&amp;feature=youtu.be https://www.bradspellberg.com/shorter-is-better https://www2.hse.ie/under-the-weather/ https://www.ecdc.europa.eu/en/publications-data/surveillance-antimicrobial-consumption-europe-2020</t>
  </si>
  <si>
    <t>https://www.bradspellberg.com/shorter-is-better https://www.sciencedirect.com/science/article/pii/S2590088919300071?via%3Dihub https://www.sciencedirect.com/science/article/pii/S1198743X18307961 https://journals.lww.com/clinpulm/Abstract/2020/09000/Antibiotic_Use_and_Stewardship_in_Cystic_Fibrosis_.2.aspx https://idp.nature.com/authorize?response_type=cookie&amp;client_id=grover&amp;redirect_uri=https%3A%2F%2Fwww.nature.com%2Farticles%2Fs41579-019-0288-0 https://www.gov.uk/government/publications/antimicrobial-stewardship-start-smart-then-focus https://www.tandfonline.com/action/showAxaArticles?journalCode=ierz20&amp;cookieSet=1 https://academic.oup.com/jacamr https://secure.jbs.elsevierhealth.com/action/getSharedSiteSession?redirect=https%3A%2F%2Fwww.thelancet.com%2Fjournals%2Flancet%2Farticle%2FPIIS0140-6736%2812%2960192-5%2Ffulltext&amp;rc=0 https://twitter.com/MicrobLog_me_uk/status/1064116004094136320?s=20</t>
  </si>
  <si>
    <t>https://www.cdc.gov/drugresistance/covid19.html https://www.cdc.gov/antibiotic-use/common-illnesses.html https://www.cdc.gov/antibiotic-use/core-elements/outpatient/implementation.html#anchor_1630602042080 https://arpsp.cdc.gov/profile/stewardship https://www.cdc.gov/antibiotic-use/do-and-dont.html https://www.cdc.gov/drugresistance/protecting_patients.html https://www.khconline.org/14-khc-initiatives/402-hai-ar https://www.pewtrusts.org/en/research-and-analysis/data-visualizations/2020/antibiotic-resistant-bacteria-is-a-growing-threat?utm_campaign=saveantibiotics&amp;utm_source=twitter&amp;utm_medium=social https://www.pewtrusts.org/en/research-and-analysis/articles/2020/04/15/the-invaluable-role-of-antibiotics-in-a-pandemic-and-beyond?utm_campaign=saveantibiotics&amp;utm_source=twitter&amp;utm_medium=social https://twitter.com/CDCgov/status/1461050274399850501</t>
  </si>
  <si>
    <t>https://twitter.com/antibioticangel/status/1461348545550716936 https://twitter.com/antibioticangel/status/1461304886356815873</t>
  </si>
  <si>
    <t>https://www.linkedin.com/feed/update/urn:li:activity:6867119217246916608</t>
  </si>
  <si>
    <t>https://twitter.com/e_charani/status/1461308340009586699</t>
  </si>
  <si>
    <t>https://linzyelton628749128.wordpress.com/2021/08/22/has-the-covid-19-pandemic-lit-a-fire-under-a-hidden-pandemic/</t>
  </si>
  <si>
    <t>https://www.contagionlive.com/view/national-academies-report-timely-diagnostics-can-facilitate-new-antimicrobials-better-stewardship</t>
  </si>
  <si>
    <t>https://twitter.com/Roci_Buendia/status/1461285628038070282</t>
  </si>
  <si>
    <t>https://www.youtube.com/watch?v=DtR_6EQaTdQ&amp;feature=youtu.be</t>
  </si>
  <si>
    <t>https://twitter.com/eBug_UK/status/1461302711786348550</t>
  </si>
  <si>
    <t>https://www.idsociety.org/public-health/patient-stories/patient-stories/ https://twitter.com/ThePFID/status/1461357650256355328 http://www.youtube.com/watch?v=3CfAD41KoG8 https://c0c453c4-34c1-4bf2-90ea-3172c98da69b.filesusr.com/ugd/b11210_7b8f40a3fcb244e39060abb27049ea14.pdf?index=true https://twitter.com/CDCgov/status/1461349742592462858 https://twitter.com/AmerAcadPeds/status/1461329618632327171</t>
  </si>
  <si>
    <t>Top Domains in Tweet in Entire Graph</t>
  </si>
  <si>
    <t>Top Domains in Tweet in G1</t>
  </si>
  <si>
    <t>Top Domains in Tweet in G2</t>
  </si>
  <si>
    <t>Top Domains in Tweet in G3</t>
  </si>
  <si>
    <t>Top Domains in Tweet in G4</t>
  </si>
  <si>
    <t>tandfonline.com</t>
  </si>
  <si>
    <t>Top Domains in Tweet in G5</t>
  </si>
  <si>
    <t>Top Domains in Tweet in G6</t>
  </si>
  <si>
    <t>Top Domains in Tweet in G7</t>
  </si>
  <si>
    <t>Top Domains in Tweet in G8</t>
  </si>
  <si>
    <t>Top Domains in Tweet in G9</t>
  </si>
  <si>
    <t>Top Domains in Tweet in G10</t>
  </si>
  <si>
    <t>Top Domains in Tweet</t>
  </si>
  <si>
    <t>cdc.gov ac.uk twitter.com antibioticguardian.com youtube.com org.uk medshadow.org europa.eu youtu.be nhs.uk</t>
  </si>
  <si>
    <t>twitter.com outlook.com antibioticguardian.com</t>
  </si>
  <si>
    <t>twitter.com youtube.com bradspellberg.com hse.ie europa.eu</t>
  </si>
  <si>
    <t>sciencedirect.com lww.com gov.uk oup.com bradspellberg.com nature.com tandfonline.com elsevierhealth.com twitter.com routledge.com</t>
  </si>
  <si>
    <t>cdc.gov pewtrusts.org khconline.org twitter.com</t>
  </si>
  <si>
    <t>twitter.com idsociety.org youtube.com filesusr.com</t>
  </si>
  <si>
    <t>Top Hashtags in Tweet in Entire Graph</t>
  </si>
  <si>
    <t>waaw</t>
  </si>
  <si>
    <t>antimicrobialresistance</t>
  </si>
  <si>
    <t>waaw2021</t>
  </si>
  <si>
    <t>eaad2021</t>
  </si>
  <si>
    <t>doit4das</t>
  </si>
  <si>
    <t>usaaw21</t>
  </si>
  <si>
    <t>antibiotics</t>
  </si>
  <si>
    <t>Top Hashtags in Tweet in G1</t>
  </si>
  <si>
    <t>handlewithcare</t>
  </si>
  <si>
    <t>covid19</t>
  </si>
  <si>
    <t>hsaamrwarenessweek</t>
  </si>
  <si>
    <t>beantibioticsaware</t>
  </si>
  <si>
    <t>Top Hashtags in Tweet in G2</t>
  </si>
  <si>
    <t>eaad</t>
  </si>
  <si>
    <t>usaaw</t>
  </si>
  <si>
    <t>publichealth</t>
  </si>
  <si>
    <t>Top Hashtags in Tweet in G3</t>
  </si>
  <si>
    <t>amr</t>
  </si>
  <si>
    <t>healthcare</t>
  </si>
  <si>
    <t>Top Hashtags in Tweet in G4</t>
  </si>
  <si>
    <t>ams</t>
  </si>
  <si>
    <t>sepsis</t>
  </si>
  <si>
    <t>cpe</t>
  </si>
  <si>
    <t>cdiff</t>
  </si>
  <si>
    <t>Top Hashtags in Tweet in G5</t>
  </si>
  <si>
    <t>waaw21</t>
  </si>
  <si>
    <t>antibiotic</t>
  </si>
  <si>
    <t>hcp</t>
  </si>
  <si>
    <t>ahrq</t>
  </si>
  <si>
    <t>Top Hashtags in Tweet in G6</t>
  </si>
  <si>
    <t>uti</t>
  </si>
  <si>
    <t>goblueforamr</t>
  </si>
  <si>
    <t>Top Hashtags in Tweet in G7</t>
  </si>
  <si>
    <t>Top Hashtags in Tweet in G8</t>
  </si>
  <si>
    <t>bugsyontour</t>
  </si>
  <si>
    <t>Top Hashtags in Tweet in G9</t>
  </si>
  <si>
    <t>idtwitter</t>
  </si>
  <si>
    <t>Top Hashtags in Tweet in G10</t>
  </si>
  <si>
    <t>cysticfibrosis</t>
  </si>
  <si>
    <t>pasteuract</t>
  </si>
  <si>
    <t>cfadvocacy</t>
  </si>
  <si>
    <t>Top Hashtags in Tweet</t>
  </si>
  <si>
    <t>waaw antibioticresistance keepantibioticsworking antimicrobialresistance antibioticguardian waaw2021 handlewithcare covid19 hsaamrwarenessweek beantibioticsaware</t>
  </si>
  <si>
    <t>waaw keepantibioticsworking antibioticresistance antibiotics eaad antibioticguardian usaaw21 antimicrobialresistance usaaw publichealth</t>
  </si>
  <si>
    <t>waaw antibioticresistance waaw2021 eaad antimicrobialresistance antibiotics keepantibioticsworking eaad2021 amr healthcare</t>
  </si>
  <si>
    <t>keepantibioticsworking waaw2021 eaad2021 doit4das antibioticguardian ams amr sepsis cpe cdiff</t>
  </si>
  <si>
    <t>antibioticresistance waaw covid19 publichealth antibiotics usaaw21 waaw21 antibiotic hcp ahrq</t>
  </si>
  <si>
    <t>keepantibioticsworking waaw antibioticguardian uti goblueforamr</t>
  </si>
  <si>
    <t>eaad idtwitter keepantibioticsworking</t>
  </si>
  <si>
    <t>antimicrobialresistance antibioticresistance animalwelfare antibiotics antibioticguardian keepantibioticsworking waaw</t>
  </si>
  <si>
    <t>teamwestherts antibioticguardian waaw2021 antibioticawarenessweek</t>
  </si>
  <si>
    <t>antibioticresistance waaw usaaw21 squashsuperbugs beantibioticsaware amr chronicillness antimicrobial patients healthcare</t>
  </si>
  <si>
    <t>Top Words in Tweet in Entire Graph</t>
  </si>
  <si>
    <t>#keepantibioticsworking</t>
  </si>
  <si>
    <t>#waaw</t>
  </si>
  <si>
    <t>#antibioticresistance</t>
  </si>
  <si>
    <t>#antibioticguardian</t>
  </si>
  <si>
    <t>#antimicrobialresistance</t>
  </si>
  <si>
    <t>#waaw2021</t>
  </si>
  <si>
    <t>effects</t>
  </si>
  <si>
    <t>health</t>
  </si>
  <si>
    <t>Top Words in Tweet in G1</t>
  </si>
  <si>
    <t>public</t>
  </si>
  <si>
    <t>one</t>
  </si>
  <si>
    <t>Top Words in Tweet in G2</t>
  </si>
  <si>
    <t>#antibiotics</t>
  </si>
  <si>
    <t>#eaad</t>
  </si>
  <si>
    <t>#usaaw21</t>
  </si>
  <si>
    <t>Top Words in Tweet in G3</t>
  </si>
  <si>
    <t>advice</t>
  </si>
  <si>
    <t>Top Words in Tweet in G4</t>
  </si>
  <si>
    <t>50</t>
  </si>
  <si>
    <t>#eaad2021</t>
  </si>
  <si>
    <t>#doit4das</t>
  </si>
  <si>
    <t>#ams</t>
  </si>
  <si>
    <t>#amr</t>
  </si>
  <si>
    <t>best</t>
  </si>
  <si>
    <t>Top Words in Tweet in G5</t>
  </si>
  <si>
    <t>#covid19</t>
  </si>
  <si>
    <t>s</t>
  </si>
  <si>
    <t>use</t>
  </si>
  <si>
    <t>more</t>
  </si>
  <si>
    <t>during</t>
  </si>
  <si>
    <t>Top Words in Tweet in G6</t>
  </si>
  <si>
    <t>great</t>
  </si>
  <si>
    <t>team</t>
  </si>
  <si>
    <t>#uti</t>
  </si>
  <si>
    <t>way</t>
  </si>
  <si>
    <t>Top Words in Tweet in G7</t>
  </si>
  <si>
    <t>Top Words in Tweet in G8</t>
  </si>
  <si>
    <t>#bugsyontour</t>
  </si>
  <si>
    <t>Top Words in Tweet in G9</t>
  </si>
  <si>
    <t>Top Words in Tweet in G10</t>
  </si>
  <si>
    <t>Top Words in Tweet</t>
  </si>
  <si>
    <t>#waaw #antibioticresistance #keepantibioticsworking #antimicrobialresistance antibiotics #antibioticguardian health effects public one</t>
  </si>
  <si>
    <t>#waaw #keepantibioticsworking #antibioticresistance #antibiotics #eaad #antibioticguardian #usaaw21 antibiotics #antimicrobialresistance antibiotic</t>
  </si>
  <si>
    <t>#waaw #antibioticresistance #waaw2021 #eaad #antimicrobialresistance #antibiotics advice antibiotics eaad_eu #keepantibioticsworking</t>
  </si>
  <si>
    <t>50 #keepantibioticsworking #waaw2021 #eaad2021 #doit4das #antibioticguardian antibiotics #ams #amr best</t>
  </si>
  <si>
    <t>#antibioticresistance #waaw #covid19 s antibiotic effects cdcgov use more during</t>
  </si>
  <si>
    <t>#keepantibioticsworking #waaw #antibioticguardian great team mft_pharmacy elizbeech #uti way antibioticangel</t>
  </si>
  <si>
    <t>uhnmcharity uhnm_nhs mc_bugsy #eaad2021 #bugsyontour #antibioticguardian</t>
  </si>
  <si>
    <t>#antimicrobialresistance #antibioticresistance</t>
  </si>
  <si>
    <t>westhertsnhs #teamwestherts #antibioticguardian</t>
  </si>
  <si>
    <t>haben eine</t>
  </si>
  <si>
    <t>#antibioticresistance #waaw #usaaw21 many infections #squashsuperbugs w effective</t>
  </si>
  <si>
    <t>Top Word Pairs in Tweet in Entire Graph</t>
  </si>
  <si>
    <t>#antibioticguardian,#keepantibioticsworking</t>
  </si>
  <si>
    <t>#keepantibioticsworking,#waaw</t>
  </si>
  <si>
    <t>side,effects</t>
  </si>
  <si>
    <t>#keepantibioticsworking,#waaw2021</t>
  </si>
  <si>
    <t>#waaw2021,#eaad2021</t>
  </si>
  <si>
    <t>#eaad2021,#doit4das</t>
  </si>
  <si>
    <t>one,urgent</t>
  </si>
  <si>
    <t>urgent,global</t>
  </si>
  <si>
    <t>global,threats</t>
  </si>
  <si>
    <t>cause,side</t>
  </si>
  <si>
    <t>Top Word Pairs in Tweet in G1</t>
  </si>
  <si>
    <t>threats,public</t>
  </si>
  <si>
    <t>public,s</t>
  </si>
  <si>
    <t>s,health</t>
  </si>
  <si>
    <t>Top Word Pairs in Tweet in G2</t>
  </si>
  <si>
    <t>#usaaw21,#eaad</t>
  </si>
  <si>
    <t>#eaad,#antibioticresistance</t>
  </si>
  <si>
    <t>#antibioticresistance,#antibiotics</t>
  </si>
  <si>
    <t>#antibiotics,#keepantibioticsworking</t>
  </si>
  <si>
    <t>antibiotic,resistance</t>
  </si>
  <si>
    <t>#waaw,lizcorteville</t>
  </si>
  <si>
    <t>lizcorteville,hiow_ics</t>
  </si>
  <si>
    <t>Top Word Pairs in Tweet in G3</t>
  </si>
  <si>
    <t>#waaw,#antibioticresistance</t>
  </si>
  <si>
    <t>#amr,#waaw2021</t>
  </si>
  <si>
    <t>#waaw2021,#eaad</t>
  </si>
  <si>
    <t>#antibioticresistance,#waaw</t>
  </si>
  <si>
    <t>Top Word Pairs in Tweet in G4</t>
  </si>
  <si>
    <t>50,aware</t>
  </si>
  <si>
    <t>blood,culture</t>
  </si>
  <si>
    <t>antibiotics,#antibioticguardian</t>
  </si>
  <si>
    <t>#amr,#antibioticguardian</t>
  </si>
  <si>
    <t>against,#amr</t>
  </si>
  <si>
    <t>management,#sepsis</t>
  </si>
  <si>
    <t>Top Word Pairs in Tweet in G5</t>
  </si>
  <si>
    <t>antibiotic,use</t>
  </si>
  <si>
    <t>#antibioticresistance,still</t>
  </si>
  <si>
    <t>still,#publichealth</t>
  </si>
  <si>
    <t>#publichealth,threat</t>
  </si>
  <si>
    <t>threat,during</t>
  </si>
  <si>
    <t>during,#covid19</t>
  </si>
  <si>
    <t>#covid19,pandemic</t>
  </si>
  <si>
    <t>covid,19</t>
  </si>
  <si>
    <t>Top Word Pairs in Tweet in G6</t>
  </si>
  <si>
    <t>#keepantibioticsworking,#antibioticguardian</t>
  </si>
  <si>
    <t>#waaw,#keepantibioticsworking</t>
  </si>
  <si>
    <t>great,way</t>
  </si>
  <si>
    <t>Top Word Pairs in Tweet in G7</t>
  </si>
  <si>
    <t>Top Word Pairs in Tweet in G8</t>
  </si>
  <si>
    <t>uhnmcharity,uhnm_nhs</t>
  </si>
  <si>
    <t>Top Word Pairs in Tweet in G9</t>
  </si>
  <si>
    <t>Top Word Pairs in Tweet in G10</t>
  </si>
  <si>
    <t>Top Word Pairs in Tweet</t>
  </si>
  <si>
    <t>#antibioticguardian,#keepantibioticsworking  one,urgent  urgent,global  global,threats  side,effects  cause,side  threats,public  public,s  s,health  #keepantibioticsworking,#waaw</t>
  </si>
  <si>
    <t>#keepantibioticsworking,#waaw  #usaaw21,#eaad  #eaad,#antibioticresistance  #antibioticresistance,#antibiotics  #antibiotics,#keepantibioticsworking  antibiotic,resistance  #antibioticguardian,#keepantibioticsworking  #waaw,lizcorteville  lizcorteville,hiow_ics  side,effects</t>
  </si>
  <si>
    <t>#waaw,#antibioticresistance  #amr,#waaw2021  #waaw2021,#eaad  #eaad,#antibioticresistance  #antibioticresistance,#waaw</t>
  </si>
  <si>
    <t>#keepantibioticsworking,#waaw2021  #waaw2021,#eaad2021  #eaad2021,#doit4das  #antibioticguardian,#keepantibioticsworking  50,aware  blood,culture  antibiotics,#antibioticguardian  #amr,#antibioticguardian  against,#amr  management,#sepsis</t>
  </si>
  <si>
    <t>antibiotic,use  #antibioticresistance,still  still,#publichealth  #publichealth,threat  threat,during  during,#covid19  #covid19,pandemic  covid,19  #antibioticresistance,#waaw  side,effects</t>
  </si>
  <si>
    <t>#keepantibioticsworking,#antibioticguardian  #waaw,#keepantibioticsworking  great,way</t>
  </si>
  <si>
    <t>#waaw,#usaaw21</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</si>
  <si>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</si>
  <si>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</si>
  <si>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</si>
  <si>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</si>
  <si>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</si>
  <si>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</si>
  <si>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</si>
  <si>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</si>
  <si>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</si>
  <si>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</si>
  <si>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</si>
  <si>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</si>
  <si>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</si>
  <si>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</si>
  <si>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</si>
  <si>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</si>
  <si>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</si>
  <si>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</si>
  <si>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</si>
  <si>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</si>
  <si>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</si>
  <si>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</si>
  <si>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</si>
  <si>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proavigo ffitzp</t>
  </si>
  <si>
    <t>Top Mentioned in Tweet</t>
  </si>
  <si>
    <t>lizcorteville hiow_ics who ukhsa drdianeashiru ukamrenvoy ekhuft nhssoutheast keithridge1 drkieranhand</t>
  </si>
  <si>
    <t>eaad_eu ecdc_eu sara_saracerdas geiras_seimc prangob seimc_ bradspellberg ffitzp rcsi_micro rcsi_research</t>
  </si>
  <si>
    <t>who uhbtrust ukhsa jamiesonce jabicjenkins bradspellberg antonia_sagona biomerieux nhsbsolccg rakhi2382</t>
  </si>
  <si>
    <t>cdcgov kdhe cdc_ar</t>
  </si>
  <si>
    <t>mft_pharmacy antibioticangel mftnhs labmedicinemft nhctpharmacy ukhsa dodgson_kj gone_grayer</t>
  </si>
  <si>
    <t>sonespases luisama01043544 leonorperianez erojomol elfarodehuse microhuse</t>
  </si>
  <si>
    <t>uhnmcharity uhnm_nhs mc_bugsy 228uhnm uhnm_trauma_pdn palfreymantom</t>
  </si>
  <si>
    <t>cuh_cork blairmatthewd drjacksoncork drcsadlier profmaryhorgan</t>
  </si>
  <si>
    <t>senschumer sengillibrand nydiavelazquez cf_foundation cff_gnyc</t>
  </si>
  <si>
    <t>newhamhospital bh_pharmacy bh_infection nhsbartshealth</t>
  </si>
  <si>
    <t>philip_ciwf ciwf</t>
  </si>
  <si>
    <t>westhertsnhs cartertreacle</t>
  </si>
  <si>
    <t>karolinskainst umeauniversity unibonn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</si>
  <si>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</si>
  <si>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</si>
  <si>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</si>
  <si>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</si>
  <si>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</si>
  <si>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</si>
  <si>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</si>
  <si>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</si>
  <si>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</si>
  <si>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</si>
  <si>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</si>
  <si>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</si>
  <si>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nottmhospitals phlpublichealth hemofelo h3a1er cheshireeast epinireland wirralcouncil eu_health teamnuh caryncoxphealth</t>
  </si>
  <si>
    <t>who ukhsa drdianeashiru battlesuperbugs hiow_ics ekhuft nhssoutheast keithridge1 curafdn ukamrenvoy</t>
  </si>
  <si>
    <t>sefh_ rcsi_irl ffitzp ecdc_eu bradspellberg seimc_ reactgroup eaad_eu rcsi_research prangob</t>
  </si>
  <si>
    <t>absteward microblog_me_uk uhbtrust nhsbsolccg smhopkins biomerieux antonia_sagona safetysamfoster rakhi2382 sanfordguide</t>
  </si>
  <si>
    <t>ahrqnews cdcgov nfidvaccines saveantibiotics ourhospitals kdhe drkhabbazcdc khcqi ohiostate_id cdc_ar</t>
  </si>
  <si>
    <t>elizbeech mftnhs labmedicinemft nhctpharmacy antibioticangel francesgarragh1 mft_pharmacy dodgson_kj gone_grayer</t>
  </si>
  <si>
    <t>leonorperianez sonespases elfarodehuse kevincuervo_ microhuse luisama01043544 erojomol</t>
  </si>
  <si>
    <t>uhnm_nhs uhnmcharity vikkij89 mc_bugsy 228uhnm uhnm_trauma_pdn palfreymantom</t>
  </si>
  <si>
    <t>cuh_cork profmaryhorgan drjacksoncork drcsadlier blairmatthewd cuh_ams</t>
  </si>
  <si>
    <t>senschumer sengillibrand cf_foundation smelis73 nydiavelazquez cff_gnyc</t>
  </si>
  <si>
    <t>nhsbartshealth newhamhospital bh_pharmacy bh_infection aidakrajnc</t>
  </si>
  <si>
    <t>philip_ciwf ciwf behalalorg foodgov</t>
  </si>
  <si>
    <t>westhertsnhs cartertreacle whhtpharmacy pkamranpour</t>
  </si>
  <si>
    <t>redaktionmk unibonn karolinskainst umeauniversity</t>
  </si>
  <si>
    <t>abimbola_pharm bthftpharm</t>
  </si>
  <si>
    <t>amrcovid herpez4</t>
  </si>
  <si>
    <t>contagion_live thenasem</t>
  </si>
  <si>
    <t>mcdonalds lydiapalumbo_</t>
  </si>
  <si>
    <t>proa_hulp farmacia_lapaz</t>
  </si>
  <si>
    <t>uoflpeds kyabxawareness</t>
  </si>
  <si>
    <t>doctorchrisvt james_ciwf</t>
  </si>
  <si>
    <t>youtube ncscientist</t>
  </si>
  <si>
    <t>frodmanor pen_no_sillyin</t>
  </si>
  <si>
    <t>polypidltd cdc</t>
  </si>
  <si>
    <t>idsainfo thepfid</t>
  </si>
  <si>
    <t>pharmdeclares vasiliouc</t>
  </si>
  <si>
    <t>Top URLs in Tweet by Count</t>
  </si>
  <si>
    <t>https://www.ucl.ac.uk/infection-immunity/research/research-department-infection/lab-research-groups/centre-clinical-microbiology/about-0</t>
  </si>
  <si>
    <t>https://www.cdc.gov/antibiotic-use/week/get-involved.html https://www.cdc.gov/drugresistance/covid19.html</t>
  </si>
  <si>
    <t>https://www.cdc.gov/drugresistance/covid19.html https://www.pewtrusts.org/en/research-and-analysis/data-visualizations/2020/antibiotic-resistant-bacteria-is-a-growing-threat?utm_campaign=saveantibiotics&amp;utm_source=twitter&amp;utm_medium=social https://www.cdc.gov/antibiotic-use/antibiotic-resistance.html https://www.cdc.gov/antibiotic-use/q-a.html</t>
  </si>
  <si>
    <t>https://Antimicrobialawareness.ca/</t>
  </si>
  <si>
    <t>https://ukhsa-newsroom.prgloo.com/news/why-we-should-all-keep-antibiotics-working-in-the-south-east-and-beyond-2</t>
  </si>
  <si>
    <t>https://www.gov.uk/government/news/antibiotic-resistant-infections-fell-in-2020-for-first-time-since-2016-but-ukhsa-warns-drop-likely-temporary https://antibioticguardian.com/</t>
  </si>
  <si>
    <t>https://www.wchc.nhs.uk/news/health-column-keep-antibiotics-working/</t>
  </si>
  <si>
    <t>https://www.idsociety.org/public-health/patient-stories/patient-stories/ https://twitter.com/ThePFID/status/1461357650256355328 https://twitter.com/AmerAcadPeds/status/1461329618632327171 https://c0c453c4-34c1-4bf2-90ea-3172c98da69b.filesusr.com/ugd/b11210_7b8f40a3fcb244e39060abb27049ea14.pdf?index=true https://twitter.com/CDCgov/status/1461349742592462858 http://www.youtube.com/watch?v=3CfAD41KoG8</t>
  </si>
  <si>
    <t>https://www.southampton.ac.uk/medicine/academic_units/academic_units/open-study.page https://www.southampton.ac.uk/medicine/academic_units/projects/4s.page https://www.southampton.ac.uk/medicine/academic_units/projects/princess.page https://www.southampton.ac.uk/medicine/academic_units/projects/hatric.page https://www.southampton.ac.uk/medicine/academic_units/projects/chat-copd.page https://www.southampton.ac.uk/medicine/academic_units/projects/supporting-targeting-of-antibiotics-primary-care.page https://www.southampton.ac.uk/medicine/academic_units/projects/articpc.page https://www.southampton.ac.uk/medicine/research/projects/germ-defence.page https://www.southampton.ac.uk/medicine/academic_units/projects/venus-study.page https://www.southampton.ac.uk/medicine/academic_units/projects/define.page</t>
  </si>
  <si>
    <t>https://twitter.com/EAAD_EU/status/1461347210927296513 https://www.youtube.com/watch?v=3yxRL2TAGOQ&amp;feature=youtu.be</t>
  </si>
  <si>
    <t>https://www.cdc.gov/antibiotic-use/quiz.html</t>
  </si>
  <si>
    <t>https://www.cdc.gov/antibiotic-use/common-illnesses.html https://www.cdc.gov/drugresistance/protecting_patients.html https://www.cdc.gov/drugresistance/covid19.html https://www.cdc.gov/antibiotic-use/do-and-dont.html</t>
  </si>
  <si>
    <t>https://twitter.com/CDCgov/status/1461348550298587140</t>
  </si>
  <si>
    <t>https://www.youtube.com/watch?v=Yh1H37CxxC8&amp;feature=youtu.be</t>
  </si>
  <si>
    <t>https://www.youtube.com/watch?v=wZ80cWzt-lw&amp;feature=youtu.be</t>
  </si>
  <si>
    <t>https://www.youtube.com/watch?v=v2CBGgeKC3g&amp;feature=youtu.be</t>
  </si>
  <si>
    <t>https://eur01.safelinks.protection.outlook.com/?url=https://www.gov.uk/government/publications/english-surveillance-programme-antimicrobial-utilisation-and-resistance-espaur-report&amp;data=04|01|Nick.Tiplady@phe.gov.uk|ccf5cbaf22ec41b3e5d808d88bb2bc3b|ee4e14994a354b2ead475f3cf9de8666|0|0|637412947057544774|Unknown|TWFpbGZsb3d8eyJWIjoiMC4wLjAwMDAiLCJQIjoiV2luMzIiLCJBTiI6Ik1haWwiLCJXVCI6Mn0%3D|1000&amp;sdata=3T%2BA/jwtsw3BsLevI4dVIUBfBARB2oQ2Ncsbpb/OZuo%3D&amp;reserved=0 https://twitter.com/DrDianeAshiru/status/1461226402603225093 https://twitter.com/rhiannon_tapp/status/1461353712534769673</t>
  </si>
  <si>
    <t>https://www.who.int/campaigns/world-antimicrobial-awareness-week</t>
  </si>
  <si>
    <t>https://www.cdc.gov/drugresistance/covid19.html https://twitter.com/CDCgov/status/1461050274399850501</t>
  </si>
  <si>
    <t>https://vimeo.com/432102095?ref=tw-share</t>
  </si>
  <si>
    <t>https://twitter.com/CDCgov/status/1461333432701800454</t>
  </si>
  <si>
    <t>https://www.cdc.gov/drugresistance/covid19.html https://www.pewtrusts.org/en/research-and-analysis/articles/2020/04/15/the-invaluable-role-of-antibiotics-in-a-pandemic-and-beyond?utm_campaign=saveantibiotics&amp;utm_source=twitter&amp;utm_medium=social https://www.pewtrusts.org/en/research-and-analysis/data-visualizations/2020/antibiotic-resistant-bacteria-is-a-growing-threat?utm_campaign=saveantibiotics&amp;utm_source=twitter&amp;utm_medium=social</t>
  </si>
  <si>
    <t>https://www.spcr.nihr.ac.uk/projects/parents2019-perceptions-of-antibiotic-use-and-antibiotic-resistance-pause-a-qualitative-interview-study https://www.spcr.nihr.ac.uk/projects/atafuti https://www.spcr.nihr.ac.uk/projects/patient-reported-outcome-measures-for-acne-mixed-methods-validation-study https://www.spcr.nihr.ac.uk/projects/understanding-medical-and-non-medical-antibiotic-prescribing-for-respiratory-tract-infections-in-primary-care-out-of-hours-services-a-qualitative-analysis</t>
  </si>
  <si>
    <t>https://www.cdc.gov/antibiotic-use/q-a.html https://www.cdc.gov/drugresistance/covid19.html</t>
  </si>
  <si>
    <t>https://www.westyorksrd.nhs.uk/resources/doc/dc5e8b80e17b5af3f33db803df3fb508</t>
  </si>
  <si>
    <t>https://www.cdc.gov/drugresistance/covid19.html https://www.cdc.gov/antibiotic-use/common-illnesses.html</t>
  </si>
  <si>
    <t>https://linzyelton628749128.wordpress.com/2021/11/01/antimicrobial-resistance-what-is-it-how-does-it-work-and-why-should-you-care/</t>
  </si>
  <si>
    <t>https://www.iss.it/web/guest/news/-/asset_publisher/gJ3hFqMQsykM/content/id/5885742</t>
  </si>
  <si>
    <t>https://www.youtube.com/watch?v=Zskk7npqC7w&amp;feature=youtu.be</t>
  </si>
  <si>
    <t>https://twitter.com/i/spaces/1vAxRkoQDXkKl?s=20</t>
  </si>
  <si>
    <t>https://medshadow.org/5-things-you-need-to-know-about-antibiotics/ https://medshadow.org/fluoroquinolones-antibiotics/ https://medshadow.org/antibiotics-allergies/</t>
  </si>
  <si>
    <t>https://twitter.com/HealthSAcademy/status/1461353075248021515 https://twitter.com/SardarShabbir75/status/1461351326713991169</t>
  </si>
  <si>
    <t>https://www.cdc.gov/drugresistance/covid19.html https://www.cdc.gov/antibiotic-use/common-illnesses.html https://www.cdc.gov/antibiotic-use/antibiotic-resistance.html https://www.cdc.gov/antibiotic-use/q-a.html</t>
  </si>
  <si>
    <t>https://antibioticguardian.com/ https://twitter.com/rpharms/status/1461332861311717388 https://twitter.com/DrDianeAshiru/status/1461246741584486405</t>
  </si>
  <si>
    <t>https://twitter.com/DrHussenTareq/status/1461351679257833476 https://twitter.com/HealthSAcademy/status/1461353075248021515</t>
  </si>
  <si>
    <t>https://www.cdc.gov/drugresistance/covid19.html https://www.fda.gov/emergency-preparedness-and-response/mcm-issues/antimicrobial-resistance-information-fda</t>
  </si>
  <si>
    <t>https://www.youtube.com/watch?v=-ZX97bIbZBQ&amp;feature=youtu.be https://heftpathology.com/Microbiology/Microbiology-Home/ https://www.uhb.nhs.uk/coronavirus-staff/clinical-info-pathways/clinical-info-pathways-downloads/UHBCOVID19SepsisInfographic.pdf https://academic.oup.com/jacamr/article/1/2/dlz026/5554098 https://assets.publishing.service.gov.uk/government/uploads/system/uploads/attachment_data/file/1033851/espaur-report-2020-to-2021-16-Nov.pdf https://fingertips.phe.org.uk/profile/amr-local-indicators https://journals.lww.com/co-infectiousdiseases/pages/default.aspx https://www.journals.elsevier.com/journal-of-global-antimicrobial-resistance https://www.routledge.com/Kucers-The-Use-of-Antibiotics-A-Clinical-Review-of-Antibacterial-Antifungal/Grayson-Cosgrove-Crowe-Hope-McCarthy-Mills-Mouton-Paterson/p/book/9781498747950 https://twitter.com/MicrobLog_me_uk/status/1064116004094136320?s=20</t>
  </si>
  <si>
    <t>https://www.cdc.gov/antibiotic-use/materials-references/index.html</t>
  </si>
  <si>
    <t>https://www.cdc.gov/drugresistance/protecting_yourself_family.html https://www.cdc.gov/antibiotic-use/q-a.html https://www.cdc.gov/drugresistance/covid19.html</t>
  </si>
  <si>
    <t>https://r.socialstudio.radian6.com/ad471473-3f66-4916-a42c-e59c8366baae</t>
  </si>
  <si>
    <t>https://www.cdc.gov/antibiotic-use/core-elements/outpatient/implementation.html#anchor_1630602042080 https://www.cdc.gov/drugresistance/covid19.html https://arpsp.cdc.gov/profile/stewardship</t>
  </si>
  <si>
    <t>https://twitter.com/CDCgov/status/1461349742592462858 https://twitter.com/TheLancet/status/1461341271004356618</t>
  </si>
  <si>
    <t>https://twitter.com/saveantibiotics/status/1461348590412963854</t>
  </si>
  <si>
    <t>https://www.cdc.gov/antibiotic-use/q-a.html https://www.cdc.gov/antibiotic-use/antibiotic-resistance.html</t>
  </si>
  <si>
    <t>https://academic.oup.com/jacamr/article/doi/10.1093/jacamr/dlz059/5613131 https://quiz.tryinteract.com/?s=09#/59e68e3a8ecd1200126656e8</t>
  </si>
  <si>
    <t>https://www.superbugs.online/</t>
  </si>
  <si>
    <t>https://go.usa.gov:443/xeYJj https://go.usa.gov:443/xeYJa</t>
  </si>
  <si>
    <t>https://www.cdc.gov/antibiotic-use/quiz.html https://infectionpreventionandyou.org/infographic/abcs-of-antibiotics/ https://5secondruleshow.org/episode/2-antibiotics-too-much-good-thing/ https://www.cdc.gov/drugresistance/covid19.html</t>
  </si>
  <si>
    <t>https://www.cdc.gov/antibiotic-use/week/index.html</t>
  </si>
  <si>
    <t>Top URLs in Tweet by Salience</t>
  </si>
  <si>
    <t>https://twitter.com/rpharms/status/1461332861311717388 https://twitter.com/DrDianeAshiru/status/1461246741584486405 https://antibioticguardian.com/</t>
  </si>
  <si>
    <t>Top Domains in Tweet by Count</t>
  </si>
  <si>
    <t>cdc.gov pewtrusts.org</t>
  </si>
  <si>
    <t>gov.uk antibioticguardian.com</t>
  </si>
  <si>
    <t>twitter.com idsociety.org filesusr.com youtube.com</t>
  </si>
  <si>
    <t>twitter.com youtube.com</t>
  </si>
  <si>
    <t>twitter.com outlook.com</t>
  </si>
  <si>
    <t>cdc.gov twitter.com</t>
  </si>
  <si>
    <t>pewtrusts.org cdc.gov</t>
  </si>
  <si>
    <t>cdc.gov fda.gov</t>
  </si>
  <si>
    <t>oup.com gov.uk lww.com sciencedirect.com youtube.com heftpathology.com nhs.uk org.uk elsevier.com routledge.com</t>
  </si>
  <si>
    <t>oup.com tryinteract.com</t>
  </si>
  <si>
    <t>cdc.gov infectionpreventionandyou.org 5secondruleshow.org</t>
  </si>
  <si>
    <t>Top Domains in Tweet by Salience</t>
  </si>
  <si>
    <t>idsociety.org filesusr.com youtube.com twitter.com</t>
  </si>
  <si>
    <t>Top Hashtags in Tweet by Count</t>
  </si>
  <si>
    <t>waaw2021 keepantibioticsworking antibioticguardian antimicrobialresistance</t>
  </si>
  <si>
    <t>waaw antibioticresistance beantibioticsaware usaaw21 publichealth covid19</t>
  </si>
  <si>
    <t>antibioticresistance waaw usaaw21 beantibioticsaware covid19 antibiotics publichealth</t>
  </si>
  <si>
    <t>waaw2021 westmidlands keepantibioticsworking worldantimicrobialawarenessweek antimicrobialresistance antibioticguardian ukhsa publichealth antibioticresistance waaw</t>
  </si>
  <si>
    <t>antibioticresistance waaw usaaw21 squashsuperbugs beantibioticsaware antimicrobialresistance healthcare amr chronicillness antimicrobial</t>
  </si>
  <si>
    <t>waaw antibioticguardian keepantibioticsworking waaw2021 antimicrobialresistance</t>
  </si>
  <si>
    <t>waaw antibioticresistance eaad waaw2021 antibiotics antimicrobialresistance amr eaad2021 covid19 flu</t>
  </si>
  <si>
    <t>antibioticresistance waaw covid19 publichealth antibiotic hcp</t>
  </si>
  <si>
    <t>waaw antibioticresistance publichealth covid19 espaur keepantibioticsworking antibioticguardian waaw2021 eaad</t>
  </si>
  <si>
    <t>antibioticresistance covid19 waaw publichealth</t>
  </si>
  <si>
    <t>antibioticresistance waaw21 covid19 publichealth antibiotics</t>
  </si>
  <si>
    <t>covid19 antibioticresistance antibiotics flu beantibioticsaware hcp usaaw21 waaw publichealth waaw21</t>
  </si>
  <si>
    <t>waaw antibioticguardian keepantibioticsworking antimicrobialresistance antibiotics antibioticresistance</t>
  </si>
  <si>
    <t>antibioticresistance waaw antibiotics abx hcp</t>
  </si>
  <si>
    <t>amr waaw antibioticguardian antimicrobialresistance antibioticresistance</t>
  </si>
  <si>
    <t>keepantibioticsworking antibioticguardian waaw goblueforamr uti</t>
  </si>
  <si>
    <t>antibioticresistance waaw antibiotics twitterspace antimicrobialresistance eupharmastrategy amr</t>
  </si>
  <si>
    <t>antibioticresistance keepantibioticsworking waaw2021 antimicrobialresistance antibioticguardian waaw</t>
  </si>
  <si>
    <t>vice virtue oilspill california lanternfly antibioticresistance antibiotics resistance cleanair airscrubber</t>
  </si>
  <si>
    <t>antibioticresistance usaaw21 antibiotics waaw beantibioticsaware covid19 publichealth waaw21 sinus infections</t>
  </si>
  <si>
    <t>antibioticguardian waaw keepantibioticsworking antimicrobialresistance antibioticresistance</t>
  </si>
  <si>
    <t>usaaw21 eaad antibioticresistance antibiotics waaw keepantibioticsworking saveantibiotics</t>
  </si>
  <si>
    <t>antibioticresistance waaw publichealth covid19 usaaw21</t>
  </si>
  <si>
    <t>keepantibioticsworking waaw2021 eaad2021 doit4das antibioticguardian ams amr antimicrobialstewardship sepsis covid19</t>
  </si>
  <si>
    <t>waaw antibioticresistance antibiotics hcp covid19</t>
  </si>
  <si>
    <t>antibioticresistance waaw covid19 antibiotic</t>
  </si>
  <si>
    <t>antibioticresistance antibiotics beantibioticsaware usaaw21 waaw21</t>
  </si>
  <si>
    <t>antibioticresistance waaw2021 waaw</t>
  </si>
  <si>
    <t>antibioticresistance waaw amr beantibioticsaware usaaw21 publichealth covid19 waaw21</t>
  </si>
  <si>
    <t>waaw antibioticresistance antibioticawarenessweek beantibioticsaware 5secondruleshow publichealth covid19</t>
  </si>
  <si>
    <t>antibioticresistance beantibioticsaware waaw eaad antibiotics animalhealth</t>
  </si>
  <si>
    <t>waaw keepantibioticsworking antibioticresistance worldantimicrobialawarenessweek antimocrobialresistance worldantimicrobialawareness</t>
  </si>
  <si>
    <t>antibioticresistance waaw usaaw antibiotics</t>
  </si>
  <si>
    <t>Top Hashtags in Tweet by Salience</t>
  </si>
  <si>
    <t>antimicrobialresistance waaw2021 keepantibioticsworking antibioticguardian</t>
  </si>
  <si>
    <t>beantibioticsaware usaaw21 publichealth covid19 waaw antibioticresistance</t>
  </si>
  <si>
    <t>hsaamrwarenessweek waaw handlewithcare antimicrobialresistance keepantibioticsworking</t>
  </si>
  <si>
    <t>usaaw21 covid19 antibiotics publichealth beantibioticsaware waaw antibioticresistance</t>
  </si>
  <si>
    <t>ukhsa publichealth antibioticresistance waaw amr worldantimicrobialawarenessweek antimicrobialresistance antibioticguardian waaw2021 westmidlands</t>
  </si>
  <si>
    <t>squashsuperbugs beantibioticsaware antimicrobialresistance healthcare amr chronicillness antimicrobial patients antibioticresistance waaw</t>
  </si>
  <si>
    <t>waaw2021 antimicrobialresistance waaw antibioticguardian keepantibioticsworking</t>
  </si>
  <si>
    <t>antimicrobialresistance amr eaad2021 covid19 flu healthcare eaad waaw2021 antibiotics waaw</t>
  </si>
  <si>
    <t>publichealth antibiotic hcp covid19 antibioticresistance waaw</t>
  </si>
  <si>
    <t>antibioticresistance publichealth covid19 espaur keepantibioticsworking antibioticguardian waaw2021 eaad waaw</t>
  </si>
  <si>
    <t>publichealth antibioticresistance covid19 waaw</t>
  </si>
  <si>
    <t>winterhealth keepantibioticsworking</t>
  </si>
  <si>
    <t>publichealth antibiotics covid19 antibioticresistance waaw21</t>
  </si>
  <si>
    <t>antibioticresistance antibioticguardian keepantibioticsworking antimicrobialresistance waaw</t>
  </si>
  <si>
    <t>antibiotics flu beantibioticsaware hcp usaaw21 waaw publichealth waaw21 covid19 antibioticresistance</t>
  </si>
  <si>
    <t>antimicrobialresistance antibiotics antibioticresistance waaw antibioticguardian keepantibioticsworking</t>
  </si>
  <si>
    <t>antibiotics abx hcp antibioticresistance waaw</t>
  </si>
  <si>
    <t>goblueforamr uti waaw keepantibioticsworking antibioticguardian</t>
  </si>
  <si>
    <t>antibiotics twitterspace antimicrobialresistance eupharmastrategy amr antibioticresistance waaw</t>
  </si>
  <si>
    <t>waaw2021 antimicrobialresistance antibioticguardian waaw antibioticresistance keepantibioticsworking</t>
  </si>
  <si>
    <t>waaw handlewithcare antimicrobialresistance keepantibioticsworking hsaamrwarenessweek</t>
  </si>
  <si>
    <t>covid19 publichealth waaw21 sinus infections flu usaaw21 antibiotics waaw beantibioticsaware</t>
  </si>
  <si>
    <t>antibioticresistance keepantibioticsworking antimicrobialresistance antibioticguardian waaw</t>
  </si>
  <si>
    <t>saveantibiotics keepantibioticsworking usaaw21 eaad antibioticresistance antibiotics waaw</t>
  </si>
  <si>
    <t>publichealth covid19 usaaw21 antibioticresistance waaw</t>
  </si>
  <si>
    <t>antibioticguardian ams amr antimicrobialstewardship sepsis covid19 ipcinaction mrsa cdiff vre</t>
  </si>
  <si>
    <t>antibiotics hcp covid19 waaw antibioticresistance</t>
  </si>
  <si>
    <t>covid19 antibiotic antibioticresistance waaw</t>
  </si>
  <si>
    <t>waaw21 beantibioticsaware usaaw21 antibioticresistance antibiotics</t>
  </si>
  <si>
    <t>waaw2021 waaw antibioticresistance</t>
  </si>
  <si>
    <t>beantibioticsaware usaaw21 publichealth covid19 waaw21 antibioticresistance waaw amr</t>
  </si>
  <si>
    <t>antibioticawarenessweek beantibioticsaware 5secondruleshow publichealth covid19 waaw antibioticresistance</t>
  </si>
  <si>
    <t>animalhealth antibiotics antibioticresistance beantibioticsaware waaw eaad</t>
  </si>
  <si>
    <t>antibioticresistance worldantimicrobialawarenessweek antimocrobialresistance worldantimicrobialawareness keepantibioticsworking waaw</t>
  </si>
  <si>
    <t>Top Words in Tweet by Count</t>
  </si>
  <si>
    <t>world antibiotic awareness week 2021 starts today appropriate disposal antibiotics</t>
  </si>
  <si>
    <t>antibiotic resistance problem watch video find out sign up become</t>
  </si>
  <si>
    <t>day 01 inauguration antimicrobial resistance serious public health problem worldwide</t>
  </si>
  <si>
    <t>westhertsnhs cartertreacle doctors taking pledge antibiotic guardians getting update antimicrobial</t>
  </si>
  <si>
    <t>#antimicrobialresistance one urgent global threats public s health antibiotics cause</t>
  </si>
  <si>
    <t>#antimicrobialresistance one urgent global threats public's health antibiotics cause side</t>
  </si>
  <si>
    <t>#antibioticresistance still #publichealth threat during #covid19 pandemic cdc experts closely</t>
  </si>
  <si>
    <t>antibiotics never #antibioticresistance one biggest threats facing today overuse misuse</t>
  </si>
  <si>
    <t>#antimicrobialresistance still #publichealth threat during #covid19 pandemic ukhsa specialists closely</t>
  </si>
  <si>
    <t>#antibioticresistance one urgent global threats public s health time #antibiotics</t>
  </si>
  <si>
    <t>#antimicrobialresistance one urgent global threats public s health #antibiotics cause</t>
  </si>
  <si>
    <t>#waaw2021 #keepantibioticsworking #antibioticguardian always 7 day course nothing add here</t>
  </si>
  <si>
    <t>#waaw2021 18 24 november we've made short video celebrating research</t>
  </si>
  <si>
    <t>antibiotic #waaw #antibioticresistance re proud #beantibioticsaware partner u s awareness</t>
  </si>
  <si>
    <t>day awareness 01 inauguration spread resistance antimicrobial health #handlewithcare #antimicrobialresistance</t>
  </si>
  <si>
    <t>uhnmcharity uhnm_nhs mc_bugsy #eaad2021 #bugsyontour #antibioticguardian gen med spreading awareness</t>
  </si>
  <si>
    <t>#antibioticresistance #waaw #usaaw21 #beantibioticsaware antibiotic threat #covid19 help fight cdc</t>
  </si>
  <si>
    <t>please prescribed help keep everyone safe antibiotics take exactly never</t>
  </si>
  <si>
    <t>world antimicrobial awareness week joining national international movement spread #antimicrobialawareness</t>
  </si>
  <si>
    <t>#antimicrobialresistance one urgent global threats public health antibiotics cause side</t>
  </si>
  <si>
    <t>#waaw2021 #westmidlands #keepantibioticsworking today #worldantimicrobialawarenessweek people #antimicrobialresistance #antibioticguardian bit start</t>
  </si>
  <si>
    <t>#handlewithcare #antimicrobialresistance #keepantibioticsworking #hsaamrwarenessweek #waaw day 01 inauguration antimicrobial resistance</t>
  </si>
  <si>
    <t>#antimicrobialresistance one urgent global threats health misuse antibiotics contributes development</t>
  </si>
  <si>
    <t>#antibioticresistance #waaw #usaaw21 many infections #squashsuperbugs effective w patients families</t>
  </si>
  <si>
    <t>supporting #waaw see project #antibioticguardian #keepantibioticsworking here #waaw2021 #antimicrobialresistance open</t>
  </si>
  <si>
    <t>report #eaad eaad_eu new ecdc_eu #antimicrobialconsumption eu eea #esacnet annual</t>
  </si>
  <si>
    <t>#waaw #antibioticresistance #eaad #waaw2021 #antibiotics #antimicrobialresistance against antibiotics effective advice</t>
  </si>
  <si>
    <t>haben eine forscher des karolinskainst der umeauniversity und unibonn gruppe</t>
  </si>
  <si>
    <t>cdcgov #usaaw21 starts today #antibioticresistance still #publichealth threat during #covid19</t>
  </si>
  <si>
    <t>#antibioticresistance #waaw abx #covid19 use t needed effects cause talk</t>
  </si>
  <si>
    <t>world awareness antimicrobial week celebrated annually 18th 24th nov around</t>
  </si>
  <si>
    <t>twitter storm #antibioticresistance #waaw movement</t>
  </si>
  <si>
    <t>#antimicrobialresistance one urgent global threats public s health #antibioticresistance #antibioticguardian</t>
  </si>
  <si>
    <t>amr antibiotic awareness week #waaw2021 antimicrobial resistance video wirral gp</t>
  </si>
  <si>
    <t>wonder bacteria become resistant antibiotics designed kill here's video made</t>
  </si>
  <si>
    <t>#waaw2021 part world antibiotic awareness week thought share resources great</t>
  </si>
  <si>
    <t>#antibioticresistance one urgent global threats public s health time antibiotics</t>
  </si>
  <si>
    <t>#waaw2021 18 24th november raising awareness #antimicrobialresistance things help sign</t>
  </si>
  <si>
    <t>#waaw #antimicrobialresistance #antibioticguardian #keepantibioticsworking #espaur nhssoutheast keithridge1 drkieranhand ukhsa drdianeashiru</t>
  </si>
  <si>
    <t>antibiotic #waaw 2 #antibioticresistance still #publichealth threat during #covid19 pandemic</t>
  </si>
  <si>
    <t>#antibioticresistance still #publichealth threat during #covid19 pandemic ukhsa specialists closely</t>
  </si>
  <si>
    <t>pandemic taught important life saving vaccines medicines responsibility use antibiotics</t>
  </si>
  <si>
    <t>during u s #antibioticawareness week commit #beantibioticsaware appropriate #antibiotic use</t>
  </si>
  <si>
    <t>o para contributo ciência em 3 minutos dia europeu #antibiótico</t>
  </si>
  <si>
    <t>antibiotics please ensure daily review switch patients oral earliest opportunity</t>
  </si>
  <si>
    <t>thank those hcps visited waaw eaad stand today westhertsnhs #teamwestherts</t>
  </si>
  <si>
    <t>#antibioticresistance during #covid19 pandemic #waaw still #publichealth threat cdc experts</t>
  </si>
  <si>
    <t>imperative develop new better antibiotics people #cysticfibrosis vulnerable #antibioticresistance chronic</t>
  </si>
  <si>
    <t>awareness week re proud #beantibioticsaware partner u s antibiotic throughout</t>
  </si>
  <si>
    <t>winter ffitzp #keepantibioticsworking rcsi_micro antimicrobial resistance accelerated misuse overuse antibiotics</t>
  </si>
  <si>
    <t>uti s watch antimicrobial resistance lower #vimeo prescribe antibiotics appropriately</t>
  </si>
  <si>
    <t>never antibiotics prescribed health professional important always take directed save</t>
  </si>
  <si>
    <t>19 #antibioticresistance still #publichealth threat during #covid pandemic cdcgov experts</t>
  </si>
  <si>
    <t>tackle #antimicrobialresistance preserve antibiotics really need always follow doctor's advice</t>
  </si>
  <si>
    <t>#antibioticresistance #beantibioticaware</t>
  </si>
  <si>
    <t>de la proavigo geiras_seimc prangob seimc_ eaad_eu una forma muy</t>
  </si>
  <si>
    <t>#antibioticresistance #waaw21 #covid19 pandemic still #publichealth threat during cdcgov experts</t>
  </si>
  <si>
    <t>philadelphia department public health proud #beantibioticsaware partner u s antibiotic</t>
  </si>
  <si>
    <t>antibiotic #antibioticawarenessweek let's raise awareness importance appropriate use combat threat</t>
  </si>
  <si>
    <t>#antibioticguardian #keepantibioticsworking #antimicrobialresistance #waaw #antibioticresistance pledge help tackle pharmacy team</t>
  </si>
  <si>
    <t>proud support research alternative treatments help reduce need prescribe antibiotics</t>
  </si>
  <si>
    <t>t #covid19 #antibioticresistance #antibiotics aren needed won help treat colds</t>
  </si>
  <si>
    <t>#waaw #antibioticguardian #keepantibioticsworking english surveillance programme antimicrobial utilisation resistance espaur</t>
  </si>
  <si>
    <t>#useantibioticswisely week join sabetha community hospital others spreading word slow</t>
  </si>
  <si>
    <t>#antibioticresistance one s side effects #waaw urgent global threats public</t>
  </si>
  <si>
    <t>de desde sonespases estamos concienciados con un uso prudente los</t>
  </si>
  <si>
    <t>day #amr 1 #waaw m tweeting stuff kicking overview microbes</t>
  </si>
  <si>
    <t>antibiotic overuse fuelled world's resistance crisis via doctorchrisvt #antibioticawarenessweek #antibioticresistance</t>
  </si>
  <si>
    <t>#keepantibioticsworking #waaw really proud antibioticangel team coordinating event great way</t>
  </si>
  <si>
    <t>#keepantibioticsworking #antibioticguardian mft_pharmacy #waaw elizbeech lottie ross deserved treat #goblueforamr</t>
  </si>
  <si>
    <t>follow cdc global twitter storm antibiotic resistance hashtag #antibioticresistance</t>
  </si>
  <si>
    <t>today world marks start antimicrobial awareness week antibiotic resistance still</t>
  </si>
  <si>
    <t>#keepantibioticsworking #antibioticguardian #worldantimicrobialawarenessweek</t>
  </si>
  <si>
    <t>resistenza elevate agli #antibiotici percentuali ancora italia tra paesi europei</t>
  </si>
  <si>
    <t>antibiotics european awareness day ask note many longer effective against</t>
  </si>
  <si>
    <t>#waaw #amr #antibioticresistance</t>
  </si>
  <si>
    <t>world antimicrobial awareness week know #antimicrobialresistance one urgent global threats</t>
  </si>
  <si>
    <t>spread awareness stop resistance #waaw2021 #keepantibioticsworking</t>
  </si>
  <si>
    <t>today european antibiotic awareness day susan potter antimicrobial pharmacist reminds</t>
  </si>
  <si>
    <t>#antibioticresistance #waaw #waaw2021 #usaaw21 one top 10 global public health</t>
  </si>
  <si>
    <t>#handlewithcare #antimicrobialresistance #keepantibioticsworking #hsaamrwarenessweek #waaw</t>
  </si>
  <si>
    <t>desde el #hospitallapaz nos unimos al #diaeuropeousoprudenteantibioticos proa_hulp #keepantibioticsworking</t>
  </si>
  <si>
    <t>eu #antibioticresistance #waaw #antibiotics stop working action plan mean animals</t>
  </si>
  <si>
    <t>#antibioticresistance public health threat mcdonalds help keeping promise reduce antibiotic</t>
  </si>
  <si>
    <t>antibiotics #antibioticresistance nov 18th antibiotic awareness week below 5 things</t>
  </si>
  <si>
    <t>#antibioticresistance #keepantibioticsworking #waaw2021 #antimicrobialresistance one urgent global threats public s</t>
  </si>
  <si>
    <t>day awareness world 01 inauguration spread stop resistance antimicrobial week</t>
  </si>
  <si>
    <t>#vice #virtue #oilspill #california #lanternfly #antibioticresistance #antibiotics #resistance #cleanair #airscrubber</t>
  </si>
  <si>
    <t>day 1 inauguration amr campaign hsa antimicrobial resistance serious public</t>
  </si>
  <si>
    <t>#antibioticresistance #usaaw21 #antibiotics t needed #waaw #beantibioticsaware #covid19 aren help</t>
  </si>
  <si>
    <t>#antibioticguardian #waaw #keepantibioticsworking #antimicrobialresistance antibiotics lizcorteville hiow_ics s use shared</t>
  </si>
  <si>
    <t>antibiotics become #antibioticguardian help longer work infections protect life saving</t>
  </si>
  <si>
    <t>#usaaw21 #eaad #antibioticresistance #antibiotics #waaw #keepantibioticsworking antibiotic week general sobering</t>
  </si>
  <si>
    <t>awareness today european #antibiotic day eaad aims raise prudent use</t>
  </si>
  <si>
    <t>day antimicrobial #handlewithcare #antimicrobialresistance #keepantibioticsworking #hsaamrwarenessweek #waaw awareness join health</t>
  </si>
  <si>
    <t>#antibioticresistance use #waaw still #publichealth threat during #covid19 pandemic cdc</t>
  </si>
  <si>
    <t>use #waaw world antibiotic awareness week here opportunity educate patients</t>
  </si>
  <si>
    <t>great topic #waaw antibioticangel discussion #uti #keepantibioticsworking</t>
  </si>
  <si>
    <t>foodgov #animalwelfare conditions improved less intense use #antibiotics good starting</t>
  </si>
  <si>
    <t>#eaad infectious diseases team spreading awareness cuh_cork blairmatthewd #idtwitter #keepantibioticsworking</t>
  </si>
  <si>
    <t>microbiology ekhuft #goingblue raise awareness #antimicrobialresistance #waaw #handlewithcare #amr #antibioticguardian</t>
  </si>
  <si>
    <t>antibiotic #antibioticresistance still #publichealth threat during #covid19 pandemic cdc experts</t>
  </si>
  <si>
    <t>infections antibiotics #waaw #antibioticresistance bacteria more s antibiotic resistant fungi</t>
  </si>
  <si>
    <t>#antibioticresistance still public health threat during #covid19 cdc experts closely</t>
  </si>
  <si>
    <t>#antibioticresistance one urgent global threats public's health time #antibiotics used</t>
  </si>
  <si>
    <t>nurses combatting antibiotic resistance play central role recognise advanced roles</t>
  </si>
  <si>
    <t>s #antibioticresistance #waaw healthcare payers cdc data 2020 cdcgov improving</t>
  </si>
  <si>
    <t>#beantibioticsaware #antibioticresistance #waaw</t>
  </si>
  <si>
    <t>even middle pandemic #antibioticresistance matters great issue world needs protect</t>
  </si>
  <si>
    <t>week antibiotic awareness begins today #antibioticresistance one worlds urgent public</t>
  </si>
  <si>
    <t>#antimicrobialresistance urgent threats public s health stewardship team newhamhospital bh_pharmacy</t>
  </si>
  <si>
    <t>use antibiotics increased good see falling primary care hospital dental</t>
  </si>
  <si>
    <t>going blue amr during world antimicrobials awareness week november 18</t>
  </si>
  <si>
    <t>#antibioticresistance #antibiotics used cause side effects #beantibioticsaware #usaaw21 one anytime</t>
  </si>
  <si>
    <t>second installment series thenasem report cover improvements diagnostic testing advance</t>
  </si>
  <si>
    <t>mark beginning #waaw2021 read project #covid19 affecting infections whether more</t>
  </si>
  <si>
    <t>#antibioticresistance #waaw2021 antibiotics second hand effects beyond person receiving societal</t>
  </si>
  <si>
    <t>s #worldantimicrobialawarenessweek enter microbial world find out more bacteria around</t>
  </si>
  <si>
    <t>spread word crucial work #antibioticguardian #waaw #eaad #keepantibioticsworking #antimicrobialresistance bthftpharm</t>
  </si>
  <si>
    <t>awareness today european antibiotic day #eaad2021 antibiotics cause side effects</t>
  </si>
  <si>
    <t>#waaw2021 #waaw #antibioticguardian</t>
  </si>
  <si>
    <t>#antibioticresistance antibiotic #waaw #amr re proud #beantibioticsaware partner u s</t>
  </si>
  <si>
    <t>resistant treat #tb drug #usaaw21 #beantibioticsaware #waaw21 #antibioticresistance s know</t>
  </si>
  <si>
    <t>#waaw #antibioticresistance antibiotics antibiotic use more resistance ips whiz lets</t>
  </si>
  <si>
    <t>take antibiotics never simple steps help #keepantibioticsworking doctor's advice exactly</t>
  </si>
  <si>
    <t>#antibioticresistance #beantibioticsaware #waaw #eaad #antibiotics read spread anytime used cause</t>
  </si>
  <si>
    <t>antibiotics #waaw take simple become #keepantibioticsworking never talk friends family</t>
  </si>
  <si>
    <t>3 #antibioticresistance #waaw #usaaw #antibiotics lives antibiotics side effects cause</t>
  </si>
  <si>
    <t>antibiotics each year 330000 people die infection due bacteria resistant</t>
  </si>
  <si>
    <t>spread awareness stop resistance #handlewithcare #antimicrobialresistance #keepantibioticsworking #hsaamrwarenessweek #waaw</t>
  </si>
  <si>
    <t>#antibioticresistance 1 urgent threats public s health time #antibiotics used</t>
  </si>
  <si>
    <t>antibiotic awareness week starts today annual one observance meant raise</t>
  </si>
  <si>
    <t>Top Words in Tweet by Salience</t>
  </si>
  <si>
    <t>always 7 day course nothing add here #antimicrobialresistance #waaw2021 #keepantibioticsworking</t>
  </si>
  <si>
    <t>re proud #beantibioticsaware partner u s awareness week learn participate</t>
  </si>
  <si>
    <t>awareness spread stop annual world week 18th 24th nov globally</t>
  </si>
  <si>
    <t>gen med spreading awareness good documentation timely sampling infections finished</t>
  </si>
  <si>
    <t>#usaaw21 antibiotic threat #covid19 help fight cdc #antibiotics effects resistant</t>
  </si>
  <si>
    <t>bit start #ukhsa published report antimicrobial prescribing resistance stewardship read</t>
  </si>
  <si>
    <t>w many infections #squashsuperbugs effective patients families suffered debilitating effects</t>
  </si>
  <si>
    <t>#waaw2021 #antimicrobialresistance open 4s recur herehttps bit ly recurstudy princess</t>
  </si>
  <si>
    <t>advice doctor using #antimicrobialresistance against antibiotics effective #amr mep sara_saracerdas</t>
  </si>
  <si>
    <t>abx t patients s use needed effects cause talk covid</t>
  </si>
  <si>
    <t>antibiotic 2 #antibioticresistance still #publichealth threat during #covid19 pandemic ukhsa</t>
  </si>
  <si>
    <t>still #publichealth threat cdc experts closely monitoring possible effects covid</t>
  </si>
  <si>
    <t>rcsi_micro antimicrobial resistance accelerated misuse overuse antibiotics handle antimicrobials care</t>
  </si>
  <si>
    <t>still #publichealth threat during cdcgov experts closely monitoring possible effects</t>
  </si>
  <si>
    <t>2 pharmacy team dispensary dr consultant global supply jayanta sarma</t>
  </si>
  <si>
    <t>pause atafuti acne proms unite proud support research alternative treatments</t>
  </si>
  <si>
    <t>t #antibiotics aren needed won help treat colds #flu #beantibioticsaware</t>
  </si>
  <si>
    <t>english surveillance programme antimicrobial utilisation resistance espaur report 2020 2021</t>
  </si>
  <si>
    <t>urgent global threats public health time #antibiotics used cause contribute</t>
  </si>
  <si>
    <t>really proud antibioticangel team coordinating event great way engage colleagues</t>
  </si>
  <si>
    <t>elizbeech lottie ross deserved treat #goblueforamr part team work hard</t>
  </si>
  <si>
    <t>one top 10 global public health threats facing humanity spread</t>
  </si>
  <si>
    <t>#antibiotics stop working action plan mean animals questions join free</t>
  </si>
  <si>
    <t>nov 18th antibiotic awareness week below 5 things need know</t>
  </si>
  <si>
    <t>#waaw2021 #antimicrobialresistance one urgent global threats public s health antibiotics</t>
  </si>
  <si>
    <t>invite join hands hsa #waaw day awareness world 01 inauguration</t>
  </si>
  <si>
    <t>t #covid19 aren help still #publichealth threat during pandemic cdc</t>
  </si>
  <si>
    <t>antibiotics s use shared responsibility promoting antimicrobial engage fight battlesuperbugs</t>
  </si>
  <si>
    <t>longer work infections protect life saving medicine antibiotic resistance set</t>
  </si>
  <si>
    <t>public pigs antibiotic week general sobering words organization know hyperbole</t>
  </si>
  <si>
    <t>day awareness health 01 inauguration world services academy spread week</t>
  </si>
  <si>
    <t>still #publichealth threat during #covid19 pandemic cdc experts closely monitoring</t>
  </si>
  <si>
    <t>antibiotics #antibioticguardian #ams #amr best blood antibiotic important local good</t>
  </si>
  <si>
    <t>infections antibiotics antibiotic resistant fungi cause 2 8m 35k deaths</t>
  </si>
  <si>
    <t>kicked kick day 01 inauguration antimicrobial resistance serious public health</t>
  </si>
  <si>
    <t>healthcare payers data 2020 cdcgov improving outpatient prescribing toolkit contains</t>
  </si>
  <si>
    <t>anytime lead taking needed thing help fight urgent global threats</t>
  </si>
  <si>
    <t>#waaw2021 antibiotics second hand effects beyond person receiving societal responsibility</t>
  </si>
  <si>
    <t>treat s know costs 182 000 patient multidrug tb costly</t>
  </si>
  <si>
    <t>antibiotic use resistance ips whiz lets find out take fun</t>
  </si>
  <si>
    <t>spread anytime used cause side effects lead page growing threat</t>
  </si>
  <si>
    <t>take become never talk friends family #antibioticresistance remember covid flu</t>
  </si>
  <si>
    <t>cause critical tools treating life threatening conditions such pneumonia sepsis</t>
  </si>
  <si>
    <t>Top Word Pairs in Tweet by Count</t>
  </si>
  <si>
    <t>world,antibiotic  antibiotic,awareness  awareness,week  week,2021  2021,starts  starts,today  today,appropriate  appropriate,disposal  disposal,antibiotics  antibiotics,reduce</t>
  </si>
  <si>
    <t>antibiotic,resistance  resistance,problem  problem,watch  watch,video  video,find  find,out  out,sign  sign,up  up,become  become,#antibioticguardian</t>
  </si>
  <si>
    <t>day,01  01,inauguration  inauguration,antimicrobial  antimicrobial,resistance  resistance,serious  serious,public  public,health  health,problem  problem,worldwide  worldwide,misuse</t>
  </si>
  <si>
    <t>westhertsnhs,cartertreacle  cartertreacle,doctors  doctors,taking  taking,pledge  pledge,antibiotic  antibiotic,guardians  guardians,getting  getting,update  update,antimicrobial  antimicrobial,epr</t>
  </si>
  <si>
    <t>#antimicrobialresistance,one  one,urgent  urgent,global  global,threats  threats,public  public,s  s,health  health,antibiotics  antibiotics,cause  cause,side</t>
  </si>
  <si>
    <t>#antimicrobialresistance,one  one,urgent  urgent,global  global,threats  threats,public's  public's,health  health,antibiotics  antibiotics,cause  cause,side  side,effects</t>
  </si>
  <si>
    <t>#antibioticresistance,still  still,#publichealth  #publichealth,threat  threat,during  during,#covid19  #covid19,pandemic  pandemic,cdc  cdc,experts  experts,closely  closely,monitoring</t>
  </si>
  <si>
    <t>#antibioticresistance,one  one,biggest  biggest,threats  threats,facing  facing,today  today,overuse  overuse,misuse  misuse,antibiotics  antibiotics,making  making,problem</t>
  </si>
  <si>
    <t>#antimicrobialresistance,still  still,#publichealth  #publichealth,threat  threat,during  during,#covid19  #covid19,pandemic  pandemic,ukhsa  ukhsa,specialists  specialists,closely  closely,monitoring</t>
  </si>
  <si>
    <t>#antibioticresistance,one  one,urgent  urgent,global  global,threats  threats,public  public,s  s,health  health,time  time,#antibiotics  #antibiotics,used</t>
  </si>
  <si>
    <t>#antimicrobialresistance,one  one,urgent  urgent,global  global,threats  threats,public  public,s  s,health  health,#antibiotics  #antibiotics,cause  cause,side</t>
  </si>
  <si>
    <t>always,7  7,day  day,course  course,#waaw2021  #waaw2021,#keepantibioticsworking  #keepantibioticsworking,#antibioticguardian  nothing,add  add,here  here,#waaw2021  #waaw2021,#antimicrobialresistance</t>
  </si>
  <si>
    <t>#waaw2021,18  18,24  24,november  november,we've  we've,made  made,short  short,video  video,celebrating  celebrating,research  research,combat</t>
  </si>
  <si>
    <t>re,proud  proud,#beantibioticsaware  #beantibioticsaware,partner  partner,u  u,s  s,antibiotic  antibiotic,awareness  awareness,week  week,learn  learn,participate</t>
  </si>
  <si>
    <t>day,01  01,inauguration  spread,awareness  #handlewithcare,#antimicrobialresistance  #antimicrobialresistance,#keepantibioticsworking  inauguration,day  day,spread  awareness,stop  stop,resistance  resistance,annual</t>
  </si>
  <si>
    <t>uhnmcharity,uhnm_nhs  gen,med  med,spreading  spreading,awareness  awareness,good  good,documentation  documentation,timely  timely,sampling  sampling,infections  infections,uhnmcharity</t>
  </si>
  <si>
    <t>#waaw,#usaaw21  #usaaw21,#beantibioticsaware  help,fight  antibiotic,resistant  resistant,bacteria  bacteria,growing  growing,threat  threat,superbugs  superbugs,come  come,done</t>
  </si>
  <si>
    <t>please,help  help,keep  keep,everyone  everyone,safe  safe,prescribed  prescribed,antibiotics  antibiotics,please  please,take  take,exactly  exactly,prescribed</t>
  </si>
  <si>
    <t>world,antimicrobial  antimicrobial,awareness  awareness,week  week,joining  joining,national  national,international  international,movement  movement,spread  spread,#antimicrobialawareness  #antimicrobialawareness,role</t>
  </si>
  <si>
    <t>#antimicrobialresistance,one  one,urgent  urgent,global  global,threats  threats,public  public,health  health,antibiotics  antibiotics,cause  cause,side  side,effects</t>
  </si>
  <si>
    <t>#westmidlands,people  today,start  start,#worldantimicrobialawarenessweek  #worldantimicrobialawarenessweek,#waaw2021  #waaw2021,#ukhsa  #ukhsa,published  published,report  report,antimicrobial  antimicrobial,prescribing  prescribing,resistance</t>
  </si>
  <si>
    <t>#handlewithcare,#antimicrobialresistance  #antimicrobialresistance,#keepantibioticsworking  #keepantibioticsworking,#hsaamrwarenessweek  #hsaamrwarenessweek,#waaw  day,01  01,inauguration  inauguration,antimicrobial  antimicrobial,resistance  resistance,serious  serious,public</t>
  </si>
  <si>
    <t>#antimicrobialresistance,one  one,urgent  urgent,global  global,threats  threats,health  health,misuse  misuse,antibiotics  antibiotics,contributes  contributes,development  development,#antibioticresistance</t>
  </si>
  <si>
    <t>#waaw,#usaaw21  many,patients  patients,families  families,suffered  suffered,debilitating  debilitating,effects  effects,even  even,death  death,due  due,#antibioticresistance</t>
  </si>
  <si>
    <t>#antibioticguardian,#keepantibioticsworking  project,here  here,#antibioticguardian  supporting,#waaw2021  #waaw2021,see  #keepantibioticsworking,#antimicrobialresistance  #antimicrobialresistance,#waaw  supporting,#waaw  #waaw,see  see,open</t>
  </si>
  <si>
    <t>#eaad,eaad_eu  eaad_eu,new  new,report  report,ecdc_eu  ecdc_eu,#antimicrobialconsumption  #antimicrobialconsumption,eu  eu,eea  eea,#esacnet  #esacnet,annual  annual,epidemiological</t>
  </si>
  <si>
    <t>#waaw,#antibioticresistance  #amr,#waaw2021  #waaw2021,#eaad  #eaad,#antibioticresistance  #antibioticresistance,#waaw  mep,sara_saracerdas  sara_saracerdas,#eaad2021  #eaad2021,#waaw  #antibioticresistance,#antimicrobialresistance  #antimicrobialresistance,#eaad</t>
  </si>
  <si>
    <t>forscher,des  des,karolinskainst  karolinskainst,der  der,umeauniversity  umeauniversity,und  und,unibonn  unibonn,haben  haben,eine  eine,gruppe  gruppe,von</t>
  </si>
  <si>
    <t>cdcgov,#usaaw21  #usaaw21,starts  starts,today  today,#antibioticresistance  #antibioticresistance,still  still,#publichealth  #publichealth,threat  threat,during  during,#covid19  #covid19,#beantibioticsaware</t>
  </si>
  <si>
    <t>#antibioticresistance,#waaw  covid,19  antibiotics,critical  critical,tools  tools,treating  treating,serious  serious,infections  infections,abx  abx,aren  aren,t</t>
  </si>
  <si>
    <t>world,antimicrobial  antimicrobial,awareness  awareness,week  week,celebrated  celebrated,annually  annually,18th  18th,24th  24th,nov  nov,around  around,world</t>
  </si>
  <si>
    <t>twitter,storm  storm,#antibioticresistance  #antibioticresistance,#waaw  #waaw,movement</t>
  </si>
  <si>
    <t>#antimicrobialresistance,one  one,urgent  urgent,global  global,threats  threats,public  public,s  s,health  health,#antibioticresistance  #antibioticresistance,#antibioticguardian  #antibioticguardian,#keepantibioticsworking</t>
  </si>
  <si>
    <t>antibiotic,awareness  awareness,week  week,#waaw2021  #waaw2021,antimicrobial  antimicrobial,resistance  resistance,amr  amr,video  video,wirral  wirral,gp  gp,dr</t>
  </si>
  <si>
    <t>wonder,bacteria  bacteria,become  become,resistant  resistant,antibiotics  antibiotics,designed  designed,kill  kill,here's  here's,video  video,made  made,last</t>
  </si>
  <si>
    <t>#waaw2021,part  part,world  world,antibiotic  antibiotic,awareness  awareness,week  week,thought  thought,share  share,resources  resources,great  great,home</t>
  </si>
  <si>
    <t>#antibioticresistance,one  one,urgent  urgent,global  global,threats  threats,public  public,s  s,health  health,time  time,antibiotics  antibiotics,used</t>
  </si>
  <si>
    <t>#waaw2021,18  18,24th  24th,november  november,raising  raising,awareness  awareness,#antimicrobialresistance  #antimicrobialresistance,things  things,help  help,sign  sign,up</t>
  </si>
  <si>
    <t>#waaw,#antimicrobialresistance  #antimicrobialresistance,#antibioticguardian  #antibioticguardian,#keepantibioticsworking  #keepantibioticsworking,#espaur  #espaur,nhssoutheast  nhssoutheast,keithridge1  keithridge1,drkieranhand  drkieranhand,ukhsa  ukhsa,drdianeashiru  drdianeashiru,ukamrenvoy</t>
  </si>
  <si>
    <t>2,#antibioticresistance  #antibioticresistance,still  still,#publichealth  #publichealth,threat  threat,during  during,#covid19  #covid19,pandemic  pandemic,ukhsa  ukhsa,closely  closely,monitoring</t>
  </si>
  <si>
    <t>#antibioticresistance,still  still,#publichealth  #publichealth,threat  threat,during  during,#covid19  #covid19,pandemic  pandemic,ukhsa  ukhsa,specialists  specialists,closely  closely,monitoring</t>
  </si>
  <si>
    <t>pandemic,taught  taught,important  important,life  life,saving  saving,vaccines  vaccines,medicines  medicines,responsibility  responsibility,use  use,antibiotics  antibiotics,really</t>
  </si>
  <si>
    <t>during,u  u,s  s,#antibioticawareness  #antibioticawareness,week  week,commit  commit,#beantibioticsaware  #beantibioticsaware,appropriate  appropriate,#antibiotic  #antibiotic,use  use,people</t>
  </si>
  <si>
    <t>o,contributo  contributo,ciência  ciência,em  em,3  3,minutos  minutos,para  para,o  o,dia  dia,europeu  europeu,#antibiótico</t>
  </si>
  <si>
    <t>please,ensure  ensure,daily  daily,review  review,antibiotics  antibiotics,switch  switch,patients  patients,antibiotics  antibiotics,oral  oral,earliest  earliest,opportunity</t>
  </si>
  <si>
    <t>thank,those  those,hcps  hcps,visited  visited,waaw  waaw,eaad  eaad,stand  stand,today  today,westhertsnhs  westhertsnhs,#teamwestherts  #teamwestherts,#waaw2021</t>
  </si>
  <si>
    <t>during,#covid19  #covid19,pandemic  #antibioticresistance,still  still,#publichealth  #publichealth,threat  threat,during  pandemic,cdc  cdc,experts  experts,closely  closely,monitoring</t>
  </si>
  <si>
    <t>imperative,develop  develop,new  new,better  better,antibiotics  antibiotics,people  people,#cysticfibrosis  #cysticfibrosis,vulnerable  vulnerable,#antibioticresistance  #antibioticresistance,chronic  chronic,infection</t>
  </si>
  <si>
    <t>re,proud  proud,#beantibioticsaware  #beantibioticsaware,partner  partner,u  u,s  s,antibiotic  antibiotic,awareness  awareness,week  week,throughout  throughout,week</t>
  </si>
  <si>
    <t>antimicrobial,resistance  resistance,accelerated  accelerated,misuse  misuse,overuse  overuse,antibiotics  antibiotics,winter  winter,handle  handle,antimicrobials  antimicrobials,care  care,ffitzp</t>
  </si>
  <si>
    <t>watch,antimicrobial  antimicrobial,resistance  resistance,lower  lower,uti  uti,#vimeo  #vimeo,prescribe  prescribe,antibiotics  antibiotics,appropriately  appropriately,uti  uti,act</t>
  </si>
  <si>
    <t>antibiotics,prescribed  prescribed,health  health,professional  professional,important  important,always  always,take  take,directed  directed,never  never,save  save,later</t>
  </si>
  <si>
    <t>#antibioticresistance,still  still,#publichealth  #publichealth,threat  threat,during  during,#covid  #covid,19  19,pandemic  pandemic,cdcgov  cdcgov,experts  experts,closely</t>
  </si>
  <si>
    <t>tackle,#antimicrobialresistance  #antimicrobialresistance,preserve  preserve,antibiotics  antibiotics,really  really,need  need,always  always,follow  follow,doctor's  doctor's,advice  advice,today</t>
  </si>
  <si>
    <t>#antibioticresistance,#beantibioticaware</t>
  </si>
  <si>
    <t>proavigo,geiras_seimc  geiras_seimc,prangob  prangob,seimc_  seimc_,eaad_eu  eaad_eu,una  una,forma  forma,muy  muy,gráfica  gráfica,de  de,recordar</t>
  </si>
  <si>
    <t>#covid19,pandemic  #antibioticresistance,still  still,#publichealth  #publichealth,threat  threat,during  during,#covid19  pandemic,cdcgov  cdcgov,experts  experts,closely  closely,monitoring</t>
  </si>
  <si>
    <t>philadelphia,department  department,public  public,health  health,proud  proud,#beantibioticsaware  #beantibioticsaware,partner  partner,u  u,s  s,antibiotic  antibiotic,awareness</t>
  </si>
  <si>
    <t>#antibioticawarenessweek,let's  let's,raise  raise,awareness  awareness,importance  importance,appropriate  appropriate,antibiotic  antibiotic,use  use,combat  combat,threat  threat,antibiotic</t>
  </si>
  <si>
    <t>#antibioticguardian,pledge  pledge,help  help,#keepantibioticsworking  #keepantibioticsworking,tackle  tackle,#antimicrobialresistance  #antimicrobialresistance,#waaw  #waaw,#antibioticresistance  team,#antibioticguardian  pharmacy,dispensary  dispensary,team</t>
  </si>
  <si>
    <t>proud,support  support,research  research,alternative  alternative,treatments  treatments,help  help,reduce  reduce,need  need,prescribe  prescribe,antibiotics  antibiotics,possible</t>
  </si>
  <si>
    <t>#antibiotics,aren  aren,t  t,needed  needed,won  won,t  t,help  help,treat  treat,colds  colds,#flu  #flu,#covid19</t>
  </si>
  <si>
    <t>#antibioticguardian,#keepantibioticsworking  #keepantibioticsworking,#waaw  #waaw,english  english,surveillance  surveillance,programme  programme,antimicrobial  antimicrobial,utilisation  utilisation,resistance  resistance,espaur  espaur,report</t>
  </si>
  <si>
    <t>#useantibioticswisely,week  week,join  join,sabetha  sabetha,community  community,hospital  hospital,others  others,spreading  spreading,word  word,slow  slow,#antibioticresistance</t>
  </si>
  <si>
    <t>side,effects  #antibioticresistance,one  one,urgent  urgent,global  global,threats  threats,public  public,s  s,health  health,time  time,#antibiotics</t>
  </si>
  <si>
    <t>desde,sonespases  sonespases,estamos  estamos,concienciados  concienciados,con  con,un  un,uso  uso,prudente  prudente,de  de,los  los,antibióticos</t>
  </si>
  <si>
    <t>day,1  1,#waaw  #waaw,m  m,tweeting  tweeting,#amr  #amr,stuff  stuff,day  day,kicking  kicking,overview  overview,#amr</t>
  </si>
  <si>
    <t>overuse,fuelled  fuelled,world's  world's,antibiotic  antibiotic,resistance  resistance,crisis  crisis,via  via,doctorchrisvt  doctorchrisvt,#antibioticawarenessweek  #antibioticawarenessweek,#antibioticresistance  #antibioticresistance,sign</t>
  </si>
  <si>
    <t>really,proud  proud,antibioticangel  antibioticangel,team  team,coordinating  coordinating,event  event,great  great,way  way,engage  engage,colleagues  colleagues,#keepantibioticsworking</t>
  </si>
  <si>
    <t>#keepantibioticsworking,#antibioticguardian  lottie,ross  ross,deserved  deserved,treat  treat,#goblueforamr  #goblueforamr,part  part,team  team,work  work,hard  hard,behind</t>
  </si>
  <si>
    <t>follow,cdc  cdc,global  global,twitter  twitter,storm  storm,antibiotic  antibiotic,resistance  resistance,follow  follow,hashtag  hashtag,#antibioticresistance</t>
  </si>
  <si>
    <t>today,marks  marks,start  start,world  world,antimicrobial  antimicrobial,awareness  awareness,week  week,antibiotic  antibiotic,resistance  resistance,still  still,one</t>
  </si>
  <si>
    <t>#keepantibioticsworking,#antibioticguardian  #antibioticguardian,#worldantimicrobialawarenessweek</t>
  </si>
  <si>
    <t>resistenza,agli  agli,#antibiotici  #antibiotici,percentuali  percentuali,ancora  ancora,elevate  elevate,italia  italia,tra  tra,paesi  paesi,europei  europei,ad</t>
  </si>
  <si>
    <t>european,antibiotics  antibiotics,awareness  awareness,day  day,ask  ask,note  note,many  many,antibiotics  antibiotics,longer  longer,effective  effective,against</t>
  </si>
  <si>
    <t>#waaw,#amr  #amr,#antibioticresistance</t>
  </si>
  <si>
    <t>world,antimicrobial  antimicrobial,awareness  awareness,week  week,know  know,#antimicrobialresistance  #antimicrobialresistance,one  one,urgent  urgent,global  global,threats  threats,public</t>
  </si>
  <si>
    <t>spread,awareness  awareness,stop  stop,resistance  resistance,#waaw2021  #waaw2021,#keepantibioticsworking</t>
  </si>
  <si>
    <t>today,european  european,antibiotic  antibiotic,awareness  awareness,day  day,susan  susan,potter  potter,antimicrobial  antimicrobial,pharmacist  pharmacist,reminds  reminds,take</t>
  </si>
  <si>
    <t>#waaw,#waaw2021  #waaw2021,#usaaw21  #antibioticresistance,one  one,top  top,10  10,global  global,public  public,health  health,threats  threats,facing</t>
  </si>
  <si>
    <t>#handlewithcare,#antimicrobialresistance  #antimicrobialresistance,#keepantibioticsworking  #keepantibioticsworking,#hsaamrwarenessweek  #hsaamrwarenessweek,#waaw</t>
  </si>
  <si>
    <t>desde,el  el,#hospitallapaz  #hospitallapaz,nos  nos,unimos  unimos,al  al,#diaeuropeousoprudenteantibioticos  #diaeuropeousoprudenteantibioticos,proa_hulp  proa_hulp,#keepantibioticsworking</t>
  </si>
  <si>
    <t>#antibiotics,stop  stop,working  working,eu  eu,action  action,plan  plan,mean  mean,animals  animals,questions  questions,#antibioticresistance  #antibioticresistance,join</t>
  </si>
  <si>
    <t>#antibioticresistance,public  public,health  health,threat  threat,mcdonalds  mcdonalds,help  help,keeping  keeping,promise  promise,reduce  reduce,antibiotic  antibiotic,use</t>
  </si>
  <si>
    <t>nov,18th  18th,antibiotic  antibiotic,awareness  awareness,week  week,below  below,5  5,things  things,need  need,know  know,antibiotics</t>
  </si>
  <si>
    <t>#waaw2021,#antibioticresistance  #antibioticresistance,#keepantibioticsworking  #antimicrobialresistance,one  one,urgent  urgent,global  global,threats  threats,public  public,s  s,health  health,antibiotics</t>
  </si>
  <si>
    <t>day,01  01,inauguration  inauguration,day  day,spread  spread,awareness  awareness,stop  stop,resistance  resistance,world  world,antimicrobial  antimicrobial,awareness</t>
  </si>
  <si>
    <t>#vice,#virtue  #virtue,#oilspill  #oilspill,#california  #california,#lanternfly  #lanternfly,#antibioticresistance  #antibioticresistance,#antibiotics  #antibiotics,#resistance  #resistance,#cleanair  #cleanair,#airscrubber  #airscrubber,#co2</t>
  </si>
  <si>
    <t>day,1  1,inauguration  inauguration,amr  amr,campaign  campaign,hsa  hsa,antimicrobial  antimicrobial,resistance  resistance,serious  serious,public  public,health</t>
  </si>
  <si>
    <t>aren,t  t,needed  #antibioticresistance,#waaw  #waaw,#beantibioticsaware  #beantibioticsaware,#usaaw21  #antibioticresistance,still  still,#publichealth  #publichealth,threat  threat,during  during,#covid19</t>
  </si>
  <si>
    <t>#waaw,lizcorteville  lizcorteville,hiow_ics  shared,responsibility  #antibioticguardian,#antimicrobialresistance  #antimicrobialresistance,#waaw  #antibioticguardian,#waaw  use,antibiotics  #antibioticguardian,#keepantibioticsworking  #keepantibioticsworking,#waaw  engage,fight</t>
  </si>
  <si>
    <t>become,#antibioticguardian  #antibioticguardian,help  antibiotics,longer  longer,work  work,infections  infections,become  help,protect  protect,life  life,saving  saving,medicine</t>
  </si>
  <si>
    <t>#usaaw21,#eaad  #eaad,#antibioticresistance  #antibioticresistance,#antibiotics  #keepantibioticsworking,#waaw  #antibiotics,#keepantibioticsworking  sobering,words  organization,know  know,hyperbole  hyperbole,#usaaw21  antibiotic,resistance</t>
  </si>
  <si>
    <t>today,european  european,#antibiotic  #antibiotic,awareness  awareness,day  day,eaad  eaad,aims  aims,raise  raise,awareness  awareness,prudent  prudent,use</t>
  </si>
  <si>
    <t>#handlewithcare,#antimicrobialresistance  #antimicrobialresistance,#keepantibioticsworking  #keepantibioticsworking,#hsaamrwarenessweek  #hsaamrwarenessweek,#waaw  antimicrobial,resistance  day,01  01,inauguration  inauguration,day  health,services  services,academy</t>
  </si>
  <si>
    <t>#keepantibioticsworking,#waaw2021  #waaw2021,#eaad2021  #eaad2021,#doit4das  #antibioticguardian,#keepantibioticsworking  50,aware  against,#amr  antibiotics,#antibioticguardian  #amr,#antibioticguardian  blood,culture  prioritized,targets</t>
  </si>
  <si>
    <t>#waaw,world  world,antibiotic  antibiotic,awareness  awareness,week  week,here  here,use  use,opportunity  opportunity,educate  educate,patients  patients,antimicrobial</t>
  </si>
  <si>
    <t>great,topic  topic,#waaw  #waaw,antibioticangel  antibioticangel,discussion  discussion,#uti  #uti,#keepantibioticsworking</t>
  </si>
  <si>
    <t>foodgov,#animalwelfare  #animalwelfare,conditions  conditions,improved  improved,less  less,intense  intense,use  use,#antibiotics  #antibiotics,good  good,starting  starting,point</t>
  </si>
  <si>
    <t>infectious,diseases  diseases,team  team,spreading  spreading,awareness  awareness,#eaad  #eaad,cuh_cork  cuh_cork,#eaad  #eaad,blairmatthewd  blairmatthewd,#idtwitter  #idtwitter,#keepantibioticsworking</t>
  </si>
  <si>
    <t>microbiology,ekhuft  ekhuft,#goingblue  #goingblue,raise  raise,awareness  awareness,#antimicrobialresistance  #antimicrobialresistance,#waaw  #waaw,#handlewithcare  #handlewithcare,#amr  #amr,#antibioticguardian  #antibioticguardian,#antimicrobialstewardship</t>
  </si>
  <si>
    <t>antibiotic,resistant  resistant,bacteria  bacteria,fungi  fungi,cause  cause,more  more,2  2,8m  8m,infections  infections,35k  35k,deaths</t>
  </si>
  <si>
    <t>#antibioticresistance,still  still,public  public,health  health,threat  threat,during  during,#covid19  #covid19,cdc  cdc,experts  experts,closely  closely,monitoring</t>
  </si>
  <si>
    <t>#antibioticresistance,one  one,urgent  urgent,global  global,threats  threats,public's  public's,health  health,time  time,#antibiotics  #antibiotics,used  used,cause</t>
  </si>
  <si>
    <t>combatting,antibiotic  antibiotic,resistance  resistance,nurses  nurses,play  play,central  central,role  role,recognise  recognise,advanced  advanced,roles  roles,nurses</t>
  </si>
  <si>
    <t>healthcare,payers  payers,cdcgov  cdcgov,s  s,improving  improving,outpatient  outpatient,prescribing  prescribing,toolkit  toolkit,healthcare  payers,contains  contains,resources</t>
  </si>
  <si>
    <t>#beantibioticsaware,#antibioticresistance  #antibioticresistance,#waaw  #beantibioticsaware,#waaw  #waaw,#antibioticresistance</t>
  </si>
  <si>
    <t>even,middle  middle,pandemic  pandemic,#antibioticresistance  #antibioticresistance,matters  matters,great  great,issue  issue,world  world,needs  needs,protect  protect,shared</t>
  </si>
  <si>
    <t>antibiotic,awareness  awareness,week  week,begins  begins,today  today,#antibioticresistance  #antibioticresistance,one  one,worlds  worlds,urgent  urgent,public  public,health</t>
  </si>
  <si>
    <t>#antimicrobialresistance,urgent  urgent,threats  threats,public  public,s  s,health  health,stewardship  stewardship,team  team,newhamhospital  newhamhospital,bh_pharmacy  bh_pharmacy,bh_infection</t>
  </si>
  <si>
    <t>good,see  see,falling  falling,use  use,antibiotics  antibiotics,primary  primary,care  care,increased  increased,hospital  hospital,dental  dental,use</t>
  </si>
  <si>
    <t>going,blue  blue,amr  amr,during  during,world  world,antimicrobials  antimicrobials,awareness  awareness,week  week,november  november,18  18,24</t>
  </si>
  <si>
    <t>#antibiotics,used  used,cause  cause,side  side,effects  anytime,#antibiotics  effects,lead  lead,#antibioticresistance  #antibioticresistance,#beantibioticsaware  #beantibioticsaware,#usaaw21  taking,#antibiotics</t>
  </si>
  <si>
    <t>second,installment  installment,series  series,thenasem  thenasem,report  report,cover  cover,improvements  improvements,diagnostic  diagnostic,testing  testing,advance  advance,#antibiotic</t>
  </si>
  <si>
    <t>mark,beginning  beginning,#waaw2021  #waaw2021,read  read,project  project,#covid19  #covid19,affecting  affecting,infections  infections,whether  whether,more  more,resistant</t>
  </si>
  <si>
    <t>antibiotics,second  second,hand  hand,effects  effects,beyond  beyond,person  person,receiving  receiving,societal  societal,responsibility  responsibility,use  use,medications</t>
  </si>
  <si>
    <t>s,#worldantimicrobialawarenessweek  #worldantimicrobialawarenessweek,enter  enter,microbial  microbial,world  world,find  find,out  out,more  more,bacteria  bacteria,around  around,use</t>
  </si>
  <si>
    <t>spread,word  word,crucial  crucial,work  work,#antibioticguardian  #antibioticguardian,#waaw  #waaw,#eaad  #eaad,#keepantibioticsworking  #keepantibioticsworking,#antimicrobialresistance  #antimicrobialresistance,bthftpharm</t>
  </si>
  <si>
    <t>today,european  european,antibiotic  antibiotic,awareness  awareness,day  day,#eaad2021  #eaad2021,antibiotics  antibiotics,cause  cause,side  side,effects  effects,contribute</t>
  </si>
  <si>
    <t>#waaw2021,#waaw  #waaw,#antibioticguardian</t>
  </si>
  <si>
    <t>#waaw,#antibioticresistance  #antibioticresistance,#amr  re,proud  proud,#beantibioticsaware  #beantibioticsaware,partner  partner,u  u,s  s,antibiotic  antibiotic,awareness  awareness,week</t>
  </si>
  <si>
    <t>resistant,#tb  drug,resistant  #usaaw21,#beantibioticsaware  #beantibioticsaware,#waaw21  #waaw21,#antibioticresistance  know,costs  costs,182  182,000  000,treat  treat,patient</t>
  </si>
  <si>
    <t>antibiotic,use  more,#waaw  ips,antibiotics  antibiotics,whiz  whiz,lets  lets,find  find,out  out,take  take,fun  fun,quiz</t>
  </si>
  <si>
    <t>simple,steps  steps,take  take,help  help,#keepantibioticsworking  #keepantibioticsworking,take  take,doctor's  doctor's,advice  advice,antibiotics  antibiotics,take  take,exactly</t>
  </si>
  <si>
    <t>#waaw,#eaad  anytime,#antibiotics  #antibiotics,used  used,cause  cause,side  side,effects  effects,lead  lead,#antibioticresistance  #antibioticresistance,#beantibioticsaware  #beantibioticsaware,read</t>
  </si>
  <si>
    <t>talk,friends  friends,family  family,#antibioticresistance  #antibioticresistance,remember  remember,covid  covid,flu  flu,viruses  viruses,respond  respond,antibiotics  antibiotics,#worldantimicrobialawarenessweek</t>
  </si>
  <si>
    <t>#waaw,#usaaw  side,effects  #antibioticresistance,#waaw  #antibiotics,critical  critical,tools  tools,treating  treating,life  life,threatening  threatening,conditions  conditions,such</t>
  </si>
  <si>
    <t>each,year  year,330000  330000,people  people,die  die,infection  infection,due  due,bacteria  bacteria,resistant  resistant,antibiotics  antibiotics,10000000</t>
  </si>
  <si>
    <t>spread,awareness  awareness,stop  stop,resistance  resistance,#handlewithcare  #handlewithcare,#antimicrobialresistance  #antimicrobialresistance,#keepantibioticsworking  #keepantibioticsworking,#hsaamrwarenessweek  #hsaamrwarenessweek,#waaw</t>
  </si>
  <si>
    <t>#antibioticresistance,1  1,urgent  urgent,threats  threats,public  public,s  s,health  health,time  time,#antibiotics  #antibiotics,used  used,cause</t>
  </si>
  <si>
    <t>antibiotic,awareness  awareness,week  week,starts  starts,today  today,annual  annual,one  one,week  week,observance  observance,meant  meant,raise</t>
  </si>
  <si>
    <t>Top Word Pairs in Tweet by Salience</t>
  </si>
  <si>
    <t>spread,awareness  inauguration,day  day,spread  awareness,stop  stop,resistance  resistance,annual  annual,world  world,antimicrobial  antimicrobial,awareness  awareness,week</t>
  </si>
  <si>
    <t>gen,med  med,spreading  spreading,awareness  awareness,good  good,documentation  documentation,timely  timely,sampling  sampling,infections  infections,uhnmcharity  uhnm_nhs,mc_bugsy</t>
  </si>
  <si>
    <t>today,start  start,#worldantimicrobialawarenessweek  #worldantimicrobialawarenessweek,#waaw2021  #waaw2021,#ukhsa  #ukhsa,published  published,report  report,antimicrobial  antimicrobial,prescribing  prescribing,resistance  resistance,stewardship</t>
  </si>
  <si>
    <t>many,patients  patients,families  families,suffered  suffered,debilitating  debilitating,effects  effects,even  even,death  death,due  due,#antibioticresistance  #antibioticresistance,resistant</t>
  </si>
  <si>
    <t>supporting,#waaw  #waaw,see  supporting,#waaw2021  #waaw2021,see  #keepantibioticsworking,#antimicrobialresistance  #antimicrobialresistance,#waaw  see,open  open,project  see,4s  4s,project</t>
  </si>
  <si>
    <t>#antibioticresistance,still  still,#publichealth  #publichealth,threat  threat,during  pandemic,cdc  cdc,experts  experts,closely  closely,monitoring  monitoring,possible  possible,effects</t>
  </si>
  <si>
    <t>#antibioticresistance,still  still,#publichealth  #publichealth,threat  threat,during  during,#covid19  pandemic,cdcgov  cdcgov,experts  experts,closely  closely,monitoring  monitoring,possible</t>
  </si>
  <si>
    <t>team,#antibioticguardian  pharmacy,dispensary  dispensary,team  pharmacy,supply  supply,team  #antibioticresistance,2  2,2  dr,jayanta  jayanta,sarma  sarma,consultant</t>
  </si>
  <si>
    <t>more,pause  pause,study  more,atafuti  atafuti,study  more,acne  acne,proms  proms,study  more,unite  unite,study  proud,support</t>
  </si>
  <si>
    <t>#waaw,english  english,surveillance  surveillance,programme  programme,antimicrobial  antimicrobial,utilisation  utilisation,resistance  resistance,espaur  espaur,report  report,2020  2020,2021</t>
  </si>
  <si>
    <t>lottie,ross  ross,deserved  deserved,treat  treat,#goblueforamr  #goblueforamr,part  part,team  team,work  work,hard  hard,behind  behind,scenes</t>
  </si>
  <si>
    <t>#antibioticresistance,one  one,top  top,10  10,global  global,public  public,health  health,threats  threats,facing  facing,humanity  humanity,#waaw</t>
  </si>
  <si>
    <t>world,invite  invite,join  join,hands  hands,hsa  hsa,#handlewithcare  world,#handlewithcare  #hsaamrwarenessweek,#waaw  day,01  01,inauguration  inauguration,day</t>
  </si>
  <si>
    <t>use,antibiotics  shared,responsibility  #antibioticguardian,#antimicrobialresistance  #antimicrobialresistance,#waaw  #antibioticguardian,#waaw  #antibioticguardian,#keepantibioticsworking  #keepantibioticsworking,#waaw  engage,fight  battlesuperbugs,#keepantibioticsworking  #keepantibioticsworking,shared</t>
  </si>
  <si>
    <t>antibiotics,longer  longer,work  work,infections  infections,become  help,protect  protect,life  life,saving  saving,medicine  antibiotic,resistance  resistance,set</t>
  </si>
  <si>
    <t>sobering,words  organization,know  know,hyperbole  hyperbole,#usaaw21  antibiotic,resistance  world,antibiotic  director,general  general,nearly  nearly,decade  decade,ago</t>
  </si>
  <si>
    <t>day,01  01,inauguration  inauguration,day  health,services  services,academy  spread,awareness  resistance,#handlewithcare  day,world  world,antimicrobial  antimicrobial,awareness</t>
  </si>
  <si>
    <t>#antibioticguardian,#keepantibioticsworking  50,aware  against,#amr  antibiotics,#antibioticguardian  #amr,#antibioticguardian  blood,culture  prioritized,targets  targets,#ams  make,sure  management,#sepsis</t>
  </si>
  <si>
    <t>hsa,kicked  kicked,started  hsa,kick  kick,started  day,01  01,inauguration  inauguration,antimicrobial  antimicrobial,resistance  resistance,serious  serious,public</t>
  </si>
  <si>
    <t>anytime,#antibiotics  effects,lead  lead,#antibioticresistance  #antibioticresistance,#beantibioticsaware  #beantibioticsaware,#usaaw21  taking,#antibiotics  #antibiotics,needed  needed,one  one,thing  thing,help</t>
  </si>
  <si>
    <t>know,costs  costs,182  182,000  000,treat  treat,patient  patient,multidrug  multidrug,resistant  #tb,drug  resistant,tb  tb,costly</t>
  </si>
  <si>
    <t>anytime,#antibiotics  #antibiotics,used  used,cause  cause,side  side,effects  effects,lead  lead,#antibioticresistance  #antibioticresistance,#beantibioticsaware  #beantibioticsaware,read  read,page</t>
  </si>
  <si>
    <t>#antibiotics,critical  critical,tools  tools,treating  treating,life  life,threatening  threatening,conditions  conditions,such  such,pneumonia  pneumonia,sepsis  sepsis,save</t>
  </si>
  <si>
    <t>Word</t>
  </si>
  <si>
    <t>Sentiment List#1</t>
  </si>
  <si>
    <t>Sentiment List#2</t>
  </si>
  <si>
    <t>Sentiment List#3</t>
  </si>
  <si>
    <t>Words in Sentiment List#1</t>
  </si>
  <si>
    <t>Words in Sentiment List#2</t>
  </si>
  <si>
    <t>Words in Sentiment List#3</t>
  </si>
  <si>
    <t>Non-categorized Words</t>
  </si>
  <si>
    <t>Total Words</t>
  </si>
  <si>
    <t>resistance</t>
  </si>
  <si>
    <t>threats</t>
  </si>
  <si>
    <t>global</t>
  </si>
  <si>
    <t>urgent</t>
  </si>
  <si>
    <t>cause</t>
  </si>
  <si>
    <t>side</t>
  </si>
  <si>
    <t>development</t>
  </si>
  <si>
    <t>contribute</t>
  </si>
  <si>
    <t>awareness</t>
  </si>
  <si>
    <t>including</t>
  </si>
  <si>
    <t>nausea</t>
  </si>
  <si>
    <t>diarrhoea</t>
  </si>
  <si>
    <t>threat</t>
  </si>
  <si>
    <t>pandemic</t>
  </si>
  <si>
    <t>read</t>
  </si>
  <si>
    <t>antimicrobial</t>
  </si>
  <si>
    <t>possible</t>
  </si>
  <si>
    <t>covid</t>
  </si>
  <si>
    <t>19</t>
  </si>
  <si>
    <t>still</t>
  </si>
  <si>
    <t>monitoring</t>
  </si>
  <si>
    <t>week</t>
  </si>
  <si>
    <t>help</t>
  </si>
  <si>
    <t>national</t>
  </si>
  <si>
    <t>day</t>
  </si>
  <si>
    <t>#publichealth</t>
  </si>
  <si>
    <t>closely</t>
  </si>
  <si>
    <t>state</t>
  </si>
  <si>
    <t>today</t>
  </si>
  <si>
    <t>experts</t>
  </si>
  <si>
    <t>#handlewithcare</t>
  </si>
  <si>
    <t>#beantibioticsaware</t>
  </si>
  <si>
    <t>ar</t>
  </si>
  <si>
    <t>#hsaamrwarenessweek</t>
  </si>
  <si>
    <t>world</t>
  </si>
  <si>
    <t>here</t>
  </si>
  <si>
    <t>inauguration</t>
  </si>
  <si>
    <t>take</t>
  </si>
  <si>
    <t>spread</t>
  </si>
  <si>
    <t>infections</t>
  </si>
  <si>
    <t>01</t>
  </si>
  <si>
    <t>problem</t>
  </si>
  <si>
    <t>#waaw21</t>
  </si>
  <si>
    <t>serious</t>
  </si>
  <si>
    <t>misuse</t>
  </si>
  <si>
    <t>antimicrobials</t>
  </si>
  <si>
    <t>risk</t>
  </si>
  <si>
    <t>everyone</t>
  </si>
  <si>
    <t>worldwide</t>
  </si>
  <si>
    <t>hsa</t>
  </si>
  <si>
    <t>started</t>
  </si>
  <si>
    <t>see</t>
  </si>
  <si>
    <t>resistant</t>
  </si>
  <si>
    <t>become</t>
  </si>
  <si>
    <t>campaign</t>
  </si>
  <si>
    <t>never</t>
  </si>
  <si>
    <t>used</t>
  </si>
  <si>
    <t>needed</t>
  </si>
  <si>
    <t>puts</t>
  </si>
  <si>
    <t>project</t>
  </si>
  <si>
    <t>supporting</t>
  </si>
  <si>
    <t>important</t>
  </si>
  <si>
    <t>stop</t>
  </si>
  <si>
    <t>report</t>
  </si>
  <si>
    <t>learn</t>
  </si>
  <si>
    <t>prescribed</t>
  </si>
  <si>
    <t>out</t>
  </si>
  <si>
    <t>fight</t>
  </si>
  <si>
    <t>year</t>
  </si>
  <si>
    <t>bacteria</t>
  </si>
  <si>
    <t>patients</t>
  </si>
  <si>
    <t>u</t>
  </si>
  <si>
    <t>need</t>
  </si>
  <si>
    <t>many</t>
  </si>
  <si>
    <t>join</t>
  </si>
  <si>
    <t>time</t>
  </si>
  <si>
    <t>infection</t>
  </si>
  <si>
    <t>treat</t>
  </si>
  <si>
    <t>t</t>
  </si>
  <si>
    <t>2</t>
  </si>
  <si>
    <t>proud</t>
  </si>
  <si>
    <t>pledge</t>
  </si>
  <si>
    <t>against</t>
  </si>
  <si>
    <t>combat</t>
  </si>
  <si>
    <t>save</t>
  </si>
  <si>
    <t>share</t>
  </si>
  <si>
    <t>others</t>
  </si>
  <si>
    <t>people</t>
  </si>
  <si>
    <t>taking</t>
  </si>
  <si>
    <t>kick</t>
  </si>
  <si>
    <t>resources</t>
  </si>
  <si>
    <t>reduce</t>
  </si>
  <si>
    <t>effective</t>
  </si>
  <si>
    <t>appropriate</t>
  </si>
  <si>
    <t>always</t>
  </si>
  <si>
    <t>3</t>
  </si>
  <si>
    <t>#worldantimicrobialawarenessweek</t>
  </si>
  <si>
    <t>find</t>
  </si>
  <si>
    <t>prescribing</t>
  </si>
  <si>
    <t>good</t>
  </si>
  <si>
    <t>follow</t>
  </si>
  <si>
    <t>new</t>
  </si>
  <si>
    <t>18th</t>
  </si>
  <si>
    <t>24th</t>
  </si>
  <si>
    <t>nov</t>
  </si>
  <si>
    <t>tackle</t>
  </si>
  <si>
    <t>later</t>
  </si>
  <si>
    <t>1</t>
  </si>
  <si>
    <t>work</t>
  </si>
  <si>
    <t>patient</t>
  </si>
  <si>
    <t>treatments</t>
  </si>
  <si>
    <t>exactly</t>
  </si>
  <si>
    <t>protect</t>
  </si>
  <si>
    <t>know</t>
  </si>
  <si>
    <t>around</t>
  </si>
  <si>
    <t>last</t>
  </si>
  <si>
    <t>data</t>
  </si>
  <si>
    <t>storm</t>
  </si>
  <si>
    <t>abx</t>
  </si>
  <si>
    <t>facing</t>
  </si>
  <si>
    <t>research</t>
  </si>
  <si>
    <t>starts</t>
  </si>
  <si>
    <t>raise</t>
  </si>
  <si>
    <t>professional</t>
  </si>
  <si>
    <t>due</t>
  </si>
  <si>
    <t>european</t>
  </si>
  <si>
    <t>keep</t>
  </si>
  <si>
    <t>working</t>
  </si>
  <si>
    <t>life</t>
  </si>
  <si>
    <t>aren</t>
  </si>
  <si>
    <t>lead</t>
  </si>
  <si>
    <t>10</t>
  </si>
  <si>
    <t>talk</t>
  </si>
  <si>
    <t>drug</t>
  </si>
  <si>
    <t>#antibioticawarenessweek</t>
  </si>
  <si>
    <t>care</t>
  </si>
  <si>
    <t>#antibiotic</t>
  </si>
  <si>
    <t>stewardship</t>
  </si>
  <si>
    <t>surveillance</t>
  </si>
  <si>
    <t>7</t>
  </si>
  <si>
    <t>2020</t>
  </si>
  <si>
    <t>kicked</t>
  </si>
  <si>
    <t>twitter</t>
  </si>
  <si>
    <t>celebrated</t>
  </si>
  <si>
    <t>annually</t>
  </si>
  <si>
    <t>aware</t>
  </si>
  <si>
    <t>make</t>
  </si>
  <si>
    <t>up</t>
  </si>
  <si>
    <t>really</t>
  </si>
  <si>
    <t>blood</t>
  </si>
  <si>
    <t>start</t>
  </si>
  <si>
    <t>study</t>
  </si>
  <si>
    <t>services</t>
  </si>
  <si>
    <t>please</t>
  </si>
  <si>
    <t>sign</t>
  </si>
  <si>
    <t>prescribe</t>
  </si>
  <si>
    <t>video</t>
  </si>
  <si>
    <t>annual</t>
  </si>
  <si>
    <t>viruses</t>
  </si>
  <si>
    <t>those</t>
  </si>
  <si>
    <t>colds</t>
  </si>
  <si>
    <t>simple</t>
  </si>
  <si>
    <t>steps</t>
  </si>
  <si>
    <t>thing</t>
  </si>
  <si>
    <t>future</t>
  </si>
  <si>
    <t>ask</t>
  </si>
  <si>
    <t>treatment</t>
  </si>
  <si>
    <t>partner</t>
  </si>
  <si>
    <t>responsibility</t>
  </si>
  <si>
    <t>hospital</t>
  </si>
  <si>
    <t>18</t>
  </si>
  <si>
    <t>5</t>
  </si>
  <si>
    <t>promoting</t>
  </si>
  <si>
    <t>shared</t>
  </si>
  <si>
    <t>#hcp</t>
  </si>
  <si>
    <t>much</t>
  </si>
  <si>
    <t>microbiology</t>
  </si>
  <si>
    <t>watch</t>
  </si>
  <si>
    <t>local</t>
  </si>
  <si>
    <t>pharmacy</t>
  </si>
  <si>
    <t>now</t>
  </si>
  <si>
    <t>using</t>
  </si>
  <si>
    <t>pharmacist</t>
  </si>
  <si>
    <t>hands</t>
  </si>
  <si>
    <t>academy</t>
  </si>
  <si>
    <t>longer</t>
  </si>
  <si>
    <t>support</t>
  </si>
  <si>
    <t>alternative</t>
  </si>
  <si>
    <t>directed</t>
  </si>
  <si>
    <t>each</t>
  </si>
  <si>
    <t>years</t>
  </si>
  <si>
    <t>together</t>
  </si>
  <si>
    <t>critical</t>
  </si>
  <si>
    <t>treating</t>
  </si>
  <si>
    <t>threatening</t>
  </si>
  <si>
    <t>such</t>
  </si>
  <si>
    <t>needs</t>
  </si>
  <si>
    <t>#usaaw</t>
  </si>
  <si>
    <t>000</t>
  </si>
  <si>
    <t>family</t>
  </si>
  <si>
    <t>kill</t>
  </si>
  <si>
    <t>doctor's</t>
  </si>
  <si>
    <t>anytime</t>
  </si>
  <si>
    <t>want</t>
  </si>
  <si>
    <t>prevention</t>
  </si>
  <si>
    <t>re</t>
  </si>
  <si>
    <t>participate</t>
  </si>
  <si>
    <t>second</t>
  </si>
  <si>
    <t>november</t>
  </si>
  <si>
    <t>24</t>
  </si>
  <si>
    <t>increased</t>
  </si>
  <si>
    <t>guidelines</t>
  </si>
  <si>
    <t>open</t>
  </si>
  <si>
    <t>thanks</t>
  </si>
  <si>
    <t>even</t>
  </si>
  <si>
    <t>resource</t>
  </si>
  <si>
    <t>nation</t>
  </si>
  <si>
    <t>hospitals</t>
  </si>
  <si>
    <t>visit</t>
  </si>
  <si>
    <t>making</t>
  </si>
  <si>
    <t>public's</t>
  </si>
  <si>
    <t>movement</t>
  </si>
  <si>
    <t>#antimicrobialstewardship</t>
  </si>
  <si>
    <t>spreading</t>
  </si>
  <si>
    <t>group</t>
  </si>
  <si>
    <t>first</t>
  </si>
  <si>
    <t>well</t>
  </si>
  <si>
    <t>look</t>
  </si>
  <si>
    <t>specialists</t>
  </si>
  <si>
    <t>educate</t>
  </si>
  <si>
    <t>published</t>
  </si>
  <si>
    <t>#espaur</t>
  </si>
  <si>
    <t>oral</t>
  </si>
  <si>
    <t>iv</t>
  </si>
  <si>
    <t>quick</t>
  </si>
  <si>
    <t>reminder</t>
  </si>
  <si>
    <t>samples</t>
  </si>
  <si>
    <t>free</t>
  </si>
  <si>
    <t>action</t>
  </si>
  <si>
    <t>medical</t>
  </si>
  <si>
    <t>organisms</t>
  </si>
  <si>
    <t>culture</t>
  </si>
  <si>
    <t>better</t>
  </si>
  <si>
    <t>invite</t>
  </si>
  <si>
    <t>regarding</t>
  </si>
  <si>
    <t>act</t>
  </si>
  <si>
    <t>being</t>
  </si>
  <si>
    <t>engage</t>
  </si>
  <si>
    <t>won</t>
  </si>
  <si>
    <t>#flu</t>
  </si>
  <si>
    <t>eu</t>
  </si>
  <si>
    <t>illness</t>
  </si>
  <si>
    <t>winter</t>
  </si>
  <si>
    <t>overuse</t>
  </si>
  <si>
    <t>2021</t>
  </si>
  <si>
    <t>dr</t>
  </si>
  <si>
    <t>medicines</t>
  </si>
  <si>
    <t>bit</t>
  </si>
  <si>
    <t>#westmidlands</t>
  </si>
  <si>
    <t>importance</t>
  </si>
  <si>
    <t>less</t>
  </si>
  <si>
    <t>20</t>
  </si>
  <si>
    <t>tools</t>
  </si>
  <si>
    <t>conditions</t>
  </si>
  <si>
    <t>lives</t>
  </si>
  <si>
    <t>risks</t>
  </si>
  <si>
    <t>flu</t>
  </si>
  <si>
    <t>top</t>
  </si>
  <si>
    <t>globally</t>
  </si>
  <si>
    <t>remember</t>
  </si>
  <si>
    <t>deadly</t>
  </si>
  <si>
    <t>superbugs</t>
  </si>
  <si>
    <t>million</t>
  </si>
  <si>
    <t>per</t>
  </si>
  <si>
    <t>#worldantimicrobialawareness</t>
  </si>
  <si>
    <t>page</t>
  </si>
  <si>
    <t>growing</t>
  </si>
  <si>
    <t>animals</t>
  </si>
  <si>
    <t>beyond</t>
  </si>
  <si>
    <t>lets</t>
  </si>
  <si>
    <t>quiz</t>
  </si>
  <si>
    <t>listen</t>
  </si>
  <si>
    <t>#tb</t>
  </si>
  <si>
    <t>complex</t>
  </si>
  <si>
    <t>word</t>
  </si>
  <si>
    <t>crucial</t>
  </si>
  <si>
    <t>testing</t>
  </si>
  <si>
    <t>part</t>
  </si>
  <si>
    <t>behind</t>
  </si>
  <si>
    <t>thank</t>
  </si>
  <si>
    <t>joining</t>
  </si>
  <si>
    <t>1st</t>
  </si>
  <si>
    <t>matters</t>
  </si>
  <si>
    <t>payers</t>
  </si>
  <si>
    <t>improving</t>
  </si>
  <si>
    <t>outpatient</t>
  </si>
  <si>
    <t>toolkit</t>
  </si>
  <si>
    <t>efforts</t>
  </si>
  <si>
    <t>prevent</t>
  </si>
  <si>
    <t>investments</t>
  </si>
  <si>
    <t>control</t>
  </si>
  <si>
    <t>training</t>
  </si>
  <si>
    <t>personnel</t>
  </si>
  <si>
    <t>shows</t>
  </si>
  <si>
    <t>view</t>
  </si>
  <si>
    <t>nurses</t>
  </si>
  <si>
    <t>play</t>
  </si>
  <si>
    <t>role</t>
  </si>
  <si>
    <t>recognise</t>
  </si>
  <si>
    <t>progress</t>
  </si>
  <si>
    <t>certain</t>
  </si>
  <si>
    <t>caused</t>
  </si>
  <si>
    <t>questions</t>
  </si>
  <si>
    <t>concerned</t>
  </si>
  <si>
    <t>show</t>
  </si>
  <si>
    <t>infectious</t>
  </si>
  <si>
    <t>improved</t>
  </si>
  <si>
    <t>breaking</t>
  </si>
  <si>
    <t>cycle</t>
  </si>
  <si>
    <t>general</t>
  </si>
  <si>
    <t>28</t>
  </si>
  <si>
    <t>choice</t>
  </si>
  <si>
    <t>potential</t>
  </si>
  <si>
    <t>number</t>
  </si>
  <si>
    <t>prioritized</t>
  </si>
  <si>
    <t>targets</t>
  </si>
  <si>
    <t>groups</t>
  </si>
  <si>
    <t>based</t>
  </si>
  <si>
    <t>handle</t>
  </si>
  <si>
    <t>ensure</t>
  </si>
  <si>
    <t>sure</t>
  </si>
  <si>
    <t>download</t>
  </si>
  <si>
    <t>management</t>
  </si>
  <si>
    <t>#sepsis</t>
  </si>
  <si>
    <t>home</t>
  </si>
  <si>
    <t>clinical</t>
  </si>
  <si>
    <t>areas</t>
  </si>
  <si>
    <t>practice</t>
  </si>
  <si>
    <t>recommendations</t>
  </si>
  <si>
    <t>adults</t>
  </si>
  <si>
    <t>uk</t>
  </si>
  <si>
    <t>include</t>
  </si>
  <si>
    <t>opportunity</t>
  </si>
  <si>
    <t>#ipcinaction</t>
  </si>
  <si>
    <t>update</t>
  </si>
  <si>
    <t>colleagues</t>
  </si>
  <si>
    <t>whole</t>
  </si>
  <si>
    <t>provider</t>
  </si>
  <si>
    <t>note</t>
  </si>
  <si>
    <t>administration</t>
  </si>
  <si>
    <t>indication</t>
  </si>
  <si>
    <t>bring</t>
  </si>
  <si>
    <t>innovation</t>
  </si>
  <si>
    <t>mechanims</t>
  </si>
  <si>
    <t>lab</t>
  </si>
  <si>
    <t>responsible</t>
  </si>
  <si>
    <t>answer</t>
  </si>
  <si>
    <t>below</t>
  </si>
  <si>
    <t>precious</t>
  </si>
  <si>
    <t>35</t>
  </si>
  <si>
    <t>strategy</t>
  </si>
  <si>
    <t>8</t>
  </si>
  <si>
    <t>worth</t>
  </si>
  <si>
    <t>looking</t>
  </si>
  <si>
    <t>accounts</t>
  </si>
  <si>
    <t>strong</t>
  </si>
  <si>
    <t>hashtags</t>
  </si>
  <si>
    <t>line</t>
  </si>
  <si>
    <t>sample</t>
  </si>
  <si>
    <t>sampling</t>
  </si>
  <si>
    <t>focus</t>
  </si>
  <si>
    <t>key</t>
  </si>
  <si>
    <t>associated</t>
  </si>
  <si>
    <t>#mrsa</t>
  </si>
  <si>
    <t>#cdiff</t>
  </si>
  <si>
    <t>#vre</t>
  </si>
  <si>
    <t>#cpe</t>
  </si>
  <si>
    <t>discharge</t>
  </si>
  <si>
    <t>community</t>
  </si>
  <si>
    <t>switch</t>
  </si>
  <si>
    <t>#cysticfibrosis</t>
  </si>
  <si>
    <t>agents</t>
  </si>
  <si>
    <t>manage</t>
  </si>
  <si>
    <t>bottles</t>
  </si>
  <si>
    <t>before</t>
  </si>
  <si>
    <t>sobering</t>
  </si>
  <si>
    <t>words</t>
  </si>
  <si>
    <t>another</t>
  </si>
  <si>
    <t>organization</t>
  </si>
  <si>
    <t>hyperbole</t>
  </si>
  <si>
    <t>pigs</t>
  </si>
  <si>
    <t>drugs</t>
  </si>
  <si>
    <t>viral</t>
  </si>
  <si>
    <t>saving</t>
  </si>
  <si>
    <t>things</t>
  </si>
  <si>
    <t>common</t>
  </si>
  <si>
    <t>possibility</t>
  </si>
  <si>
    <t>desde</t>
  </si>
  <si>
    <t>illnesses</t>
  </si>
  <si>
    <t>visiting</t>
  </si>
  <si>
    <t>resistenza</t>
  </si>
  <si>
    <t>elevate</t>
  </si>
  <si>
    <t>marks</t>
  </si>
  <si>
    <t>biggest</t>
  </si>
  <si>
    <t>crisis</t>
  </si>
  <si>
    <t>dispensary</t>
  </si>
  <si>
    <t>consultant</t>
  </si>
  <si>
    <t>let's</t>
  </si>
  <si>
    <t>sharing</t>
  </si>
  <si>
    <t>facts</t>
  </si>
  <si>
    <t>#worldantibioticsawarenessweek</t>
  </si>
  <si>
    <t>taught</t>
  </si>
  <si>
    <t>without</t>
  </si>
  <si>
    <t>develop</t>
  </si>
  <si>
    <t>hcps</t>
  </si>
  <si>
    <t>#teamwestherts</t>
  </si>
  <si>
    <t>made</t>
  </si>
  <si>
    <t>getting</t>
  </si>
  <si>
    <t>bacterial</t>
  </si>
  <si>
    <t>doctors</t>
  </si>
  <si>
    <t>haben</t>
  </si>
  <si>
    <t>eine</t>
  </si>
  <si>
    <t>doctor</t>
  </si>
  <si>
    <t>#healthcare</t>
  </si>
  <si>
    <t>#squashsuperbugs</t>
  </si>
  <si>
    <t>w</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</si>
  <si>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</si>
  <si>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</si>
  <si>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</si>
  <si>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</si>
  <si>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</si>
  <si>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</si>
  <si>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</si>
  <si>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</si>
  <si>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</si>
  <si>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</si>
  <si>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</si>
  <si>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</si>
  <si>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</si>
  <si>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</si>
  <si>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</si>
  <si>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</si>
  <si>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</si>
  <si>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</si>
  <si>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</si>
  <si>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</si>
  <si>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</si>
  <si>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</si>
  <si>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</si>
  <si>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</si>
  <si>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</si>
  <si>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</si>
  <si>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</si>
  <si>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</si>
  <si>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</si>
  <si>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</si>
  <si>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</si>
  <si>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</si>
  <si>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</si>
  <si>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</si>
  <si>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</si>
  <si>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</si>
  <si>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</si>
  <si>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</si>
  <si>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</si>
  <si>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</si>
  <si>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</si>
  <si>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</si>
  <si>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</si>
  <si>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</si>
  <si>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</si>
  <si>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</si>
  <si>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</si>
  <si>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</si>
  <si>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</si>
  <si>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</si>
  <si>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</si>
  <si>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</si>
  <si>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</si>
  <si>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</si>
  <si>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</si>
  <si>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</si>
  <si>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</si>
  <si>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</si>
  <si>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</si>
  <si>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http://www.connectedaction.net/wp-content/uploads/2009/11/2009-Connected-Action-Logo.png</t>
  </si>
  <si>
    <t>http://connectedaction.net</t>
  </si>
  <si>
    <t>#NodeXL</t>
  </si>
  <si>
    <t>Top 10 Vertices, Ranked by Betweenness Centrality</t>
  </si>
  <si>
    <t>Green</t>
  </si>
  <si>
    <t>7, 125, 0</t>
  </si>
  <si>
    <t>26, 115, 0</t>
  </si>
  <si>
    <t>13, 121, 0</t>
  </si>
  <si>
    <t>72, 92, 0</t>
  </si>
  <si>
    <t>39, 108, 0</t>
  </si>
  <si>
    <t>20, 118, 0</t>
  </si>
  <si>
    <t>Red</t>
  </si>
  <si>
    <t>66, 95, 0</t>
  </si>
  <si>
    <t>G1: #waaw #antibioticresistance #keepantibioticsworking #antimicrobialresistance antibiotics #antibioticguardian health effects public one</t>
  </si>
  <si>
    <t>G2: #waaw #keepantibioticsworking #antibioticresistance #antibiotics #eaad #antibioticguardian #usaaw21 antibiotics #antimicrobialresistance antibiotic</t>
  </si>
  <si>
    <t>G3: #waaw #antibioticresistance #waaw2021 #eaad #antimicrobialresistance #antibiotics advice antibiotics eaad_eu #keepantibioticsworking</t>
  </si>
  <si>
    <t>G4: 50 #keepantibioticsworking #waaw2021 #eaad2021 #doit4das #antibioticguardian antibiotics #ams #amr best</t>
  </si>
  <si>
    <t>G5: #antibioticresistance #waaw #covid19 s antibiotic effects cdcgov use more during</t>
  </si>
  <si>
    <t>G6: #keepantibioticsworking #waaw #antibioticguardian great team mft_pharmacy elizbeech #uti way antibioticangel</t>
  </si>
  <si>
    <t>G8: uhnmcharity uhnm_nhs mc_bugsy #eaad2021 #bugsyontour #antibioticguardian</t>
  </si>
  <si>
    <t>G9: #eaad</t>
  </si>
  <si>
    <t>G12: #antimicrobialresistance #antibioticresistance</t>
  </si>
  <si>
    <t>G13: westhertsnhs #teamwestherts #antibioticguardian</t>
  </si>
  <si>
    <t>G14: haben eine</t>
  </si>
  <si>
    <t>G21: antibiotic</t>
  </si>
  <si>
    <t>G25: #antibioticresistance #waaw #usaaw21 many infections #squashsuperbugs w effective</t>
  </si>
  <si>
    <t>Edge Weight▓1▓38▓0▓True▓Green▓Red▓▓Edge Weight▓1▓12▓0▓3▓10▓False▓Edge Weight▓1▓38▓0▓32▓6▓False▓▓0▓0▓0▓True▓Black▓Black▓▓Followers▓3▓4445565▓0▓162▓1000▓False▓Followers▓3▓73796828▓0▓100▓70▓False▓▓0▓0▓0▓0▓0▓False▓▓0▓0▓0▓0▓0▓False</t>
  </si>
  <si>
    <t>Subgraph</t>
  </si>
  <si>
    <t>GraphSource░TwitterIDList▓GraphTerm░EU/UK WAAW #s 15-16:00 18 Nov 21 (just the tweets)▓ImportDescription░The graph represents a network of 276 Twitter users whose recent tweets were included in a list (EU/UK WAAW #s 15-16:00 18 Nov 21 (just the tweets)) of 363 tweet IDs,  or who were replied to or mentioned in those tweets.  363 out of 363 tweets were collected.  The network was obtained from Twitter on Monday, 06 December 2021 at 18:32 UTC.
The tweets in the network were tweeted over the 59-minute period from Thursday, 18 November 2021 at 15:00 UTC to Thursday, 18 November 2021 at 15:59 UTC.
There is an edge for each "replies-to" relationship in a tweet, an edge for each "mentions" relationship in a tweet, and a self-loop edge for each tweet that is not a "replies-to" or "mentions".▓ImportSuggestedTitle░NodeXL Twitter EU/UK WAAW #s 15-16:00 18 Nov 21 (just the tweets) Monday, 06 December 2021 at 18:30 UTC▓ImportSuggestedFileNameNoExtension░2021-12-06 18-30-46 NodeXL EU/UK WAAW #s 15-16:00 18 Nov 21 (just the tweets)▓GroupingDescription░The graph's vertices were grouped by cluster using the Clauset-Newman-Moore cluster algorithm.▓LayoutAlgorithm░The graph was laid out using the Harel-Koren Fast Multiscale layout algorithm.▓GraphDirectedness░The graph is directed.</t>
  </si>
  <si>
    <t>TwitterIDList</t>
  </si>
  <si>
    <t>EU/UK WAAW #s 15-16:00 18 Nov 21 (just the tweets)</t>
  </si>
  <si>
    <t>The graph represents a network of 276 Twitter users whose recent tweets were included in a list (EU/UK WAAW #s 15-16:00 18 Nov 21 (just the tweets)) of 363 tweet IDs,  or who were replied to or mentioned in those tweets.  363 out of 363 tweets were collected.  The network was obtained from Twitter on Monday, 06 December 2021 at 18:32 UTC.
The tweets in the network were tweeted over the 59-minute period from Thursday, 18 November 2021 at 15:00 UTC to Thursday, 18 November 2021 at 15:59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</si>
  <si>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</si>
  <si>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</si>
  <si>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https://nodexlgraphgallery.org/Pages/Graph.aspx?graphID=267768</t>
  </si>
  <si>
    <t>https://nodexlgraphgallery.org/Images/Image.ashx?graphID=267768&amp;type=f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</si>
</sst>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8">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7"/>
      <tableStyleElement type="headerRow" dxfId="436"/>
    </tableStyle>
    <tableStyle name="NodeXL Table" pivot="0" count="1">
      <tableStyleElement type="headerRow" dxfId="43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3807953"/>
        <c:axId val="12944986"/>
      </c:barChart>
      <c:catAx>
        <c:axId val="2380795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944986"/>
        <c:crosses val="autoZero"/>
        <c:auto val="1"/>
        <c:lblOffset val="100"/>
        <c:noMultiLvlLbl val="0"/>
      </c:catAx>
      <c:valAx>
        <c:axId val="129449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079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9396011"/>
        <c:axId val="41910916"/>
      </c:barChart>
      <c:catAx>
        <c:axId val="4939601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910916"/>
        <c:crosses val="autoZero"/>
        <c:auto val="1"/>
        <c:lblOffset val="100"/>
        <c:noMultiLvlLbl val="0"/>
      </c:catAx>
      <c:valAx>
        <c:axId val="419109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3960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1653925"/>
        <c:axId val="39341006"/>
      </c:barChart>
      <c:catAx>
        <c:axId val="4165392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341006"/>
        <c:crosses val="autoZero"/>
        <c:auto val="1"/>
        <c:lblOffset val="100"/>
        <c:noMultiLvlLbl val="0"/>
      </c:catAx>
      <c:valAx>
        <c:axId val="393410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539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8524735"/>
        <c:axId val="32504888"/>
      </c:barChart>
      <c:catAx>
        <c:axId val="1852473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504888"/>
        <c:crosses val="autoZero"/>
        <c:auto val="1"/>
        <c:lblOffset val="100"/>
        <c:noMultiLvlLbl val="0"/>
      </c:catAx>
      <c:valAx>
        <c:axId val="325048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5247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4108537"/>
        <c:axId val="15650242"/>
      </c:barChart>
      <c:catAx>
        <c:axId val="2410853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650242"/>
        <c:crosses val="autoZero"/>
        <c:auto val="1"/>
        <c:lblOffset val="100"/>
        <c:noMultiLvlLbl val="0"/>
      </c:catAx>
      <c:valAx>
        <c:axId val="156502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1085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634451"/>
        <c:axId val="59710060"/>
      </c:barChart>
      <c:catAx>
        <c:axId val="663445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710060"/>
        <c:crosses val="autoZero"/>
        <c:auto val="1"/>
        <c:lblOffset val="100"/>
        <c:noMultiLvlLbl val="0"/>
      </c:catAx>
      <c:valAx>
        <c:axId val="597100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44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19629"/>
        <c:axId val="4676662"/>
      </c:barChart>
      <c:catAx>
        <c:axId val="51962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76662"/>
        <c:crosses val="autoZero"/>
        <c:auto val="1"/>
        <c:lblOffset val="100"/>
        <c:noMultiLvlLbl val="0"/>
      </c:catAx>
      <c:valAx>
        <c:axId val="46766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96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2089959"/>
        <c:axId val="43265312"/>
      </c:barChart>
      <c:catAx>
        <c:axId val="4208995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265312"/>
        <c:crosses val="autoZero"/>
        <c:auto val="1"/>
        <c:lblOffset val="100"/>
        <c:noMultiLvlLbl val="0"/>
      </c:catAx>
      <c:valAx>
        <c:axId val="432653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899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3843489"/>
        <c:axId val="14829354"/>
      </c:barChart>
      <c:catAx>
        <c:axId val="53843489"/>
        <c:scaling>
          <c:orientation val="minMax"/>
        </c:scaling>
        <c:axPos val="b"/>
        <c:delete val="1"/>
        <c:majorTickMark val="out"/>
        <c:minorTickMark val="none"/>
        <c:tickLblPos val="none"/>
        <c:crossAx val="14829354"/>
        <c:crosses val="autoZero"/>
        <c:auto val="1"/>
        <c:lblOffset val="100"/>
        <c:noMultiLvlLbl val="0"/>
      </c:catAx>
      <c:valAx>
        <c:axId val="14829354"/>
        <c:scaling>
          <c:orientation val="minMax"/>
        </c:scaling>
        <c:axPos val="l"/>
        <c:delete val="1"/>
        <c:majorTickMark val="out"/>
        <c:minorTickMark val="none"/>
        <c:tickLblPos val="none"/>
        <c:crossAx val="5384348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vasiliouc"/>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pharmdeclare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twbstaffsstok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themeekfirefl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whhtpharmac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cartertreacl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westhertsnh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ukhsa_northwes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triciag6"/>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wirralcounci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tmfnetwork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warringtonccg"/>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vumc_idfellow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yorksambulanc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ukhsa_southwes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ukinatlant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umncvmresearch"/>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ukhsa_londo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utahdepofhealth"/>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ukhsa_yandh"/>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theamrdoc"/>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travel_iosi"/>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ucl_ccm"/>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vdhgov"/>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tehzeebzulfiqa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ukhsa_eastmid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vikkij89"/>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palfreymantom"/>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uhnm_trauma_pd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228uhnm"/>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mc_bugsy"/>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uhnm_nh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uhnmcharity"/>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wintercourseid"/>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tewv"/>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ukhsa_northeas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uwpharmac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ukhsa_southeas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ukhsa_westmid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zainablakhani5"/>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wchc_nh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thepfid"/>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idsainfo"/>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uos_primarycare"/>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ukhsa_eoengland"/>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stauntonuk"/>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reactgroup"/>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ecdc_eu"/>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eaad_eu"/>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redaktionmk"/>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unibonn"/>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umeauniversity"/>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karolinskainst"/>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ourhospital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cdcgov"/>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polypidlt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cdc"/>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sawansa26253866"/>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mouthy_ip"/>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1" name="Subgraph-nhs_nelccg"/>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3" name="Subgraph-nhs_tnw"/>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5" name="Subgraph-nhswirralccg"/>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7" name="Subgraph-parshalliso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9" name="Subgraph-pen_no_sillyin"/>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frodmano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33" name="Subgraph-sidpharm"/>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5" name="Subgraph-pandoraidne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7" name="Subgraph-preetyjr"/>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9" name="Subgraph-drkieranhand"/>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41" name="Subgraph-nhssoutheas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43" name="Subgraph-ukamrenvoy"/>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45" name="Subgraph-drdianeashiru"/>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47" name="Subgraph-ukhsa"/>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49" name="Subgraph-keithridge1"/>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51" name="Subgraph-syheartlandsccg"/>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53" name="Subgraph-osuvetprevme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55" name="Subgraph-nhsnottsccg"/>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57" name="Subgraph-nhs_cityhackne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59" name="Subgraph-ncscientist"/>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161" name="Subgraph-youtub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163" name="Subgraph-teamnuh"/>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165" name="Subgraph-nhsnlag"/>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167" name="Subgraph-pagemedica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169" name="Subgraph-pharmacyuhdb"/>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171" name="Subgraph-pkamranpou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173" name="Subgraph-ohiostate_id"/>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175" name="Subgraph-smelis73"/>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177" name="Subgraph-cff_gnyc"/>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179" name="Subgraph-cf_foundatio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181" name="Subgraph-nydiavelazquez"/>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183" name="Subgraph-sengillibrand"/>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185" name="Subgraph-senschum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187" name="Subgraph-t2bio"/>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189" name="Subgraph-rcsi_irl"/>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191" name="Subgraph-iscm_micro"/>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193" name="Subgraph-rcsi_research"/>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195" name="Subgraph-rcsi_micro"/>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197" name="Subgraph-ffitzp"/>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99" name="Subgraph-reddy_sugany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201" name="Subgraph-nhseastberksccg"/>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203" name="Subgraph-staffsccg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205" name="Subgraph-tanveer32915182"/>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207" name="Subgraph-nfidvaccines"/>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209" name="Subgraph-sunderlandccg"/>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211" name="Subgraph-rph_iram_malik"/>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213" name="Subgraph-phwalsal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215" name="Subgraph-sbudeptofme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217" name="Subgraph-sefh_"/>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219" name="Subgraph-seimc_"/>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221" name="Subgraph-prangob"/>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223" name="Subgraph-geiras_seimc"/>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225" name="Subgraph-proavigo"/>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227" name="Subgraph-bradspellberg"/>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229" name="Subgraph-saveantibiotics"/>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231" name="Subgraph-surreyheartlan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233" name="Subgraph-phlpublichealth"/>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235" name="Subgraph-mountsinaisc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237" name="Subgraph-rwjbhpharmac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239" name="Subgraph-nottmhospital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241" name="Subgraph-myhtams"/>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243" name="Subgraph-naveidiftikha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245" name="Subgraph-nihrspcr"/>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247" name="Subgraph-shea_epi"/>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249" name="Subgraph-mnhealth"/>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251" name="Subgraph-muzzamilrao2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253" name="Subgraph-notts_ic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255" name="Subgraph-nhsinbcwb"/>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257" name="Subgraph-nhswyrd"/>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259" name="Subgraph-nelhcp"/>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261" name="Subgraph-silvercrosshosp"/>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263" name="Subgraph-factconsultanc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265" name="Subgraph-khcqi"/>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692277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267" name="Subgraph-kdhe"/>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269" name="Subgraph-cdc_ar"/>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271" name="Subgraph-jordanchrlswrth"/>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273" name="Subgraph-mgh_as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275" name="Subgraph-larryttu05"/>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71847075"/>
          <a:ext cx="723900" cy="476250"/>
        </a:xfrm>
        <a:prstGeom prst="rect">
          <a:avLst/>
        </a:prstGeom>
        <a:ln>
          <a:noFill/>
        </a:ln>
      </xdr:spPr>
    </xdr:pic>
    <xdr:clientData/>
  </xdr:twoCellAnchor>
  <xdr:twoCellAnchor editAs="oneCell">
    <xdr:from>
      <xdr:col>1</xdr:col>
      <xdr:colOff>28575</xdr:colOff>
      <xdr:row>139</xdr:row>
      <xdr:rowOff>28575</xdr:rowOff>
    </xdr:from>
    <xdr:to>
      <xdr:col>1</xdr:col>
      <xdr:colOff>752475</xdr:colOff>
      <xdr:row>139</xdr:row>
      <xdr:rowOff>504825</xdr:rowOff>
    </xdr:to>
    <xdr:pic>
      <xdr:nvPicPr>
        <xdr:cNvPr id="277" name="Subgraph-kevincuervo_"/>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72370950"/>
          <a:ext cx="723900" cy="476250"/>
        </a:xfrm>
        <a:prstGeom prst="rect">
          <a:avLst/>
        </a:prstGeom>
        <a:ln>
          <a:noFill/>
        </a:ln>
      </xdr:spPr>
    </xdr:pic>
    <xdr:clientData/>
  </xdr:twoCellAnchor>
  <xdr:twoCellAnchor editAs="oneCell">
    <xdr:from>
      <xdr:col>1</xdr:col>
      <xdr:colOff>28575</xdr:colOff>
      <xdr:row>140</xdr:row>
      <xdr:rowOff>28575</xdr:rowOff>
    </xdr:from>
    <xdr:to>
      <xdr:col>1</xdr:col>
      <xdr:colOff>752475</xdr:colOff>
      <xdr:row>140</xdr:row>
      <xdr:rowOff>504825</xdr:rowOff>
    </xdr:to>
    <xdr:pic>
      <xdr:nvPicPr>
        <xdr:cNvPr id="279" name="Subgraph-microhuse"/>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72894825"/>
          <a:ext cx="723900" cy="476250"/>
        </a:xfrm>
        <a:prstGeom prst="rect">
          <a:avLst/>
        </a:prstGeom>
        <a:ln>
          <a:noFill/>
        </a:ln>
      </xdr:spPr>
    </xdr:pic>
    <xdr:clientData/>
  </xdr:twoCellAnchor>
  <xdr:twoCellAnchor editAs="oneCell">
    <xdr:from>
      <xdr:col>1</xdr:col>
      <xdr:colOff>28575</xdr:colOff>
      <xdr:row>141</xdr:row>
      <xdr:rowOff>28575</xdr:rowOff>
    </xdr:from>
    <xdr:to>
      <xdr:col>1</xdr:col>
      <xdr:colOff>752475</xdr:colOff>
      <xdr:row>141</xdr:row>
      <xdr:rowOff>504825</xdr:rowOff>
    </xdr:to>
    <xdr:pic>
      <xdr:nvPicPr>
        <xdr:cNvPr id="281" name="Subgraph-elfarodehuse"/>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73418700"/>
          <a:ext cx="723900" cy="476250"/>
        </a:xfrm>
        <a:prstGeom prst="rect">
          <a:avLst/>
        </a:prstGeom>
        <a:ln>
          <a:noFill/>
        </a:ln>
      </xdr:spPr>
    </xdr:pic>
    <xdr:clientData/>
  </xdr:twoCellAnchor>
  <xdr:twoCellAnchor editAs="oneCell">
    <xdr:from>
      <xdr:col>1</xdr:col>
      <xdr:colOff>28575</xdr:colOff>
      <xdr:row>142</xdr:row>
      <xdr:rowOff>28575</xdr:rowOff>
    </xdr:from>
    <xdr:to>
      <xdr:col>1</xdr:col>
      <xdr:colOff>752475</xdr:colOff>
      <xdr:row>142</xdr:row>
      <xdr:rowOff>504825</xdr:rowOff>
    </xdr:to>
    <xdr:pic>
      <xdr:nvPicPr>
        <xdr:cNvPr id="283" name="Subgraph-erojomol"/>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73942575"/>
          <a:ext cx="723900" cy="476250"/>
        </a:xfrm>
        <a:prstGeom prst="rect">
          <a:avLst/>
        </a:prstGeom>
        <a:ln>
          <a:noFill/>
        </a:ln>
      </xdr:spPr>
    </xdr:pic>
    <xdr:clientData/>
  </xdr:twoCellAnchor>
  <xdr:twoCellAnchor editAs="oneCell">
    <xdr:from>
      <xdr:col>1</xdr:col>
      <xdr:colOff>28575</xdr:colOff>
      <xdr:row>143</xdr:row>
      <xdr:rowOff>28575</xdr:rowOff>
    </xdr:from>
    <xdr:to>
      <xdr:col>1</xdr:col>
      <xdr:colOff>752475</xdr:colOff>
      <xdr:row>143</xdr:row>
      <xdr:rowOff>504825</xdr:rowOff>
    </xdr:to>
    <xdr:pic>
      <xdr:nvPicPr>
        <xdr:cNvPr id="285" name="Subgraph-leonorperianez"/>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74466450"/>
          <a:ext cx="723900" cy="476250"/>
        </a:xfrm>
        <a:prstGeom prst="rect">
          <a:avLst/>
        </a:prstGeom>
        <a:ln>
          <a:noFill/>
        </a:ln>
      </xdr:spPr>
    </xdr:pic>
    <xdr:clientData/>
  </xdr:twoCellAnchor>
  <xdr:twoCellAnchor editAs="oneCell">
    <xdr:from>
      <xdr:col>1</xdr:col>
      <xdr:colOff>28575</xdr:colOff>
      <xdr:row>144</xdr:row>
      <xdr:rowOff>28575</xdr:rowOff>
    </xdr:from>
    <xdr:to>
      <xdr:col>1</xdr:col>
      <xdr:colOff>752475</xdr:colOff>
      <xdr:row>144</xdr:row>
      <xdr:rowOff>504825</xdr:rowOff>
    </xdr:to>
    <xdr:pic>
      <xdr:nvPicPr>
        <xdr:cNvPr id="287" name="Subgraph-luisama01043544"/>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74990325"/>
          <a:ext cx="723900" cy="476250"/>
        </a:xfrm>
        <a:prstGeom prst="rect">
          <a:avLst/>
        </a:prstGeom>
        <a:ln>
          <a:noFill/>
        </a:ln>
      </xdr:spPr>
    </xdr:pic>
    <xdr:clientData/>
  </xdr:twoCellAnchor>
  <xdr:twoCellAnchor editAs="oneCell">
    <xdr:from>
      <xdr:col>1</xdr:col>
      <xdr:colOff>28575</xdr:colOff>
      <xdr:row>145</xdr:row>
      <xdr:rowOff>28575</xdr:rowOff>
    </xdr:from>
    <xdr:to>
      <xdr:col>1</xdr:col>
      <xdr:colOff>752475</xdr:colOff>
      <xdr:row>145</xdr:row>
      <xdr:rowOff>504825</xdr:rowOff>
    </xdr:to>
    <xdr:pic>
      <xdr:nvPicPr>
        <xdr:cNvPr id="289" name="Subgraph-sonespase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75514200"/>
          <a:ext cx="723900" cy="476250"/>
        </a:xfrm>
        <a:prstGeom prst="rect">
          <a:avLst/>
        </a:prstGeom>
        <a:ln>
          <a:noFill/>
        </a:ln>
      </xdr:spPr>
    </xdr:pic>
    <xdr:clientData/>
  </xdr:twoCellAnchor>
  <xdr:twoCellAnchor editAs="oneCell">
    <xdr:from>
      <xdr:col>1</xdr:col>
      <xdr:colOff>28575</xdr:colOff>
      <xdr:row>146</xdr:row>
      <xdr:rowOff>28575</xdr:rowOff>
    </xdr:from>
    <xdr:to>
      <xdr:col>1</xdr:col>
      <xdr:colOff>752475</xdr:colOff>
      <xdr:row>146</xdr:row>
      <xdr:rowOff>504825</xdr:rowOff>
    </xdr:to>
    <xdr:pic>
      <xdr:nvPicPr>
        <xdr:cNvPr id="291" name="Subgraph-linzyelto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76038075"/>
          <a:ext cx="723900" cy="476250"/>
        </a:xfrm>
        <a:prstGeom prst="rect">
          <a:avLst/>
        </a:prstGeom>
        <a:ln>
          <a:noFill/>
        </a:ln>
      </xdr:spPr>
    </xdr:pic>
    <xdr:clientData/>
  </xdr:twoCellAnchor>
  <xdr:twoCellAnchor editAs="oneCell">
    <xdr:from>
      <xdr:col>1</xdr:col>
      <xdr:colOff>28575</xdr:colOff>
      <xdr:row>147</xdr:row>
      <xdr:rowOff>28575</xdr:rowOff>
    </xdr:from>
    <xdr:to>
      <xdr:col>1</xdr:col>
      <xdr:colOff>752475</xdr:colOff>
      <xdr:row>147</xdr:row>
      <xdr:rowOff>504825</xdr:rowOff>
    </xdr:to>
    <xdr:pic>
      <xdr:nvPicPr>
        <xdr:cNvPr id="293" name="Subgraph-james_ciwf"/>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76561950"/>
          <a:ext cx="723900" cy="476250"/>
        </a:xfrm>
        <a:prstGeom prst="rect">
          <a:avLst/>
        </a:prstGeom>
        <a:ln>
          <a:noFill/>
        </a:ln>
      </xdr:spPr>
    </xdr:pic>
    <xdr:clientData/>
  </xdr:twoCellAnchor>
  <xdr:twoCellAnchor editAs="oneCell">
    <xdr:from>
      <xdr:col>1</xdr:col>
      <xdr:colOff>28575</xdr:colOff>
      <xdr:row>148</xdr:row>
      <xdr:rowOff>28575</xdr:rowOff>
    </xdr:from>
    <xdr:to>
      <xdr:col>1</xdr:col>
      <xdr:colOff>752475</xdr:colOff>
      <xdr:row>148</xdr:row>
      <xdr:rowOff>504825</xdr:rowOff>
    </xdr:to>
    <xdr:pic>
      <xdr:nvPicPr>
        <xdr:cNvPr id="295" name="Subgraph-doctorchrisvt"/>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77085825"/>
          <a:ext cx="723900" cy="476250"/>
        </a:xfrm>
        <a:prstGeom prst="rect">
          <a:avLst/>
        </a:prstGeom>
        <a:ln>
          <a:noFill/>
        </a:ln>
      </xdr:spPr>
    </xdr:pic>
    <xdr:clientData/>
  </xdr:twoCellAnchor>
  <xdr:twoCellAnchor editAs="oneCell">
    <xdr:from>
      <xdr:col>1</xdr:col>
      <xdr:colOff>28575</xdr:colOff>
      <xdr:row>149</xdr:row>
      <xdr:rowOff>28575</xdr:rowOff>
    </xdr:from>
    <xdr:to>
      <xdr:col>1</xdr:col>
      <xdr:colOff>752475</xdr:colOff>
      <xdr:row>149</xdr:row>
      <xdr:rowOff>504825</xdr:rowOff>
    </xdr:to>
    <xdr:pic>
      <xdr:nvPicPr>
        <xdr:cNvPr id="297" name="Subgraph-getread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77609700"/>
          <a:ext cx="723900" cy="476250"/>
        </a:xfrm>
        <a:prstGeom prst="rect">
          <a:avLst/>
        </a:prstGeom>
        <a:ln>
          <a:noFill/>
        </a:ln>
      </xdr:spPr>
    </xdr:pic>
    <xdr:clientData/>
  </xdr:twoCellAnchor>
  <xdr:twoCellAnchor editAs="oneCell">
    <xdr:from>
      <xdr:col>1</xdr:col>
      <xdr:colOff>28575</xdr:colOff>
      <xdr:row>150</xdr:row>
      <xdr:rowOff>28575</xdr:rowOff>
    </xdr:from>
    <xdr:to>
      <xdr:col>1</xdr:col>
      <xdr:colOff>752475</xdr:colOff>
      <xdr:row>150</xdr:row>
      <xdr:rowOff>504825</xdr:rowOff>
    </xdr:to>
    <xdr:pic>
      <xdr:nvPicPr>
        <xdr:cNvPr id="299" name="Subgraph-genmarkdx"/>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78133575"/>
          <a:ext cx="723900" cy="476250"/>
        </a:xfrm>
        <a:prstGeom prst="rect">
          <a:avLst/>
        </a:prstGeom>
        <a:ln>
          <a:noFill/>
        </a:ln>
      </xdr:spPr>
    </xdr:pic>
    <xdr:clientData/>
  </xdr:twoCellAnchor>
  <xdr:twoCellAnchor editAs="oneCell">
    <xdr:from>
      <xdr:col>1</xdr:col>
      <xdr:colOff>28575</xdr:colOff>
      <xdr:row>151</xdr:row>
      <xdr:rowOff>28575</xdr:rowOff>
    </xdr:from>
    <xdr:to>
      <xdr:col>1</xdr:col>
      <xdr:colOff>752475</xdr:colOff>
      <xdr:row>151</xdr:row>
      <xdr:rowOff>504825</xdr:rowOff>
    </xdr:to>
    <xdr:pic>
      <xdr:nvPicPr>
        <xdr:cNvPr id="301" name="Subgraph-francesgarragh1"/>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78657450"/>
          <a:ext cx="723900" cy="476250"/>
        </a:xfrm>
        <a:prstGeom prst="rect">
          <a:avLst/>
        </a:prstGeom>
        <a:ln>
          <a:noFill/>
        </a:ln>
      </xdr:spPr>
    </xdr:pic>
    <xdr:clientData/>
  </xdr:twoCellAnchor>
  <xdr:twoCellAnchor editAs="oneCell">
    <xdr:from>
      <xdr:col>1</xdr:col>
      <xdr:colOff>28575</xdr:colOff>
      <xdr:row>152</xdr:row>
      <xdr:rowOff>28575</xdr:rowOff>
    </xdr:from>
    <xdr:to>
      <xdr:col>1</xdr:col>
      <xdr:colOff>752475</xdr:colOff>
      <xdr:row>152</xdr:row>
      <xdr:rowOff>504825</xdr:rowOff>
    </xdr:to>
    <xdr:pic>
      <xdr:nvPicPr>
        <xdr:cNvPr id="303" name="Subgraph-antibioticangel"/>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79181325"/>
          <a:ext cx="723900" cy="476250"/>
        </a:xfrm>
        <a:prstGeom prst="rect">
          <a:avLst/>
        </a:prstGeom>
        <a:ln>
          <a:noFill/>
        </a:ln>
      </xdr:spPr>
    </xdr:pic>
    <xdr:clientData/>
  </xdr:twoCellAnchor>
  <xdr:twoCellAnchor editAs="oneCell">
    <xdr:from>
      <xdr:col>1</xdr:col>
      <xdr:colOff>28575</xdr:colOff>
      <xdr:row>153</xdr:row>
      <xdr:rowOff>28575</xdr:rowOff>
    </xdr:from>
    <xdr:to>
      <xdr:col>1</xdr:col>
      <xdr:colOff>752475</xdr:colOff>
      <xdr:row>153</xdr:row>
      <xdr:rowOff>504825</xdr:rowOff>
    </xdr:to>
    <xdr:pic>
      <xdr:nvPicPr>
        <xdr:cNvPr id="305" name="Subgraph-hemofelo"/>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79705200"/>
          <a:ext cx="723900" cy="476250"/>
        </a:xfrm>
        <a:prstGeom prst="rect">
          <a:avLst/>
        </a:prstGeom>
        <a:ln>
          <a:noFill/>
        </a:ln>
      </xdr:spPr>
    </xdr:pic>
    <xdr:clientData/>
  </xdr:twoCellAnchor>
  <xdr:twoCellAnchor editAs="oneCell">
    <xdr:from>
      <xdr:col>1</xdr:col>
      <xdr:colOff>28575</xdr:colOff>
      <xdr:row>154</xdr:row>
      <xdr:rowOff>28575</xdr:rowOff>
    </xdr:from>
    <xdr:to>
      <xdr:col>1</xdr:col>
      <xdr:colOff>752475</xdr:colOff>
      <xdr:row>154</xdr:row>
      <xdr:rowOff>504825</xdr:rowOff>
    </xdr:to>
    <xdr:pic>
      <xdr:nvPicPr>
        <xdr:cNvPr id="307" name="Subgraph-his_infectio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80229075"/>
          <a:ext cx="723900" cy="476250"/>
        </a:xfrm>
        <a:prstGeom prst="rect">
          <a:avLst/>
        </a:prstGeom>
        <a:ln>
          <a:noFill/>
        </a:ln>
      </xdr:spPr>
    </xdr:pic>
    <xdr:clientData/>
  </xdr:twoCellAnchor>
  <xdr:twoCellAnchor editAs="oneCell">
    <xdr:from>
      <xdr:col>1</xdr:col>
      <xdr:colOff>28575</xdr:colOff>
      <xdr:row>155</xdr:row>
      <xdr:rowOff>28575</xdr:rowOff>
    </xdr:from>
    <xdr:to>
      <xdr:col>1</xdr:col>
      <xdr:colOff>752475</xdr:colOff>
      <xdr:row>155</xdr:row>
      <xdr:rowOff>504825</xdr:rowOff>
    </xdr:to>
    <xdr:pic>
      <xdr:nvPicPr>
        <xdr:cNvPr id="309" name="Subgraph-healthierbcwb"/>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80752950"/>
          <a:ext cx="723900" cy="476250"/>
        </a:xfrm>
        <a:prstGeom prst="rect">
          <a:avLst/>
        </a:prstGeom>
        <a:ln>
          <a:noFill/>
        </a:ln>
      </xdr:spPr>
    </xdr:pic>
    <xdr:clientData/>
  </xdr:twoCellAnchor>
  <xdr:twoCellAnchor editAs="oneCell">
    <xdr:from>
      <xdr:col>1</xdr:col>
      <xdr:colOff>28575</xdr:colOff>
      <xdr:row>156</xdr:row>
      <xdr:rowOff>28575</xdr:rowOff>
    </xdr:from>
    <xdr:to>
      <xdr:col>1</xdr:col>
      <xdr:colOff>752475</xdr:colOff>
      <xdr:row>156</xdr:row>
      <xdr:rowOff>504825</xdr:rowOff>
    </xdr:to>
    <xdr:pic>
      <xdr:nvPicPr>
        <xdr:cNvPr id="311" name="Subgraph-jayp9298"/>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81276825"/>
          <a:ext cx="723900" cy="476250"/>
        </a:xfrm>
        <a:prstGeom prst="rect">
          <a:avLst/>
        </a:prstGeom>
        <a:ln>
          <a:noFill/>
        </a:ln>
      </xdr:spPr>
    </xdr:pic>
    <xdr:clientData/>
  </xdr:twoCellAnchor>
  <xdr:twoCellAnchor editAs="oneCell">
    <xdr:from>
      <xdr:col>1</xdr:col>
      <xdr:colOff>28575</xdr:colOff>
      <xdr:row>157</xdr:row>
      <xdr:rowOff>28575</xdr:rowOff>
    </xdr:from>
    <xdr:to>
      <xdr:col>1</xdr:col>
      <xdr:colOff>752475</xdr:colOff>
      <xdr:row>157</xdr:row>
      <xdr:rowOff>504825</xdr:rowOff>
    </xdr:to>
    <xdr:pic>
      <xdr:nvPicPr>
        <xdr:cNvPr id="313" name="Subgraph-istsupsa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81800700"/>
          <a:ext cx="723900" cy="476250"/>
        </a:xfrm>
        <a:prstGeom prst="rect">
          <a:avLst/>
        </a:prstGeom>
        <a:ln>
          <a:noFill/>
        </a:ln>
      </xdr:spPr>
    </xdr:pic>
    <xdr:clientData/>
  </xdr:twoCellAnchor>
  <xdr:twoCellAnchor editAs="oneCell">
    <xdr:from>
      <xdr:col>1</xdr:col>
      <xdr:colOff>28575</xdr:colOff>
      <xdr:row>158</xdr:row>
      <xdr:rowOff>28575</xdr:rowOff>
    </xdr:from>
    <xdr:to>
      <xdr:col>1</xdr:col>
      <xdr:colOff>752475</xdr:colOff>
      <xdr:row>158</xdr:row>
      <xdr:rowOff>504825</xdr:rowOff>
    </xdr:to>
    <xdr:pic>
      <xdr:nvPicPr>
        <xdr:cNvPr id="315" name="Subgraph-hsecho7"/>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82324575"/>
          <a:ext cx="723900" cy="476250"/>
        </a:xfrm>
        <a:prstGeom prst="rect">
          <a:avLst/>
        </a:prstGeom>
        <a:ln>
          <a:noFill/>
        </a:ln>
      </xdr:spPr>
    </xdr:pic>
    <xdr:clientData/>
  </xdr:twoCellAnchor>
  <xdr:twoCellAnchor editAs="oneCell">
    <xdr:from>
      <xdr:col>1</xdr:col>
      <xdr:colOff>28575</xdr:colOff>
      <xdr:row>159</xdr:row>
      <xdr:rowOff>28575</xdr:rowOff>
    </xdr:from>
    <xdr:to>
      <xdr:col>1</xdr:col>
      <xdr:colOff>752475</xdr:colOff>
      <xdr:row>159</xdr:row>
      <xdr:rowOff>504825</xdr:rowOff>
    </xdr:to>
    <xdr:pic>
      <xdr:nvPicPr>
        <xdr:cNvPr id="317" name="Subgraph-gujarattfgp"/>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82848450"/>
          <a:ext cx="723900" cy="476250"/>
        </a:xfrm>
        <a:prstGeom prst="rect">
          <a:avLst/>
        </a:prstGeom>
        <a:ln>
          <a:noFill/>
        </a:ln>
      </xdr:spPr>
    </xdr:pic>
    <xdr:clientData/>
  </xdr:twoCellAnchor>
  <xdr:twoCellAnchor editAs="oneCell">
    <xdr:from>
      <xdr:col>1</xdr:col>
      <xdr:colOff>28575</xdr:colOff>
      <xdr:row>160</xdr:row>
      <xdr:rowOff>28575</xdr:rowOff>
    </xdr:from>
    <xdr:to>
      <xdr:col>1</xdr:col>
      <xdr:colOff>752475</xdr:colOff>
      <xdr:row>160</xdr:row>
      <xdr:rowOff>504825</xdr:rowOff>
    </xdr:to>
    <xdr:pic>
      <xdr:nvPicPr>
        <xdr:cNvPr id="319" name="Subgraph-michiganhh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83372325"/>
          <a:ext cx="723900" cy="476250"/>
        </a:xfrm>
        <a:prstGeom prst="rect">
          <a:avLst/>
        </a:prstGeom>
        <a:ln>
          <a:noFill/>
        </a:ln>
      </xdr:spPr>
    </xdr:pic>
    <xdr:clientData/>
  </xdr:twoCellAnchor>
  <xdr:twoCellAnchor editAs="oneCell">
    <xdr:from>
      <xdr:col>1</xdr:col>
      <xdr:colOff>28575</xdr:colOff>
      <xdr:row>161</xdr:row>
      <xdr:rowOff>28575</xdr:rowOff>
    </xdr:from>
    <xdr:to>
      <xdr:col>1</xdr:col>
      <xdr:colOff>752475</xdr:colOff>
      <xdr:row>161</xdr:row>
      <xdr:rowOff>504825</xdr:rowOff>
    </xdr:to>
    <xdr:pic>
      <xdr:nvPicPr>
        <xdr:cNvPr id="321" name="Subgraph-liverpoolccg"/>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83896200"/>
          <a:ext cx="723900" cy="476250"/>
        </a:xfrm>
        <a:prstGeom prst="rect">
          <a:avLst/>
        </a:prstGeom>
        <a:ln>
          <a:noFill/>
        </a:ln>
      </xdr:spPr>
    </xdr:pic>
    <xdr:clientData/>
  </xdr:twoCellAnchor>
  <xdr:twoCellAnchor editAs="oneCell">
    <xdr:from>
      <xdr:col>1</xdr:col>
      <xdr:colOff>28575</xdr:colOff>
      <xdr:row>162</xdr:row>
      <xdr:rowOff>28575</xdr:rowOff>
    </xdr:from>
    <xdr:to>
      <xdr:col>1</xdr:col>
      <xdr:colOff>752475</xdr:colOff>
      <xdr:row>162</xdr:row>
      <xdr:rowOff>504825</xdr:rowOff>
    </xdr:to>
    <xdr:pic>
      <xdr:nvPicPr>
        <xdr:cNvPr id="323" name="Subgraph-iapublichealth"/>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84420075"/>
          <a:ext cx="723900" cy="476250"/>
        </a:xfrm>
        <a:prstGeom prst="rect">
          <a:avLst/>
        </a:prstGeom>
        <a:ln>
          <a:noFill/>
        </a:ln>
      </xdr:spPr>
    </xdr:pic>
    <xdr:clientData/>
  </xdr:twoCellAnchor>
  <xdr:twoCellAnchor editAs="oneCell">
    <xdr:from>
      <xdr:col>1</xdr:col>
      <xdr:colOff>28575</xdr:colOff>
      <xdr:row>163</xdr:row>
      <xdr:rowOff>28575</xdr:rowOff>
    </xdr:from>
    <xdr:to>
      <xdr:col>1</xdr:col>
      <xdr:colOff>752475</xdr:colOff>
      <xdr:row>163</xdr:row>
      <xdr:rowOff>504825</xdr:rowOff>
    </xdr:to>
    <xdr:pic>
      <xdr:nvPicPr>
        <xdr:cNvPr id="325" name="Subgraph-hpruam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84943950"/>
          <a:ext cx="723900" cy="476250"/>
        </a:xfrm>
        <a:prstGeom prst="rect">
          <a:avLst/>
        </a:prstGeom>
        <a:ln>
          <a:noFill/>
        </a:ln>
      </xdr:spPr>
    </xdr:pic>
    <xdr:clientData/>
  </xdr:twoCellAnchor>
  <xdr:twoCellAnchor editAs="oneCell">
    <xdr:from>
      <xdr:col>1</xdr:col>
      <xdr:colOff>28575</xdr:colOff>
      <xdr:row>164</xdr:row>
      <xdr:rowOff>28575</xdr:rowOff>
    </xdr:from>
    <xdr:to>
      <xdr:col>1</xdr:col>
      <xdr:colOff>752475</xdr:colOff>
      <xdr:row>164</xdr:row>
      <xdr:rowOff>504825</xdr:rowOff>
    </xdr:to>
    <xdr:pic>
      <xdr:nvPicPr>
        <xdr:cNvPr id="327" name="Subgraph-irelandsouthwi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85467825"/>
          <a:ext cx="723900" cy="476250"/>
        </a:xfrm>
        <a:prstGeom prst="rect">
          <a:avLst/>
        </a:prstGeom>
        <a:ln>
          <a:noFill/>
        </a:ln>
      </xdr:spPr>
    </xdr:pic>
    <xdr:clientData/>
  </xdr:twoCellAnchor>
  <xdr:twoCellAnchor editAs="oneCell">
    <xdr:from>
      <xdr:col>1</xdr:col>
      <xdr:colOff>28575</xdr:colOff>
      <xdr:row>165</xdr:row>
      <xdr:rowOff>28575</xdr:rowOff>
    </xdr:from>
    <xdr:to>
      <xdr:col>1</xdr:col>
      <xdr:colOff>752475</xdr:colOff>
      <xdr:row>165</xdr:row>
      <xdr:rowOff>504825</xdr:rowOff>
    </xdr:to>
    <xdr:pic>
      <xdr:nvPicPr>
        <xdr:cNvPr id="329" name="Subgraph-melintatx"/>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85991700"/>
          <a:ext cx="723900" cy="476250"/>
        </a:xfrm>
        <a:prstGeom prst="rect">
          <a:avLst/>
        </a:prstGeom>
        <a:ln>
          <a:noFill/>
        </a:ln>
      </xdr:spPr>
    </xdr:pic>
    <xdr:clientData/>
  </xdr:twoCellAnchor>
  <xdr:twoCellAnchor editAs="oneCell">
    <xdr:from>
      <xdr:col>1</xdr:col>
      <xdr:colOff>28575</xdr:colOff>
      <xdr:row>166</xdr:row>
      <xdr:rowOff>28575</xdr:rowOff>
    </xdr:from>
    <xdr:to>
      <xdr:col>1</xdr:col>
      <xdr:colOff>752475</xdr:colOff>
      <xdr:row>166</xdr:row>
      <xdr:rowOff>504825</xdr:rowOff>
    </xdr:to>
    <xdr:pic>
      <xdr:nvPicPr>
        <xdr:cNvPr id="331" name="Subgraph-kyabxawarenes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86515575"/>
          <a:ext cx="723900" cy="476250"/>
        </a:xfrm>
        <a:prstGeom prst="rect">
          <a:avLst/>
        </a:prstGeom>
        <a:ln>
          <a:noFill/>
        </a:ln>
      </xdr:spPr>
    </xdr:pic>
    <xdr:clientData/>
  </xdr:twoCellAnchor>
  <xdr:twoCellAnchor editAs="oneCell">
    <xdr:from>
      <xdr:col>1</xdr:col>
      <xdr:colOff>28575</xdr:colOff>
      <xdr:row>167</xdr:row>
      <xdr:rowOff>28575</xdr:rowOff>
    </xdr:from>
    <xdr:to>
      <xdr:col>1</xdr:col>
      <xdr:colOff>752475</xdr:colOff>
      <xdr:row>167</xdr:row>
      <xdr:rowOff>504825</xdr:rowOff>
    </xdr:to>
    <xdr:pic>
      <xdr:nvPicPr>
        <xdr:cNvPr id="333" name="Subgraph-uoflped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87039450"/>
          <a:ext cx="723900" cy="476250"/>
        </a:xfrm>
        <a:prstGeom prst="rect">
          <a:avLst/>
        </a:prstGeom>
        <a:ln>
          <a:noFill/>
        </a:ln>
      </xdr:spPr>
    </xdr:pic>
    <xdr:clientData/>
  </xdr:twoCellAnchor>
  <xdr:twoCellAnchor editAs="oneCell">
    <xdr:from>
      <xdr:col>1</xdr:col>
      <xdr:colOff>28575</xdr:colOff>
      <xdr:row>168</xdr:row>
      <xdr:rowOff>28575</xdr:rowOff>
    </xdr:from>
    <xdr:to>
      <xdr:col>1</xdr:col>
      <xdr:colOff>752475</xdr:colOff>
      <xdr:row>168</xdr:row>
      <xdr:rowOff>504825</xdr:rowOff>
    </xdr:to>
    <xdr:pic>
      <xdr:nvPicPr>
        <xdr:cNvPr id="335" name="Subgraph-haltonccg"/>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87563325"/>
          <a:ext cx="723900" cy="476250"/>
        </a:xfrm>
        <a:prstGeom prst="rect">
          <a:avLst/>
        </a:prstGeom>
        <a:ln>
          <a:noFill/>
        </a:ln>
      </xdr:spPr>
    </xdr:pic>
    <xdr:clientData/>
  </xdr:twoCellAnchor>
  <xdr:twoCellAnchor editAs="oneCell">
    <xdr:from>
      <xdr:col>1</xdr:col>
      <xdr:colOff>28575</xdr:colOff>
      <xdr:row>169</xdr:row>
      <xdr:rowOff>28575</xdr:rowOff>
    </xdr:from>
    <xdr:to>
      <xdr:col>1</xdr:col>
      <xdr:colOff>752475</xdr:colOff>
      <xdr:row>169</xdr:row>
      <xdr:rowOff>504825</xdr:rowOff>
    </xdr:to>
    <xdr:pic>
      <xdr:nvPicPr>
        <xdr:cNvPr id="337" name="Subgraph-i_alfu"/>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88087200"/>
          <a:ext cx="723900" cy="476250"/>
        </a:xfrm>
        <a:prstGeom prst="rect">
          <a:avLst/>
        </a:prstGeom>
        <a:ln>
          <a:noFill/>
        </a:ln>
      </xdr:spPr>
    </xdr:pic>
    <xdr:clientData/>
  </xdr:twoCellAnchor>
  <xdr:twoCellAnchor editAs="oneCell">
    <xdr:from>
      <xdr:col>1</xdr:col>
      <xdr:colOff>28575</xdr:colOff>
      <xdr:row>170</xdr:row>
      <xdr:rowOff>28575</xdr:rowOff>
    </xdr:from>
    <xdr:to>
      <xdr:col>1</xdr:col>
      <xdr:colOff>752475</xdr:colOff>
      <xdr:row>170</xdr:row>
      <xdr:rowOff>504825</xdr:rowOff>
    </xdr:to>
    <xdr:pic>
      <xdr:nvPicPr>
        <xdr:cNvPr id="339" name="Subgraph-farmacia_lapaz"/>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88611075"/>
          <a:ext cx="723900" cy="476250"/>
        </a:xfrm>
        <a:prstGeom prst="rect">
          <a:avLst/>
        </a:prstGeom>
        <a:ln>
          <a:noFill/>
        </a:ln>
      </xdr:spPr>
    </xdr:pic>
    <xdr:clientData/>
  </xdr:twoCellAnchor>
  <xdr:twoCellAnchor editAs="oneCell">
    <xdr:from>
      <xdr:col>1</xdr:col>
      <xdr:colOff>28575</xdr:colOff>
      <xdr:row>171</xdr:row>
      <xdr:rowOff>28575</xdr:rowOff>
    </xdr:from>
    <xdr:to>
      <xdr:col>1</xdr:col>
      <xdr:colOff>752475</xdr:colOff>
      <xdr:row>171</xdr:row>
      <xdr:rowOff>504825</xdr:rowOff>
    </xdr:to>
    <xdr:pic>
      <xdr:nvPicPr>
        <xdr:cNvPr id="341" name="Subgraph-proa_hulp"/>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89134950"/>
          <a:ext cx="723900" cy="476250"/>
        </a:xfrm>
        <a:prstGeom prst="rect">
          <a:avLst/>
        </a:prstGeom>
        <a:ln>
          <a:noFill/>
        </a:ln>
      </xdr:spPr>
    </xdr:pic>
    <xdr:clientData/>
  </xdr:twoCellAnchor>
  <xdr:twoCellAnchor editAs="oneCell">
    <xdr:from>
      <xdr:col>1</xdr:col>
      <xdr:colOff>28575</xdr:colOff>
      <xdr:row>172</xdr:row>
      <xdr:rowOff>28575</xdr:rowOff>
    </xdr:from>
    <xdr:to>
      <xdr:col>1</xdr:col>
      <xdr:colOff>752475</xdr:colOff>
      <xdr:row>172</xdr:row>
      <xdr:rowOff>504825</xdr:rowOff>
    </xdr:to>
    <xdr:pic>
      <xdr:nvPicPr>
        <xdr:cNvPr id="343" name="Subgraph-eu_health"/>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89658825"/>
          <a:ext cx="723900" cy="476250"/>
        </a:xfrm>
        <a:prstGeom prst="rect">
          <a:avLst/>
        </a:prstGeom>
        <a:ln>
          <a:noFill/>
        </a:ln>
      </xdr:spPr>
    </xdr:pic>
    <xdr:clientData/>
  </xdr:twoCellAnchor>
  <xdr:twoCellAnchor editAs="oneCell">
    <xdr:from>
      <xdr:col>1</xdr:col>
      <xdr:colOff>28575</xdr:colOff>
      <xdr:row>173</xdr:row>
      <xdr:rowOff>28575</xdr:rowOff>
    </xdr:from>
    <xdr:to>
      <xdr:col>1</xdr:col>
      <xdr:colOff>752475</xdr:colOff>
      <xdr:row>173</xdr:row>
      <xdr:rowOff>504825</xdr:rowOff>
    </xdr:to>
    <xdr:pic>
      <xdr:nvPicPr>
        <xdr:cNvPr id="345" name="Subgraph-lydiapalumbo_"/>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90182700"/>
          <a:ext cx="723900" cy="476250"/>
        </a:xfrm>
        <a:prstGeom prst="rect">
          <a:avLst/>
        </a:prstGeom>
        <a:ln>
          <a:noFill/>
        </a:ln>
      </xdr:spPr>
    </xdr:pic>
    <xdr:clientData/>
  </xdr:twoCellAnchor>
  <xdr:twoCellAnchor editAs="oneCell">
    <xdr:from>
      <xdr:col>1</xdr:col>
      <xdr:colOff>28575</xdr:colOff>
      <xdr:row>174</xdr:row>
      <xdr:rowOff>28575</xdr:rowOff>
    </xdr:from>
    <xdr:to>
      <xdr:col>1</xdr:col>
      <xdr:colOff>752475</xdr:colOff>
      <xdr:row>174</xdr:row>
      <xdr:rowOff>504825</xdr:rowOff>
    </xdr:to>
    <xdr:pic>
      <xdr:nvPicPr>
        <xdr:cNvPr id="347" name="Subgraph-mcdonald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0706575"/>
          <a:ext cx="723900" cy="476250"/>
        </a:xfrm>
        <a:prstGeom prst="rect">
          <a:avLst/>
        </a:prstGeom>
        <a:ln>
          <a:noFill/>
        </a:ln>
      </xdr:spPr>
    </xdr:pic>
    <xdr:clientData/>
  </xdr:twoCellAnchor>
  <xdr:twoCellAnchor editAs="oneCell">
    <xdr:from>
      <xdr:col>1</xdr:col>
      <xdr:colOff>28575</xdr:colOff>
      <xdr:row>175</xdr:row>
      <xdr:rowOff>28575</xdr:rowOff>
    </xdr:from>
    <xdr:to>
      <xdr:col>1</xdr:col>
      <xdr:colOff>752475</xdr:colOff>
      <xdr:row>175</xdr:row>
      <xdr:rowOff>504825</xdr:rowOff>
    </xdr:to>
    <xdr:pic>
      <xdr:nvPicPr>
        <xdr:cNvPr id="349" name="Subgraph-med_shadow"/>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91230450"/>
          <a:ext cx="723900" cy="476250"/>
        </a:xfrm>
        <a:prstGeom prst="rect">
          <a:avLst/>
        </a:prstGeom>
        <a:ln>
          <a:noFill/>
        </a:ln>
      </xdr:spPr>
    </xdr:pic>
    <xdr:clientData/>
  </xdr:twoCellAnchor>
  <xdr:twoCellAnchor editAs="oneCell">
    <xdr:from>
      <xdr:col>1</xdr:col>
      <xdr:colOff>28575</xdr:colOff>
      <xdr:row>176</xdr:row>
      <xdr:rowOff>28575</xdr:rowOff>
    </xdr:from>
    <xdr:to>
      <xdr:col>1</xdr:col>
      <xdr:colOff>752475</xdr:colOff>
      <xdr:row>176</xdr:row>
      <xdr:rowOff>504825</xdr:rowOff>
    </xdr:to>
    <xdr:pic>
      <xdr:nvPicPr>
        <xdr:cNvPr id="351" name="Subgraph-h3a1e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91754325"/>
          <a:ext cx="723900" cy="476250"/>
        </a:xfrm>
        <a:prstGeom prst="rect">
          <a:avLst/>
        </a:prstGeom>
        <a:ln>
          <a:noFill/>
        </a:ln>
      </xdr:spPr>
    </xdr:pic>
    <xdr:clientData/>
  </xdr:twoCellAnchor>
  <xdr:twoCellAnchor editAs="oneCell">
    <xdr:from>
      <xdr:col>1</xdr:col>
      <xdr:colOff>28575</xdr:colOff>
      <xdr:row>177</xdr:row>
      <xdr:rowOff>28575</xdr:rowOff>
    </xdr:from>
    <xdr:to>
      <xdr:col>1</xdr:col>
      <xdr:colOff>752475</xdr:colOff>
      <xdr:row>177</xdr:row>
      <xdr:rowOff>504825</xdr:rowOff>
    </xdr:to>
    <xdr:pic>
      <xdr:nvPicPr>
        <xdr:cNvPr id="353" name="Subgraph-lthtantibiotic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92278200"/>
          <a:ext cx="723900" cy="476250"/>
        </a:xfrm>
        <a:prstGeom prst="rect">
          <a:avLst/>
        </a:prstGeom>
        <a:ln>
          <a:noFill/>
        </a:ln>
      </xdr:spPr>
    </xdr:pic>
    <xdr:clientData/>
  </xdr:twoCellAnchor>
  <xdr:twoCellAnchor editAs="oneCell">
    <xdr:from>
      <xdr:col>1</xdr:col>
      <xdr:colOff>28575</xdr:colOff>
      <xdr:row>178</xdr:row>
      <xdr:rowOff>28575</xdr:rowOff>
    </xdr:from>
    <xdr:to>
      <xdr:col>1</xdr:col>
      <xdr:colOff>752475</xdr:colOff>
      <xdr:row>178</xdr:row>
      <xdr:rowOff>504825</xdr:rowOff>
    </xdr:to>
    <xdr:pic>
      <xdr:nvPicPr>
        <xdr:cNvPr id="355" name="Subgraph-imtiaza66426320"/>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92802075"/>
          <a:ext cx="723900" cy="476250"/>
        </a:xfrm>
        <a:prstGeom prst="rect">
          <a:avLst/>
        </a:prstGeom>
        <a:ln>
          <a:noFill/>
        </a:ln>
      </xdr:spPr>
    </xdr:pic>
    <xdr:clientData/>
  </xdr:twoCellAnchor>
  <xdr:twoCellAnchor editAs="oneCell">
    <xdr:from>
      <xdr:col>1</xdr:col>
      <xdr:colOff>28575</xdr:colOff>
      <xdr:row>179</xdr:row>
      <xdr:rowOff>28575</xdr:rowOff>
    </xdr:from>
    <xdr:to>
      <xdr:col>1</xdr:col>
      <xdr:colOff>752475</xdr:colOff>
      <xdr:row>179</xdr:row>
      <xdr:rowOff>504825</xdr:rowOff>
    </xdr:to>
    <xdr:pic>
      <xdr:nvPicPr>
        <xdr:cNvPr id="357" name="Subgraph-ltepo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93325950"/>
          <a:ext cx="723900" cy="476250"/>
        </a:xfrm>
        <a:prstGeom prst="rect">
          <a:avLst/>
        </a:prstGeom>
        <a:ln>
          <a:noFill/>
        </a:ln>
      </xdr:spPr>
    </xdr:pic>
    <xdr:clientData/>
  </xdr:twoCellAnchor>
  <xdr:twoCellAnchor editAs="oneCell">
    <xdr:from>
      <xdr:col>1</xdr:col>
      <xdr:colOff>28575</xdr:colOff>
      <xdr:row>180</xdr:row>
      <xdr:rowOff>28575</xdr:rowOff>
    </xdr:from>
    <xdr:to>
      <xdr:col>1</xdr:col>
      <xdr:colOff>752475</xdr:colOff>
      <xdr:row>180</xdr:row>
      <xdr:rowOff>504825</xdr:rowOff>
    </xdr:to>
    <xdr:pic>
      <xdr:nvPicPr>
        <xdr:cNvPr id="359" name="Subgraph-healthsacadem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93849825"/>
          <a:ext cx="723900" cy="476250"/>
        </a:xfrm>
        <a:prstGeom prst="rect">
          <a:avLst/>
        </a:prstGeom>
        <a:ln>
          <a:noFill/>
        </a:ln>
      </xdr:spPr>
    </xdr:pic>
    <xdr:clientData/>
  </xdr:twoCellAnchor>
  <xdr:twoCellAnchor editAs="oneCell">
    <xdr:from>
      <xdr:col>1</xdr:col>
      <xdr:colOff>28575</xdr:colOff>
      <xdr:row>181</xdr:row>
      <xdr:rowOff>28575</xdr:rowOff>
    </xdr:from>
    <xdr:to>
      <xdr:col>1</xdr:col>
      <xdr:colOff>752475</xdr:colOff>
      <xdr:row>181</xdr:row>
      <xdr:rowOff>504825</xdr:rowOff>
    </xdr:to>
    <xdr:pic>
      <xdr:nvPicPr>
        <xdr:cNvPr id="361" name="Subgraph-marrcoalition"/>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94373700"/>
          <a:ext cx="723900" cy="476250"/>
        </a:xfrm>
        <a:prstGeom prst="rect">
          <a:avLst/>
        </a:prstGeom>
        <a:ln>
          <a:noFill/>
        </a:ln>
      </xdr:spPr>
    </xdr:pic>
    <xdr:clientData/>
  </xdr:twoCellAnchor>
  <xdr:twoCellAnchor editAs="oneCell">
    <xdr:from>
      <xdr:col>1</xdr:col>
      <xdr:colOff>28575</xdr:colOff>
      <xdr:row>182</xdr:row>
      <xdr:rowOff>28575</xdr:rowOff>
    </xdr:from>
    <xdr:to>
      <xdr:col>1</xdr:col>
      <xdr:colOff>752475</xdr:colOff>
      <xdr:row>182</xdr:row>
      <xdr:rowOff>504825</xdr:rowOff>
    </xdr:to>
    <xdr:pic>
      <xdr:nvPicPr>
        <xdr:cNvPr id="363" name="Subgraph-evbuomwanefe"/>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94897575"/>
          <a:ext cx="723900" cy="476250"/>
        </a:xfrm>
        <a:prstGeom prst="rect">
          <a:avLst/>
        </a:prstGeom>
        <a:ln>
          <a:noFill/>
        </a:ln>
      </xdr:spPr>
    </xdr:pic>
    <xdr:clientData/>
  </xdr:twoCellAnchor>
  <xdr:twoCellAnchor editAs="oneCell">
    <xdr:from>
      <xdr:col>1</xdr:col>
      <xdr:colOff>28575</xdr:colOff>
      <xdr:row>183</xdr:row>
      <xdr:rowOff>28575</xdr:rowOff>
    </xdr:from>
    <xdr:to>
      <xdr:col>1</xdr:col>
      <xdr:colOff>752475</xdr:colOff>
      <xdr:row>183</xdr:row>
      <xdr:rowOff>504825</xdr:rowOff>
    </xdr:to>
    <xdr:pic>
      <xdr:nvPicPr>
        <xdr:cNvPr id="365" name="Subgraph-hiow_ics"/>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95421450"/>
          <a:ext cx="723900" cy="476250"/>
        </a:xfrm>
        <a:prstGeom prst="rect">
          <a:avLst/>
        </a:prstGeom>
        <a:ln>
          <a:noFill/>
        </a:ln>
      </xdr:spPr>
    </xdr:pic>
    <xdr:clientData/>
  </xdr:twoCellAnchor>
  <xdr:twoCellAnchor editAs="oneCell">
    <xdr:from>
      <xdr:col>1</xdr:col>
      <xdr:colOff>28575</xdr:colOff>
      <xdr:row>184</xdr:row>
      <xdr:rowOff>28575</xdr:rowOff>
    </xdr:from>
    <xdr:to>
      <xdr:col>1</xdr:col>
      <xdr:colOff>752475</xdr:colOff>
      <xdr:row>184</xdr:row>
      <xdr:rowOff>504825</xdr:rowOff>
    </xdr:to>
    <xdr:pic>
      <xdr:nvPicPr>
        <xdr:cNvPr id="367" name="Subgraph-lizcorteville"/>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95945325"/>
          <a:ext cx="723900" cy="476250"/>
        </a:xfrm>
        <a:prstGeom prst="rect">
          <a:avLst/>
        </a:prstGeom>
        <a:ln>
          <a:noFill/>
        </a:ln>
      </xdr:spPr>
    </xdr:pic>
    <xdr:clientData/>
  </xdr:twoCellAnchor>
  <xdr:twoCellAnchor editAs="oneCell">
    <xdr:from>
      <xdr:col>1</xdr:col>
      <xdr:colOff>28575</xdr:colOff>
      <xdr:row>185</xdr:row>
      <xdr:rowOff>28575</xdr:rowOff>
    </xdr:from>
    <xdr:to>
      <xdr:col>1</xdr:col>
      <xdr:colOff>752475</xdr:colOff>
      <xdr:row>185</xdr:row>
      <xdr:rowOff>504825</xdr:rowOff>
    </xdr:to>
    <xdr:pic>
      <xdr:nvPicPr>
        <xdr:cNvPr id="369" name="Subgraph-battlesuperbugs"/>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96469200"/>
          <a:ext cx="723900" cy="476250"/>
        </a:xfrm>
        <a:prstGeom prst="rect">
          <a:avLst/>
        </a:prstGeom>
        <a:ln>
          <a:noFill/>
        </a:ln>
      </xdr:spPr>
    </xdr:pic>
    <xdr:clientData/>
  </xdr:twoCellAnchor>
  <xdr:twoCellAnchor editAs="oneCell">
    <xdr:from>
      <xdr:col>1</xdr:col>
      <xdr:colOff>28575</xdr:colOff>
      <xdr:row>186</xdr:row>
      <xdr:rowOff>28575</xdr:rowOff>
    </xdr:from>
    <xdr:to>
      <xdr:col>1</xdr:col>
      <xdr:colOff>752475</xdr:colOff>
      <xdr:row>186</xdr:row>
      <xdr:rowOff>504825</xdr:rowOff>
    </xdr:to>
    <xdr:pic>
      <xdr:nvPicPr>
        <xdr:cNvPr id="371" name="Subgraph-epinirelan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96993075"/>
          <a:ext cx="723900" cy="476250"/>
        </a:xfrm>
        <a:prstGeom prst="rect">
          <a:avLst/>
        </a:prstGeom>
        <a:ln>
          <a:noFill/>
        </a:ln>
      </xdr:spPr>
    </xdr:pic>
    <xdr:clientData/>
  </xdr:twoCellAnchor>
  <xdr:twoCellAnchor editAs="oneCell">
    <xdr:from>
      <xdr:col>1</xdr:col>
      <xdr:colOff>28575</xdr:colOff>
      <xdr:row>187</xdr:row>
      <xdr:rowOff>28575</xdr:rowOff>
    </xdr:from>
    <xdr:to>
      <xdr:col>1</xdr:col>
      <xdr:colOff>752475</xdr:colOff>
      <xdr:row>187</xdr:row>
      <xdr:rowOff>504825</xdr:rowOff>
    </xdr:to>
    <xdr:pic>
      <xdr:nvPicPr>
        <xdr:cNvPr id="373" name="Subgraph-iamaflatoon"/>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97516950"/>
          <a:ext cx="723900" cy="476250"/>
        </a:xfrm>
        <a:prstGeom prst="rect">
          <a:avLst/>
        </a:prstGeom>
        <a:ln>
          <a:noFill/>
        </a:ln>
      </xdr:spPr>
    </xdr:pic>
    <xdr:clientData/>
  </xdr:twoCellAnchor>
  <xdr:twoCellAnchor editAs="oneCell">
    <xdr:from>
      <xdr:col>1</xdr:col>
      <xdr:colOff>28575</xdr:colOff>
      <xdr:row>188</xdr:row>
      <xdr:rowOff>28575</xdr:rowOff>
    </xdr:from>
    <xdr:to>
      <xdr:col>1</xdr:col>
      <xdr:colOff>752475</xdr:colOff>
      <xdr:row>188</xdr:row>
      <xdr:rowOff>504825</xdr:rowOff>
    </xdr:to>
    <xdr:pic>
      <xdr:nvPicPr>
        <xdr:cNvPr id="375" name="Subgraph-fda_drug_inf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98040825"/>
          <a:ext cx="723900" cy="476250"/>
        </a:xfrm>
        <a:prstGeom prst="rect">
          <a:avLst/>
        </a:prstGeom>
        <a:ln>
          <a:noFill/>
        </a:ln>
      </xdr:spPr>
    </xdr:pic>
    <xdr:clientData/>
  </xdr:twoCellAnchor>
  <xdr:twoCellAnchor editAs="oneCell">
    <xdr:from>
      <xdr:col>1</xdr:col>
      <xdr:colOff>28575</xdr:colOff>
      <xdr:row>189</xdr:row>
      <xdr:rowOff>28575</xdr:rowOff>
    </xdr:from>
    <xdr:to>
      <xdr:col>1</xdr:col>
      <xdr:colOff>752475</xdr:colOff>
      <xdr:row>189</xdr:row>
      <xdr:rowOff>504825</xdr:rowOff>
    </xdr:to>
    <xdr:pic>
      <xdr:nvPicPr>
        <xdr:cNvPr id="377" name="Subgraph-microblog_me_uk"/>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98564700"/>
          <a:ext cx="723900" cy="476250"/>
        </a:xfrm>
        <a:prstGeom prst="rect">
          <a:avLst/>
        </a:prstGeom>
        <a:ln>
          <a:noFill/>
        </a:ln>
      </xdr:spPr>
    </xdr:pic>
    <xdr:clientData/>
  </xdr:twoCellAnchor>
  <xdr:twoCellAnchor editAs="oneCell">
    <xdr:from>
      <xdr:col>1</xdr:col>
      <xdr:colOff>28575</xdr:colOff>
      <xdr:row>190</xdr:row>
      <xdr:rowOff>28575</xdr:rowOff>
    </xdr:from>
    <xdr:to>
      <xdr:col>1</xdr:col>
      <xdr:colOff>752475</xdr:colOff>
      <xdr:row>190</xdr:row>
      <xdr:rowOff>504825</xdr:rowOff>
    </xdr:to>
    <xdr:pic>
      <xdr:nvPicPr>
        <xdr:cNvPr id="379" name="Subgraph-jac_amr"/>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99088575"/>
          <a:ext cx="723900" cy="476250"/>
        </a:xfrm>
        <a:prstGeom prst="rect">
          <a:avLst/>
        </a:prstGeom>
        <a:ln>
          <a:noFill/>
        </a:ln>
      </xdr:spPr>
    </xdr:pic>
    <xdr:clientData/>
  </xdr:twoCellAnchor>
  <xdr:twoCellAnchor editAs="oneCell">
    <xdr:from>
      <xdr:col>1</xdr:col>
      <xdr:colOff>28575</xdr:colOff>
      <xdr:row>191</xdr:row>
      <xdr:rowOff>28575</xdr:rowOff>
    </xdr:from>
    <xdr:to>
      <xdr:col>1</xdr:col>
      <xdr:colOff>752475</xdr:colOff>
      <xdr:row>191</xdr:row>
      <xdr:rowOff>504825</xdr:rowOff>
    </xdr:to>
    <xdr:pic>
      <xdr:nvPicPr>
        <xdr:cNvPr id="381" name="Subgraph-antonia_sagona"/>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99612450"/>
          <a:ext cx="723900" cy="476250"/>
        </a:xfrm>
        <a:prstGeom prst="rect">
          <a:avLst/>
        </a:prstGeom>
        <a:ln>
          <a:noFill/>
        </a:ln>
      </xdr:spPr>
    </xdr:pic>
    <xdr:clientData/>
  </xdr:twoCellAnchor>
  <xdr:twoCellAnchor editAs="oneCell">
    <xdr:from>
      <xdr:col>1</xdr:col>
      <xdr:colOff>28575</xdr:colOff>
      <xdr:row>192</xdr:row>
      <xdr:rowOff>28575</xdr:rowOff>
    </xdr:from>
    <xdr:to>
      <xdr:col>1</xdr:col>
      <xdr:colOff>752475</xdr:colOff>
      <xdr:row>192</xdr:row>
      <xdr:rowOff>504825</xdr:rowOff>
    </xdr:to>
    <xdr:pic>
      <xdr:nvPicPr>
        <xdr:cNvPr id="383" name="Subgraph-biomerieux"/>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100136325"/>
          <a:ext cx="723900" cy="476250"/>
        </a:xfrm>
        <a:prstGeom prst="rect">
          <a:avLst/>
        </a:prstGeom>
        <a:ln>
          <a:noFill/>
        </a:ln>
      </xdr:spPr>
    </xdr:pic>
    <xdr:clientData/>
  </xdr:twoCellAnchor>
  <xdr:twoCellAnchor editAs="oneCell">
    <xdr:from>
      <xdr:col>1</xdr:col>
      <xdr:colOff>28575</xdr:colOff>
      <xdr:row>193</xdr:row>
      <xdr:rowOff>28575</xdr:rowOff>
    </xdr:from>
    <xdr:to>
      <xdr:col>1</xdr:col>
      <xdr:colOff>752475</xdr:colOff>
      <xdr:row>193</xdr:row>
      <xdr:rowOff>504825</xdr:rowOff>
    </xdr:to>
    <xdr:pic>
      <xdr:nvPicPr>
        <xdr:cNvPr id="385" name="Subgraph-jamiesonce"/>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100660200"/>
          <a:ext cx="723900" cy="476250"/>
        </a:xfrm>
        <a:prstGeom prst="rect">
          <a:avLst/>
        </a:prstGeom>
        <a:ln>
          <a:noFill/>
        </a:ln>
      </xdr:spPr>
    </xdr:pic>
    <xdr:clientData/>
  </xdr:twoCellAnchor>
  <xdr:twoCellAnchor editAs="oneCell">
    <xdr:from>
      <xdr:col>1</xdr:col>
      <xdr:colOff>28575</xdr:colOff>
      <xdr:row>194</xdr:row>
      <xdr:rowOff>28575</xdr:rowOff>
    </xdr:from>
    <xdr:to>
      <xdr:col>1</xdr:col>
      <xdr:colOff>752475</xdr:colOff>
      <xdr:row>194</xdr:row>
      <xdr:rowOff>504825</xdr:rowOff>
    </xdr:to>
    <xdr:pic>
      <xdr:nvPicPr>
        <xdr:cNvPr id="387" name="Subgraph-rakhi2382"/>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101184075"/>
          <a:ext cx="723900" cy="476250"/>
        </a:xfrm>
        <a:prstGeom prst="rect">
          <a:avLst/>
        </a:prstGeom>
        <a:ln>
          <a:noFill/>
        </a:ln>
      </xdr:spPr>
    </xdr:pic>
    <xdr:clientData/>
  </xdr:twoCellAnchor>
  <xdr:twoCellAnchor editAs="oneCell">
    <xdr:from>
      <xdr:col>1</xdr:col>
      <xdr:colOff>28575</xdr:colOff>
      <xdr:row>195</xdr:row>
      <xdr:rowOff>28575</xdr:rowOff>
    </xdr:from>
    <xdr:to>
      <xdr:col>1</xdr:col>
      <xdr:colOff>752475</xdr:colOff>
      <xdr:row>195</xdr:row>
      <xdr:rowOff>504825</xdr:rowOff>
    </xdr:to>
    <xdr:pic>
      <xdr:nvPicPr>
        <xdr:cNvPr id="389" name="Subgraph-nhsbsolccg"/>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101707950"/>
          <a:ext cx="723900" cy="476250"/>
        </a:xfrm>
        <a:prstGeom prst="rect">
          <a:avLst/>
        </a:prstGeom>
        <a:ln>
          <a:noFill/>
        </a:ln>
      </xdr:spPr>
    </xdr:pic>
    <xdr:clientData/>
  </xdr:twoCellAnchor>
  <xdr:twoCellAnchor editAs="oneCell">
    <xdr:from>
      <xdr:col>1</xdr:col>
      <xdr:colOff>28575</xdr:colOff>
      <xdr:row>196</xdr:row>
      <xdr:rowOff>28575</xdr:rowOff>
    </xdr:from>
    <xdr:to>
      <xdr:col>1</xdr:col>
      <xdr:colOff>752475</xdr:colOff>
      <xdr:row>196</xdr:row>
      <xdr:rowOff>504825</xdr:rowOff>
    </xdr:to>
    <xdr:pic>
      <xdr:nvPicPr>
        <xdr:cNvPr id="391" name="Subgraph-smhopkins"/>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102231825"/>
          <a:ext cx="723900" cy="476250"/>
        </a:xfrm>
        <a:prstGeom prst="rect">
          <a:avLst/>
        </a:prstGeom>
        <a:ln>
          <a:noFill/>
        </a:ln>
      </xdr:spPr>
    </xdr:pic>
    <xdr:clientData/>
  </xdr:twoCellAnchor>
  <xdr:twoCellAnchor editAs="oneCell">
    <xdr:from>
      <xdr:col>1</xdr:col>
      <xdr:colOff>28575</xdr:colOff>
      <xdr:row>197</xdr:row>
      <xdr:rowOff>28575</xdr:rowOff>
    </xdr:from>
    <xdr:to>
      <xdr:col>1</xdr:col>
      <xdr:colOff>752475</xdr:colOff>
      <xdr:row>197</xdr:row>
      <xdr:rowOff>504825</xdr:rowOff>
    </xdr:to>
    <xdr:pic>
      <xdr:nvPicPr>
        <xdr:cNvPr id="393" name="Subgraph-absteward"/>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102755700"/>
          <a:ext cx="723900" cy="476250"/>
        </a:xfrm>
        <a:prstGeom prst="rect">
          <a:avLst/>
        </a:prstGeom>
        <a:ln>
          <a:noFill/>
        </a:ln>
      </xdr:spPr>
    </xdr:pic>
    <xdr:clientData/>
  </xdr:twoCellAnchor>
  <xdr:twoCellAnchor editAs="oneCell">
    <xdr:from>
      <xdr:col>1</xdr:col>
      <xdr:colOff>28575</xdr:colOff>
      <xdr:row>198</xdr:row>
      <xdr:rowOff>28575</xdr:rowOff>
    </xdr:from>
    <xdr:to>
      <xdr:col>1</xdr:col>
      <xdr:colOff>752475</xdr:colOff>
      <xdr:row>198</xdr:row>
      <xdr:rowOff>504825</xdr:rowOff>
    </xdr:to>
    <xdr:pic>
      <xdr:nvPicPr>
        <xdr:cNvPr id="395" name="Subgraph-safetysamfoster"/>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103279575"/>
          <a:ext cx="723900" cy="476250"/>
        </a:xfrm>
        <a:prstGeom prst="rect">
          <a:avLst/>
        </a:prstGeom>
        <a:ln>
          <a:noFill/>
        </a:ln>
      </xdr:spPr>
    </xdr:pic>
    <xdr:clientData/>
  </xdr:twoCellAnchor>
  <xdr:twoCellAnchor editAs="oneCell">
    <xdr:from>
      <xdr:col>1</xdr:col>
      <xdr:colOff>28575</xdr:colOff>
      <xdr:row>199</xdr:row>
      <xdr:rowOff>28575</xdr:rowOff>
    </xdr:from>
    <xdr:to>
      <xdr:col>1</xdr:col>
      <xdr:colOff>752475</xdr:colOff>
      <xdr:row>199</xdr:row>
      <xdr:rowOff>504825</xdr:rowOff>
    </xdr:to>
    <xdr:pic>
      <xdr:nvPicPr>
        <xdr:cNvPr id="397" name="Subgraph-sanfordguide"/>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103803450"/>
          <a:ext cx="723900" cy="476250"/>
        </a:xfrm>
        <a:prstGeom prst="rect">
          <a:avLst/>
        </a:prstGeom>
        <a:ln>
          <a:noFill/>
        </a:ln>
      </xdr:spPr>
    </xdr:pic>
    <xdr:clientData/>
  </xdr:twoCellAnchor>
  <xdr:twoCellAnchor editAs="oneCell">
    <xdr:from>
      <xdr:col>1</xdr:col>
      <xdr:colOff>28575</xdr:colOff>
      <xdr:row>200</xdr:row>
      <xdr:rowOff>28575</xdr:rowOff>
    </xdr:from>
    <xdr:to>
      <xdr:col>1</xdr:col>
      <xdr:colOff>752475</xdr:colOff>
      <xdr:row>200</xdr:row>
      <xdr:rowOff>504825</xdr:rowOff>
    </xdr:to>
    <xdr:pic>
      <xdr:nvPicPr>
        <xdr:cNvPr id="399" name="Subgraph-jabicjenkins"/>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104327325"/>
          <a:ext cx="723900" cy="476250"/>
        </a:xfrm>
        <a:prstGeom prst="rect">
          <a:avLst/>
        </a:prstGeom>
        <a:ln>
          <a:noFill/>
        </a:ln>
      </xdr:spPr>
    </xdr:pic>
    <xdr:clientData/>
  </xdr:twoCellAnchor>
  <xdr:twoCellAnchor editAs="oneCell">
    <xdr:from>
      <xdr:col>1</xdr:col>
      <xdr:colOff>28575</xdr:colOff>
      <xdr:row>201</xdr:row>
      <xdr:rowOff>28575</xdr:rowOff>
    </xdr:from>
    <xdr:to>
      <xdr:col>1</xdr:col>
      <xdr:colOff>752475</xdr:colOff>
      <xdr:row>201</xdr:row>
      <xdr:rowOff>504825</xdr:rowOff>
    </xdr:to>
    <xdr:pic>
      <xdr:nvPicPr>
        <xdr:cNvPr id="401" name="Subgraph-uhbtrust"/>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104851200"/>
          <a:ext cx="723900" cy="476250"/>
        </a:xfrm>
        <a:prstGeom prst="rect">
          <a:avLst/>
        </a:prstGeom>
        <a:ln>
          <a:noFill/>
        </a:ln>
      </xdr:spPr>
    </xdr:pic>
    <xdr:clientData/>
  </xdr:twoCellAnchor>
  <xdr:twoCellAnchor editAs="oneCell">
    <xdr:from>
      <xdr:col>1</xdr:col>
      <xdr:colOff>28575</xdr:colOff>
      <xdr:row>202</xdr:row>
      <xdr:rowOff>28575</xdr:rowOff>
    </xdr:from>
    <xdr:to>
      <xdr:col>1</xdr:col>
      <xdr:colOff>752475</xdr:colOff>
      <xdr:row>202</xdr:row>
      <xdr:rowOff>504825</xdr:rowOff>
    </xdr:to>
    <xdr:pic>
      <xdr:nvPicPr>
        <xdr:cNvPr id="403" name="Subgraph-elizbeech"/>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105375075"/>
          <a:ext cx="723900" cy="476250"/>
        </a:xfrm>
        <a:prstGeom prst="rect">
          <a:avLst/>
        </a:prstGeom>
        <a:ln>
          <a:noFill/>
        </a:ln>
      </xdr:spPr>
    </xdr:pic>
    <xdr:clientData/>
  </xdr:twoCellAnchor>
  <xdr:twoCellAnchor editAs="oneCell">
    <xdr:from>
      <xdr:col>1</xdr:col>
      <xdr:colOff>28575</xdr:colOff>
      <xdr:row>203</xdr:row>
      <xdr:rowOff>28575</xdr:rowOff>
    </xdr:from>
    <xdr:to>
      <xdr:col>1</xdr:col>
      <xdr:colOff>752475</xdr:colOff>
      <xdr:row>203</xdr:row>
      <xdr:rowOff>504825</xdr:rowOff>
    </xdr:to>
    <xdr:pic>
      <xdr:nvPicPr>
        <xdr:cNvPr id="405" name="Subgraph-who"/>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105898950"/>
          <a:ext cx="723900" cy="476250"/>
        </a:xfrm>
        <a:prstGeom prst="rect">
          <a:avLst/>
        </a:prstGeom>
        <a:ln>
          <a:noFill/>
        </a:ln>
      </xdr:spPr>
    </xdr:pic>
    <xdr:clientData/>
  </xdr:twoCellAnchor>
  <xdr:twoCellAnchor editAs="oneCell">
    <xdr:from>
      <xdr:col>1</xdr:col>
      <xdr:colOff>28575</xdr:colOff>
      <xdr:row>204</xdr:row>
      <xdr:rowOff>28575</xdr:rowOff>
    </xdr:from>
    <xdr:to>
      <xdr:col>1</xdr:col>
      <xdr:colOff>752475</xdr:colOff>
      <xdr:row>204</xdr:row>
      <xdr:rowOff>504825</xdr:rowOff>
    </xdr:to>
    <xdr:pic>
      <xdr:nvPicPr>
        <xdr:cNvPr id="407" name="Subgraph-behalalorg"/>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106422825"/>
          <a:ext cx="723900" cy="476250"/>
        </a:xfrm>
        <a:prstGeom prst="rect">
          <a:avLst/>
        </a:prstGeom>
        <a:ln>
          <a:noFill/>
        </a:ln>
      </xdr:spPr>
    </xdr:pic>
    <xdr:clientData/>
  </xdr:twoCellAnchor>
  <xdr:twoCellAnchor editAs="oneCell">
    <xdr:from>
      <xdr:col>1</xdr:col>
      <xdr:colOff>28575</xdr:colOff>
      <xdr:row>205</xdr:row>
      <xdr:rowOff>28575</xdr:rowOff>
    </xdr:from>
    <xdr:to>
      <xdr:col>1</xdr:col>
      <xdr:colOff>752475</xdr:colOff>
      <xdr:row>205</xdr:row>
      <xdr:rowOff>504825</xdr:rowOff>
    </xdr:to>
    <xdr:pic>
      <xdr:nvPicPr>
        <xdr:cNvPr id="409" name="Subgraph-ciwf"/>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6946700"/>
          <a:ext cx="723900" cy="476250"/>
        </a:xfrm>
        <a:prstGeom prst="rect">
          <a:avLst/>
        </a:prstGeom>
        <a:ln>
          <a:noFill/>
        </a:ln>
      </xdr:spPr>
    </xdr:pic>
    <xdr:clientData/>
  </xdr:twoCellAnchor>
  <xdr:twoCellAnchor editAs="oneCell">
    <xdr:from>
      <xdr:col>1</xdr:col>
      <xdr:colOff>28575</xdr:colOff>
      <xdr:row>206</xdr:row>
      <xdr:rowOff>28575</xdr:rowOff>
    </xdr:from>
    <xdr:to>
      <xdr:col>1</xdr:col>
      <xdr:colOff>752475</xdr:colOff>
      <xdr:row>206</xdr:row>
      <xdr:rowOff>504825</xdr:rowOff>
    </xdr:to>
    <xdr:pic>
      <xdr:nvPicPr>
        <xdr:cNvPr id="411" name="Subgraph-philip_ciwf"/>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7470575"/>
          <a:ext cx="723900" cy="476250"/>
        </a:xfrm>
        <a:prstGeom prst="rect">
          <a:avLst/>
        </a:prstGeom>
        <a:ln>
          <a:noFill/>
        </a:ln>
      </xdr:spPr>
    </xdr:pic>
    <xdr:clientData/>
  </xdr:twoCellAnchor>
  <xdr:twoCellAnchor editAs="oneCell">
    <xdr:from>
      <xdr:col>1</xdr:col>
      <xdr:colOff>28575</xdr:colOff>
      <xdr:row>207</xdr:row>
      <xdr:rowOff>28575</xdr:rowOff>
    </xdr:from>
    <xdr:to>
      <xdr:col>1</xdr:col>
      <xdr:colOff>752475</xdr:colOff>
      <xdr:row>207</xdr:row>
      <xdr:rowOff>504825</xdr:rowOff>
    </xdr:to>
    <xdr:pic>
      <xdr:nvPicPr>
        <xdr:cNvPr id="413" name="Subgraph-foodgov"/>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107994450"/>
          <a:ext cx="723900" cy="476250"/>
        </a:xfrm>
        <a:prstGeom prst="rect">
          <a:avLst/>
        </a:prstGeom>
        <a:ln>
          <a:noFill/>
        </a:ln>
      </xdr:spPr>
    </xdr:pic>
    <xdr:clientData/>
  </xdr:twoCellAnchor>
  <xdr:twoCellAnchor editAs="oneCell">
    <xdr:from>
      <xdr:col>1</xdr:col>
      <xdr:colOff>28575</xdr:colOff>
      <xdr:row>208</xdr:row>
      <xdr:rowOff>28575</xdr:rowOff>
    </xdr:from>
    <xdr:to>
      <xdr:col>1</xdr:col>
      <xdr:colOff>752475</xdr:colOff>
      <xdr:row>208</xdr:row>
      <xdr:rowOff>504825</xdr:rowOff>
    </xdr:to>
    <xdr:pic>
      <xdr:nvPicPr>
        <xdr:cNvPr id="415" name="Subgraph-drnawaz888"/>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08518325"/>
          <a:ext cx="723900" cy="476250"/>
        </a:xfrm>
        <a:prstGeom prst="rect">
          <a:avLst/>
        </a:prstGeom>
        <a:ln>
          <a:noFill/>
        </a:ln>
      </xdr:spPr>
    </xdr:pic>
    <xdr:clientData/>
  </xdr:twoCellAnchor>
  <xdr:twoCellAnchor editAs="oneCell">
    <xdr:from>
      <xdr:col>1</xdr:col>
      <xdr:colOff>28575</xdr:colOff>
      <xdr:row>209</xdr:row>
      <xdr:rowOff>28575</xdr:rowOff>
    </xdr:from>
    <xdr:to>
      <xdr:col>1</xdr:col>
      <xdr:colOff>752475</xdr:colOff>
      <xdr:row>209</xdr:row>
      <xdr:rowOff>504825</xdr:rowOff>
    </xdr:to>
    <xdr:pic>
      <xdr:nvPicPr>
        <xdr:cNvPr id="417" name="Subgraph-cuh_ams"/>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109042200"/>
          <a:ext cx="723900" cy="476250"/>
        </a:xfrm>
        <a:prstGeom prst="rect">
          <a:avLst/>
        </a:prstGeom>
        <a:ln>
          <a:noFill/>
        </a:ln>
      </xdr:spPr>
    </xdr:pic>
    <xdr:clientData/>
  </xdr:twoCellAnchor>
  <xdr:twoCellAnchor editAs="oneCell">
    <xdr:from>
      <xdr:col>1</xdr:col>
      <xdr:colOff>28575</xdr:colOff>
      <xdr:row>210</xdr:row>
      <xdr:rowOff>28575</xdr:rowOff>
    </xdr:from>
    <xdr:to>
      <xdr:col>1</xdr:col>
      <xdr:colOff>752475</xdr:colOff>
      <xdr:row>210</xdr:row>
      <xdr:rowOff>504825</xdr:rowOff>
    </xdr:to>
    <xdr:pic>
      <xdr:nvPicPr>
        <xdr:cNvPr id="419" name="Subgraph-profmaryhorga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09566075"/>
          <a:ext cx="723900" cy="476250"/>
        </a:xfrm>
        <a:prstGeom prst="rect">
          <a:avLst/>
        </a:prstGeom>
        <a:ln>
          <a:noFill/>
        </a:ln>
      </xdr:spPr>
    </xdr:pic>
    <xdr:clientData/>
  </xdr:twoCellAnchor>
  <xdr:twoCellAnchor editAs="oneCell">
    <xdr:from>
      <xdr:col>1</xdr:col>
      <xdr:colOff>28575</xdr:colOff>
      <xdr:row>211</xdr:row>
      <xdr:rowOff>28575</xdr:rowOff>
    </xdr:from>
    <xdr:to>
      <xdr:col>1</xdr:col>
      <xdr:colOff>752475</xdr:colOff>
      <xdr:row>211</xdr:row>
      <xdr:rowOff>504825</xdr:rowOff>
    </xdr:to>
    <xdr:pic>
      <xdr:nvPicPr>
        <xdr:cNvPr id="421" name="Subgraph-drcsadli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0089950"/>
          <a:ext cx="723900" cy="476250"/>
        </a:xfrm>
        <a:prstGeom prst="rect">
          <a:avLst/>
        </a:prstGeom>
        <a:ln>
          <a:noFill/>
        </a:ln>
      </xdr:spPr>
    </xdr:pic>
    <xdr:clientData/>
  </xdr:twoCellAnchor>
  <xdr:twoCellAnchor editAs="oneCell">
    <xdr:from>
      <xdr:col>1</xdr:col>
      <xdr:colOff>28575</xdr:colOff>
      <xdr:row>212</xdr:row>
      <xdr:rowOff>28575</xdr:rowOff>
    </xdr:from>
    <xdr:to>
      <xdr:col>1</xdr:col>
      <xdr:colOff>752475</xdr:colOff>
      <xdr:row>212</xdr:row>
      <xdr:rowOff>504825</xdr:rowOff>
    </xdr:to>
    <xdr:pic>
      <xdr:nvPicPr>
        <xdr:cNvPr id="423" name="Subgraph-drjacksoncork"/>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0613825"/>
          <a:ext cx="723900" cy="476250"/>
        </a:xfrm>
        <a:prstGeom prst="rect">
          <a:avLst/>
        </a:prstGeom>
        <a:ln>
          <a:noFill/>
        </a:ln>
      </xdr:spPr>
    </xdr:pic>
    <xdr:clientData/>
  </xdr:twoCellAnchor>
  <xdr:twoCellAnchor editAs="oneCell">
    <xdr:from>
      <xdr:col>1</xdr:col>
      <xdr:colOff>28575</xdr:colOff>
      <xdr:row>213</xdr:row>
      <xdr:rowOff>28575</xdr:rowOff>
    </xdr:from>
    <xdr:to>
      <xdr:col>1</xdr:col>
      <xdr:colOff>752475</xdr:colOff>
      <xdr:row>213</xdr:row>
      <xdr:rowOff>504825</xdr:rowOff>
    </xdr:to>
    <xdr:pic>
      <xdr:nvPicPr>
        <xdr:cNvPr id="425" name="Subgraph-blairmatthewd"/>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1137700"/>
          <a:ext cx="723900" cy="476250"/>
        </a:xfrm>
        <a:prstGeom prst="rect">
          <a:avLst/>
        </a:prstGeom>
        <a:ln>
          <a:noFill/>
        </a:ln>
      </xdr:spPr>
    </xdr:pic>
    <xdr:clientData/>
  </xdr:twoCellAnchor>
  <xdr:twoCellAnchor editAs="oneCell">
    <xdr:from>
      <xdr:col>1</xdr:col>
      <xdr:colOff>28575</xdr:colOff>
      <xdr:row>214</xdr:row>
      <xdr:rowOff>28575</xdr:rowOff>
    </xdr:from>
    <xdr:to>
      <xdr:col>1</xdr:col>
      <xdr:colOff>752475</xdr:colOff>
      <xdr:row>214</xdr:row>
      <xdr:rowOff>504825</xdr:rowOff>
    </xdr:to>
    <xdr:pic>
      <xdr:nvPicPr>
        <xdr:cNvPr id="427" name="Subgraph-cuh_cork"/>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1661575"/>
          <a:ext cx="723900" cy="476250"/>
        </a:xfrm>
        <a:prstGeom prst="rect">
          <a:avLst/>
        </a:prstGeom>
        <a:ln>
          <a:noFill/>
        </a:ln>
      </xdr:spPr>
    </xdr:pic>
    <xdr:clientData/>
  </xdr:twoCellAnchor>
  <xdr:twoCellAnchor editAs="oneCell">
    <xdr:from>
      <xdr:col>1</xdr:col>
      <xdr:colOff>28575</xdr:colOff>
      <xdr:row>215</xdr:row>
      <xdr:rowOff>28575</xdr:rowOff>
    </xdr:from>
    <xdr:to>
      <xdr:col>1</xdr:col>
      <xdr:colOff>752475</xdr:colOff>
      <xdr:row>215</xdr:row>
      <xdr:rowOff>504825</xdr:rowOff>
    </xdr:to>
    <xdr:pic>
      <xdr:nvPicPr>
        <xdr:cNvPr id="429" name="Subgraph-ekhuftpathology"/>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112185450"/>
          <a:ext cx="723900" cy="476250"/>
        </a:xfrm>
        <a:prstGeom prst="rect">
          <a:avLst/>
        </a:prstGeom>
        <a:ln>
          <a:noFill/>
        </a:ln>
      </xdr:spPr>
    </xdr:pic>
    <xdr:clientData/>
  </xdr:twoCellAnchor>
  <xdr:twoCellAnchor editAs="oneCell">
    <xdr:from>
      <xdr:col>1</xdr:col>
      <xdr:colOff>28575</xdr:colOff>
      <xdr:row>216</xdr:row>
      <xdr:rowOff>28575</xdr:rowOff>
    </xdr:from>
    <xdr:to>
      <xdr:col>1</xdr:col>
      <xdr:colOff>752475</xdr:colOff>
      <xdr:row>216</xdr:row>
      <xdr:rowOff>504825</xdr:rowOff>
    </xdr:to>
    <xdr:pic>
      <xdr:nvPicPr>
        <xdr:cNvPr id="431" name="Subgraph-ekhuft"/>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12709325"/>
          <a:ext cx="723900" cy="476250"/>
        </a:xfrm>
        <a:prstGeom prst="rect">
          <a:avLst/>
        </a:prstGeom>
        <a:ln>
          <a:noFill/>
        </a:ln>
      </xdr:spPr>
    </xdr:pic>
    <xdr:clientData/>
  </xdr:twoCellAnchor>
  <xdr:twoCellAnchor editAs="oneCell">
    <xdr:from>
      <xdr:col>1</xdr:col>
      <xdr:colOff>28575</xdr:colOff>
      <xdr:row>217</xdr:row>
      <xdr:rowOff>28575</xdr:rowOff>
    </xdr:from>
    <xdr:to>
      <xdr:col>1</xdr:col>
      <xdr:colOff>752475</xdr:colOff>
      <xdr:row>217</xdr:row>
      <xdr:rowOff>504825</xdr:rowOff>
    </xdr:to>
    <xdr:pic>
      <xdr:nvPicPr>
        <xdr:cNvPr id="433" name="Subgraph-adhpio"/>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13233200"/>
          <a:ext cx="723900" cy="476250"/>
        </a:xfrm>
        <a:prstGeom prst="rect">
          <a:avLst/>
        </a:prstGeom>
        <a:ln>
          <a:noFill/>
        </a:ln>
      </xdr:spPr>
    </xdr:pic>
    <xdr:clientData/>
  </xdr:twoCellAnchor>
  <xdr:twoCellAnchor editAs="oneCell">
    <xdr:from>
      <xdr:col>1</xdr:col>
      <xdr:colOff>28575</xdr:colOff>
      <xdr:row>218</xdr:row>
      <xdr:rowOff>28575</xdr:rowOff>
    </xdr:from>
    <xdr:to>
      <xdr:col>1</xdr:col>
      <xdr:colOff>752475</xdr:colOff>
      <xdr:row>218</xdr:row>
      <xdr:rowOff>504825</xdr:rowOff>
    </xdr:to>
    <xdr:pic>
      <xdr:nvPicPr>
        <xdr:cNvPr id="435" name="Subgraph-dirty_drink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13757075"/>
          <a:ext cx="723900" cy="476250"/>
        </a:xfrm>
        <a:prstGeom prst="rect">
          <a:avLst/>
        </a:prstGeom>
        <a:ln>
          <a:noFill/>
        </a:ln>
      </xdr:spPr>
    </xdr:pic>
    <xdr:clientData/>
  </xdr:twoCellAnchor>
  <xdr:twoCellAnchor editAs="oneCell">
    <xdr:from>
      <xdr:col>1</xdr:col>
      <xdr:colOff>28575</xdr:colOff>
      <xdr:row>219</xdr:row>
      <xdr:rowOff>28575</xdr:rowOff>
    </xdr:from>
    <xdr:to>
      <xdr:col>1</xdr:col>
      <xdr:colOff>752475</xdr:colOff>
      <xdr:row>219</xdr:row>
      <xdr:rowOff>504825</xdr:rowOff>
    </xdr:to>
    <xdr:pic>
      <xdr:nvPicPr>
        <xdr:cNvPr id="437" name="Subgraph-cdc_ncezid"/>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14280950"/>
          <a:ext cx="723900" cy="476250"/>
        </a:xfrm>
        <a:prstGeom prst="rect">
          <a:avLst/>
        </a:prstGeom>
        <a:ln>
          <a:noFill/>
        </a:ln>
      </xdr:spPr>
    </xdr:pic>
    <xdr:clientData/>
  </xdr:twoCellAnchor>
  <xdr:twoCellAnchor editAs="oneCell">
    <xdr:from>
      <xdr:col>1</xdr:col>
      <xdr:colOff>28575</xdr:colOff>
      <xdr:row>220</xdr:row>
      <xdr:rowOff>28575</xdr:rowOff>
    </xdr:from>
    <xdr:to>
      <xdr:col>1</xdr:col>
      <xdr:colOff>752475</xdr:colOff>
      <xdr:row>220</xdr:row>
      <xdr:rowOff>504825</xdr:rowOff>
    </xdr:to>
    <xdr:pic>
      <xdr:nvPicPr>
        <xdr:cNvPr id="439" name="Subgraph-bdandco"/>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14804825"/>
          <a:ext cx="723900" cy="476250"/>
        </a:xfrm>
        <a:prstGeom prst="rect">
          <a:avLst/>
        </a:prstGeom>
        <a:ln>
          <a:noFill/>
        </a:ln>
      </xdr:spPr>
    </xdr:pic>
    <xdr:clientData/>
  </xdr:twoCellAnchor>
  <xdr:twoCellAnchor editAs="oneCell">
    <xdr:from>
      <xdr:col>1</xdr:col>
      <xdr:colOff>28575</xdr:colOff>
      <xdr:row>221</xdr:row>
      <xdr:rowOff>28575</xdr:rowOff>
    </xdr:from>
    <xdr:to>
      <xdr:col>1</xdr:col>
      <xdr:colOff>752475</xdr:colOff>
      <xdr:row>221</xdr:row>
      <xdr:rowOff>504825</xdr:rowOff>
    </xdr:to>
    <xdr:pic>
      <xdr:nvPicPr>
        <xdr:cNvPr id="441" name="Subgraph-drhussentareq"/>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15328700"/>
          <a:ext cx="723900" cy="476250"/>
        </a:xfrm>
        <a:prstGeom prst="rect">
          <a:avLst/>
        </a:prstGeom>
        <a:ln>
          <a:noFill/>
        </a:ln>
      </xdr:spPr>
    </xdr:pic>
    <xdr:clientData/>
  </xdr:twoCellAnchor>
  <xdr:twoCellAnchor editAs="oneCell">
    <xdr:from>
      <xdr:col>1</xdr:col>
      <xdr:colOff>28575</xdr:colOff>
      <xdr:row>222</xdr:row>
      <xdr:rowOff>28575</xdr:rowOff>
    </xdr:from>
    <xdr:to>
      <xdr:col>1</xdr:col>
      <xdr:colOff>752475</xdr:colOff>
      <xdr:row>222</xdr:row>
      <xdr:rowOff>504825</xdr:rowOff>
    </xdr:to>
    <xdr:pic>
      <xdr:nvPicPr>
        <xdr:cNvPr id="443" name="Subgraph-bchpedsi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15852575"/>
          <a:ext cx="723900" cy="476250"/>
        </a:xfrm>
        <a:prstGeom prst="rect">
          <a:avLst/>
        </a:prstGeom>
        <a:ln>
          <a:noFill/>
        </a:ln>
      </xdr:spPr>
    </xdr:pic>
    <xdr:clientData/>
  </xdr:twoCellAnchor>
  <xdr:twoCellAnchor editAs="oneCell">
    <xdr:from>
      <xdr:col>1</xdr:col>
      <xdr:colOff>28575</xdr:colOff>
      <xdr:row>223</xdr:row>
      <xdr:rowOff>28575</xdr:rowOff>
    </xdr:from>
    <xdr:to>
      <xdr:col>1</xdr:col>
      <xdr:colOff>752475</xdr:colOff>
      <xdr:row>223</xdr:row>
      <xdr:rowOff>504825</xdr:rowOff>
    </xdr:to>
    <xdr:pic>
      <xdr:nvPicPr>
        <xdr:cNvPr id="445" name="Subgraph-atikaashraf1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16376450"/>
          <a:ext cx="723900" cy="476250"/>
        </a:xfrm>
        <a:prstGeom prst="rect">
          <a:avLst/>
        </a:prstGeom>
        <a:ln>
          <a:noFill/>
        </a:ln>
      </xdr:spPr>
    </xdr:pic>
    <xdr:clientData/>
  </xdr:twoCellAnchor>
  <xdr:twoCellAnchor editAs="oneCell">
    <xdr:from>
      <xdr:col>1</xdr:col>
      <xdr:colOff>28575</xdr:colOff>
      <xdr:row>224</xdr:row>
      <xdr:rowOff>28575</xdr:rowOff>
    </xdr:from>
    <xdr:to>
      <xdr:col>1</xdr:col>
      <xdr:colOff>752475</xdr:colOff>
      <xdr:row>224</xdr:row>
      <xdr:rowOff>504825</xdr:rowOff>
    </xdr:to>
    <xdr:pic>
      <xdr:nvPicPr>
        <xdr:cNvPr id="447" name="Subgraph-ahrqnews"/>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116900325"/>
          <a:ext cx="723900" cy="476250"/>
        </a:xfrm>
        <a:prstGeom prst="rect">
          <a:avLst/>
        </a:prstGeom>
        <a:ln>
          <a:noFill/>
        </a:ln>
      </xdr:spPr>
    </xdr:pic>
    <xdr:clientData/>
  </xdr:twoCellAnchor>
  <xdr:twoCellAnchor editAs="oneCell">
    <xdr:from>
      <xdr:col>1</xdr:col>
      <xdr:colOff>28575</xdr:colOff>
      <xdr:row>225</xdr:row>
      <xdr:rowOff>28575</xdr:rowOff>
    </xdr:from>
    <xdr:to>
      <xdr:col>1</xdr:col>
      <xdr:colOff>752475</xdr:colOff>
      <xdr:row>225</xdr:row>
      <xdr:rowOff>504825</xdr:rowOff>
    </xdr:to>
    <xdr:pic>
      <xdr:nvPicPr>
        <xdr:cNvPr id="449" name="Subgraph-efnbrussel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17424200"/>
          <a:ext cx="723900" cy="476250"/>
        </a:xfrm>
        <a:prstGeom prst="rect">
          <a:avLst/>
        </a:prstGeom>
        <a:ln>
          <a:noFill/>
        </a:ln>
      </xdr:spPr>
    </xdr:pic>
    <xdr:clientData/>
  </xdr:twoCellAnchor>
  <xdr:twoCellAnchor editAs="oneCell">
    <xdr:from>
      <xdr:col>1</xdr:col>
      <xdr:colOff>28575</xdr:colOff>
      <xdr:row>226</xdr:row>
      <xdr:rowOff>28575</xdr:rowOff>
    </xdr:from>
    <xdr:to>
      <xdr:col>1</xdr:col>
      <xdr:colOff>752475</xdr:colOff>
      <xdr:row>226</xdr:row>
      <xdr:rowOff>504825</xdr:rowOff>
    </xdr:to>
    <xdr:pic>
      <xdr:nvPicPr>
        <xdr:cNvPr id="451" name="Subgraph-drkhabbazcdc"/>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117948075"/>
          <a:ext cx="723900" cy="476250"/>
        </a:xfrm>
        <a:prstGeom prst="rect">
          <a:avLst/>
        </a:prstGeom>
        <a:ln>
          <a:noFill/>
        </a:ln>
      </xdr:spPr>
    </xdr:pic>
    <xdr:clientData/>
  </xdr:twoCellAnchor>
  <xdr:twoCellAnchor editAs="oneCell">
    <xdr:from>
      <xdr:col>1</xdr:col>
      <xdr:colOff>28575</xdr:colOff>
      <xdr:row>227</xdr:row>
      <xdr:rowOff>28575</xdr:rowOff>
    </xdr:from>
    <xdr:to>
      <xdr:col>1</xdr:col>
      <xdr:colOff>752475</xdr:colOff>
      <xdr:row>227</xdr:row>
      <xdr:rowOff>504825</xdr:rowOff>
    </xdr:to>
    <xdr:pic>
      <xdr:nvPicPr>
        <xdr:cNvPr id="453" name="Subgraph-dr_pbaile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18471950"/>
          <a:ext cx="723900" cy="476250"/>
        </a:xfrm>
        <a:prstGeom prst="rect">
          <a:avLst/>
        </a:prstGeom>
        <a:ln>
          <a:noFill/>
        </a:ln>
      </xdr:spPr>
    </xdr:pic>
    <xdr:clientData/>
  </xdr:twoCellAnchor>
  <xdr:twoCellAnchor editAs="oneCell">
    <xdr:from>
      <xdr:col>1</xdr:col>
      <xdr:colOff>28575</xdr:colOff>
      <xdr:row>228</xdr:row>
      <xdr:rowOff>28575</xdr:rowOff>
    </xdr:from>
    <xdr:to>
      <xdr:col>1</xdr:col>
      <xdr:colOff>752475</xdr:colOff>
      <xdr:row>228</xdr:row>
      <xdr:rowOff>504825</xdr:rowOff>
    </xdr:to>
    <xdr:pic>
      <xdr:nvPicPr>
        <xdr:cNvPr id="455" name="Subgraph-brettbarrettrph"/>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18995825"/>
          <a:ext cx="723900" cy="476250"/>
        </a:xfrm>
        <a:prstGeom prst="rect">
          <a:avLst/>
        </a:prstGeom>
        <a:ln>
          <a:noFill/>
        </a:ln>
      </xdr:spPr>
    </xdr:pic>
    <xdr:clientData/>
  </xdr:twoCellAnchor>
  <xdr:twoCellAnchor editAs="oneCell">
    <xdr:from>
      <xdr:col>1</xdr:col>
      <xdr:colOff>28575</xdr:colOff>
      <xdr:row>229</xdr:row>
      <xdr:rowOff>28575</xdr:rowOff>
    </xdr:from>
    <xdr:to>
      <xdr:col>1</xdr:col>
      <xdr:colOff>752475</xdr:colOff>
      <xdr:row>229</xdr:row>
      <xdr:rowOff>504825</xdr:rowOff>
    </xdr:to>
    <xdr:pic>
      <xdr:nvPicPr>
        <xdr:cNvPr id="457" name="Subgraph-asc_scarolin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19519700"/>
          <a:ext cx="723900" cy="476250"/>
        </a:xfrm>
        <a:prstGeom prst="rect">
          <a:avLst/>
        </a:prstGeom>
        <a:ln>
          <a:noFill/>
        </a:ln>
      </xdr:spPr>
    </xdr:pic>
    <xdr:clientData/>
  </xdr:twoCellAnchor>
  <xdr:twoCellAnchor editAs="oneCell">
    <xdr:from>
      <xdr:col>1</xdr:col>
      <xdr:colOff>28575</xdr:colOff>
      <xdr:row>230</xdr:row>
      <xdr:rowOff>28575</xdr:rowOff>
    </xdr:from>
    <xdr:to>
      <xdr:col>1</xdr:col>
      <xdr:colOff>752475</xdr:colOff>
      <xdr:row>230</xdr:row>
      <xdr:rowOff>504825</xdr:rowOff>
    </xdr:to>
    <xdr:pic>
      <xdr:nvPicPr>
        <xdr:cNvPr id="459" name="Subgraph-cambspboroccg"/>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20043575"/>
          <a:ext cx="723900" cy="476250"/>
        </a:xfrm>
        <a:prstGeom prst="rect">
          <a:avLst/>
        </a:prstGeom>
        <a:ln>
          <a:noFill/>
        </a:ln>
      </xdr:spPr>
    </xdr:pic>
    <xdr:clientData/>
  </xdr:twoCellAnchor>
  <xdr:twoCellAnchor editAs="oneCell">
    <xdr:from>
      <xdr:col>1</xdr:col>
      <xdr:colOff>28575</xdr:colOff>
      <xdr:row>231</xdr:row>
      <xdr:rowOff>28575</xdr:rowOff>
    </xdr:from>
    <xdr:to>
      <xdr:col>1</xdr:col>
      <xdr:colOff>752475</xdr:colOff>
      <xdr:row>231</xdr:row>
      <xdr:rowOff>504825</xdr:rowOff>
    </xdr:to>
    <xdr:pic>
      <xdr:nvPicPr>
        <xdr:cNvPr id="461" name="Subgraph-gone_grayer"/>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20567450"/>
          <a:ext cx="723900" cy="476250"/>
        </a:xfrm>
        <a:prstGeom prst="rect">
          <a:avLst/>
        </a:prstGeom>
        <a:ln>
          <a:noFill/>
        </a:ln>
      </xdr:spPr>
    </xdr:pic>
    <xdr:clientData/>
  </xdr:twoCellAnchor>
  <xdr:twoCellAnchor editAs="oneCell">
    <xdr:from>
      <xdr:col>1</xdr:col>
      <xdr:colOff>28575</xdr:colOff>
      <xdr:row>232</xdr:row>
      <xdr:rowOff>28575</xdr:rowOff>
    </xdr:from>
    <xdr:to>
      <xdr:col>1</xdr:col>
      <xdr:colOff>752475</xdr:colOff>
      <xdr:row>232</xdr:row>
      <xdr:rowOff>504825</xdr:rowOff>
    </xdr:to>
    <xdr:pic>
      <xdr:nvPicPr>
        <xdr:cNvPr id="463" name="Subgraph-dodgson_kj"/>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21091325"/>
          <a:ext cx="723900" cy="476250"/>
        </a:xfrm>
        <a:prstGeom prst="rect">
          <a:avLst/>
        </a:prstGeom>
        <a:ln>
          <a:noFill/>
        </a:ln>
      </xdr:spPr>
    </xdr:pic>
    <xdr:clientData/>
  </xdr:twoCellAnchor>
  <xdr:twoCellAnchor editAs="oneCell">
    <xdr:from>
      <xdr:col>1</xdr:col>
      <xdr:colOff>28575</xdr:colOff>
      <xdr:row>233</xdr:row>
      <xdr:rowOff>28575</xdr:rowOff>
    </xdr:from>
    <xdr:to>
      <xdr:col>1</xdr:col>
      <xdr:colOff>752475</xdr:colOff>
      <xdr:row>233</xdr:row>
      <xdr:rowOff>504825</xdr:rowOff>
    </xdr:to>
    <xdr:pic>
      <xdr:nvPicPr>
        <xdr:cNvPr id="465" name="Subgraph-nhctpharmacy"/>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21615200"/>
          <a:ext cx="723900" cy="476250"/>
        </a:xfrm>
        <a:prstGeom prst="rect">
          <a:avLst/>
        </a:prstGeom>
        <a:ln>
          <a:noFill/>
        </a:ln>
      </xdr:spPr>
    </xdr:pic>
    <xdr:clientData/>
  </xdr:twoCellAnchor>
  <xdr:twoCellAnchor editAs="oneCell">
    <xdr:from>
      <xdr:col>1</xdr:col>
      <xdr:colOff>28575</xdr:colOff>
      <xdr:row>234</xdr:row>
      <xdr:rowOff>28575</xdr:rowOff>
    </xdr:from>
    <xdr:to>
      <xdr:col>1</xdr:col>
      <xdr:colOff>752475</xdr:colOff>
      <xdr:row>234</xdr:row>
      <xdr:rowOff>504825</xdr:rowOff>
    </xdr:to>
    <xdr:pic>
      <xdr:nvPicPr>
        <xdr:cNvPr id="467" name="Subgraph-labmedicinemf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22139075"/>
          <a:ext cx="723900" cy="476250"/>
        </a:xfrm>
        <a:prstGeom prst="rect">
          <a:avLst/>
        </a:prstGeom>
        <a:ln>
          <a:noFill/>
        </a:ln>
      </xdr:spPr>
    </xdr:pic>
    <xdr:clientData/>
  </xdr:twoCellAnchor>
  <xdr:twoCellAnchor editAs="oneCell">
    <xdr:from>
      <xdr:col>1</xdr:col>
      <xdr:colOff>28575</xdr:colOff>
      <xdr:row>235</xdr:row>
      <xdr:rowOff>28575</xdr:rowOff>
    </xdr:from>
    <xdr:to>
      <xdr:col>1</xdr:col>
      <xdr:colOff>752475</xdr:colOff>
      <xdr:row>235</xdr:row>
      <xdr:rowOff>504825</xdr:rowOff>
    </xdr:to>
    <xdr:pic>
      <xdr:nvPicPr>
        <xdr:cNvPr id="469" name="Subgraph-mftnh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22662950"/>
          <a:ext cx="723900" cy="476250"/>
        </a:xfrm>
        <a:prstGeom prst="rect">
          <a:avLst/>
        </a:prstGeom>
        <a:ln>
          <a:noFill/>
        </a:ln>
      </xdr:spPr>
    </xdr:pic>
    <xdr:clientData/>
  </xdr:twoCellAnchor>
  <xdr:twoCellAnchor editAs="oneCell">
    <xdr:from>
      <xdr:col>1</xdr:col>
      <xdr:colOff>28575</xdr:colOff>
      <xdr:row>236</xdr:row>
      <xdr:rowOff>28575</xdr:rowOff>
    </xdr:from>
    <xdr:to>
      <xdr:col>1</xdr:col>
      <xdr:colOff>752475</xdr:colOff>
      <xdr:row>236</xdr:row>
      <xdr:rowOff>504825</xdr:rowOff>
    </xdr:to>
    <xdr:pic>
      <xdr:nvPicPr>
        <xdr:cNvPr id="471" name="Subgraph-mft_pharmacy"/>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123186825"/>
          <a:ext cx="723900" cy="476250"/>
        </a:xfrm>
        <a:prstGeom prst="rect">
          <a:avLst/>
        </a:prstGeom>
        <a:ln>
          <a:noFill/>
        </a:ln>
      </xdr:spPr>
    </xdr:pic>
    <xdr:clientData/>
  </xdr:twoCellAnchor>
  <xdr:twoCellAnchor editAs="oneCell">
    <xdr:from>
      <xdr:col>1</xdr:col>
      <xdr:colOff>28575</xdr:colOff>
      <xdr:row>237</xdr:row>
      <xdr:rowOff>28575</xdr:rowOff>
    </xdr:from>
    <xdr:to>
      <xdr:col>1</xdr:col>
      <xdr:colOff>752475</xdr:colOff>
      <xdr:row>237</xdr:row>
      <xdr:rowOff>504825</xdr:rowOff>
    </xdr:to>
    <xdr:pic>
      <xdr:nvPicPr>
        <xdr:cNvPr id="473" name="Subgraph-aidakrajnc"/>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123710700"/>
          <a:ext cx="723900" cy="476250"/>
        </a:xfrm>
        <a:prstGeom prst="rect">
          <a:avLst/>
        </a:prstGeom>
        <a:ln>
          <a:noFill/>
        </a:ln>
      </xdr:spPr>
    </xdr:pic>
    <xdr:clientData/>
  </xdr:twoCellAnchor>
  <xdr:twoCellAnchor editAs="oneCell">
    <xdr:from>
      <xdr:col>1</xdr:col>
      <xdr:colOff>28575</xdr:colOff>
      <xdr:row>238</xdr:row>
      <xdr:rowOff>28575</xdr:rowOff>
    </xdr:from>
    <xdr:to>
      <xdr:col>1</xdr:col>
      <xdr:colOff>752475</xdr:colOff>
      <xdr:row>238</xdr:row>
      <xdr:rowOff>504825</xdr:rowOff>
    </xdr:to>
    <xdr:pic>
      <xdr:nvPicPr>
        <xdr:cNvPr id="475" name="Subgraph-nhsbartshealth"/>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24234575"/>
          <a:ext cx="723900" cy="476250"/>
        </a:xfrm>
        <a:prstGeom prst="rect">
          <a:avLst/>
        </a:prstGeom>
        <a:ln>
          <a:noFill/>
        </a:ln>
      </xdr:spPr>
    </xdr:pic>
    <xdr:clientData/>
  </xdr:twoCellAnchor>
  <xdr:twoCellAnchor editAs="oneCell">
    <xdr:from>
      <xdr:col>1</xdr:col>
      <xdr:colOff>28575</xdr:colOff>
      <xdr:row>239</xdr:row>
      <xdr:rowOff>28575</xdr:rowOff>
    </xdr:from>
    <xdr:to>
      <xdr:col>1</xdr:col>
      <xdr:colOff>752475</xdr:colOff>
      <xdr:row>239</xdr:row>
      <xdr:rowOff>504825</xdr:rowOff>
    </xdr:to>
    <xdr:pic>
      <xdr:nvPicPr>
        <xdr:cNvPr id="477" name="Subgraph-bh_infection"/>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24758450"/>
          <a:ext cx="723900" cy="476250"/>
        </a:xfrm>
        <a:prstGeom prst="rect">
          <a:avLst/>
        </a:prstGeom>
        <a:ln>
          <a:noFill/>
        </a:ln>
      </xdr:spPr>
    </xdr:pic>
    <xdr:clientData/>
  </xdr:twoCellAnchor>
  <xdr:twoCellAnchor editAs="oneCell">
    <xdr:from>
      <xdr:col>1</xdr:col>
      <xdr:colOff>28575</xdr:colOff>
      <xdr:row>240</xdr:row>
      <xdr:rowOff>28575</xdr:rowOff>
    </xdr:from>
    <xdr:to>
      <xdr:col>1</xdr:col>
      <xdr:colOff>752475</xdr:colOff>
      <xdr:row>240</xdr:row>
      <xdr:rowOff>504825</xdr:rowOff>
    </xdr:to>
    <xdr:pic>
      <xdr:nvPicPr>
        <xdr:cNvPr id="479" name="Subgraph-bh_pharmacy"/>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25282325"/>
          <a:ext cx="723900" cy="476250"/>
        </a:xfrm>
        <a:prstGeom prst="rect">
          <a:avLst/>
        </a:prstGeom>
        <a:ln>
          <a:noFill/>
        </a:ln>
      </xdr:spPr>
    </xdr:pic>
    <xdr:clientData/>
  </xdr:twoCellAnchor>
  <xdr:twoCellAnchor editAs="oneCell">
    <xdr:from>
      <xdr:col>1</xdr:col>
      <xdr:colOff>28575</xdr:colOff>
      <xdr:row>241</xdr:row>
      <xdr:rowOff>28575</xdr:rowOff>
    </xdr:from>
    <xdr:to>
      <xdr:col>1</xdr:col>
      <xdr:colOff>752475</xdr:colOff>
      <xdr:row>241</xdr:row>
      <xdr:rowOff>504825</xdr:rowOff>
    </xdr:to>
    <xdr:pic>
      <xdr:nvPicPr>
        <xdr:cNvPr id="481" name="Subgraph-newhamhospital"/>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125806200"/>
          <a:ext cx="723900" cy="476250"/>
        </a:xfrm>
        <a:prstGeom prst="rect">
          <a:avLst/>
        </a:prstGeom>
        <a:ln>
          <a:noFill/>
        </a:ln>
      </xdr:spPr>
    </xdr:pic>
    <xdr:clientData/>
  </xdr:twoCellAnchor>
  <xdr:twoCellAnchor editAs="oneCell">
    <xdr:from>
      <xdr:col>1</xdr:col>
      <xdr:colOff>28575</xdr:colOff>
      <xdr:row>242</xdr:row>
      <xdr:rowOff>28575</xdr:rowOff>
    </xdr:from>
    <xdr:to>
      <xdr:col>1</xdr:col>
      <xdr:colOff>752475</xdr:colOff>
      <xdr:row>242</xdr:row>
      <xdr:rowOff>504825</xdr:rowOff>
    </xdr:to>
    <xdr:pic>
      <xdr:nvPicPr>
        <xdr:cNvPr id="483" name="Subgraph-caryncoxphealth"/>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26330075"/>
          <a:ext cx="723900" cy="476250"/>
        </a:xfrm>
        <a:prstGeom prst="rect">
          <a:avLst/>
        </a:prstGeom>
        <a:ln>
          <a:noFill/>
        </a:ln>
      </xdr:spPr>
    </xdr:pic>
    <xdr:clientData/>
  </xdr:twoCellAnchor>
  <xdr:twoCellAnchor editAs="oneCell">
    <xdr:from>
      <xdr:col>1</xdr:col>
      <xdr:colOff>28575</xdr:colOff>
      <xdr:row>243</xdr:row>
      <xdr:rowOff>28575</xdr:rowOff>
    </xdr:from>
    <xdr:to>
      <xdr:col>1</xdr:col>
      <xdr:colOff>752475</xdr:colOff>
      <xdr:row>243</xdr:row>
      <xdr:rowOff>504825</xdr:rowOff>
    </xdr:to>
    <xdr:pic>
      <xdr:nvPicPr>
        <xdr:cNvPr id="485" name="Subgraph-ellacasal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26853950"/>
          <a:ext cx="723900" cy="476250"/>
        </a:xfrm>
        <a:prstGeom prst="rect">
          <a:avLst/>
        </a:prstGeom>
        <a:ln>
          <a:noFill/>
        </a:ln>
      </xdr:spPr>
    </xdr:pic>
    <xdr:clientData/>
  </xdr:twoCellAnchor>
  <xdr:twoCellAnchor editAs="oneCell">
    <xdr:from>
      <xdr:col>1</xdr:col>
      <xdr:colOff>28575</xdr:colOff>
      <xdr:row>244</xdr:row>
      <xdr:rowOff>28575</xdr:rowOff>
    </xdr:from>
    <xdr:to>
      <xdr:col>1</xdr:col>
      <xdr:colOff>752475</xdr:colOff>
      <xdr:row>244</xdr:row>
      <xdr:rowOff>504825</xdr:rowOff>
    </xdr:to>
    <xdr:pic>
      <xdr:nvPicPr>
        <xdr:cNvPr id="487" name="Subgraph-ejmille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27377825"/>
          <a:ext cx="723900" cy="476250"/>
        </a:xfrm>
        <a:prstGeom prst="rect">
          <a:avLst/>
        </a:prstGeom>
        <a:ln>
          <a:noFill/>
        </a:ln>
      </xdr:spPr>
    </xdr:pic>
    <xdr:clientData/>
  </xdr:twoCellAnchor>
  <xdr:twoCellAnchor editAs="oneCell">
    <xdr:from>
      <xdr:col>1</xdr:col>
      <xdr:colOff>28575</xdr:colOff>
      <xdr:row>245</xdr:row>
      <xdr:rowOff>28575</xdr:rowOff>
    </xdr:from>
    <xdr:to>
      <xdr:col>1</xdr:col>
      <xdr:colOff>752475</xdr:colOff>
      <xdr:row>245</xdr:row>
      <xdr:rowOff>504825</xdr:rowOff>
    </xdr:to>
    <xdr:pic>
      <xdr:nvPicPr>
        <xdr:cNvPr id="489" name="Subgraph-dayzerodx"/>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27901700"/>
          <a:ext cx="723900" cy="476250"/>
        </a:xfrm>
        <a:prstGeom prst="rect">
          <a:avLst/>
        </a:prstGeom>
        <a:ln>
          <a:noFill/>
        </a:ln>
      </xdr:spPr>
    </xdr:pic>
    <xdr:clientData/>
  </xdr:twoCellAnchor>
  <xdr:twoCellAnchor editAs="oneCell">
    <xdr:from>
      <xdr:col>1</xdr:col>
      <xdr:colOff>28575</xdr:colOff>
      <xdr:row>246</xdr:row>
      <xdr:rowOff>28575</xdr:rowOff>
    </xdr:from>
    <xdr:to>
      <xdr:col>1</xdr:col>
      <xdr:colOff>752475</xdr:colOff>
      <xdr:row>246</xdr:row>
      <xdr:rowOff>504825</xdr:rowOff>
    </xdr:to>
    <xdr:pic>
      <xdr:nvPicPr>
        <xdr:cNvPr id="491" name="Subgraph-ahcpgy1"/>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28425575"/>
          <a:ext cx="723900" cy="476250"/>
        </a:xfrm>
        <a:prstGeom prst="rect">
          <a:avLst/>
        </a:prstGeom>
        <a:ln>
          <a:noFill/>
        </a:ln>
      </xdr:spPr>
    </xdr:pic>
    <xdr:clientData/>
  </xdr:twoCellAnchor>
  <xdr:twoCellAnchor editAs="oneCell">
    <xdr:from>
      <xdr:col>1</xdr:col>
      <xdr:colOff>28575</xdr:colOff>
      <xdr:row>247</xdr:row>
      <xdr:rowOff>28575</xdr:rowOff>
    </xdr:from>
    <xdr:to>
      <xdr:col>1</xdr:col>
      <xdr:colOff>752475</xdr:colOff>
      <xdr:row>247</xdr:row>
      <xdr:rowOff>504825</xdr:rowOff>
    </xdr:to>
    <xdr:pic>
      <xdr:nvPicPr>
        <xdr:cNvPr id="493" name="Subgraph-ameliahm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28949450"/>
          <a:ext cx="723900" cy="476250"/>
        </a:xfrm>
        <a:prstGeom prst="rect">
          <a:avLst/>
        </a:prstGeom>
        <a:ln>
          <a:noFill/>
        </a:ln>
      </xdr:spPr>
    </xdr:pic>
    <xdr:clientData/>
  </xdr:twoCellAnchor>
  <xdr:twoCellAnchor editAs="oneCell">
    <xdr:from>
      <xdr:col>1</xdr:col>
      <xdr:colOff>28575</xdr:colOff>
      <xdr:row>248</xdr:row>
      <xdr:rowOff>28575</xdr:rowOff>
    </xdr:from>
    <xdr:to>
      <xdr:col>1</xdr:col>
      <xdr:colOff>752475</xdr:colOff>
      <xdr:row>248</xdr:row>
      <xdr:rowOff>504825</xdr:rowOff>
    </xdr:to>
    <xdr:pic>
      <xdr:nvPicPr>
        <xdr:cNvPr id="495" name="Subgraph-contagion_liv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29473325"/>
          <a:ext cx="723900" cy="476250"/>
        </a:xfrm>
        <a:prstGeom prst="rect">
          <a:avLst/>
        </a:prstGeom>
        <a:ln>
          <a:noFill/>
        </a:ln>
      </xdr:spPr>
    </xdr:pic>
    <xdr:clientData/>
  </xdr:twoCellAnchor>
  <xdr:twoCellAnchor editAs="oneCell">
    <xdr:from>
      <xdr:col>1</xdr:col>
      <xdr:colOff>28575</xdr:colOff>
      <xdr:row>249</xdr:row>
      <xdr:rowOff>28575</xdr:rowOff>
    </xdr:from>
    <xdr:to>
      <xdr:col>1</xdr:col>
      <xdr:colOff>752475</xdr:colOff>
      <xdr:row>249</xdr:row>
      <xdr:rowOff>504825</xdr:rowOff>
    </xdr:to>
    <xdr:pic>
      <xdr:nvPicPr>
        <xdr:cNvPr id="497" name="Subgraph-thenasem"/>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29997200"/>
          <a:ext cx="723900" cy="476250"/>
        </a:xfrm>
        <a:prstGeom prst="rect">
          <a:avLst/>
        </a:prstGeom>
        <a:ln>
          <a:noFill/>
        </a:ln>
      </xdr:spPr>
    </xdr:pic>
    <xdr:clientData/>
  </xdr:twoCellAnchor>
  <xdr:twoCellAnchor editAs="oneCell">
    <xdr:from>
      <xdr:col>1</xdr:col>
      <xdr:colOff>28575</xdr:colOff>
      <xdr:row>250</xdr:row>
      <xdr:rowOff>28575</xdr:rowOff>
    </xdr:from>
    <xdr:to>
      <xdr:col>1</xdr:col>
      <xdr:colOff>752475</xdr:colOff>
      <xdr:row>250</xdr:row>
      <xdr:rowOff>504825</xdr:rowOff>
    </xdr:to>
    <xdr:pic>
      <xdr:nvPicPr>
        <xdr:cNvPr id="499" name="Subgraph-amrcovi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30521075"/>
          <a:ext cx="723900" cy="476250"/>
        </a:xfrm>
        <a:prstGeom prst="rect">
          <a:avLst/>
        </a:prstGeom>
        <a:ln>
          <a:noFill/>
        </a:ln>
      </xdr:spPr>
    </xdr:pic>
    <xdr:clientData/>
  </xdr:twoCellAnchor>
  <xdr:twoCellAnchor editAs="oneCell">
    <xdr:from>
      <xdr:col>1</xdr:col>
      <xdr:colOff>28575</xdr:colOff>
      <xdr:row>251</xdr:row>
      <xdr:rowOff>28575</xdr:rowOff>
    </xdr:from>
    <xdr:to>
      <xdr:col>1</xdr:col>
      <xdr:colOff>752475</xdr:colOff>
      <xdr:row>251</xdr:row>
      <xdr:rowOff>504825</xdr:rowOff>
    </xdr:to>
    <xdr:pic>
      <xdr:nvPicPr>
        <xdr:cNvPr id="501" name="Subgraph-herpez4"/>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31044950"/>
          <a:ext cx="723900" cy="476250"/>
        </a:xfrm>
        <a:prstGeom prst="rect">
          <a:avLst/>
        </a:prstGeom>
        <a:ln>
          <a:noFill/>
        </a:ln>
      </xdr:spPr>
    </xdr:pic>
    <xdr:clientData/>
  </xdr:twoCellAnchor>
  <xdr:twoCellAnchor editAs="oneCell">
    <xdr:from>
      <xdr:col>1</xdr:col>
      <xdr:colOff>28575</xdr:colOff>
      <xdr:row>252</xdr:row>
      <xdr:rowOff>28575</xdr:rowOff>
    </xdr:from>
    <xdr:to>
      <xdr:col>1</xdr:col>
      <xdr:colOff>752475</xdr:colOff>
      <xdr:row>252</xdr:row>
      <xdr:rowOff>504825</xdr:rowOff>
    </xdr:to>
    <xdr:pic>
      <xdr:nvPicPr>
        <xdr:cNvPr id="503" name="Subgraph-chapelmedica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1568825"/>
          <a:ext cx="723900" cy="476250"/>
        </a:xfrm>
        <a:prstGeom prst="rect">
          <a:avLst/>
        </a:prstGeom>
        <a:ln>
          <a:noFill/>
        </a:ln>
      </xdr:spPr>
    </xdr:pic>
    <xdr:clientData/>
  </xdr:twoCellAnchor>
  <xdr:twoCellAnchor editAs="oneCell">
    <xdr:from>
      <xdr:col>1</xdr:col>
      <xdr:colOff>28575</xdr:colOff>
      <xdr:row>253</xdr:row>
      <xdr:rowOff>28575</xdr:rowOff>
    </xdr:from>
    <xdr:to>
      <xdr:col>1</xdr:col>
      <xdr:colOff>752475</xdr:colOff>
      <xdr:row>253</xdr:row>
      <xdr:rowOff>504825</xdr:rowOff>
    </xdr:to>
    <xdr:pic>
      <xdr:nvPicPr>
        <xdr:cNvPr id="505" name="Subgraph-sara_saracerdas"/>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132092700"/>
          <a:ext cx="723900" cy="476250"/>
        </a:xfrm>
        <a:prstGeom prst="rect">
          <a:avLst/>
        </a:prstGeom>
        <a:ln>
          <a:noFill/>
        </a:ln>
      </xdr:spPr>
    </xdr:pic>
    <xdr:clientData/>
  </xdr:twoCellAnchor>
  <xdr:twoCellAnchor editAs="oneCell">
    <xdr:from>
      <xdr:col>1</xdr:col>
      <xdr:colOff>28575</xdr:colOff>
      <xdr:row>254</xdr:row>
      <xdr:rowOff>28575</xdr:rowOff>
    </xdr:from>
    <xdr:to>
      <xdr:col>1</xdr:col>
      <xdr:colOff>752475</xdr:colOff>
      <xdr:row>254</xdr:row>
      <xdr:rowOff>504825</xdr:rowOff>
    </xdr:to>
    <xdr:pic>
      <xdr:nvPicPr>
        <xdr:cNvPr id="507" name="Subgraph-beva_new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2616575"/>
          <a:ext cx="723900" cy="476250"/>
        </a:xfrm>
        <a:prstGeom prst="rect">
          <a:avLst/>
        </a:prstGeom>
        <a:ln>
          <a:noFill/>
        </a:ln>
      </xdr:spPr>
    </xdr:pic>
    <xdr:clientData/>
  </xdr:twoCellAnchor>
  <xdr:twoCellAnchor editAs="oneCell">
    <xdr:from>
      <xdr:col>1</xdr:col>
      <xdr:colOff>28575</xdr:colOff>
      <xdr:row>255</xdr:row>
      <xdr:rowOff>28575</xdr:rowOff>
    </xdr:from>
    <xdr:to>
      <xdr:col>1</xdr:col>
      <xdr:colOff>752475</xdr:colOff>
      <xdr:row>255</xdr:row>
      <xdr:rowOff>504825</xdr:rowOff>
    </xdr:to>
    <xdr:pic>
      <xdr:nvPicPr>
        <xdr:cNvPr id="509" name="Subgraph-brxad"/>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33140450"/>
          <a:ext cx="723900" cy="476250"/>
        </a:xfrm>
        <a:prstGeom prst="rect">
          <a:avLst/>
        </a:prstGeom>
        <a:ln>
          <a:noFill/>
        </a:ln>
      </xdr:spPr>
    </xdr:pic>
    <xdr:clientData/>
  </xdr:twoCellAnchor>
  <xdr:twoCellAnchor editAs="oneCell">
    <xdr:from>
      <xdr:col>1</xdr:col>
      <xdr:colOff>28575</xdr:colOff>
      <xdr:row>256</xdr:row>
      <xdr:rowOff>28575</xdr:rowOff>
    </xdr:from>
    <xdr:to>
      <xdr:col>1</xdr:col>
      <xdr:colOff>752475</xdr:colOff>
      <xdr:row>256</xdr:row>
      <xdr:rowOff>504825</xdr:rowOff>
    </xdr:to>
    <xdr:pic>
      <xdr:nvPicPr>
        <xdr:cNvPr id="511" name="Subgraph-cusuperbug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3664325"/>
          <a:ext cx="723900" cy="476250"/>
        </a:xfrm>
        <a:prstGeom prst="rect">
          <a:avLst/>
        </a:prstGeom>
        <a:ln>
          <a:noFill/>
        </a:ln>
      </xdr:spPr>
    </xdr:pic>
    <xdr:clientData/>
  </xdr:twoCellAnchor>
  <xdr:twoCellAnchor editAs="oneCell">
    <xdr:from>
      <xdr:col>1</xdr:col>
      <xdr:colOff>28575</xdr:colOff>
      <xdr:row>257</xdr:row>
      <xdr:rowOff>28575</xdr:rowOff>
    </xdr:from>
    <xdr:to>
      <xdr:col>1</xdr:col>
      <xdr:colOff>752475</xdr:colOff>
      <xdr:row>257</xdr:row>
      <xdr:rowOff>504825</xdr:rowOff>
    </xdr:to>
    <xdr:pic>
      <xdr:nvPicPr>
        <xdr:cNvPr id="513" name="Subgraph-abimbola_pharm"/>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34188200"/>
          <a:ext cx="723900" cy="476250"/>
        </a:xfrm>
        <a:prstGeom prst="rect">
          <a:avLst/>
        </a:prstGeom>
        <a:ln>
          <a:noFill/>
        </a:ln>
      </xdr:spPr>
    </xdr:pic>
    <xdr:clientData/>
  </xdr:twoCellAnchor>
  <xdr:twoCellAnchor editAs="oneCell">
    <xdr:from>
      <xdr:col>1</xdr:col>
      <xdr:colOff>28575</xdr:colOff>
      <xdr:row>258</xdr:row>
      <xdr:rowOff>28575</xdr:rowOff>
    </xdr:from>
    <xdr:to>
      <xdr:col>1</xdr:col>
      <xdr:colOff>752475</xdr:colOff>
      <xdr:row>258</xdr:row>
      <xdr:rowOff>504825</xdr:rowOff>
    </xdr:to>
    <xdr:pic>
      <xdr:nvPicPr>
        <xdr:cNvPr id="515" name="Subgraph-bthftpharm"/>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34712075"/>
          <a:ext cx="723900" cy="476250"/>
        </a:xfrm>
        <a:prstGeom prst="rect">
          <a:avLst/>
        </a:prstGeom>
        <a:ln>
          <a:noFill/>
        </a:ln>
      </xdr:spPr>
    </xdr:pic>
    <xdr:clientData/>
  </xdr:twoCellAnchor>
  <xdr:twoCellAnchor editAs="oneCell">
    <xdr:from>
      <xdr:col>1</xdr:col>
      <xdr:colOff>28575</xdr:colOff>
      <xdr:row>259</xdr:row>
      <xdr:rowOff>28575</xdr:rowOff>
    </xdr:from>
    <xdr:to>
      <xdr:col>1</xdr:col>
      <xdr:colOff>752475</xdr:colOff>
      <xdr:row>259</xdr:row>
      <xdr:rowOff>504825</xdr:rowOff>
    </xdr:to>
    <xdr:pic>
      <xdr:nvPicPr>
        <xdr:cNvPr id="517" name="Subgraph-dgnh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5235950"/>
          <a:ext cx="723900" cy="476250"/>
        </a:xfrm>
        <a:prstGeom prst="rect">
          <a:avLst/>
        </a:prstGeom>
        <a:ln>
          <a:noFill/>
        </a:ln>
      </xdr:spPr>
    </xdr:pic>
    <xdr:clientData/>
  </xdr:twoCellAnchor>
  <xdr:twoCellAnchor editAs="oneCell">
    <xdr:from>
      <xdr:col>1</xdr:col>
      <xdr:colOff>28575</xdr:colOff>
      <xdr:row>260</xdr:row>
      <xdr:rowOff>28575</xdr:rowOff>
    </xdr:from>
    <xdr:to>
      <xdr:col>1</xdr:col>
      <xdr:colOff>752475</xdr:colOff>
      <xdr:row>260</xdr:row>
      <xdr:rowOff>504825</xdr:rowOff>
    </xdr:to>
    <xdr:pic>
      <xdr:nvPicPr>
        <xdr:cNvPr id="519" name="Subgraph-drloudunsmur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5759825"/>
          <a:ext cx="723900" cy="476250"/>
        </a:xfrm>
        <a:prstGeom prst="rect">
          <a:avLst/>
        </a:prstGeom>
        <a:ln>
          <a:noFill/>
        </a:ln>
      </xdr:spPr>
    </xdr:pic>
    <xdr:clientData/>
  </xdr:twoCellAnchor>
  <xdr:twoCellAnchor editAs="oneCell">
    <xdr:from>
      <xdr:col>1</xdr:col>
      <xdr:colOff>28575</xdr:colOff>
      <xdr:row>261</xdr:row>
      <xdr:rowOff>28575</xdr:rowOff>
    </xdr:from>
    <xdr:to>
      <xdr:col>1</xdr:col>
      <xdr:colOff>752475</xdr:colOff>
      <xdr:row>261</xdr:row>
      <xdr:rowOff>504825</xdr:rowOff>
    </xdr:to>
    <xdr:pic>
      <xdr:nvPicPr>
        <xdr:cNvPr id="521" name="Subgraph-chipublichealth"/>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36283700"/>
          <a:ext cx="723900" cy="476250"/>
        </a:xfrm>
        <a:prstGeom prst="rect">
          <a:avLst/>
        </a:prstGeom>
        <a:ln>
          <a:noFill/>
        </a:ln>
      </xdr:spPr>
    </xdr:pic>
    <xdr:clientData/>
  </xdr:twoCellAnchor>
  <xdr:twoCellAnchor editAs="oneCell">
    <xdr:from>
      <xdr:col>1</xdr:col>
      <xdr:colOff>28575</xdr:colOff>
      <xdr:row>262</xdr:row>
      <xdr:rowOff>28575</xdr:rowOff>
    </xdr:from>
    <xdr:to>
      <xdr:col>1</xdr:col>
      <xdr:colOff>752475</xdr:colOff>
      <xdr:row>262</xdr:row>
      <xdr:rowOff>504825</xdr:rowOff>
    </xdr:to>
    <xdr:pic>
      <xdr:nvPicPr>
        <xdr:cNvPr id="523" name="Subgraph-cdc_tb"/>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36807575"/>
          <a:ext cx="723900" cy="476250"/>
        </a:xfrm>
        <a:prstGeom prst="rect">
          <a:avLst/>
        </a:prstGeom>
        <a:ln>
          <a:noFill/>
        </a:ln>
      </xdr:spPr>
    </xdr:pic>
    <xdr:clientData/>
  </xdr:twoCellAnchor>
  <xdr:twoCellAnchor editAs="oneCell">
    <xdr:from>
      <xdr:col>1</xdr:col>
      <xdr:colOff>28575</xdr:colOff>
      <xdr:row>263</xdr:row>
      <xdr:rowOff>28575</xdr:rowOff>
    </xdr:from>
    <xdr:to>
      <xdr:col>1</xdr:col>
      <xdr:colOff>752475</xdr:colOff>
      <xdr:row>263</xdr:row>
      <xdr:rowOff>504825</xdr:rowOff>
    </xdr:to>
    <xdr:pic>
      <xdr:nvPicPr>
        <xdr:cNvPr id="525" name="Subgraph-apic"/>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137331450"/>
          <a:ext cx="723900" cy="476250"/>
        </a:xfrm>
        <a:prstGeom prst="rect">
          <a:avLst/>
        </a:prstGeom>
        <a:ln>
          <a:noFill/>
        </a:ln>
      </xdr:spPr>
    </xdr:pic>
    <xdr:clientData/>
  </xdr:twoCellAnchor>
  <xdr:twoCellAnchor editAs="oneCell">
    <xdr:from>
      <xdr:col>1</xdr:col>
      <xdr:colOff>28575</xdr:colOff>
      <xdr:row>264</xdr:row>
      <xdr:rowOff>28575</xdr:rowOff>
    </xdr:from>
    <xdr:to>
      <xdr:col>1</xdr:col>
      <xdr:colOff>752475</xdr:colOff>
      <xdr:row>264</xdr:row>
      <xdr:rowOff>504825</xdr:rowOff>
    </xdr:to>
    <xdr:pic>
      <xdr:nvPicPr>
        <xdr:cNvPr id="527" name="Subgraph-alinaveed143p"/>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7855325"/>
          <a:ext cx="723900" cy="476250"/>
        </a:xfrm>
        <a:prstGeom prst="rect">
          <a:avLst/>
        </a:prstGeom>
        <a:ln>
          <a:noFill/>
        </a:ln>
      </xdr:spPr>
    </xdr:pic>
    <xdr:clientData/>
  </xdr:twoCellAnchor>
  <xdr:twoCellAnchor editAs="oneCell">
    <xdr:from>
      <xdr:col>1</xdr:col>
      <xdr:colOff>28575</xdr:colOff>
      <xdr:row>265</xdr:row>
      <xdr:rowOff>28575</xdr:rowOff>
    </xdr:from>
    <xdr:to>
      <xdr:col>1</xdr:col>
      <xdr:colOff>752475</xdr:colOff>
      <xdr:row>265</xdr:row>
      <xdr:rowOff>504825</xdr:rowOff>
    </xdr:to>
    <xdr:pic>
      <xdr:nvPicPr>
        <xdr:cNvPr id="529" name="Subgraph-daisydumbl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8379200"/>
          <a:ext cx="723900" cy="476250"/>
        </a:xfrm>
        <a:prstGeom prst="rect">
          <a:avLst/>
        </a:prstGeom>
        <a:ln>
          <a:noFill/>
        </a:ln>
      </xdr:spPr>
    </xdr:pic>
    <xdr:clientData/>
  </xdr:twoCellAnchor>
  <xdr:twoCellAnchor editAs="oneCell">
    <xdr:from>
      <xdr:col>1</xdr:col>
      <xdr:colOff>28575</xdr:colOff>
      <xdr:row>266</xdr:row>
      <xdr:rowOff>28575</xdr:rowOff>
    </xdr:from>
    <xdr:to>
      <xdr:col>1</xdr:col>
      <xdr:colOff>752475</xdr:colOff>
      <xdr:row>266</xdr:row>
      <xdr:rowOff>504825</xdr:rowOff>
    </xdr:to>
    <xdr:pic>
      <xdr:nvPicPr>
        <xdr:cNvPr id="531" name="Subgraph-efsa_eu"/>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38903075"/>
          <a:ext cx="723900" cy="476250"/>
        </a:xfrm>
        <a:prstGeom prst="rect">
          <a:avLst/>
        </a:prstGeom>
        <a:ln>
          <a:noFill/>
        </a:ln>
      </xdr:spPr>
    </xdr:pic>
    <xdr:clientData/>
  </xdr:twoCellAnchor>
  <xdr:twoCellAnchor editAs="oneCell">
    <xdr:from>
      <xdr:col>1</xdr:col>
      <xdr:colOff>28575</xdr:colOff>
      <xdr:row>267</xdr:row>
      <xdr:rowOff>28575</xdr:rowOff>
    </xdr:from>
    <xdr:to>
      <xdr:col>1</xdr:col>
      <xdr:colOff>752475</xdr:colOff>
      <xdr:row>267</xdr:row>
      <xdr:rowOff>504825</xdr:rowOff>
    </xdr:to>
    <xdr:pic>
      <xdr:nvPicPr>
        <xdr:cNvPr id="533" name="Subgraph-countydurhamccg"/>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39426950"/>
          <a:ext cx="723900" cy="476250"/>
        </a:xfrm>
        <a:prstGeom prst="rect">
          <a:avLst/>
        </a:prstGeom>
        <a:ln>
          <a:noFill/>
        </a:ln>
      </xdr:spPr>
    </xdr:pic>
    <xdr:clientData/>
  </xdr:twoCellAnchor>
  <xdr:twoCellAnchor editAs="oneCell">
    <xdr:from>
      <xdr:col>1</xdr:col>
      <xdr:colOff>28575</xdr:colOff>
      <xdr:row>268</xdr:row>
      <xdr:rowOff>28575</xdr:rowOff>
    </xdr:from>
    <xdr:to>
      <xdr:col>1</xdr:col>
      <xdr:colOff>752475</xdr:colOff>
      <xdr:row>268</xdr:row>
      <xdr:rowOff>504825</xdr:rowOff>
    </xdr:to>
    <xdr:pic>
      <xdr:nvPicPr>
        <xdr:cNvPr id="535" name="Subgraph-cppeenglan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9950825"/>
          <a:ext cx="723900" cy="476250"/>
        </a:xfrm>
        <a:prstGeom prst="rect">
          <a:avLst/>
        </a:prstGeom>
        <a:ln>
          <a:noFill/>
        </a:ln>
      </xdr:spPr>
    </xdr:pic>
    <xdr:clientData/>
  </xdr:twoCellAnchor>
  <xdr:twoCellAnchor editAs="oneCell">
    <xdr:from>
      <xdr:col>1</xdr:col>
      <xdr:colOff>28575</xdr:colOff>
      <xdr:row>269</xdr:row>
      <xdr:rowOff>28575</xdr:rowOff>
    </xdr:from>
    <xdr:to>
      <xdr:col>1</xdr:col>
      <xdr:colOff>752475</xdr:colOff>
      <xdr:row>269</xdr:row>
      <xdr:rowOff>504825</xdr:rowOff>
    </xdr:to>
    <xdr:pic>
      <xdr:nvPicPr>
        <xdr:cNvPr id="537" name="Subgraph-curafdn"/>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140474700"/>
          <a:ext cx="723900" cy="476250"/>
        </a:xfrm>
        <a:prstGeom prst="rect">
          <a:avLst/>
        </a:prstGeom>
        <a:ln>
          <a:noFill/>
        </a:ln>
      </xdr:spPr>
    </xdr:pic>
    <xdr:clientData/>
  </xdr:twoCellAnchor>
  <xdr:twoCellAnchor editAs="oneCell">
    <xdr:from>
      <xdr:col>1</xdr:col>
      <xdr:colOff>28575</xdr:colOff>
      <xdr:row>270</xdr:row>
      <xdr:rowOff>28575</xdr:rowOff>
    </xdr:from>
    <xdr:to>
      <xdr:col>1</xdr:col>
      <xdr:colOff>752475</xdr:colOff>
      <xdr:row>270</xdr:row>
      <xdr:rowOff>504825</xdr:rowOff>
    </xdr:to>
    <xdr:pic>
      <xdr:nvPicPr>
        <xdr:cNvPr id="539" name="Subgraph-devshealth"/>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40998575"/>
          <a:ext cx="723900" cy="476250"/>
        </a:xfrm>
        <a:prstGeom prst="rect">
          <a:avLst/>
        </a:prstGeom>
        <a:ln>
          <a:noFill/>
        </a:ln>
      </xdr:spPr>
    </xdr:pic>
    <xdr:clientData/>
  </xdr:twoCellAnchor>
  <xdr:twoCellAnchor editAs="oneCell">
    <xdr:from>
      <xdr:col>1</xdr:col>
      <xdr:colOff>28575</xdr:colOff>
      <xdr:row>271</xdr:row>
      <xdr:rowOff>28575</xdr:rowOff>
    </xdr:from>
    <xdr:to>
      <xdr:col>1</xdr:col>
      <xdr:colOff>752475</xdr:colOff>
      <xdr:row>271</xdr:row>
      <xdr:rowOff>504825</xdr:rowOff>
    </xdr:to>
    <xdr:pic>
      <xdr:nvPicPr>
        <xdr:cNvPr id="541" name="Subgraph-cheshireeas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41522450"/>
          <a:ext cx="723900" cy="476250"/>
        </a:xfrm>
        <a:prstGeom prst="rect">
          <a:avLst/>
        </a:prstGeom>
        <a:ln>
          <a:noFill/>
        </a:ln>
      </xdr:spPr>
    </xdr:pic>
    <xdr:clientData/>
  </xdr:twoCellAnchor>
  <xdr:twoCellAnchor editAs="oneCell">
    <xdr:from>
      <xdr:col>1</xdr:col>
      <xdr:colOff>28575</xdr:colOff>
      <xdr:row>272</xdr:row>
      <xdr:rowOff>28575</xdr:rowOff>
    </xdr:from>
    <xdr:to>
      <xdr:col>1</xdr:col>
      <xdr:colOff>752475</xdr:colOff>
      <xdr:row>272</xdr:row>
      <xdr:rowOff>504825</xdr:rowOff>
    </xdr:to>
    <xdr:pic>
      <xdr:nvPicPr>
        <xdr:cNvPr id="543" name="Subgraph-arsl_raz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42046325"/>
          <a:ext cx="723900" cy="476250"/>
        </a:xfrm>
        <a:prstGeom prst="rect">
          <a:avLst/>
        </a:prstGeom>
        <a:ln>
          <a:noFill/>
        </a:ln>
      </xdr:spPr>
    </xdr:pic>
    <xdr:clientData/>
  </xdr:twoCellAnchor>
  <xdr:twoCellAnchor editAs="oneCell">
    <xdr:from>
      <xdr:col>1</xdr:col>
      <xdr:colOff>28575</xdr:colOff>
      <xdr:row>273</xdr:row>
      <xdr:rowOff>28575</xdr:rowOff>
    </xdr:from>
    <xdr:to>
      <xdr:col>1</xdr:col>
      <xdr:colOff>752475</xdr:colOff>
      <xdr:row>273</xdr:row>
      <xdr:rowOff>504825</xdr:rowOff>
    </xdr:to>
    <xdr:pic>
      <xdr:nvPicPr>
        <xdr:cNvPr id="545" name="Subgraph-alinfectdi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42570200"/>
          <a:ext cx="723900" cy="476250"/>
        </a:xfrm>
        <a:prstGeom prst="rect">
          <a:avLst/>
        </a:prstGeom>
        <a:ln>
          <a:noFill/>
        </a:ln>
      </xdr:spPr>
    </xdr:pic>
    <xdr:clientData/>
  </xdr:twoCellAnchor>
  <xdr:twoCellAnchor editAs="oneCell">
    <xdr:from>
      <xdr:col>1</xdr:col>
      <xdr:colOff>28575</xdr:colOff>
      <xdr:row>274</xdr:row>
      <xdr:rowOff>28575</xdr:rowOff>
    </xdr:from>
    <xdr:to>
      <xdr:col>1</xdr:col>
      <xdr:colOff>752475</xdr:colOff>
      <xdr:row>274</xdr:row>
      <xdr:rowOff>504825</xdr:rowOff>
    </xdr:to>
    <xdr:pic>
      <xdr:nvPicPr>
        <xdr:cNvPr id="547" name="Subgraph-ebpcooh"/>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43094075"/>
          <a:ext cx="723900" cy="476250"/>
        </a:xfrm>
        <a:prstGeom prst="rect">
          <a:avLst/>
        </a:prstGeom>
        <a:ln>
          <a:noFill/>
        </a:ln>
      </xdr:spPr>
    </xdr:pic>
    <xdr:clientData/>
  </xdr:twoCellAnchor>
  <xdr:twoCellAnchor editAs="oneCell">
    <xdr:from>
      <xdr:col>1</xdr:col>
      <xdr:colOff>28575</xdr:colOff>
      <xdr:row>275</xdr:row>
      <xdr:rowOff>28575</xdr:rowOff>
    </xdr:from>
    <xdr:to>
      <xdr:col>1</xdr:col>
      <xdr:colOff>752475</xdr:colOff>
      <xdr:row>275</xdr:row>
      <xdr:rowOff>504825</xdr:rowOff>
    </xdr:to>
    <xdr:pic>
      <xdr:nvPicPr>
        <xdr:cNvPr id="549" name="Subgraph-awg_new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43617950"/>
          <a:ext cx="723900" cy="476250"/>
        </a:xfrm>
        <a:prstGeom prst="rect">
          <a:avLst/>
        </a:prstGeom>
        <a:ln>
          <a:noFill/>
        </a:ln>
      </xdr:spPr>
    </xdr:pic>
    <xdr:clientData/>
  </xdr:twoCellAnchor>
  <xdr:twoCellAnchor editAs="oneCell">
    <xdr:from>
      <xdr:col>1</xdr:col>
      <xdr:colOff>28575</xdr:colOff>
      <xdr:row>276</xdr:row>
      <xdr:rowOff>28575</xdr:rowOff>
    </xdr:from>
    <xdr:to>
      <xdr:col>1</xdr:col>
      <xdr:colOff>752475</xdr:colOff>
      <xdr:row>276</xdr:row>
      <xdr:rowOff>504825</xdr:rowOff>
    </xdr:to>
    <xdr:pic>
      <xdr:nvPicPr>
        <xdr:cNvPr id="551" name="Subgraph-dse22"/>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44141825"/>
          <a:ext cx="723900" cy="476250"/>
        </a:xfrm>
        <a:prstGeom prst="rect">
          <a:avLst/>
        </a:prstGeom>
        <a:ln>
          <a:noFill/>
        </a:ln>
      </xdr:spPr>
    </xdr:pic>
    <xdr:clientData/>
  </xdr:twoCellAnchor>
  <xdr:twoCellAnchor editAs="oneCell">
    <xdr:from>
      <xdr:col>1</xdr:col>
      <xdr:colOff>28575</xdr:colOff>
      <xdr:row>277</xdr:row>
      <xdr:rowOff>28575</xdr:rowOff>
    </xdr:from>
    <xdr:to>
      <xdr:col>1</xdr:col>
      <xdr:colOff>752475</xdr:colOff>
      <xdr:row>277</xdr:row>
      <xdr:rowOff>504825</xdr:rowOff>
    </xdr:to>
    <xdr:pic>
      <xdr:nvPicPr>
        <xdr:cNvPr id="553" name="Subgraph-arlgnetwork"/>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446657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429" totalsRowShown="0" headerRowDxfId="434" dataDxfId="398">
  <autoFilter ref="A2:BN429"/>
  <tableColumns count="66">
    <tableColumn id="1" name="Vertex 1" dataDxfId="383"/>
    <tableColumn id="2" name="Vertex 2" dataDxfId="381"/>
    <tableColumn id="3" name="Color" dataDxfId="382"/>
    <tableColumn id="4" name="Width" dataDxfId="407"/>
    <tableColumn id="11" name="Style" dataDxfId="406"/>
    <tableColumn id="5" name="Opacity" dataDxfId="405"/>
    <tableColumn id="6" name="Visibility" dataDxfId="404"/>
    <tableColumn id="10" name="Label" dataDxfId="403"/>
    <tableColumn id="12" name="Label Text Color" dataDxfId="402"/>
    <tableColumn id="13" name="Label Font Size" dataDxfId="401"/>
    <tableColumn id="14" name="Reciprocated?" dataDxfId="287"/>
    <tableColumn id="7" name="ID" dataDxfId="400"/>
    <tableColumn id="9" name="Dynamic Filter" dataDxfId="399"/>
    <tableColumn id="8" name="Add Your Own Columns Here" dataDxfId="380"/>
    <tableColumn id="15" name="Relationship" dataDxfId="379"/>
    <tableColumn id="16" name="Relationship Date (UTC)" dataDxfId="378"/>
    <tableColumn id="17" name="Tweet" dataDxfId="377"/>
    <tableColumn id="18" name="URLs in Tweet" dataDxfId="376"/>
    <tableColumn id="19" name="Domains in Tweet" dataDxfId="375"/>
    <tableColumn id="20" name="Hashtags in Tweet" dataDxfId="374"/>
    <tableColumn id="21" name="Media in Tweet" dataDxfId="373"/>
    <tableColumn id="22" name="Tweet Image File" dataDxfId="372"/>
    <tableColumn id="23" name="Tweet Date (UTC)" dataDxfId="371"/>
    <tableColumn id="24" name="Date" dataDxfId="370"/>
    <tableColumn id="25" name="Time" dataDxfId="369"/>
    <tableColumn id="26" name="Twitter Page for Tweet" dataDxfId="368"/>
    <tableColumn id="27" name="Latitude" dataDxfId="367"/>
    <tableColumn id="28" name="Longitude" dataDxfId="366"/>
    <tableColumn id="29" name="Imported ID" dataDxfId="365"/>
    <tableColumn id="30" name="In-Reply-To Tweet ID" dataDxfId="364"/>
    <tableColumn id="31" name="Favorited" dataDxfId="363"/>
    <tableColumn id="32" name="Favorite Count" dataDxfId="362"/>
    <tableColumn id="33" name="In-Reply-To User ID" dataDxfId="361"/>
    <tableColumn id="34" name="Is Quote Status" dataDxfId="360"/>
    <tableColumn id="35" name="Language" dataDxfId="359"/>
    <tableColumn id="36" name="Possibly Sensitive" dataDxfId="358"/>
    <tableColumn id="37" name="Quoted Status ID" dataDxfId="357"/>
    <tableColumn id="38" name="Retweeted" dataDxfId="356"/>
    <tableColumn id="39" name="Retweet Count" dataDxfId="355"/>
    <tableColumn id="40" name="Retweet ID" dataDxfId="354"/>
    <tableColumn id="41" name="Source" dataDxfId="353"/>
    <tableColumn id="42" name="Truncated" dataDxfId="352"/>
    <tableColumn id="43" name="Unified Twitter ID" dataDxfId="351"/>
    <tableColumn id="44" name="Imported Tweet Type" dataDxfId="350"/>
    <tableColumn id="45" name="Added By Extended Analysis" dataDxfId="349"/>
    <tableColumn id="46" name="Corrected By Extended Analysis" dataDxfId="348"/>
    <tableColumn id="47" name="Place Bounding Box" dataDxfId="347"/>
    <tableColumn id="48" name="Place Country" dataDxfId="346"/>
    <tableColumn id="49" name="Place Country Code" dataDxfId="345"/>
    <tableColumn id="50" name="Place Full Name" dataDxfId="344"/>
    <tableColumn id="51" name="Place ID" dataDxfId="343"/>
    <tableColumn id="52" name="Place Name" dataDxfId="342"/>
    <tableColumn id="53" name="Place Type" dataDxfId="341"/>
    <tableColumn id="54" name="Place URL" dataDxfId="340"/>
    <tableColumn id="55" name="Edge Weight"/>
    <tableColumn id="56" name="Vertex 1 Group" dataDxfId="302">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List1 Word Count" dataDxfId="52"/>
    <tableColumn id="59" name="Sentiment List #1: List1 Word Percentage (%)" dataDxfId="51"/>
    <tableColumn id="60" name="Sentiment List #2: List2 Word Count" dataDxfId="50"/>
    <tableColumn id="61" name="Sentiment List #2: List2 Word Percentage (%)" dataDxfId="49"/>
    <tableColumn id="62" name="Sentiment List #3: List3 Word Count" dataDxfId="48"/>
    <tableColumn id="63" name="Sentiment List #3: List3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286" dataDxfId="285">
  <autoFilter ref="A1:V11"/>
  <tableColumns count="22">
    <tableColumn id="1" name="Top URLs in Tweet in Entire Graph" dataDxfId="284"/>
    <tableColumn id="2" name="Entire Graph Count" dataDxfId="283"/>
    <tableColumn id="3" name="Top URLs in Tweet in G1" dataDxfId="282"/>
    <tableColumn id="4" name="G1 Count" dataDxfId="281"/>
    <tableColumn id="5" name="Top URLs in Tweet in G2" dataDxfId="280"/>
    <tableColumn id="6" name="G2 Count" dataDxfId="279"/>
    <tableColumn id="7" name="Top URLs in Tweet in G3" dataDxfId="278"/>
    <tableColumn id="8" name="G3 Count" dataDxfId="277"/>
    <tableColumn id="9" name="Top URLs in Tweet in G4" dataDxfId="276"/>
    <tableColumn id="10" name="G4 Count" dataDxfId="275"/>
    <tableColumn id="11" name="Top URLs in Tweet in G5" dataDxfId="274"/>
    <tableColumn id="12" name="G5 Count" dataDxfId="273"/>
    <tableColumn id="13" name="Top URLs in Tweet in G6" dataDxfId="272"/>
    <tableColumn id="14" name="G6 Count" dataDxfId="271"/>
    <tableColumn id="15" name="Top URLs in Tweet in G7" dataDxfId="270"/>
    <tableColumn id="16" name="G7 Count" dataDxfId="269"/>
    <tableColumn id="17" name="Top URLs in Tweet in G8" dataDxfId="268"/>
    <tableColumn id="18" name="G8 Count" dataDxfId="267"/>
    <tableColumn id="19" name="Top URLs in Tweet in G9" dataDxfId="266"/>
    <tableColumn id="20" name="G9 Count" dataDxfId="265"/>
    <tableColumn id="21" name="Top URLs in Tweet in G10" dataDxfId="264"/>
    <tableColumn id="22" name="G10 Count" dataDxfId="26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261" dataDxfId="260">
  <autoFilter ref="A14:V24"/>
  <tableColumns count="22">
    <tableColumn id="1" name="Top Domains in Tweet in Entire Graph" dataDxfId="259"/>
    <tableColumn id="2" name="Entire Graph Count" dataDxfId="258"/>
    <tableColumn id="3" name="Top Domains in Tweet in G1" dataDxfId="257"/>
    <tableColumn id="4" name="G1 Count" dataDxfId="256"/>
    <tableColumn id="5" name="Top Domains in Tweet in G2" dataDxfId="255"/>
    <tableColumn id="6" name="G2 Count" dataDxfId="254"/>
    <tableColumn id="7" name="Top Domains in Tweet in G3" dataDxfId="253"/>
    <tableColumn id="8" name="G3 Count" dataDxfId="252"/>
    <tableColumn id="9" name="Top Domains in Tweet in G4" dataDxfId="251"/>
    <tableColumn id="10" name="G4 Count" dataDxfId="250"/>
    <tableColumn id="11" name="Top Domains in Tweet in G5" dataDxfId="249"/>
    <tableColumn id="12" name="G5 Count" dataDxfId="248"/>
    <tableColumn id="13" name="Top Domains in Tweet in G6" dataDxfId="247"/>
    <tableColumn id="14" name="G6 Count" dataDxfId="246"/>
    <tableColumn id="15" name="Top Domains in Tweet in G7" dataDxfId="245"/>
    <tableColumn id="16" name="G7 Count" dataDxfId="244"/>
    <tableColumn id="17" name="Top Domains in Tweet in G8" dataDxfId="243"/>
    <tableColumn id="18" name="G8 Count" dataDxfId="242"/>
    <tableColumn id="19" name="Top Domains in Tweet in G9" dataDxfId="241"/>
    <tableColumn id="20" name="G9 Count" dataDxfId="240"/>
    <tableColumn id="21" name="Top Domains in Tweet in G10" dataDxfId="239"/>
    <tableColumn id="22" name="G10 Count" dataDxfId="23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236" dataDxfId="235">
  <autoFilter ref="A27:V37"/>
  <tableColumns count="22">
    <tableColumn id="1" name="Top Hashtags in Tweet in Entire Graph" dataDxfId="234"/>
    <tableColumn id="2" name="Entire Graph Count" dataDxfId="233"/>
    <tableColumn id="3" name="Top Hashtags in Tweet in G1" dataDxfId="232"/>
    <tableColumn id="4" name="G1 Count" dataDxfId="231"/>
    <tableColumn id="5" name="Top Hashtags in Tweet in G2" dataDxfId="230"/>
    <tableColumn id="6" name="G2 Count" dataDxfId="229"/>
    <tableColumn id="7" name="Top Hashtags in Tweet in G3" dataDxfId="228"/>
    <tableColumn id="8" name="G3 Count" dataDxfId="227"/>
    <tableColumn id="9" name="Top Hashtags in Tweet in G4" dataDxfId="226"/>
    <tableColumn id="10" name="G4 Count" dataDxfId="225"/>
    <tableColumn id="11" name="Top Hashtags in Tweet in G5" dataDxfId="224"/>
    <tableColumn id="12" name="G5 Count" dataDxfId="223"/>
    <tableColumn id="13" name="Top Hashtags in Tweet in G6" dataDxfId="222"/>
    <tableColumn id="14" name="G6 Count" dataDxfId="221"/>
    <tableColumn id="15" name="Top Hashtags in Tweet in G7" dataDxfId="220"/>
    <tableColumn id="16" name="G7 Count" dataDxfId="219"/>
    <tableColumn id="17" name="Top Hashtags in Tweet in G8" dataDxfId="218"/>
    <tableColumn id="18" name="G8 Count" dataDxfId="217"/>
    <tableColumn id="19" name="Top Hashtags in Tweet in G9" dataDxfId="216"/>
    <tableColumn id="20" name="G9 Count" dataDxfId="215"/>
    <tableColumn id="21" name="Top Hashtags in Tweet in G10" dataDxfId="214"/>
    <tableColumn id="22" name="G10 Count" dataDxfId="21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11" dataDxfId="210">
  <autoFilter ref="A40:V50"/>
  <tableColumns count="22">
    <tableColumn id="1" name="Top Words in Tweet in Entire Graph" dataDxfId="209"/>
    <tableColumn id="2" name="Entire Graph Count" dataDxfId="208"/>
    <tableColumn id="3" name="Top Words in Tweet in G1" dataDxfId="207"/>
    <tableColumn id="4" name="G1 Count" dataDxfId="206"/>
    <tableColumn id="5" name="Top Words in Tweet in G2" dataDxfId="205"/>
    <tableColumn id="6" name="G2 Count" dataDxfId="204"/>
    <tableColumn id="7" name="Top Words in Tweet in G3" dataDxfId="203"/>
    <tableColumn id="8" name="G3 Count" dataDxfId="202"/>
    <tableColumn id="9" name="Top Words in Tweet in G4" dataDxfId="201"/>
    <tableColumn id="10" name="G4 Count" dataDxfId="200"/>
    <tableColumn id="11" name="Top Words in Tweet in G5" dataDxfId="199"/>
    <tableColumn id="12" name="G5 Count" dataDxfId="198"/>
    <tableColumn id="13" name="Top Words in Tweet in G6" dataDxfId="197"/>
    <tableColumn id="14" name="G6 Count" dataDxfId="196"/>
    <tableColumn id="15" name="Top Words in Tweet in G7" dataDxfId="195"/>
    <tableColumn id="16" name="G7 Count" dataDxfId="194"/>
    <tableColumn id="17" name="Top Words in Tweet in G8" dataDxfId="193"/>
    <tableColumn id="18" name="G8 Count" dataDxfId="192"/>
    <tableColumn id="19" name="Top Words in Tweet in G9" dataDxfId="191"/>
    <tableColumn id="20" name="G9 Count" dataDxfId="190"/>
    <tableColumn id="21" name="Top Words in Tweet in G10" dataDxfId="189"/>
    <tableColumn id="22" name="G10 Count" dataDxfId="18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186" dataDxfId="185">
  <autoFilter ref="A53:V63"/>
  <tableColumns count="22">
    <tableColumn id="1" name="Top Word Pairs in Tweet in Entire Graph" dataDxfId="184"/>
    <tableColumn id="2" name="Entire Graph Count" dataDxfId="183"/>
    <tableColumn id="3" name="Top Word Pairs in Tweet in G1" dataDxfId="182"/>
    <tableColumn id="4" name="G1 Count" dataDxfId="181"/>
    <tableColumn id="5" name="Top Word Pairs in Tweet in G2" dataDxfId="180"/>
    <tableColumn id="6" name="G2 Count" dataDxfId="179"/>
    <tableColumn id="7" name="Top Word Pairs in Tweet in G3" dataDxfId="178"/>
    <tableColumn id="8" name="G3 Count" dataDxfId="177"/>
    <tableColumn id="9" name="Top Word Pairs in Tweet in G4" dataDxfId="176"/>
    <tableColumn id="10" name="G4 Count" dataDxfId="175"/>
    <tableColumn id="11" name="Top Word Pairs in Tweet in G5" dataDxfId="174"/>
    <tableColumn id="12" name="G5 Count" dataDxfId="173"/>
    <tableColumn id="13" name="Top Word Pairs in Tweet in G6" dataDxfId="172"/>
    <tableColumn id="14" name="G6 Count" dataDxfId="171"/>
    <tableColumn id="15" name="Top Word Pairs in Tweet in G7" dataDxfId="170"/>
    <tableColumn id="16" name="G7 Count" dataDxfId="169"/>
    <tableColumn id="17" name="Top Word Pairs in Tweet in G8" dataDxfId="168"/>
    <tableColumn id="18" name="G8 Count" dataDxfId="167"/>
    <tableColumn id="19" name="Top Word Pairs in Tweet in G9" dataDxfId="166"/>
    <tableColumn id="20" name="G9 Count" dataDxfId="165"/>
    <tableColumn id="21" name="Top Word Pairs in Tweet in G10" dataDxfId="164"/>
    <tableColumn id="22" name="G10 Count" dataDxfId="16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2" totalsRowShown="0" headerRowDxfId="161" dataDxfId="160">
  <autoFilter ref="A66:V72"/>
  <tableColumns count="22">
    <tableColumn id="1" name="Top Replied-To in Entire Graph" dataDxfId="159"/>
    <tableColumn id="2" name="Entire Graph Count" dataDxfId="155"/>
    <tableColumn id="3" name="Top Replied-To in G1" dataDxfId="154"/>
    <tableColumn id="4" name="G1 Count" dataDxfId="151"/>
    <tableColumn id="5" name="Top Replied-To in G2" dataDxfId="150"/>
    <tableColumn id="6" name="G2 Count" dataDxfId="147"/>
    <tableColumn id="7" name="Top Replied-To in G3" dataDxfId="146"/>
    <tableColumn id="8" name="G3 Count" dataDxfId="143"/>
    <tableColumn id="9" name="Top Replied-To in G4" dataDxfId="142"/>
    <tableColumn id="10" name="G4 Count" dataDxfId="139"/>
    <tableColumn id="11" name="Top Replied-To in G5" dataDxfId="138"/>
    <tableColumn id="12" name="G5 Count" dataDxfId="135"/>
    <tableColumn id="13" name="Top Replied-To in G6" dataDxfId="134"/>
    <tableColumn id="14" name="G6 Count" dataDxfId="131"/>
    <tableColumn id="15" name="Top Replied-To in G7" dataDxfId="130"/>
    <tableColumn id="16" name="G7 Count" dataDxfId="127"/>
    <tableColumn id="17" name="Top Replied-To in G8" dataDxfId="126"/>
    <tableColumn id="18" name="G8 Count" dataDxfId="123"/>
    <tableColumn id="19" name="Top Replied-To in G9" dataDxfId="122"/>
    <tableColumn id="20" name="G9 Count" dataDxfId="119"/>
    <tableColumn id="21" name="Top Replied-To in G10" dataDxfId="118"/>
    <tableColumn id="22" name="G10 Count" dataDxfId="117"/>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5:V85" totalsRowShown="0" headerRowDxfId="158" dataDxfId="157">
  <autoFilter ref="A75:V85"/>
  <tableColumns count="22">
    <tableColumn id="1" name="Top Mentioned in Entire Graph" dataDxfId="156"/>
    <tableColumn id="2" name="Entire Graph Count" dataDxfId="153"/>
    <tableColumn id="3" name="Top Mentioned in G1" dataDxfId="152"/>
    <tableColumn id="4" name="G1 Count" dataDxfId="149"/>
    <tableColumn id="5" name="Top Mentioned in G2" dataDxfId="148"/>
    <tableColumn id="6" name="G2 Count" dataDxfId="145"/>
    <tableColumn id="7" name="Top Mentioned in G3" dataDxfId="144"/>
    <tableColumn id="8" name="G3 Count" dataDxfId="141"/>
    <tableColumn id="9" name="Top Mentioned in G4" dataDxfId="140"/>
    <tableColumn id="10" name="G4 Count" dataDxfId="137"/>
    <tableColumn id="11" name="Top Mentioned in G5" dataDxfId="136"/>
    <tableColumn id="12" name="G5 Count" dataDxfId="133"/>
    <tableColumn id="13" name="Top Mentioned in G6" dataDxfId="132"/>
    <tableColumn id="14" name="G6 Count" dataDxfId="129"/>
    <tableColumn id="15" name="Top Mentioned in G7" dataDxfId="128"/>
    <tableColumn id="16" name="G7 Count" dataDxfId="125"/>
    <tableColumn id="17" name="Top Mentioned in G8" dataDxfId="124"/>
    <tableColumn id="18" name="G8 Count" dataDxfId="121"/>
    <tableColumn id="19" name="Top Mentioned in G9" dataDxfId="120"/>
    <tableColumn id="20" name="G9 Count" dataDxfId="116"/>
    <tableColumn id="21" name="Top Mentioned in G10" dataDxfId="115"/>
    <tableColumn id="22" name="G10 Count" dataDxfId="11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8:V98" totalsRowShown="0" headerRowDxfId="111" dataDxfId="110">
  <autoFilter ref="A88:V98"/>
  <tableColumns count="22">
    <tableColumn id="1" name="Top Tweeters in Entire Graph" dataDxfId="109"/>
    <tableColumn id="2" name="Entire Graph Count" dataDxfId="108"/>
    <tableColumn id="3" name="Top Tweeters in G1" dataDxfId="107"/>
    <tableColumn id="4" name="G1 Count" dataDxfId="106"/>
    <tableColumn id="5" name="Top Tweeters in G2" dataDxfId="105"/>
    <tableColumn id="6" name="G2 Count" dataDxfId="104"/>
    <tableColumn id="7" name="Top Tweeters in G3" dataDxfId="103"/>
    <tableColumn id="8" name="G3 Count" dataDxfId="102"/>
    <tableColumn id="9" name="Top Tweeters in G4" dataDxfId="101"/>
    <tableColumn id="10" name="G4 Count" dataDxfId="100"/>
    <tableColumn id="11" name="Top Tweeters in G5" dataDxfId="99"/>
    <tableColumn id="12" name="G5 Count" dataDxfId="98"/>
    <tableColumn id="13" name="Top Tweeters in G6" dataDxfId="97"/>
    <tableColumn id="14" name="G6 Count" dataDxfId="96"/>
    <tableColumn id="15" name="Top Tweeters in G7" dataDxfId="95"/>
    <tableColumn id="16" name="G7 Count" dataDxfId="94"/>
    <tableColumn id="17" name="Top Tweeters in G8" dataDxfId="93"/>
    <tableColumn id="18" name="G8 Count" dataDxfId="92"/>
    <tableColumn id="19" name="Top Tweeters in G9" dataDxfId="91"/>
    <tableColumn id="20" name="G9 Count" dataDxfId="90"/>
    <tableColumn id="21" name="Top Tweeters in G10" dataDxfId="89"/>
    <tableColumn id="22" name="G10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1041" totalsRowShown="0" headerRowDxfId="76" dataDxfId="75">
  <autoFilter ref="A1:G1041"/>
  <tableColumns count="7">
    <tableColumn id="1" name="Word" dataDxfId="74"/>
    <tableColumn id="2" name="Count" dataDxfId="73"/>
    <tableColumn id="3" name="Salience" dataDxfId="72"/>
    <tableColumn id="4" name="Group" dataDxfId="71"/>
    <tableColumn id="5" name="Word on Sentiment List #1: List1" dataDxfId="70"/>
    <tableColumn id="6" name="Word on Sentiment List #2: List2" dataDxfId="69"/>
    <tableColumn id="7" name="Word on Sentiment List #3: List3"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278" totalsRowShown="0" headerRowDxfId="433" dataDxfId="384">
  <autoFilter ref="A2:BU278"/>
  <tableColumns count="73">
    <tableColumn id="1" name="Vertex" dataDxfId="397"/>
    <tableColumn id="73" name="Subgraph"/>
    <tableColumn id="2" name="Color" dataDxfId="396"/>
    <tableColumn id="5" name="Shape" dataDxfId="395"/>
    <tableColumn id="6" name="Size" dataDxfId="394"/>
    <tableColumn id="4" name="Opacity" dataDxfId="319"/>
    <tableColumn id="7" name="Image File" dataDxfId="317"/>
    <tableColumn id="3" name="Visibility" dataDxfId="318"/>
    <tableColumn id="10" name="Label" dataDxfId="393"/>
    <tableColumn id="16" name="Label Fill Color" dataDxfId="392"/>
    <tableColumn id="9" name="Label Position" dataDxfId="313"/>
    <tableColumn id="8" name="Tooltip" dataDxfId="311"/>
    <tableColumn id="18" name="Layout Order" dataDxfId="312"/>
    <tableColumn id="13" name="X" dataDxfId="391"/>
    <tableColumn id="14" name="Y" dataDxfId="390"/>
    <tableColumn id="12" name="Locked?" dataDxfId="389"/>
    <tableColumn id="19" name="Polar R" dataDxfId="388"/>
    <tableColumn id="20" name="Polar Angle" dataDxfId="387"/>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86"/>
    <tableColumn id="28" name="Dynamic Filter" dataDxfId="385"/>
    <tableColumn id="17" name="Add Your Own Columns Here" dataDxfId="339"/>
    <tableColumn id="30" name="Name" dataDxfId="338"/>
    <tableColumn id="31" name="User ID" dataDxfId="337"/>
    <tableColumn id="32" name="Followed" dataDxfId="336"/>
    <tableColumn id="33" name="Followers" dataDxfId="335"/>
    <tableColumn id="34" name="Tweets" dataDxfId="334"/>
    <tableColumn id="35" name="Favorites" dataDxfId="333"/>
    <tableColumn id="36" name="Time Zone UTC Offset (Seconds)" dataDxfId="332"/>
    <tableColumn id="37" name="Description" dataDxfId="331"/>
    <tableColumn id="38" name="Location" dataDxfId="330"/>
    <tableColumn id="39" name="Web" dataDxfId="329"/>
    <tableColumn id="40" name="Time Zone" dataDxfId="328"/>
    <tableColumn id="41" name="Joined Twitter Date (UTC)" dataDxfId="327"/>
    <tableColumn id="42" name="Profile Banner Url" dataDxfId="326"/>
    <tableColumn id="43" name="Default Profile" dataDxfId="325"/>
    <tableColumn id="44" name="Default Profile Image" dataDxfId="324"/>
    <tableColumn id="45" name="Geo Enabled" dataDxfId="323"/>
    <tableColumn id="46" name="Language" dataDxfId="322"/>
    <tableColumn id="47" name="Listed Count" dataDxfId="321"/>
    <tableColumn id="48" name="Profile Background Image Url" dataDxfId="320"/>
    <tableColumn id="49" name="Verified" dataDxfId="316"/>
    <tableColumn id="50" name="Custom Menu Item Text" dataDxfId="315"/>
    <tableColumn id="51" name="Custom Menu Item Action" dataDxfId="314"/>
    <tableColumn id="52" name="Tweeted Search Term?" dataDxfId="303"/>
    <tableColumn id="53" name="Vertex Group" dataDxfId="86">
      <calculatedColumnFormula>REPLACE(INDEX(GroupVertices[Group], MATCH(Vertices[[#This Row],[Vertex]],GroupVertices[Vertex],0)),1,1,"")</calculatedColumnFormula>
    </tableColumn>
    <tableColumn id="54" name="Top URLs in Tweet by Count" dataDxfId="85"/>
    <tableColumn id="55" name="Top URLs in Tweet by Salience" dataDxfId="84"/>
    <tableColumn id="56" name="Top Domains in Tweet by Count" dataDxfId="83"/>
    <tableColumn id="57" name="Top Domains in Tweet by Salience" dataDxfId="82"/>
    <tableColumn id="58" name="Top Hashtags in Tweet by Count" dataDxfId="81"/>
    <tableColumn id="59" name="Top Hashtags in Tweet by Salience" dataDxfId="80"/>
    <tableColumn id="60" name="Top Words in Tweet by Count" dataDxfId="79"/>
    <tableColumn id="61" name="Top Words in Tweet by Salience" dataDxfId="78"/>
    <tableColumn id="62" name="Top Word Pairs in Tweet by Count" dataDxfId="77"/>
    <tableColumn id="63" name="Top Word Pairs in Tweet by Salience" dataDxfId="43"/>
    <tableColumn id="64" name="Sentiment List #1: List1 Word Count" dataDxfId="42"/>
    <tableColumn id="65" name="Sentiment List #1: List1 Word Percentage (%)" dataDxfId="41"/>
    <tableColumn id="66" name="Sentiment List #2: List2 Word Count" dataDxfId="40"/>
    <tableColumn id="67" name="Sentiment List #2: List2 Word Percentage (%)" dataDxfId="39"/>
    <tableColumn id="68" name="Sentiment List #3: List3 Word Count" dataDxfId="38"/>
    <tableColumn id="69" name="Sentiment List #3: List3 Word Percentage (%)" dataDxfId="37"/>
    <tableColumn id="70" name="Non-categorized Word Count" dataDxfId="36"/>
    <tableColumn id="71" name="Non-categorized Word Percentage (%)" dataDxfId="35"/>
    <tableColumn id="72"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851" totalsRowShown="0" headerRowDxfId="67" dataDxfId="66">
  <autoFilter ref="A1:L851"/>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List1" dataDxfId="59"/>
    <tableColumn id="8" name="Word1 on Sentiment List #2: List2" dataDxfId="58"/>
    <tableColumn id="9" name="Word1 on Sentiment List #3: List3" dataDxfId="57"/>
    <tableColumn id="10" name="Word2 on Sentiment List #1: List1" dataDxfId="56"/>
    <tableColumn id="11" name="Word2 on Sentiment List #2: List2" dataDxfId="55"/>
    <tableColumn id="12" name="Word2 on Sentiment List #3: List3"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2" totalsRowShown="0" headerRowDxfId="23" dataDxfId="22">
  <autoFilter ref="A2:C32"/>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8" totalsRowShown="0" headerRowDxfId="432">
  <autoFilter ref="A2:AO28"/>
  <tableColumns count="41">
    <tableColumn id="1" name="Group" dataDxfId="310"/>
    <tableColumn id="2" name="Vertex Color" dataDxfId="309"/>
    <tableColumn id="3" name="Vertex Shape" dataDxfId="307"/>
    <tableColumn id="22" name="Visibility" dataDxfId="308"/>
    <tableColumn id="4" name="Collapsed?"/>
    <tableColumn id="18" name="Label" dataDxfId="431"/>
    <tableColumn id="20" name="Collapsed X"/>
    <tableColumn id="21" name="Collapsed Y"/>
    <tableColumn id="6" name="ID" dataDxfId="430"/>
    <tableColumn id="19" name="Collapsed Properties" dataDxfId="301"/>
    <tableColumn id="5" name="Vertices" dataDxfId="300"/>
    <tableColumn id="7" name="Unique Edges" dataDxfId="299"/>
    <tableColumn id="8" name="Edges With Duplicates" dataDxfId="298"/>
    <tableColumn id="9" name="Total Edges" dataDxfId="297"/>
    <tableColumn id="10" name="Self-Loops" dataDxfId="296"/>
    <tableColumn id="24" name="Reciprocated Vertex Pair Ratio" dataDxfId="295"/>
    <tableColumn id="25" name="Reciprocated Edge Ratio" dataDxfId="294"/>
    <tableColumn id="11" name="Connected Components" dataDxfId="293"/>
    <tableColumn id="12" name="Single-Vertex Connected Components" dataDxfId="292"/>
    <tableColumn id="13" name="Maximum Vertices in a Connected Component" dataDxfId="291"/>
    <tableColumn id="14" name="Maximum Edges in a Connected Component" dataDxfId="290"/>
    <tableColumn id="15" name="Maximum Geodesic Distance (Diameter)" dataDxfId="289"/>
    <tableColumn id="16" name="Average Geodesic Distance" dataDxfId="288"/>
    <tableColumn id="17" name="Graph Density" dataDxfId="262"/>
    <tableColumn id="23" name="Top URLs in Tweet" dataDxfId="237"/>
    <tableColumn id="26" name="Top Domains in Tweet" dataDxfId="212"/>
    <tableColumn id="27" name="Top Hashtags in Tweet" dataDxfId="187"/>
    <tableColumn id="28" name="Top Words in Tweet" dataDxfId="162"/>
    <tableColumn id="29" name="Top Word Pairs in Tweet" dataDxfId="113"/>
    <tableColumn id="30" name="Top Replied-To in Tweet" dataDxfId="112"/>
    <tableColumn id="31" name="Top Mentioned in Tweet" dataDxfId="87"/>
    <tableColumn id="32" name="Top Tweeters" dataDxfId="33"/>
    <tableColumn id="33" name="Sentiment List #1: List1 Word Count" dataDxfId="32"/>
    <tableColumn id="34" name="Sentiment List #1: List1 Word Percentage (%)" dataDxfId="31"/>
    <tableColumn id="35" name="Sentiment List #2: List2 Word Count" dataDxfId="30"/>
    <tableColumn id="36" name="Sentiment List #2: List2 Word Percentage (%)" dataDxfId="29"/>
    <tableColumn id="37" name="Sentiment List #3: List3 Word Count" dataDxfId="28"/>
    <tableColumn id="38" name="Sentiment List #3: List3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77" totalsRowShown="0" headerRowDxfId="429" dataDxfId="428">
  <autoFilter ref="A1:C277"/>
  <tableColumns count="3">
    <tableColumn id="1" name="Group" dataDxfId="306"/>
    <tableColumn id="2" name="Vertex" dataDxfId="305"/>
    <tableColumn id="3" name="Vertex ID" dataDxfId="30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7"/>
    <tableColumn id="2" name="Degree Frequency" dataDxfId="426">
      <calculatedColumnFormula>COUNTIF(Vertices[Degree], "&gt;= " &amp; D2) - COUNTIF(Vertices[Degree], "&gt;=" &amp; D3)</calculatedColumnFormula>
    </tableColumn>
    <tableColumn id="3" name="In-Degree Bin" dataDxfId="425"/>
    <tableColumn id="4" name="In-Degree Frequency" dataDxfId="424">
      <calculatedColumnFormula>COUNTIF(Vertices[In-Degree], "&gt;= " &amp; F2) - COUNTIF(Vertices[In-Degree], "&gt;=" &amp; F3)</calculatedColumnFormula>
    </tableColumn>
    <tableColumn id="5" name="Out-Degree Bin" dataDxfId="423"/>
    <tableColumn id="6" name="Out-Degree Frequency" dataDxfId="422">
      <calculatedColumnFormula>COUNTIF(Vertices[Out-Degree], "&gt;= " &amp; H2) - COUNTIF(Vertices[Out-Degree], "&gt;=" &amp; H3)</calculatedColumnFormula>
    </tableColumn>
    <tableColumn id="7" name="Betweenness Centrality Bin" dataDxfId="421"/>
    <tableColumn id="8" name="Betweenness Centrality Frequency" dataDxfId="420">
      <calculatedColumnFormula>COUNTIF(Vertices[Betweenness Centrality], "&gt;= " &amp; J2) - COUNTIF(Vertices[Betweenness Centrality], "&gt;=" &amp; J3)</calculatedColumnFormula>
    </tableColumn>
    <tableColumn id="9" name="Closeness Centrality Bin" dataDxfId="419"/>
    <tableColumn id="10" name="Closeness Centrality Frequency" dataDxfId="418">
      <calculatedColumnFormula>COUNTIF(Vertices[Closeness Centrality], "&gt;= " &amp; L2) - COUNTIF(Vertices[Closeness Centrality], "&gt;=" &amp; L3)</calculatedColumnFormula>
    </tableColumn>
    <tableColumn id="11" name="Eigenvector Centrality Bin" dataDxfId="417"/>
    <tableColumn id="12" name="Eigenvector Centrality Frequency" dataDxfId="416">
      <calculatedColumnFormula>COUNTIF(Vertices[Eigenvector Centrality], "&gt;= " &amp; N2) - COUNTIF(Vertices[Eigenvector Centrality], "&gt;=" &amp; N3)</calculatedColumnFormula>
    </tableColumn>
    <tableColumn id="18" name="PageRank Bin" dataDxfId="415"/>
    <tableColumn id="17" name="PageRank Frequency" dataDxfId="414">
      <calculatedColumnFormula>COUNTIF(Vertices[Eigenvector Centrality], "&gt;= " &amp; P2) - COUNTIF(Vertices[Eigenvector Centrality], "&gt;=" &amp; P3)</calculatedColumnFormula>
    </tableColumn>
    <tableColumn id="13" name="Clustering Coefficient Bin" dataDxfId="413"/>
    <tableColumn id="14" name="Clustering Coefficient Frequency" dataDxfId="412">
      <calculatedColumnFormula>COUNTIF(Vertices[Clustering Coefficient], "&gt;= " &amp; R2) - COUNTIF(Vertices[Clustering Coefficient], "&gt;=" &amp; R3)</calculatedColumnFormula>
    </tableColumn>
    <tableColumn id="15" name="Dynamic Filter Bin" dataDxfId="411"/>
    <tableColumn id="16" name="Dynamic Filter Frequency" dataDxfId="4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09">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ur01.safelinks.protection.outlook.com/?url=https://www.gov.uk/government/publications/english-surveillance-programme-antimicrobial-utilisation-and-resistance-espaur-report&amp;data=04|01|Nick.Tiplady@phe.gov.uk|ccf5cbaf22ec41b3e5d808d88bb2bc3b|ee4e14994a354b2ead475f3cf9de8666|0|0|637412947057544774|Unknown|TWFpbGZsb3d8eyJWIjoiMC4wLjAwMDAiLCJQIjoiV2luMzIiLCJBTiI6Ik1haWwiLCJXVCI6Mn0%3D|1000&amp;sdata=3T%2BA/jwtsw3BsLevI4dVIUBfBARB2oQ2Ncsbpb/OZuo%3D&amp;reserved=0" TargetMode="External" /><Relationship Id="rId2" Type="http://schemas.openxmlformats.org/officeDocument/2006/relationships/hyperlink" Target="https://eur01.safelinks.protection.outlook.com/?url=https://www.gov.uk/government/publications/english-surveillance-programme-antimicrobial-utilisation-and-resistance-espaur-report&amp;data=04|01|Nick.Tiplady@phe.gov.uk|ccf5cbaf22ec41b3e5d808d88bb2bc3b|ee4e14994a354b2ead475f3cf9de8666|0|0|637412947057544774|Unknown|TWFpbGZsb3d8eyJWIjoiMC4wLjAwMDAiLCJQIjoiV2luMzIiLCJBTiI6Ik1haWwiLCJXVCI6Mn0%3D|1000&amp;sdata=3T%2BA/jwtsw3BsLevI4dVIUBfBARB2oQ2Ncsbpb/OZuo%3D&amp;reserved=0"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table" Target="../tables/table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cdc.gov/drugresistance/covid19.html" TargetMode="External" /><Relationship Id="rId2" Type="http://schemas.openxmlformats.org/officeDocument/2006/relationships/hyperlink" Target="https://antibioticguardian.com/" TargetMode="External" /><Relationship Id="rId3" Type="http://schemas.openxmlformats.org/officeDocument/2006/relationships/hyperlink" Target="https://www.cdc.gov/antibiotic-use/q-a.html" TargetMode="External" /><Relationship Id="rId4" Type="http://schemas.openxmlformats.org/officeDocument/2006/relationships/hyperlink" Target="https://twitter.com/HealthSAcademy/status/1461353075248021515" TargetMode="External" /><Relationship Id="rId5" Type="http://schemas.openxmlformats.org/officeDocument/2006/relationships/hyperlink" Target="https://www.frimleyhealthandcare.org.uk/news/posts/2021/november/keep-antibiotics-working/?utm_source=Twitter&amp;utm_medium=social&amp;utm_campaign=Orlo" TargetMode="External" /><Relationship Id="rId6" Type="http://schemas.openxmlformats.org/officeDocument/2006/relationships/hyperlink" Target="https://www.efsa.europa.eu/en/topics/topic/antimicrobial-resistance" TargetMode="External" /><Relationship Id="rId7" Type="http://schemas.openxmlformats.org/officeDocument/2006/relationships/hyperlink" Target="https://www.cdc.gov/antibiotic-use/week/get-involved.html" TargetMode="External" /><Relationship Id="rId8" Type="http://schemas.openxmlformats.org/officeDocument/2006/relationships/hyperlink" Target="https://www.cdc.gov/antibiotic-use/antibiotic-resistance.html" TargetMode="External" /><Relationship Id="rId9" Type="http://schemas.openxmlformats.org/officeDocument/2006/relationships/hyperlink" Target="https://www.cdc.gov/antibiotic-use/common-illnesses.html" TargetMode="External" /><Relationship Id="rId10" Type="http://schemas.openxmlformats.org/officeDocument/2006/relationships/hyperlink" Target="https://eur01.safelinks.protection.outlook.com/?url=https://www.gov.uk/government/publications/english-surveillance-programme-antimicrobial-utilisation-and-resistance-espaur-report&amp;data=04|01|Nick.Tiplady@phe.gov.uk|ccf5cbaf22ec41b3e5d808d88bb2bc3b|ee4e14994a354b2ead475f3cf9de8666|0|0|637412947057544774|Unknown|TWFpbGZsb3d8eyJWIjoiMC4wLjAwMDAiLCJQIjoiV2luMzIiLCJBTiI6Ik1haWwiLCJXVCI6Mn0%3D|1000&amp;sdata=3T%2BA/jwtsw3BsLevI4dVIUBfBARB2oQ2Ncsbpb/OZuo%3D&amp;reserved=0" TargetMode="External" /><Relationship Id="rId11" Type="http://schemas.openxmlformats.org/officeDocument/2006/relationships/hyperlink" Target="https://www.cdc.gov/drugresistance/covid19.html" TargetMode="External" /><Relationship Id="rId12" Type="http://schemas.openxmlformats.org/officeDocument/2006/relationships/hyperlink" Target="https://antibioticguardian.com/" TargetMode="External" /><Relationship Id="rId13" Type="http://schemas.openxmlformats.org/officeDocument/2006/relationships/hyperlink" Target="https://www.cdc.gov/antibiotic-use/q-a.html" TargetMode="External" /><Relationship Id="rId14" Type="http://schemas.openxmlformats.org/officeDocument/2006/relationships/hyperlink" Target="https://twitter.com/HealthSAcademy/status/1461353075248021515" TargetMode="External" /><Relationship Id="rId15" Type="http://schemas.openxmlformats.org/officeDocument/2006/relationships/hyperlink" Target="https://www.cdc.gov/antibiotic-use/week/get-involved.html" TargetMode="External" /><Relationship Id="rId16" Type="http://schemas.openxmlformats.org/officeDocument/2006/relationships/hyperlink" Target="https://www.cdc.gov/antibiotic-use/antibiotic-resistance.html" TargetMode="External" /><Relationship Id="rId17" Type="http://schemas.openxmlformats.org/officeDocument/2006/relationships/hyperlink" Target="https://www.frimleyhealthandcare.org.uk/news/posts/2021/november/keep-antibiotics-working/?utm_source=Twitter&amp;utm_medium=social&amp;utm_campaign=Orlo" TargetMode="External" /><Relationship Id="rId18" Type="http://schemas.openxmlformats.org/officeDocument/2006/relationships/hyperlink" Target="https://www.efsa.europa.eu/en/topics/topic/antimicrobial-resistance" TargetMode="External" /><Relationship Id="rId19" Type="http://schemas.openxmlformats.org/officeDocument/2006/relationships/hyperlink" Target="https://youtu.be/7PhmyNBWGik" TargetMode="External" /><Relationship Id="rId20" Type="http://schemas.openxmlformats.org/officeDocument/2006/relationships/hyperlink" Target="https://www.southampton.ac.uk/medicine/academic_units/academic_units/open-study.page" TargetMode="External" /><Relationship Id="rId21" Type="http://schemas.openxmlformats.org/officeDocument/2006/relationships/hyperlink" Target="https://eur01.safelinks.protection.outlook.com/?url=https://www.gov.uk/government/publications/english-surveillance-programme-antimicrobial-utilisation-and-resistance-espaur-report&amp;data=04|01|Nick.Tiplady@phe.gov.uk|ccf5cbaf22ec41b3e5d808d88bb2bc3b|ee4e14994a354b2ead475f3cf9de8666|0|0|637412947057544774|Unknown|TWFpbGZsb3d8eyJWIjoiMC4wLjAwMDAiLCJQIjoiV2luMzIiLCJBTiI6Ik1haWwiLCJXVCI6Mn0%3D|1000&amp;sdata=3T%2BA/jwtsw3BsLevI4dVIUBfBARB2oQ2Ncsbpb/OZuo%3D&amp;reserved=0" TargetMode="External" /><Relationship Id="rId22" Type="http://schemas.openxmlformats.org/officeDocument/2006/relationships/hyperlink" Target="https://antibioticguardian.com/" TargetMode="External" /><Relationship Id="rId23" Type="http://schemas.openxmlformats.org/officeDocument/2006/relationships/hyperlink" Target="https://twitter.com/DrDianeAshiru/status/1461226402603225093" TargetMode="External" /><Relationship Id="rId24" Type="http://schemas.openxmlformats.org/officeDocument/2006/relationships/hyperlink" Target="https://twitter.com/rhiannon_tapp/status/1461353712534769673" TargetMode="External" /><Relationship Id="rId25" Type="http://schemas.openxmlformats.org/officeDocument/2006/relationships/hyperlink" Target="https://twitter.com/rpharms/status/1461332861311717388" TargetMode="External" /><Relationship Id="rId26" Type="http://schemas.openxmlformats.org/officeDocument/2006/relationships/hyperlink" Target="https://twitter.com/DrDianeAshiru/status/1461246741584486405" TargetMode="External" /><Relationship Id="rId27" Type="http://schemas.openxmlformats.org/officeDocument/2006/relationships/hyperlink" Target="https://twitter.com/DrKieranHand/status/1461128236935618563" TargetMode="External" /><Relationship Id="rId28" Type="http://schemas.openxmlformats.org/officeDocument/2006/relationships/hyperlink" Target="https://twitter.com/EAAD_EU/status/1461347210927296513" TargetMode="External" /><Relationship Id="rId29" Type="http://schemas.openxmlformats.org/officeDocument/2006/relationships/hyperlink" Target="https://www.youtube.com/watch?v=3yxRL2TAGOQ&amp;feature=youtu.be" TargetMode="External" /><Relationship Id="rId30" Type="http://schemas.openxmlformats.org/officeDocument/2006/relationships/hyperlink" Target="https://www.bradspellberg.com/shorter-is-better" TargetMode="External" /><Relationship Id="rId31" Type="http://schemas.openxmlformats.org/officeDocument/2006/relationships/hyperlink" Target="https://www2.hse.ie/under-the-weather/" TargetMode="External" /><Relationship Id="rId32" Type="http://schemas.openxmlformats.org/officeDocument/2006/relationships/hyperlink" Target="https://www.ecdc.europa.eu/en/publications-data/surveillance-antimicrobial-consumption-europe-2020" TargetMode="External" /><Relationship Id="rId33" Type="http://schemas.openxmlformats.org/officeDocument/2006/relationships/hyperlink" Target="https://www.bradspellberg.com/shorter-is-better" TargetMode="External" /><Relationship Id="rId34" Type="http://schemas.openxmlformats.org/officeDocument/2006/relationships/hyperlink" Target="https://www.sciencedirect.com/science/article/pii/S2590088919300071?via%3Dihub" TargetMode="External" /><Relationship Id="rId35" Type="http://schemas.openxmlformats.org/officeDocument/2006/relationships/hyperlink" Target="https://www.sciencedirect.com/science/article/pii/S1198743X18307961" TargetMode="External" /><Relationship Id="rId36" Type="http://schemas.openxmlformats.org/officeDocument/2006/relationships/hyperlink" Target="https://journals.lww.com/clinpulm/Abstract/2020/09000/Antibiotic_Use_and_Stewardship_in_Cystic_Fibrosis_.2.aspx" TargetMode="External" /><Relationship Id="rId37" Type="http://schemas.openxmlformats.org/officeDocument/2006/relationships/hyperlink" Target="https://idp.nature.com/authorize?response_type=cookie&amp;client_id=grover&amp;redirect_uri=https%3A%2F%2Fwww.nature.com%2Farticles%2Fs41579-019-0288-0" TargetMode="External" /><Relationship Id="rId38" Type="http://schemas.openxmlformats.org/officeDocument/2006/relationships/hyperlink" Target="https://www.gov.uk/government/publications/antimicrobial-stewardship-start-smart-then-focus" TargetMode="External" /><Relationship Id="rId39" Type="http://schemas.openxmlformats.org/officeDocument/2006/relationships/hyperlink" Target="https://www.tandfonline.com/action/showAxaArticles?journalCode=ierz20&amp;cookieSet=1" TargetMode="External" /><Relationship Id="rId40" Type="http://schemas.openxmlformats.org/officeDocument/2006/relationships/hyperlink" Target="https://academic.oup.com/jacamr" TargetMode="External" /><Relationship Id="rId41" Type="http://schemas.openxmlformats.org/officeDocument/2006/relationships/hyperlink" Target="https://secure.jbs.elsevierhealth.com/action/getSharedSiteSession?redirect=https%3A%2F%2Fwww.thelancet.com%2Fjournals%2Flancet%2Farticle%2FPIIS0140-6736%2812%2960192-5%2Ffulltext&amp;rc=0" TargetMode="External" /><Relationship Id="rId42" Type="http://schemas.openxmlformats.org/officeDocument/2006/relationships/hyperlink" Target="https://twitter.com/MicrobLog_me_uk/status/1064116004094136320?s=20" TargetMode="External" /><Relationship Id="rId43" Type="http://schemas.openxmlformats.org/officeDocument/2006/relationships/hyperlink" Target="https://www.cdc.gov/drugresistance/covid19.html" TargetMode="External" /><Relationship Id="rId44" Type="http://schemas.openxmlformats.org/officeDocument/2006/relationships/hyperlink" Target="https://www.cdc.gov/antibiotic-use/common-illnesses.html" TargetMode="External" /><Relationship Id="rId45" Type="http://schemas.openxmlformats.org/officeDocument/2006/relationships/hyperlink" Target="https://www.cdc.gov/antibiotic-use/core-elements/outpatient/implementation.html#anchor_1630602042080" TargetMode="External" /><Relationship Id="rId46" Type="http://schemas.openxmlformats.org/officeDocument/2006/relationships/hyperlink" Target="https://arpsp.cdc.gov/profile/stewardship" TargetMode="External" /><Relationship Id="rId47" Type="http://schemas.openxmlformats.org/officeDocument/2006/relationships/hyperlink" Target="https://www.cdc.gov/antibiotic-use/do-and-dont.html" TargetMode="External" /><Relationship Id="rId48" Type="http://schemas.openxmlformats.org/officeDocument/2006/relationships/hyperlink" Target="https://www.cdc.gov/drugresistance/protecting_patients.html" TargetMode="External" /><Relationship Id="rId49" Type="http://schemas.openxmlformats.org/officeDocument/2006/relationships/hyperlink" Target="https://www.khconline.org/14-khc-initiatives/402-hai-ar" TargetMode="External" /><Relationship Id="rId50" Type="http://schemas.openxmlformats.org/officeDocument/2006/relationships/hyperlink" Target="https://www.pewtrusts.org/en/research-and-analysis/data-visualizations/2020/antibiotic-resistant-bacteria-is-a-growing-threat?utm_campaign=saveantibiotics&amp;utm_source=twitter&amp;utm_medium=social" TargetMode="External" /><Relationship Id="rId51" Type="http://schemas.openxmlformats.org/officeDocument/2006/relationships/hyperlink" Target="https://www.pewtrusts.org/en/research-and-analysis/articles/2020/04/15/the-invaluable-role-of-antibiotics-in-a-pandemic-and-beyond?utm_campaign=saveantibiotics&amp;utm_source=twitter&amp;utm_medium=social" TargetMode="External" /><Relationship Id="rId52" Type="http://schemas.openxmlformats.org/officeDocument/2006/relationships/hyperlink" Target="https://twitter.com/CDCgov/status/1461050274399850501" TargetMode="External" /><Relationship Id="rId53" Type="http://schemas.openxmlformats.org/officeDocument/2006/relationships/hyperlink" Target="https://twitter.com/antibioticangel/status/1461348545550716936" TargetMode="External" /><Relationship Id="rId54" Type="http://schemas.openxmlformats.org/officeDocument/2006/relationships/hyperlink" Target="https://twitter.com/antibioticangel/status/1461304886356815873" TargetMode="External" /><Relationship Id="rId55" Type="http://schemas.openxmlformats.org/officeDocument/2006/relationships/hyperlink" Target="https://twitter.com/DrKhabbazCDC/status/1461352265109757955" TargetMode="External" /><Relationship Id="rId56" Type="http://schemas.openxmlformats.org/officeDocument/2006/relationships/table" Target="../tables/table11.xml" /><Relationship Id="rId57" Type="http://schemas.openxmlformats.org/officeDocument/2006/relationships/table" Target="../tables/table12.xml" /><Relationship Id="rId58" Type="http://schemas.openxmlformats.org/officeDocument/2006/relationships/table" Target="../tables/table13.xml" /><Relationship Id="rId59" Type="http://schemas.openxmlformats.org/officeDocument/2006/relationships/table" Target="../tables/table14.xml" /><Relationship Id="rId60" Type="http://schemas.openxmlformats.org/officeDocument/2006/relationships/table" Target="../tables/table15.xml" /><Relationship Id="rId61" Type="http://schemas.openxmlformats.org/officeDocument/2006/relationships/table" Target="../tables/table16.xml" /><Relationship Id="rId62" Type="http://schemas.openxmlformats.org/officeDocument/2006/relationships/table" Target="../tables/table17.xml" /><Relationship Id="rId63"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6" width="12.140625" style="0" bestFit="1" customWidth="1"/>
    <col min="17" max="17" width="7.421875" style="0" bestFit="1" customWidth="1"/>
    <col min="18" max="18" width="8.421875" style="0" bestFit="1" customWidth="1"/>
    <col min="19" max="19" width="11.28125" style="0" bestFit="1" customWidth="1"/>
    <col min="20" max="20" width="11.421875" style="0" bestFit="1" customWidth="1"/>
    <col min="21" max="21" width="9.421875" style="0" bestFit="1" customWidth="1"/>
    <col min="22" max="22" width="10.421875" style="0" bestFit="1" customWidth="1"/>
    <col min="23" max="23" width="11.421875" style="0" bestFit="1" customWidth="1"/>
    <col min="24" max="25" width="6.421875" style="0" bestFit="1" customWidth="1"/>
    <col min="26" max="26" width="12.28125" style="0" bestFit="1" customWidth="1"/>
    <col min="28" max="28" width="10.421875" style="0" bestFit="1" customWidth="1"/>
    <col min="29" max="29" width="12.00390625" style="0" bestFit="1" customWidth="1"/>
    <col min="30" max="30" width="11.57421875" style="0" bestFit="1" customWidth="1"/>
    <col min="31" max="31" width="10.00390625" style="0" bestFit="1" customWidth="1"/>
    <col min="33" max="33" width="11.57421875" style="0" bestFit="1" customWidth="1"/>
    <col min="34" max="34" width="9.28125" style="0" bestFit="1" customWidth="1"/>
    <col min="35" max="35" width="10.00390625" style="0" bestFit="1" customWidth="1"/>
    <col min="36" max="36" width="9.421875" style="0" bestFit="1" customWidth="1"/>
    <col min="37" max="37" width="9.57421875" style="0" bestFit="1" customWidth="1"/>
    <col min="38" max="38" width="11.00390625" style="0" bestFit="1" customWidth="1"/>
    <col min="39" max="39" width="9.140625" style="0" bestFit="1" customWidth="1"/>
    <col min="40" max="40" width="11.140625" style="0" bestFit="1" customWidth="1"/>
    <col min="41" max="41" width="8.00390625" style="0" bestFit="1" customWidth="1"/>
    <col min="42" max="42" width="10.421875" style="0" bestFit="1" customWidth="1"/>
    <col min="43" max="43" width="10.28125" style="0" bestFit="1" customWidth="1"/>
    <col min="44" max="44" width="11.421875" style="0" bestFit="1" customWidth="1"/>
    <col min="45" max="45" width="17.57421875" style="0" bestFit="1" customWidth="1"/>
    <col min="46" max="46" width="16.421875" style="0" bestFit="1" customWidth="1"/>
    <col min="47" max="47" width="14.421875" style="0" bestFit="1" customWidth="1"/>
    <col min="49" max="49" width="13.28125" style="0" bestFit="1" customWidth="1"/>
    <col min="50" max="50" width="9.7109375" style="0" bestFit="1" customWidth="1"/>
    <col min="51" max="51" width="8.7109375" style="0" bestFit="1" customWidth="1"/>
    <col min="52" max="52" width="7.421875" style="0" bestFit="1" customWidth="1"/>
    <col min="53" max="53" width="10.7109375" style="0" bestFit="1" customWidth="1"/>
    <col min="54" max="54" width="10.140625" style="0" bestFit="1" customWidth="1"/>
    <col min="55" max="55" width="14.421875" style="0" customWidth="1"/>
    <col min="56" max="57" width="9.421875" style="0" bestFit="1" customWidth="1"/>
    <col min="58" max="58" width="16.7109375" style="0" bestFit="1" customWidth="1"/>
    <col min="59" max="59" width="20.7109375" style="0" bestFit="1" customWidth="1"/>
    <col min="60" max="60" width="16.7109375" style="0" bestFit="1" customWidth="1"/>
    <col min="61" max="61" width="20.7109375" style="0" bestFit="1" customWidth="1"/>
    <col min="62" max="62" width="16.7109375" style="0" bestFit="1" customWidth="1"/>
    <col min="63" max="63" width="20.7109375" style="0" bestFit="1" customWidth="1"/>
    <col min="64" max="64" width="15.8515625" style="0" bestFit="1" customWidth="1"/>
    <col min="65" max="65" width="19.140625" style="0" bestFit="1" customWidth="1"/>
    <col min="66" max="66" width="13.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212</v>
      </c>
      <c r="P2" s="13" t="s">
        <v>213</v>
      </c>
      <c r="Q2" s="13" t="s">
        <v>214</v>
      </c>
      <c r="R2" s="13" t="s">
        <v>215</v>
      </c>
      <c r="S2" s="13" t="s">
        <v>216</v>
      </c>
      <c r="T2" s="13" t="s">
        <v>217</v>
      </c>
      <c r="U2" s="13" t="s">
        <v>218</v>
      </c>
      <c r="V2" s="13" t="s">
        <v>219</v>
      </c>
      <c r="W2" s="13" t="s">
        <v>220</v>
      </c>
      <c r="X2" s="13" t="s">
        <v>221</v>
      </c>
      <c r="Y2" s="13" t="s">
        <v>222</v>
      </c>
      <c r="Z2" s="13" t="s">
        <v>223</v>
      </c>
      <c r="AA2" s="13" t="s">
        <v>224</v>
      </c>
      <c r="AB2" s="13" t="s">
        <v>225</v>
      </c>
      <c r="AC2" s="13" t="s">
        <v>226</v>
      </c>
      <c r="AD2" s="13" t="s">
        <v>227</v>
      </c>
      <c r="AE2" s="13" t="s">
        <v>228</v>
      </c>
      <c r="AF2" s="13" t="s">
        <v>229</v>
      </c>
      <c r="AG2" s="13" t="s">
        <v>230</v>
      </c>
      <c r="AH2" s="13" t="s">
        <v>231</v>
      </c>
      <c r="AI2" s="13" t="s">
        <v>232</v>
      </c>
      <c r="AJ2" s="13" t="s">
        <v>233</v>
      </c>
      <c r="AK2" s="13" t="s">
        <v>234</v>
      </c>
      <c r="AL2" s="13" t="s">
        <v>235</v>
      </c>
      <c r="AM2" s="13" t="s">
        <v>236</v>
      </c>
      <c r="AN2" s="13" t="s">
        <v>237</v>
      </c>
      <c r="AO2" s="13" t="s">
        <v>238</v>
      </c>
      <c r="AP2" s="13" t="s">
        <v>239</v>
      </c>
      <c r="AQ2" s="13" t="s">
        <v>240</v>
      </c>
      <c r="AR2" s="13" t="s">
        <v>241</v>
      </c>
      <c r="AS2" s="13" t="s">
        <v>242</v>
      </c>
      <c r="AT2" s="13" t="s">
        <v>243</v>
      </c>
      <c r="AU2" s="13" t="s">
        <v>244</v>
      </c>
      <c r="AV2" s="13" t="s">
        <v>245</v>
      </c>
      <c r="AW2" s="13" t="s">
        <v>246</v>
      </c>
      <c r="AX2" s="13" t="s">
        <v>247</v>
      </c>
      <c r="AY2" s="13" t="s">
        <v>248</v>
      </c>
      <c r="AZ2" s="13" t="s">
        <v>249</v>
      </c>
      <c r="BA2" s="13" t="s">
        <v>250</v>
      </c>
      <c r="BB2" s="13" t="s">
        <v>251</v>
      </c>
      <c r="BC2" t="s">
        <v>3160</v>
      </c>
      <c r="BD2" s="13" t="s">
        <v>3200</v>
      </c>
      <c r="BE2" s="13" t="s">
        <v>3201</v>
      </c>
      <c r="BF2" s="54" t="s">
        <v>4464</v>
      </c>
      <c r="BG2" s="54" t="s">
        <v>4465</v>
      </c>
      <c r="BH2" s="54" t="s">
        <v>4466</v>
      </c>
      <c r="BI2" s="54" t="s">
        <v>4467</v>
      </c>
      <c r="BJ2" s="54" t="s">
        <v>4468</v>
      </c>
      <c r="BK2" s="54" t="s">
        <v>4469</v>
      </c>
      <c r="BL2" s="54" t="s">
        <v>4470</v>
      </c>
      <c r="BM2" s="54" t="s">
        <v>4471</v>
      </c>
      <c r="BN2" s="54" t="s">
        <v>4472</v>
      </c>
    </row>
    <row r="3" spans="1:66" ht="15" customHeight="1">
      <c r="A3" s="66" t="s">
        <v>448</v>
      </c>
      <c r="B3" s="66" t="s">
        <v>527</v>
      </c>
      <c r="C3" s="67" t="s">
        <v>4509</v>
      </c>
      <c r="D3" s="68">
        <v>3</v>
      </c>
      <c r="E3" s="69" t="s">
        <v>132</v>
      </c>
      <c r="F3" s="70">
        <v>32</v>
      </c>
      <c r="G3" s="67"/>
      <c r="H3" s="71"/>
      <c r="I3" s="72"/>
      <c r="J3" s="72"/>
      <c r="K3" s="35" t="s">
        <v>65</v>
      </c>
      <c r="L3" s="73">
        <v>3</v>
      </c>
      <c r="M3" s="73"/>
      <c r="N3" s="74"/>
      <c r="O3" s="81" t="s">
        <v>528</v>
      </c>
      <c r="P3" s="83">
        <v>44518.63600694444</v>
      </c>
      <c r="Q3" s="81" t="s">
        <v>889</v>
      </c>
      <c r="R3" s="81"/>
      <c r="S3" s="81"/>
      <c r="T3" s="86" t="s">
        <v>1145</v>
      </c>
      <c r="U3" s="88" t="str">
        <f>HYPERLINK("https://pbs.twimg.com/media/FEfCgcuVkAgfn_X.jpg")</f>
        <v>https://pbs.twimg.com/media/FEfCgcuVkAgfn_X.jpg</v>
      </c>
      <c r="V3" s="88" t="str">
        <f>HYPERLINK("https://pbs.twimg.com/media/FEfCgcuVkAgfn_X.jpg")</f>
        <v>https://pbs.twimg.com/media/FEfCgcuVkAgfn_X.jpg</v>
      </c>
      <c r="W3" s="83">
        <v>44518.63600694444</v>
      </c>
      <c r="X3" s="89">
        <v>44518</v>
      </c>
      <c r="Y3" s="86" t="s">
        <v>1267</v>
      </c>
      <c r="Z3" s="88" t="str">
        <f>HYPERLINK("https://twitter.com/vasiliouc/status/1461352459629068291")</f>
        <v>https://twitter.com/vasiliouc/status/1461352459629068291</v>
      </c>
      <c r="AA3" s="81"/>
      <c r="AB3" s="81"/>
      <c r="AC3" s="86" t="s">
        <v>1809</v>
      </c>
      <c r="AD3" s="81"/>
      <c r="AE3" s="81" t="b">
        <v>0</v>
      </c>
      <c r="AF3" s="81">
        <v>5</v>
      </c>
      <c r="AG3" s="86" t="s">
        <v>1815</v>
      </c>
      <c r="AH3" s="81" t="b">
        <v>0</v>
      </c>
      <c r="AI3" s="81" t="s">
        <v>1826</v>
      </c>
      <c r="AJ3" s="81"/>
      <c r="AK3" s="86" t="s">
        <v>1815</v>
      </c>
      <c r="AL3" s="81" t="b">
        <v>0</v>
      </c>
      <c r="AM3" s="81">
        <v>2</v>
      </c>
      <c r="AN3" s="86" t="s">
        <v>1815</v>
      </c>
      <c r="AO3" s="86" t="s">
        <v>1850</v>
      </c>
      <c r="AP3" s="81" t="b">
        <v>0</v>
      </c>
      <c r="AQ3" s="86" t="s">
        <v>1809</v>
      </c>
      <c r="AR3" s="81"/>
      <c r="AS3" s="81">
        <v>0</v>
      </c>
      <c r="AT3" s="81">
        <v>0</v>
      </c>
      <c r="AU3" s="81"/>
      <c r="AV3" s="81"/>
      <c r="AW3" s="81"/>
      <c r="AX3" s="81"/>
      <c r="AY3" s="81"/>
      <c r="AZ3" s="81"/>
      <c r="BA3" s="81"/>
      <c r="BB3" s="81"/>
      <c r="BC3">
        <v>1</v>
      </c>
      <c r="BD3" s="81" t="str">
        <f>REPLACE(INDEX(GroupVertices[Group],MATCH(Edges[[#This Row],[Vertex 1]],GroupVertices[Vertex],0)),1,1,"")</f>
        <v>26</v>
      </c>
      <c r="BE3" s="81" t="str">
        <f>REPLACE(INDEX(GroupVertices[Group],MATCH(Edges[[#This Row],[Vertex 2]],GroupVertices[Vertex],0)),1,1,"")</f>
        <v>26</v>
      </c>
      <c r="BF3" s="49">
        <v>1</v>
      </c>
      <c r="BG3" s="50">
        <v>3.4482758620689653</v>
      </c>
      <c r="BH3" s="49">
        <v>1</v>
      </c>
      <c r="BI3" s="50">
        <v>3.4482758620689653</v>
      </c>
      <c r="BJ3" s="49">
        <v>0</v>
      </c>
      <c r="BK3" s="50">
        <v>0</v>
      </c>
      <c r="BL3" s="49">
        <v>27</v>
      </c>
      <c r="BM3" s="50">
        <v>93.10344827586206</v>
      </c>
      <c r="BN3" s="49">
        <v>29</v>
      </c>
    </row>
    <row r="4" spans="1:66" ht="15" customHeight="1">
      <c r="A4" s="66" t="s">
        <v>252</v>
      </c>
      <c r="B4" s="66" t="s">
        <v>252</v>
      </c>
      <c r="C4" s="67" t="s">
        <v>4509</v>
      </c>
      <c r="D4" s="68">
        <v>3</v>
      </c>
      <c r="E4" s="69" t="s">
        <v>132</v>
      </c>
      <c r="F4" s="70">
        <v>32</v>
      </c>
      <c r="G4" s="67"/>
      <c r="H4" s="71"/>
      <c r="I4" s="72"/>
      <c r="J4" s="72"/>
      <c r="K4" s="35" t="s">
        <v>65</v>
      </c>
      <c r="L4" s="80">
        <v>4</v>
      </c>
      <c r="M4" s="80"/>
      <c r="N4" s="74"/>
      <c r="O4" s="82" t="s">
        <v>214</v>
      </c>
      <c r="P4" s="84">
        <v>44518.628703703704</v>
      </c>
      <c r="Q4" s="82" t="s">
        <v>530</v>
      </c>
      <c r="R4" s="85" t="str">
        <f>HYPERLINK("https://youtu.be/7PhmyNBWGik")</f>
        <v>https://youtu.be/7PhmyNBWGik</v>
      </c>
      <c r="S4" s="82" t="s">
        <v>901</v>
      </c>
      <c r="T4" s="87" t="s">
        <v>948</v>
      </c>
      <c r="U4" s="82"/>
      <c r="V4" s="85" t="str">
        <f>HYPERLINK("https://pbs.twimg.com/profile_images/1133315045193134081/OmGti3FV_normal.png")</f>
        <v>https://pbs.twimg.com/profile_images/1133315045193134081/OmGti3FV_normal.png</v>
      </c>
      <c r="W4" s="84">
        <v>44518.628703703704</v>
      </c>
      <c r="X4" s="90">
        <v>44518</v>
      </c>
      <c r="Y4" s="87" t="s">
        <v>1146</v>
      </c>
      <c r="Z4" s="85" t="str">
        <f>HYPERLINK("https://twitter.com/twbstaffsstoke/status/1461349811051843600")</f>
        <v>https://twitter.com/twbstaffsstoke/status/1461349811051843600</v>
      </c>
      <c r="AA4" s="82"/>
      <c r="AB4" s="82"/>
      <c r="AC4" s="87" t="s">
        <v>1447</v>
      </c>
      <c r="AD4" s="82"/>
      <c r="AE4" s="82" t="b">
        <v>0</v>
      </c>
      <c r="AF4" s="82">
        <v>0</v>
      </c>
      <c r="AG4" s="87" t="s">
        <v>1815</v>
      </c>
      <c r="AH4" s="82" t="b">
        <v>0</v>
      </c>
      <c r="AI4" s="82" t="s">
        <v>1826</v>
      </c>
      <c r="AJ4" s="82"/>
      <c r="AK4" s="87" t="s">
        <v>1815</v>
      </c>
      <c r="AL4" s="82" t="b">
        <v>0</v>
      </c>
      <c r="AM4" s="82">
        <v>0</v>
      </c>
      <c r="AN4" s="87" t="s">
        <v>1815</v>
      </c>
      <c r="AO4" s="87" t="s">
        <v>1850</v>
      </c>
      <c r="AP4" s="82" t="b">
        <v>0</v>
      </c>
      <c r="AQ4" s="87" t="s">
        <v>1447</v>
      </c>
      <c r="AR4" s="82"/>
      <c r="AS4" s="82">
        <v>0</v>
      </c>
      <c r="AT4" s="82">
        <v>0</v>
      </c>
      <c r="AU4" s="82"/>
      <c r="AV4" s="82"/>
      <c r="AW4" s="82"/>
      <c r="AX4" s="82"/>
      <c r="AY4" s="82"/>
      <c r="AZ4" s="82"/>
      <c r="BA4" s="82"/>
      <c r="BB4" s="82"/>
      <c r="BC4">
        <v>1</v>
      </c>
      <c r="BD4" s="81" t="str">
        <f>REPLACE(INDEX(GroupVertices[Group],MATCH(Edges[[#This Row],[Vertex 1]],GroupVertices[Vertex],0)),1,1,"")</f>
        <v>1</v>
      </c>
      <c r="BE4" s="81" t="str">
        <f>REPLACE(INDEX(GroupVertices[Group],MATCH(Edges[[#This Row],[Vertex 2]],GroupVertices[Vertex],0)),1,1,"")</f>
        <v>1</v>
      </c>
      <c r="BF4" s="49">
        <v>0</v>
      </c>
      <c r="BG4" s="50">
        <v>0</v>
      </c>
      <c r="BH4" s="49">
        <v>2</v>
      </c>
      <c r="BI4" s="50">
        <v>8.695652173913043</v>
      </c>
      <c r="BJ4" s="49">
        <v>0</v>
      </c>
      <c r="BK4" s="50">
        <v>0</v>
      </c>
      <c r="BL4" s="49">
        <v>21</v>
      </c>
      <c r="BM4" s="50">
        <v>91.30434782608695</v>
      </c>
      <c r="BN4" s="49">
        <v>23</v>
      </c>
    </row>
    <row r="5" spans="1:66" ht="15">
      <c r="A5" s="66" t="s">
        <v>253</v>
      </c>
      <c r="B5" s="66" t="s">
        <v>253</v>
      </c>
      <c r="C5" s="67" t="s">
        <v>4509</v>
      </c>
      <c r="D5" s="68">
        <v>3</v>
      </c>
      <c r="E5" s="69" t="s">
        <v>132</v>
      </c>
      <c r="F5" s="70">
        <v>32</v>
      </c>
      <c r="G5" s="67"/>
      <c r="H5" s="71"/>
      <c r="I5" s="72"/>
      <c r="J5" s="72"/>
      <c r="K5" s="35" t="s">
        <v>65</v>
      </c>
      <c r="L5" s="80">
        <v>5</v>
      </c>
      <c r="M5" s="80"/>
      <c r="N5" s="74"/>
      <c r="O5" s="82" t="s">
        <v>214</v>
      </c>
      <c r="P5" s="84">
        <v>44518.64807870371</v>
      </c>
      <c r="Q5" s="82" t="s">
        <v>531</v>
      </c>
      <c r="R5" s="82"/>
      <c r="S5" s="82"/>
      <c r="T5" s="87" t="s">
        <v>949</v>
      </c>
      <c r="U5" s="85" t="str">
        <f>HYPERLINK("https://pbs.twimg.com/media/FEfISqNVIA4K0Ae.jpg")</f>
        <v>https://pbs.twimg.com/media/FEfISqNVIA4K0Ae.jpg</v>
      </c>
      <c r="V5" s="85" t="str">
        <f>HYPERLINK("https://pbs.twimg.com/media/FEfISqNVIA4K0Ae.jpg")</f>
        <v>https://pbs.twimg.com/media/FEfISqNVIA4K0Ae.jpg</v>
      </c>
      <c r="W5" s="84">
        <v>44518.64807870371</v>
      </c>
      <c r="X5" s="90">
        <v>44518</v>
      </c>
      <c r="Y5" s="87" t="s">
        <v>1147</v>
      </c>
      <c r="Z5" s="85" t="str">
        <f>HYPERLINK("https://twitter.com/themeekfirefly/status/1461356835567378438")</f>
        <v>https://twitter.com/themeekfirefly/status/1461356835567378438</v>
      </c>
      <c r="AA5" s="82"/>
      <c r="AB5" s="82"/>
      <c r="AC5" s="87" t="s">
        <v>1448</v>
      </c>
      <c r="AD5" s="82"/>
      <c r="AE5" s="82" t="b">
        <v>0</v>
      </c>
      <c r="AF5" s="82">
        <v>1</v>
      </c>
      <c r="AG5" s="87" t="s">
        <v>1815</v>
      </c>
      <c r="AH5" s="82" t="b">
        <v>0</v>
      </c>
      <c r="AI5" s="82" t="s">
        <v>1826</v>
      </c>
      <c r="AJ5" s="82"/>
      <c r="AK5" s="87" t="s">
        <v>1815</v>
      </c>
      <c r="AL5" s="82" t="b">
        <v>0</v>
      </c>
      <c r="AM5" s="82">
        <v>0</v>
      </c>
      <c r="AN5" s="87" t="s">
        <v>1815</v>
      </c>
      <c r="AO5" s="87" t="s">
        <v>1851</v>
      </c>
      <c r="AP5" s="82" t="b">
        <v>0</v>
      </c>
      <c r="AQ5" s="87" t="s">
        <v>1448</v>
      </c>
      <c r="AR5" s="82"/>
      <c r="AS5" s="82">
        <v>0</v>
      </c>
      <c r="AT5" s="82">
        <v>0</v>
      </c>
      <c r="AU5" s="82"/>
      <c r="AV5" s="82"/>
      <c r="AW5" s="82"/>
      <c r="AX5" s="82"/>
      <c r="AY5" s="82"/>
      <c r="AZ5" s="82"/>
      <c r="BA5" s="82"/>
      <c r="BB5" s="82"/>
      <c r="BC5">
        <v>1</v>
      </c>
      <c r="BD5" s="81" t="str">
        <f>REPLACE(INDEX(GroupVertices[Group],MATCH(Edges[[#This Row],[Vertex 1]],GroupVertices[Vertex],0)),1,1,"")</f>
        <v>1</v>
      </c>
      <c r="BE5" s="81" t="str">
        <f>REPLACE(INDEX(GroupVertices[Group],MATCH(Edges[[#This Row],[Vertex 2]],GroupVertices[Vertex],0)),1,1,"")</f>
        <v>1</v>
      </c>
      <c r="BF5" s="49">
        <v>0</v>
      </c>
      <c r="BG5" s="50">
        <v>0</v>
      </c>
      <c r="BH5" s="49">
        <v>4</v>
      </c>
      <c r="BI5" s="50">
        <v>14.285714285714286</v>
      </c>
      <c r="BJ5" s="49">
        <v>0</v>
      </c>
      <c r="BK5" s="50">
        <v>0</v>
      </c>
      <c r="BL5" s="49">
        <v>24</v>
      </c>
      <c r="BM5" s="50">
        <v>85.71428571428571</v>
      </c>
      <c r="BN5" s="49">
        <v>28</v>
      </c>
    </row>
    <row r="6" spans="1:66" ht="15">
      <c r="A6" s="66" t="s">
        <v>254</v>
      </c>
      <c r="B6" s="66" t="s">
        <v>449</v>
      </c>
      <c r="C6" s="67" t="s">
        <v>4509</v>
      </c>
      <c r="D6" s="68">
        <v>3</v>
      </c>
      <c r="E6" s="69" t="s">
        <v>132</v>
      </c>
      <c r="F6" s="70">
        <v>32</v>
      </c>
      <c r="G6" s="67"/>
      <c r="H6" s="71"/>
      <c r="I6" s="72"/>
      <c r="J6" s="72"/>
      <c r="K6" s="35" t="s">
        <v>65</v>
      </c>
      <c r="L6" s="80">
        <v>6</v>
      </c>
      <c r="M6" s="80"/>
      <c r="N6" s="74"/>
      <c r="O6" s="82" t="s">
        <v>528</v>
      </c>
      <c r="P6" s="84">
        <v>44518.63144675926</v>
      </c>
      <c r="Q6" s="82" t="s">
        <v>532</v>
      </c>
      <c r="R6" s="82"/>
      <c r="S6" s="82"/>
      <c r="T6" s="87" t="s">
        <v>950</v>
      </c>
      <c r="U6" s="85" t="str">
        <f>HYPERLINK("https://pbs.twimg.com/media/FEfCz3CUYAg7MPc.jpg")</f>
        <v>https://pbs.twimg.com/media/FEfCz3CUYAg7MPc.jpg</v>
      </c>
      <c r="V6" s="85" t="str">
        <f>HYPERLINK("https://pbs.twimg.com/media/FEfCz3CUYAg7MPc.jpg")</f>
        <v>https://pbs.twimg.com/media/FEfCz3CUYAg7MPc.jpg</v>
      </c>
      <c r="W6" s="84">
        <v>44518.63144675926</v>
      </c>
      <c r="X6" s="90">
        <v>44518</v>
      </c>
      <c r="Y6" s="87" t="s">
        <v>1148</v>
      </c>
      <c r="Z6" s="85" t="str">
        <f>HYPERLINK("https://twitter.com/whhtpharmacy/status/1461350805621985296")</f>
        <v>https://twitter.com/whhtpharmacy/status/1461350805621985296</v>
      </c>
      <c r="AA6" s="82"/>
      <c r="AB6" s="82"/>
      <c r="AC6" s="87" t="s">
        <v>1449</v>
      </c>
      <c r="AD6" s="82"/>
      <c r="AE6" s="82" t="b">
        <v>0</v>
      </c>
      <c r="AF6" s="82">
        <v>3</v>
      </c>
      <c r="AG6" s="87" t="s">
        <v>1816</v>
      </c>
      <c r="AH6" s="82" t="b">
        <v>0</v>
      </c>
      <c r="AI6" s="82" t="s">
        <v>1826</v>
      </c>
      <c r="AJ6" s="82"/>
      <c r="AK6" s="87" t="s">
        <v>1815</v>
      </c>
      <c r="AL6" s="82" t="b">
        <v>0</v>
      </c>
      <c r="AM6" s="82">
        <v>2</v>
      </c>
      <c r="AN6" s="87" t="s">
        <v>1815</v>
      </c>
      <c r="AO6" s="87" t="s">
        <v>1852</v>
      </c>
      <c r="AP6" s="82" t="b">
        <v>0</v>
      </c>
      <c r="AQ6" s="87" t="s">
        <v>1449</v>
      </c>
      <c r="AR6" s="82"/>
      <c r="AS6" s="82">
        <v>0</v>
      </c>
      <c r="AT6" s="82">
        <v>0</v>
      </c>
      <c r="AU6" s="82"/>
      <c r="AV6" s="82"/>
      <c r="AW6" s="82"/>
      <c r="AX6" s="82"/>
      <c r="AY6" s="82"/>
      <c r="AZ6" s="82"/>
      <c r="BA6" s="82"/>
      <c r="BB6" s="82"/>
      <c r="BC6">
        <v>1</v>
      </c>
      <c r="BD6" s="81" t="str">
        <f>REPLACE(INDEX(GroupVertices[Group],MATCH(Edges[[#This Row],[Vertex 1]],GroupVertices[Vertex],0)),1,1,"")</f>
        <v>13</v>
      </c>
      <c r="BE6" s="81" t="str">
        <f>REPLACE(INDEX(GroupVertices[Group],MATCH(Edges[[#This Row],[Vertex 2]],GroupVertices[Vertex],0)),1,1,"")</f>
        <v>13</v>
      </c>
      <c r="BF6" s="49"/>
      <c r="BG6" s="50"/>
      <c r="BH6" s="49"/>
      <c r="BI6" s="50"/>
      <c r="BJ6" s="49"/>
      <c r="BK6" s="50"/>
      <c r="BL6" s="49"/>
      <c r="BM6" s="50"/>
      <c r="BN6" s="49"/>
    </row>
    <row r="7" spans="1:66" ht="15">
      <c r="A7" s="66" t="s">
        <v>254</v>
      </c>
      <c r="B7" s="66" t="s">
        <v>450</v>
      </c>
      <c r="C7" s="67" t="s">
        <v>4509</v>
      </c>
      <c r="D7" s="68">
        <v>3</v>
      </c>
      <c r="E7" s="69" t="s">
        <v>132</v>
      </c>
      <c r="F7" s="70">
        <v>32</v>
      </c>
      <c r="G7" s="67"/>
      <c r="H7" s="71"/>
      <c r="I7" s="72"/>
      <c r="J7" s="72"/>
      <c r="K7" s="35" t="s">
        <v>65</v>
      </c>
      <c r="L7" s="80">
        <v>7</v>
      </c>
      <c r="M7" s="80"/>
      <c r="N7" s="74"/>
      <c r="O7" s="82" t="s">
        <v>529</v>
      </c>
      <c r="P7" s="84">
        <v>44518.63144675926</v>
      </c>
      <c r="Q7" s="82" t="s">
        <v>532</v>
      </c>
      <c r="R7" s="82"/>
      <c r="S7" s="82"/>
      <c r="T7" s="87" t="s">
        <v>950</v>
      </c>
      <c r="U7" s="85" t="str">
        <f>HYPERLINK("https://pbs.twimg.com/media/FEfCz3CUYAg7MPc.jpg")</f>
        <v>https://pbs.twimg.com/media/FEfCz3CUYAg7MPc.jpg</v>
      </c>
      <c r="V7" s="85" t="str">
        <f>HYPERLINK("https://pbs.twimg.com/media/FEfCz3CUYAg7MPc.jpg")</f>
        <v>https://pbs.twimg.com/media/FEfCz3CUYAg7MPc.jpg</v>
      </c>
      <c r="W7" s="84">
        <v>44518.63144675926</v>
      </c>
      <c r="X7" s="90">
        <v>44518</v>
      </c>
      <c r="Y7" s="87" t="s">
        <v>1148</v>
      </c>
      <c r="Z7" s="85" t="str">
        <f>HYPERLINK("https://twitter.com/whhtpharmacy/status/1461350805621985296")</f>
        <v>https://twitter.com/whhtpharmacy/status/1461350805621985296</v>
      </c>
      <c r="AA7" s="82"/>
      <c r="AB7" s="82"/>
      <c r="AC7" s="87" t="s">
        <v>1449</v>
      </c>
      <c r="AD7" s="82"/>
      <c r="AE7" s="82" t="b">
        <v>0</v>
      </c>
      <c r="AF7" s="82">
        <v>3</v>
      </c>
      <c r="AG7" s="87" t="s">
        <v>1816</v>
      </c>
      <c r="AH7" s="82" t="b">
        <v>0</v>
      </c>
      <c r="AI7" s="82" t="s">
        <v>1826</v>
      </c>
      <c r="AJ7" s="82"/>
      <c r="AK7" s="87" t="s">
        <v>1815</v>
      </c>
      <c r="AL7" s="82" t="b">
        <v>0</v>
      </c>
      <c r="AM7" s="82">
        <v>2</v>
      </c>
      <c r="AN7" s="87" t="s">
        <v>1815</v>
      </c>
      <c r="AO7" s="87" t="s">
        <v>1852</v>
      </c>
      <c r="AP7" s="82" t="b">
        <v>0</v>
      </c>
      <c r="AQ7" s="87" t="s">
        <v>1449</v>
      </c>
      <c r="AR7" s="82"/>
      <c r="AS7" s="82">
        <v>0</v>
      </c>
      <c r="AT7" s="82">
        <v>0</v>
      </c>
      <c r="AU7" s="82"/>
      <c r="AV7" s="82"/>
      <c r="AW7" s="82"/>
      <c r="AX7" s="82"/>
      <c r="AY7" s="82"/>
      <c r="AZ7" s="82"/>
      <c r="BA7" s="82"/>
      <c r="BB7" s="82"/>
      <c r="BC7">
        <v>1</v>
      </c>
      <c r="BD7" s="81" t="str">
        <f>REPLACE(INDEX(GroupVertices[Group],MATCH(Edges[[#This Row],[Vertex 1]],GroupVertices[Vertex],0)),1,1,"")</f>
        <v>13</v>
      </c>
      <c r="BE7" s="81" t="str">
        <f>REPLACE(INDEX(GroupVertices[Group],MATCH(Edges[[#This Row],[Vertex 2]],GroupVertices[Vertex],0)),1,1,"")</f>
        <v>13</v>
      </c>
      <c r="BF7" s="49">
        <v>0</v>
      </c>
      <c r="BG7" s="50">
        <v>0</v>
      </c>
      <c r="BH7" s="49">
        <v>0</v>
      </c>
      <c r="BI7" s="50">
        <v>0</v>
      </c>
      <c r="BJ7" s="49">
        <v>0</v>
      </c>
      <c r="BK7" s="50">
        <v>0</v>
      </c>
      <c r="BL7" s="49">
        <v>20</v>
      </c>
      <c r="BM7" s="50">
        <v>100</v>
      </c>
      <c r="BN7" s="49">
        <v>20</v>
      </c>
    </row>
    <row r="8" spans="1:66" ht="15">
      <c r="A8" s="66" t="s">
        <v>255</v>
      </c>
      <c r="B8" s="66" t="s">
        <v>255</v>
      </c>
      <c r="C8" s="67" t="s">
        <v>4509</v>
      </c>
      <c r="D8" s="68">
        <v>3</v>
      </c>
      <c r="E8" s="69" t="s">
        <v>132</v>
      </c>
      <c r="F8" s="70">
        <v>32</v>
      </c>
      <c r="G8" s="67"/>
      <c r="H8" s="71"/>
      <c r="I8" s="72"/>
      <c r="J8" s="72"/>
      <c r="K8" s="35" t="s">
        <v>65</v>
      </c>
      <c r="L8" s="80">
        <v>8</v>
      </c>
      <c r="M8" s="80"/>
      <c r="N8" s="74"/>
      <c r="O8" s="82" t="s">
        <v>214</v>
      </c>
      <c r="P8" s="84">
        <v>44518.62503472222</v>
      </c>
      <c r="Q8" s="82" t="s">
        <v>533</v>
      </c>
      <c r="R8" s="82"/>
      <c r="S8" s="82"/>
      <c r="T8" s="87" t="s">
        <v>951</v>
      </c>
      <c r="U8" s="85" t="str">
        <f>HYPERLINK("https://pbs.twimg.com/media/FEeEjRRXIAIN_GE.jpg")</f>
        <v>https://pbs.twimg.com/media/FEeEjRRXIAIN_GE.jpg</v>
      </c>
      <c r="V8" s="85" t="str">
        <f>HYPERLINK("https://pbs.twimg.com/media/FEeEjRRXIAIN_GE.jpg")</f>
        <v>https://pbs.twimg.com/media/FEeEjRRXIAIN_GE.jpg</v>
      </c>
      <c r="W8" s="84">
        <v>44518.62503472222</v>
      </c>
      <c r="X8" s="90">
        <v>44518</v>
      </c>
      <c r="Y8" s="87" t="s">
        <v>1149</v>
      </c>
      <c r="Z8" s="85" t="str">
        <f>HYPERLINK("https://twitter.com/ukhsa_northwest/status/1461348481159761920")</f>
        <v>https://twitter.com/ukhsa_northwest/status/1461348481159761920</v>
      </c>
      <c r="AA8" s="82"/>
      <c r="AB8" s="82"/>
      <c r="AC8" s="87" t="s">
        <v>1450</v>
      </c>
      <c r="AD8" s="82"/>
      <c r="AE8" s="82" t="b">
        <v>0</v>
      </c>
      <c r="AF8" s="82">
        <v>2</v>
      </c>
      <c r="AG8" s="87" t="s">
        <v>1815</v>
      </c>
      <c r="AH8" s="82" t="b">
        <v>0</v>
      </c>
      <c r="AI8" s="82" t="s">
        <v>1826</v>
      </c>
      <c r="AJ8" s="82"/>
      <c r="AK8" s="87" t="s">
        <v>1815</v>
      </c>
      <c r="AL8" s="82" t="b">
        <v>0</v>
      </c>
      <c r="AM8" s="82">
        <v>0</v>
      </c>
      <c r="AN8" s="87" t="s">
        <v>1815</v>
      </c>
      <c r="AO8" s="87" t="s">
        <v>1853</v>
      </c>
      <c r="AP8" s="82" t="b">
        <v>0</v>
      </c>
      <c r="AQ8" s="87" t="s">
        <v>1450</v>
      </c>
      <c r="AR8" s="82"/>
      <c r="AS8" s="82">
        <v>0</v>
      </c>
      <c r="AT8" s="82">
        <v>0</v>
      </c>
      <c r="AU8" s="82"/>
      <c r="AV8" s="82"/>
      <c r="AW8" s="82"/>
      <c r="AX8" s="82"/>
      <c r="AY8" s="82"/>
      <c r="AZ8" s="82"/>
      <c r="BA8" s="82"/>
      <c r="BB8" s="82"/>
      <c r="BC8">
        <v>1</v>
      </c>
      <c r="BD8" s="81" t="str">
        <f>REPLACE(INDEX(GroupVertices[Group],MATCH(Edges[[#This Row],[Vertex 1]],GroupVertices[Vertex],0)),1,1,"")</f>
        <v>1</v>
      </c>
      <c r="BE8" s="81" t="str">
        <f>REPLACE(INDEX(GroupVertices[Group],MATCH(Edges[[#This Row],[Vertex 2]],GroupVertices[Vertex],0)),1,1,"")</f>
        <v>1</v>
      </c>
      <c r="BF8" s="49">
        <v>0</v>
      </c>
      <c r="BG8" s="50">
        <v>0</v>
      </c>
      <c r="BH8" s="49">
        <v>2</v>
      </c>
      <c r="BI8" s="50">
        <v>6.0606060606060606</v>
      </c>
      <c r="BJ8" s="49">
        <v>0</v>
      </c>
      <c r="BK8" s="50">
        <v>0</v>
      </c>
      <c r="BL8" s="49">
        <v>31</v>
      </c>
      <c r="BM8" s="50">
        <v>93.93939393939394</v>
      </c>
      <c r="BN8" s="49">
        <v>33</v>
      </c>
    </row>
    <row r="9" spans="1:66" ht="15">
      <c r="A9" s="66" t="s">
        <v>256</v>
      </c>
      <c r="B9" s="66" t="s">
        <v>256</v>
      </c>
      <c r="C9" s="67" t="s">
        <v>4509</v>
      </c>
      <c r="D9" s="68">
        <v>3</v>
      </c>
      <c r="E9" s="69" t="s">
        <v>132</v>
      </c>
      <c r="F9" s="70">
        <v>32</v>
      </c>
      <c r="G9" s="67"/>
      <c r="H9" s="71"/>
      <c r="I9" s="72"/>
      <c r="J9" s="72"/>
      <c r="K9" s="35" t="s">
        <v>65</v>
      </c>
      <c r="L9" s="80">
        <v>9</v>
      </c>
      <c r="M9" s="80"/>
      <c r="N9" s="74"/>
      <c r="O9" s="82" t="s">
        <v>214</v>
      </c>
      <c r="P9" s="84">
        <v>44518.662939814814</v>
      </c>
      <c r="Q9" s="82" t="s">
        <v>534</v>
      </c>
      <c r="R9" s="82"/>
      <c r="S9" s="82"/>
      <c r="T9" s="87" t="s">
        <v>952</v>
      </c>
      <c r="U9" s="82"/>
      <c r="V9" s="85" t="str">
        <f>HYPERLINK("https://pbs.twimg.com/profile_images/1391391408355905540/q_Bbnteu_normal.png")</f>
        <v>https://pbs.twimg.com/profile_images/1391391408355905540/q_Bbnteu_normal.png</v>
      </c>
      <c r="W9" s="84">
        <v>44518.662939814814</v>
      </c>
      <c r="X9" s="90">
        <v>44518</v>
      </c>
      <c r="Y9" s="87" t="s">
        <v>1150</v>
      </c>
      <c r="Z9" s="85" t="str">
        <f>HYPERLINK("https://twitter.com/triciag6/status/1461362217853460481")</f>
        <v>https://twitter.com/triciag6/status/1461362217853460481</v>
      </c>
      <c r="AA9" s="82"/>
      <c r="AB9" s="82"/>
      <c r="AC9" s="87" t="s">
        <v>1451</v>
      </c>
      <c r="AD9" s="82"/>
      <c r="AE9" s="82" t="b">
        <v>0</v>
      </c>
      <c r="AF9" s="82">
        <v>7</v>
      </c>
      <c r="AG9" s="87" t="s">
        <v>1815</v>
      </c>
      <c r="AH9" s="82" t="b">
        <v>0</v>
      </c>
      <c r="AI9" s="82" t="s">
        <v>1826</v>
      </c>
      <c r="AJ9" s="82"/>
      <c r="AK9" s="87" t="s">
        <v>1815</v>
      </c>
      <c r="AL9" s="82" t="b">
        <v>0</v>
      </c>
      <c r="AM9" s="82">
        <v>1</v>
      </c>
      <c r="AN9" s="87" t="s">
        <v>1815</v>
      </c>
      <c r="AO9" s="87" t="s">
        <v>1852</v>
      </c>
      <c r="AP9" s="82" t="b">
        <v>0</v>
      </c>
      <c r="AQ9" s="87" t="s">
        <v>1451</v>
      </c>
      <c r="AR9" s="82"/>
      <c r="AS9" s="82">
        <v>0</v>
      </c>
      <c r="AT9" s="82">
        <v>0</v>
      </c>
      <c r="AU9" s="82"/>
      <c r="AV9" s="82"/>
      <c r="AW9" s="82"/>
      <c r="AX9" s="82"/>
      <c r="AY9" s="82"/>
      <c r="AZ9" s="82"/>
      <c r="BA9" s="82"/>
      <c r="BB9" s="82"/>
      <c r="BC9">
        <v>1</v>
      </c>
      <c r="BD9" s="81" t="str">
        <f>REPLACE(INDEX(GroupVertices[Group],MATCH(Edges[[#This Row],[Vertex 1]],GroupVertices[Vertex],0)),1,1,"")</f>
        <v>1</v>
      </c>
      <c r="BE9" s="81" t="str">
        <f>REPLACE(INDEX(GroupVertices[Group],MATCH(Edges[[#This Row],[Vertex 2]],GroupVertices[Vertex],0)),1,1,"")</f>
        <v>1</v>
      </c>
      <c r="BF9" s="49">
        <v>0</v>
      </c>
      <c r="BG9" s="50">
        <v>0</v>
      </c>
      <c r="BH9" s="49">
        <v>3</v>
      </c>
      <c r="BI9" s="50">
        <v>9.090909090909092</v>
      </c>
      <c r="BJ9" s="49">
        <v>0</v>
      </c>
      <c r="BK9" s="50">
        <v>0</v>
      </c>
      <c r="BL9" s="49">
        <v>30</v>
      </c>
      <c r="BM9" s="50">
        <v>90.9090909090909</v>
      </c>
      <c r="BN9" s="49">
        <v>33</v>
      </c>
    </row>
    <row r="10" spans="1:66" ht="15">
      <c r="A10" s="66" t="s">
        <v>257</v>
      </c>
      <c r="B10" s="66" t="s">
        <v>257</v>
      </c>
      <c r="C10" s="67" t="s">
        <v>4509</v>
      </c>
      <c r="D10" s="68">
        <v>3</v>
      </c>
      <c r="E10" s="69" t="s">
        <v>132</v>
      </c>
      <c r="F10" s="70">
        <v>32</v>
      </c>
      <c r="G10" s="67"/>
      <c r="H10" s="71"/>
      <c r="I10" s="72"/>
      <c r="J10" s="72"/>
      <c r="K10" s="35" t="s">
        <v>65</v>
      </c>
      <c r="L10" s="80">
        <v>10</v>
      </c>
      <c r="M10" s="80"/>
      <c r="N10" s="74"/>
      <c r="O10" s="82" t="s">
        <v>214</v>
      </c>
      <c r="P10" s="84">
        <v>44518.63613425926</v>
      </c>
      <c r="Q10" s="82" t="s">
        <v>535</v>
      </c>
      <c r="R10" s="85" t="str">
        <f>HYPERLINK("https://antibioticguardian.com/")</f>
        <v>https://antibioticguardian.com/</v>
      </c>
      <c r="S10" s="82" t="s">
        <v>902</v>
      </c>
      <c r="T10" s="87" t="s">
        <v>953</v>
      </c>
      <c r="U10" s="85" t="str">
        <f>HYPERLINK("https://pbs.twimg.com/media/FEfDGv1VIAUoF_6.jpg")</f>
        <v>https://pbs.twimg.com/media/FEfDGv1VIAUoF_6.jpg</v>
      </c>
      <c r="V10" s="85" t="str">
        <f>HYPERLINK("https://pbs.twimg.com/media/FEfDGv1VIAUoF_6.jpg")</f>
        <v>https://pbs.twimg.com/media/FEfDGv1VIAUoF_6.jpg</v>
      </c>
      <c r="W10" s="84">
        <v>44518.63613425926</v>
      </c>
      <c r="X10" s="90">
        <v>44518</v>
      </c>
      <c r="Y10" s="87" t="s">
        <v>1151</v>
      </c>
      <c r="Z10" s="85" t="str">
        <f>HYPERLINK("https://twitter.com/wirralcouncil/status/1461352504877146117")</f>
        <v>https://twitter.com/wirralcouncil/status/1461352504877146117</v>
      </c>
      <c r="AA10" s="82"/>
      <c r="AB10" s="82"/>
      <c r="AC10" s="87" t="s">
        <v>1452</v>
      </c>
      <c r="AD10" s="82"/>
      <c r="AE10" s="82" t="b">
        <v>0</v>
      </c>
      <c r="AF10" s="82">
        <v>1</v>
      </c>
      <c r="AG10" s="87" t="s">
        <v>1815</v>
      </c>
      <c r="AH10" s="82" t="b">
        <v>0</v>
      </c>
      <c r="AI10" s="82" t="s">
        <v>1826</v>
      </c>
      <c r="AJ10" s="82"/>
      <c r="AK10" s="87" t="s">
        <v>1815</v>
      </c>
      <c r="AL10" s="82" t="b">
        <v>0</v>
      </c>
      <c r="AM10" s="82">
        <v>1</v>
      </c>
      <c r="AN10" s="87" t="s">
        <v>1815</v>
      </c>
      <c r="AO10" s="87" t="s">
        <v>1850</v>
      </c>
      <c r="AP10" s="82" t="b">
        <v>0</v>
      </c>
      <c r="AQ10" s="87" t="s">
        <v>1452</v>
      </c>
      <c r="AR10" s="82"/>
      <c r="AS10" s="82">
        <v>0</v>
      </c>
      <c r="AT10" s="82">
        <v>0</v>
      </c>
      <c r="AU10" s="82"/>
      <c r="AV10" s="82"/>
      <c r="AW10" s="82"/>
      <c r="AX10" s="82"/>
      <c r="AY10" s="82"/>
      <c r="AZ10" s="82"/>
      <c r="BA10" s="82"/>
      <c r="BB10" s="82"/>
      <c r="BC10">
        <v>1</v>
      </c>
      <c r="BD10" s="81" t="str">
        <f>REPLACE(INDEX(GroupVertices[Group],MATCH(Edges[[#This Row],[Vertex 1]],GroupVertices[Vertex],0)),1,1,"")</f>
        <v>1</v>
      </c>
      <c r="BE10" s="81" t="str">
        <f>REPLACE(INDEX(GroupVertices[Group],MATCH(Edges[[#This Row],[Vertex 2]],GroupVertices[Vertex],0)),1,1,"")</f>
        <v>1</v>
      </c>
      <c r="BF10" s="49">
        <v>0</v>
      </c>
      <c r="BG10" s="50">
        <v>0</v>
      </c>
      <c r="BH10" s="49">
        <v>3</v>
      </c>
      <c r="BI10" s="50">
        <v>8.823529411764707</v>
      </c>
      <c r="BJ10" s="49">
        <v>0</v>
      </c>
      <c r="BK10" s="50">
        <v>0</v>
      </c>
      <c r="BL10" s="49">
        <v>31</v>
      </c>
      <c r="BM10" s="50">
        <v>91.17647058823529</v>
      </c>
      <c r="BN10" s="49">
        <v>34</v>
      </c>
    </row>
    <row r="11" spans="1:66" ht="15">
      <c r="A11" s="66" t="s">
        <v>258</v>
      </c>
      <c r="B11" s="66" t="s">
        <v>258</v>
      </c>
      <c r="C11" s="67" t="s">
        <v>4509</v>
      </c>
      <c r="D11" s="68">
        <v>3</v>
      </c>
      <c r="E11" s="69" t="s">
        <v>132</v>
      </c>
      <c r="F11" s="70">
        <v>32</v>
      </c>
      <c r="G11" s="67"/>
      <c r="H11" s="71"/>
      <c r="I11" s="72"/>
      <c r="J11" s="72"/>
      <c r="K11" s="35" t="s">
        <v>65</v>
      </c>
      <c r="L11" s="80">
        <v>11</v>
      </c>
      <c r="M11" s="80"/>
      <c r="N11" s="74"/>
      <c r="O11" s="82" t="s">
        <v>214</v>
      </c>
      <c r="P11" s="84">
        <v>44518.62501157408</v>
      </c>
      <c r="Q11" s="82" t="s">
        <v>536</v>
      </c>
      <c r="R11" s="85" t="str">
        <f>HYPERLINK("https://www.cdc.gov/drugresistance/covid19.html")</f>
        <v>https://www.cdc.gov/drugresistance/covid19.html</v>
      </c>
      <c r="S11" s="82" t="s">
        <v>903</v>
      </c>
      <c r="T11" s="87" t="s">
        <v>954</v>
      </c>
      <c r="U11" s="85" t="str">
        <f>HYPERLINK("https://pbs.twimg.com/media/FEWVmonWUAkqTVD.jpg")</f>
        <v>https://pbs.twimg.com/media/FEWVmonWUAkqTVD.jpg</v>
      </c>
      <c r="V11" s="85" t="str">
        <f>HYPERLINK("https://pbs.twimg.com/media/FEWVmonWUAkqTVD.jpg")</f>
        <v>https://pbs.twimg.com/media/FEWVmonWUAkqTVD.jpg</v>
      </c>
      <c r="W11" s="84">
        <v>44518.62501157408</v>
      </c>
      <c r="X11" s="90">
        <v>44518</v>
      </c>
      <c r="Y11" s="87" t="s">
        <v>1152</v>
      </c>
      <c r="Z11" s="85" t="str">
        <f>HYPERLINK("https://twitter.com/tmfnetworks/status/1461348474054754304")</f>
        <v>https://twitter.com/tmfnetworks/status/1461348474054754304</v>
      </c>
      <c r="AA11" s="82"/>
      <c r="AB11" s="82"/>
      <c r="AC11" s="87" t="s">
        <v>1453</v>
      </c>
      <c r="AD11" s="82"/>
      <c r="AE11" s="82" t="b">
        <v>0</v>
      </c>
      <c r="AF11" s="82">
        <v>3</v>
      </c>
      <c r="AG11" s="87" t="s">
        <v>1815</v>
      </c>
      <c r="AH11" s="82" t="b">
        <v>0</v>
      </c>
      <c r="AI11" s="82" t="s">
        <v>1826</v>
      </c>
      <c r="AJ11" s="82"/>
      <c r="AK11" s="87" t="s">
        <v>1815</v>
      </c>
      <c r="AL11" s="82" t="b">
        <v>0</v>
      </c>
      <c r="AM11" s="82">
        <v>0</v>
      </c>
      <c r="AN11" s="87" t="s">
        <v>1815</v>
      </c>
      <c r="AO11" s="87" t="s">
        <v>1853</v>
      </c>
      <c r="AP11" s="82" t="b">
        <v>0</v>
      </c>
      <c r="AQ11" s="87" t="s">
        <v>1453</v>
      </c>
      <c r="AR11" s="82"/>
      <c r="AS11" s="82">
        <v>0</v>
      </c>
      <c r="AT11" s="82">
        <v>0</v>
      </c>
      <c r="AU11" s="82"/>
      <c r="AV11" s="82"/>
      <c r="AW11" s="82"/>
      <c r="AX11" s="82"/>
      <c r="AY11" s="82"/>
      <c r="AZ11" s="82"/>
      <c r="BA11" s="82"/>
      <c r="BB11" s="82"/>
      <c r="BC11">
        <v>1</v>
      </c>
      <c r="BD11" s="81" t="str">
        <f>REPLACE(INDEX(GroupVertices[Group],MATCH(Edges[[#This Row],[Vertex 1]],GroupVertices[Vertex],0)),1,1,"")</f>
        <v>1</v>
      </c>
      <c r="BE11" s="81" t="str">
        <f>REPLACE(INDEX(GroupVertices[Group],MATCH(Edges[[#This Row],[Vertex 2]],GroupVertices[Vertex],0)),1,1,"")</f>
        <v>1</v>
      </c>
      <c r="BF11" s="49">
        <v>0</v>
      </c>
      <c r="BG11" s="50">
        <v>0</v>
      </c>
      <c r="BH11" s="49">
        <v>1</v>
      </c>
      <c r="BI11" s="50">
        <v>3.0303030303030303</v>
      </c>
      <c r="BJ11" s="49">
        <v>0</v>
      </c>
      <c r="BK11" s="50">
        <v>0</v>
      </c>
      <c r="BL11" s="49">
        <v>32</v>
      </c>
      <c r="BM11" s="50">
        <v>96.96969696969697</v>
      </c>
      <c r="BN11" s="49">
        <v>33</v>
      </c>
    </row>
    <row r="12" spans="1:66" ht="15">
      <c r="A12" s="66" t="s">
        <v>259</v>
      </c>
      <c r="B12" s="66" t="s">
        <v>259</v>
      </c>
      <c r="C12" s="67" t="s">
        <v>4509</v>
      </c>
      <c r="D12" s="68">
        <v>3</v>
      </c>
      <c r="E12" s="69" t="s">
        <v>132</v>
      </c>
      <c r="F12" s="70">
        <v>32</v>
      </c>
      <c r="G12" s="67"/>
      <c r="H12" s="71"/>
      <c r="I12" s="72"/>
      <c r="J12" s="72"/>
      <c r="K12" s="35" t="s">
        <v>65</v>
      </c>
      <c r="L12" s="80">
        <v>12</v>
      </c>
      <c r="M12" s="80"/>
      <c r="N12" s="74"/>
      <c r="O12" s="82" t="s">
        <v>214</v>
      </c>
      <c r="P12" s="84">
        <v>44518.62731481482</v>
      </c>
      <c r="Q12" s="82" t="s">
        <v>537</v>
      </c>
      <c r="R12" s="82"/>
      <c r="S12" s="82"/>
      <c r="T12" s="87" t="s">
        <v>955</v>
      </c>
      <c r="U12" s="85" t="str">
        <f>HYPERLINK("https://pbs.twimg.com/media/FEfBc6bVEAYJNSi.jpg")</f>
        <v>https://pbs.twimg.com/media/FEfBc6bVEAYJNSi.jpg</v>
      </c>
      <c r="V12" s="85" t="str">
        <f>HYPERLINK("https://pbs.twimg.com/media/FEfBc6bVEAYJNSi.jpg")</f>
        <v>https://pbs.twimg.com/media/FEfBc6bVEAYJNSi.jpg</v>
      </c>
      <c r="W12" s="84">
        <v>44518.62731481482</v>
      </c>
      <c r="X12" s="90">
        <v>44518</v>
      </c>
      <c r="Y12" s="87" t="s">
        <v>1153</v>
      </c>
      <c r="Z12" s="85" t="str">
        <f>HYPERLINK("https://twitter.com/warringtonccg/status/1461349308482002960")</f>
        <v>https://twitter.com/warringtonccg/status/1461349308482002960</v>
      </c>
      <c r="AA12" s="82"/>
      <c r="AB12" s="82"/>
      <c r="AC12" s="87" t="s">
        <v>1454</v>
      </c>
      <c r="AD12" s="82"/>
      <c r="AE12" s="82" t="b">
        <v>0</v>
      </c>
      <c r="AF12" s="82">
        <v>9</v>
      </c>
      <c r="AG12" s="87" t="s">
        <v>1815</v>
      </c>
      <c r="AH12" s="82" t="b">
        <v>0</v>
      </c>
      <c r="AI12" s="82" t="s">
        <v>1826</v>
      </c>
      <c r="AJ12" s="82"/>
      <c r="AK12" s="87" t="s">
        <v>1815</v>
      </c>
      <c r="AL12" s="82" t="b">
        <v>0</v>
      </c>
      <c r="AM12" s="82">
        <v>2</v>
      </c>
      <c r="AN12" s="87" t="s">
        <v>1815</v>
      </c>
      <c r="AO12" s="87" t="s">
        <v>1854</v>
      </c>
      <c r="AP12" s="82" t="b">
        <v>0</v>
      </c>
      <c r="AQ12" s="87" t="s">
        <v>1454</v>
      </c>
      <c r="AR12" s="82"/>
      <c r="AS12" s="82">
        <v>0</v>
      </c>
      <c r="AT12" s="82">
        <v>0</v>
      </c>
      <c r="AU12" s="82"/>
      <c r="AV12" s="82"/>
      <c r="AW12" s="82"/>
      <c r="AX12" s="82"/>
      <c r="AY12" s="82"/>
      <c r="AZ12" s="82"/>
      <c r="BA12" s="82"/>
      <c r="BB12" s="82"/>
      <c r="BC12">
        <v>1</v>
      </c>
      <c r="BD12" s="81" t="str">
        <f>REPLACE(INDEX(GroupVertices[Group],MATCH(Edges[[#This Row],[Vertex 1]],GroupVertices[Vertex],0)),1,1,"")</f>
        <v>1</v>
      </c>
      <c r="BE12" s="81" t="str">
        <f>REPLACE(INDEX(GroupVertices[Group],MATCH(Edges[[#This Row],[Vertex 2]],GroupVertices[Vertex],0)),1,1,"")</f>
        <v>1</v>
      </c>
      <c r="BF12" s="49">
        <v>0</v>
      </c>
      <c r="BG12" s="50">
        <v>0</v>
      </c>
      <c r="BH12" s="49">
        <v>2</v>
      </c>
      <c r="BI12" s="50">
        <v>6.0606060606060606</v>
      </c>
      <c r="BJ12" s="49">
        <v>0</v>
      </c>
      <c r="BK12" s="50">
        <v>0</v>
      </c>
      <c r="BL12" s="49">
        <v>31</v>
      </c>
      <c r="BM12" s="50">
        <v>93.93939393939394</v>
      </c>
      <c r="BN12" s="49">
        <v>33</v>
      </c>
    </row>
    <row r="13" spans="1:66" ht="15">
      <c r="A13" s="66" t="s">
        <v>260</v>
      </c>
      <c r="B13" s="66" t="s">
        <v>260</v>
      </c>
      <c r="C13" s="67" t="s">
        <v>4509</v>
      </c>
      <c r="D13" s="68">
        <v>3</v>
      </c>
      <c r="E13" s="69" t="s">
        <v>132</v>
      </c>
      <c r="F13" s="70">
        <v>32</v>
      </c>
      <c r="G13" s="67"/>
      <c r="H13" s="71"/>
      <c r="I13" s="72"/>
      <c r="J13" s="72"/>
      <c r="K13" s="35" t="s">
        <v>65</v>
      </c>
      <c r="L13" s="80">
        <v>13</v>
      </c>
      <c r="M13" s="80"/>
      <c r="N13" s="74"/>
      <c r="O13" s="82" t="s">
        <v>214</v>
      </c>
      <c r="P13" s="84">
        <v>44518.62847222222</v>
      </c>
      <c r="Q13" s="82" t="s">
        <v>538</v>
      </c>
      <c r="R13" s="85" t="str">
        <f>HYPERLINK("https://www.cdc.gov/drugresistance/covid19.html")</f>
        <v>https://www.cdc.gov/drugresistance/covid19.html</v>
      </c>
      <c r="S13" s="82" t="s">
        <v>903</v>
      </c>
      <c r="T13" s="87" t="s">
        <v>956</v>
      </c>
      <c r="U13" s="85" t="str">
        <f>HYPERLINK("https://pbs.twimg.com/media/FEHC3S-XwAMesWt.jpg")</f>
        <v>https://pbs.twimg.com/media/FEHC3S-XwAMesWt.jpg</v>
      </c>
      <c r="V13" s="85" t="str">
        <f>HYPERLINK("https://pbs.twimg.com/media/FEHC3S-XwAMesWt.jpg")</f>
        <v>https://pbs.twimg.com/media/FEHC3S-XwAMesWt.jpg</v>
      </c>
      <c r="W13" s="84">
        <v>44518.62847222222</v>
      </c>
      <c r="X13" s="90">
        <v>44518</v>
      </c>
      <c r="Y13" s="87" t="s">
        <v>1154</v>
      </c>
      <c r="Z13" s="85" t="str">
        <f>HYPERLINK("https://twitter.com/vumc_idfellows/status/1461349729011265560")</f>
        <v>https://twitter.com/vumc_idfellows/status/1461349729011265560</v>
      </c>
      <c r="AA13" s="82"/>
      <c r="AB13" s="82"/>
      <c r="AC13" s="87" t="s">
        <v>1455</v>
      </c>
      <c r="AD13" s="82"/>
      <c r="AE13" s="82" t="b">
        <v>0</v>
      </c>
      <c r="AF13" s="82">
        <v>7</v>
      </c>
      <c r="AG13" s="87" t="s">
        <v>1815</v>
      </c>
      <c r="AH13" s="82" t="b">
        <v>0</v>
      </c>
      <c r="AI13" s="82" t="s">
        <v>1826</v>
      </c>
      <c r="AJ13" s="82"/>
      <c r="AK13" s="87" t="s">
        <v>1815</v>
      </c>
      <c r="AL13" s="82" t="b">
        <v>0</v>
      </c>
      <c r="AM13" s="82">
        <v>5</v>
      </c>
      <c r="AN13" s="87" t="s">
        <v>1815</v>
      </c>
      <c r="AO13" s="87" t="s">
        <v>1853</v>
      </c>
      <c r="AP13" s="82" t="b">
        <v>0</v>
      </c>
      <c r="AQ13" s="87" t="s">
        <v>1455</v>
      </c>
      <c r="AR13" s="82"/>
      <c r="AS13" s="82">
        <v>0</v>
      </c>
      <c r="AT13" s="82">
        <v>0</v>
      </c>
      <c r="AU13" s="82"/>
      <c r="AV13" s="82"/>
      <c r="AW13" s="82"/>
      <c r="AX13" s="82"/>
      <c r="AY13" s="82"/>
      <c r="AZ13" s="82"/>
      <c r="BA13" s="82"/>
      <c r="BB13" s="82"/>
      <c r="BC13">
        <v>1</v>
      </c>
      <c r="BD13" s="81" t="str">
        <f>REPLACE(INDEX(GroupVertices[Group],MATCH(Edges[[#This Row],[Vertex 1]],GroupVertices[Vertex],0)),1,1,"")</f>
        <v>1</v>
      </c>
      <c r="BE13" s="81" t="str">
        <f>REPLACE(INDEX(GroupVertices[Group],MATCH(Edges[[#This Row],[Vertex 2]],GroupVertices[Vertex],0)),1,1,"")</f>
        <v>1</v>
      </c>
      <c r="BF13" s="49">
        <v>0</v>
      </c>
      <c r="BG13" s="50">
        <v>0</v>
      </c>
      <c r="BH13" s="49">
        <v>1</v>
      </c>
      <c r="BI13" s="50">
        <v>3.0303030303030303</v>
      </c>
      <c r="BJ13" s="49">
        <v>0</v>
      </c>
      <c r="BK13" s="50">
        <v>0</v>
      </c>
      <c r="BL13" s="49">
        <v>32</v>
      </c>
      <c r="BM13" s="50">
        <v>96.96969696969697</v>
      </c>
      <c r="BN13" s="49">
        <v>33</v>
      </c>
    </row>
    <row r="14" spans="1:66" ht="15">
      <c r="A14" s="66" t="s">
        <v>261</v>
      </c>
      <c r="B14" s="66" t="s">
        <v>261</v>
      </c>
      <c r="C14" s="67" t="s">
        <v>4509</v>
      </c>
      <c r="D14" s="68">
        <v>3</v>
      </c>
      <c r="E14" s="69" t="s">
        <v>132</v>
      </c>
      <c r="F14" s="70">
        <v>32</v>
      </c>
      <c r="G14" s="67"/>
      <c r="H14" s="71"/>
      <c r="I14" s="72"/>
      <c r="J14" s="72"/>
      <c r="K14" s="35" t="s">
        <v>65</v>
      </c>
      <c r="L14" s="80">
        <v>14</v>
      </c>
      <c r="M14" s="80"/>
      <c r="N14" s="74"/>
      <c r="O14" s="82" t="s">
        <v>214</v>
      </c>
      <c r="P14" s="84">
        <v>44518.649351851855</v>
      </c>
      <c r="Q14" s="82" t="s">
        <v>539</v>
      </c>
      <c r="R14" s="82"/>
      <c r="S14" s="82"/>
      <c r="T14" s="87" t="s">
        <v>957</v>
      </c>
      <c r="U14" s="85" t="str">
        <f>HYPERLINK("https://pbs.twimg.com/media/FEfItyGVkAIPir3.jpg")</f>
        <v>https://pbs.twimg.com/media/FEfItyGVkAIPir3.jpg</v>
      </c>
      <c r="V14" s="85" t="str">
        <f>HYPERLINK("https://pbs.twimg.com/media/FEfItyGVkAIPir3.jpg")</f>
        <v>https://pbs.twimg.com/media/FEfItyGVkAIPir3.jpg</v>
      </c>
      <c r="W14" s="84">
        <v>44518.649351851855</v>
      </c>
      <c r="X14" s="90">
        <v>44518</v>
      </c>
      <c r="Y14" s="87" t="s">
        <v>1155</v>
      </c>
      <c r="Z14" s="85" t="str">
        <f>HYPERLINK("https://twitter.com/yorksambulance/status/1461357295288274959")</f>
        <v>https://twitter.com/yorksambulance/status/1461357295288274959</v>
      </c>
      <c r="AA14" s="82"/>
      <c r="AB14" s="82"/>
      <c r="AC14" s="87" t="s">
        <v>1456</v>
      </c>
      <c r="AD14" s="82"/>
      <c r="AE14" s="82" t="b">
        <v>0</v>
      </c>
      <c r="AF14" s="82">
        <v>19</v>
      </c>
      <c r="AG14" s="87" t="s">
        <v>1815</v>
      </c>
      <c r="AH14" s="82" t="b">
        <v>0</v>
      </c>
      <c r="AI14" s="82" t="s">
        <v>1826</v>
      </c>
      <c r="AJ14" s="82"/>
      <c r="AK14" s="87" t="s">
        <v>1815</v>
      </c>
      <c r="AL14" s="82" t="b">
        <v>0</v>
      </c>
      <c r="AM14" s="82">
        <v>6</v>
      </c>
      <c r="AN14" s="87" t="s">
        <v>1815</v>
      </c>
      <c r="AO14" s="87" t="s">
        <v>1854</v>
      </c>
      <c r="AP14" s="82" t="b">
        <v>0</v>
      </c>
      <c r="AQ14" s="87" t="s">
        <v>1456</v>
      </c>
      <c r="AR14" s="82"/>
      <c r="AS14" s="82">
        <v>0</v>
      </c>
      <c r="AT14" s="82">
        <v>0</v>
      </c>
      <c r="AU14" s="82"/>
      <c r="AV14" s="82"/>
      <c r="AW14" s="82"/>
      <c r="AX14" s="82"/>
      <c r="AY14" s="82"/>
      <c r="AZ14" s="82"/>
      <c r="BA14" s="82"/>
      <c r="BB14" s="82"/>
      <c r="BC14">
        <v>1</v>
      </c>
      <c r="BD14" s="81" t="str">
        <f>REPLACE(INDEX(GroupVertices[Group],MATCH(Edges[[#This Row],[Vertex 1]],GroupVertices[Vertex],0)),1,1,"")</f>
        <v>1</v>
      </c>
      <c r="BE14" s="81" t="str">
        <f>REPLACE(INDEX(GroupVertices[Group],MATCH(Edges[[#This Row],[Vertex 2]],GroupVertices[Vertex],0)),1,1,"")</f>
        <v>1</v>
      </c>
      <c r="BF14" s="49">
        <v>0</v>
      </c>
      <c r="BG14" s="50">
        <v>0</v>
      </c>
      <c r="BH14" s="49">
        <v>4</v>
      </c>
      <c r="BI14" s="50">
        <v>9.30232558139535</v>
      </c>
      <c r="BJ14" s="49">
        <v>0</v>
      </c>
      <c r="BK14" s="50">
        <v>0</v>
      </c>
      <c r="BL14" s="49">
        <v>39</v>
      </c>
      <c r="BM14" s="50">
        <v>90.69767441860465</v>
      </c>
      <c r="BN14" s="49">
        <v>43</v>
      </c>
    </row>
    <row r="15" spans="1:66" ht="15">
      <c r="A15" s="66" t="s">
        <v>262</v>
      </c>
      <c r="B15" s="66" t="s">
        <v>262</v>
      </c>
      <c r="C15" s="67" t="s">
        <v>4509</v>
      </c>
      <c r="D15" s="68">
        <v>3</v>
      </c>
      <c r="E15" s="69" t="s">
        <v>132</v>
      </c>
      <c r="F15" s="70">
        <v>32</v>
      </c>
      <c r="G15" s="67"/>
      <c r="H15" s="71"/>
      <c r="I15" s="72"/>
      <c r="J15" s="72"/>
      <c r="K15" s="35" t="s">
        <v>65</v>
      </c>
      <c r="L15" s="80">
        <v>15</v>
      </c>
      <c r="M15" s="80"/>
      <c r="N15" s="74"/>
      <c r="O15" s="82" t="s">
        <v>214</v>
      </c>
      <c r="P15" s="84">
        <v>44518.62847222222</v>
      </c>
      <c r="Q15" s="82" t="s">
        <v>540</v>
      </c>
      <c r="R15" s="82"/>
      <c r="S15" s="82"/>
      <c r="T15" s="87" t="s">
        <v>955</v>
      </c>
      <c r="U15" s="85" t="str">
        <f>HYPERLINK("https://pbs.twimg.com/media/FEe-FbzVcBEeGyz.jpg")</f>
        <v>https://pbs.twimg.com/media/FEe-FbzVcBEeGyz.jpg</v>
      </c>
      <c r="V15" s="85" t="str">
        <f>HYPERLINK("https://pbs.twimg.com/media/FEe-FbzVcBEeGyz.jpg")</f>
        <v>https://pbs.twimg.com/media/FEe-FbzVcBEeGyz.jpg</v>
      </c>
      <c r="W15" s="84">
        <v>44518.62847222222</v>
      </c>
      <c r="X15" s="90">
        <v>44518</v>
      </c>
      <c r="Y15" s="87" t="s">
        <v>1154</v>
      </c>
      <c r="Z15" s="85" t="str">
        <f>HYPERLINK("https://twitter.com/ukhsa_southwest/status/1461349727790936064")</f>
        <v>https://twitter.com/ukhsa_southwest/status/1461349727790936064</v>
      </c>
      <c r="AA15" s="82"/>
      <c r="AB15" s="82"/>
      <c r="AC15" s="87" t="s">
        <v>1457</v>
      </c>
      <c r="AD15" s="82"/>
      <c r="AE15" s="82" t="b">
        <v>0</v>
      </c>
      <c r="AF15" s="82">
        <v>5</v>
      </c>
      <c r="AG15" s="87" t="s">
        <v>1815</v>
      </c>
      <c r="AH15" s="82" t="b">
        <v>0</v>
      </c>
      <c r="AI15" s="82" t="s">
        <v>1826</v>
      </c>
      <c r="AJ15" s="82"/>
      <c r="AK15" s="87" t="s">
        <v>1815</v>
      </c>
      <c r="AL15" s="82" t="b">
        <v>0</v>
      </c>
      <c r="AM15" s="82">
        <v>2</v>
      </c>
      <c r="AN15" s="87" t="s">
        <v>1815</v>
      </c>
      <c r="AO15" s="87" t="s">
        <v>1853</v>
      </c>
      <c r="AP15" s="82" t="b">
        <v>0</v>
      </c>
      <c r="AQ15" s="87" t="s">
        <v>1457</v>
      </c>
      <c r="AR15" s="82"/>
      <c r="AS15" s="82">
        <v>0</v>
      </c>
      <c r="AT15" s="82">
        <v>0</v>
      </c>
      <c r="AU15" s="82"/>
      <c r="AV15" s="82"/>
      <c r="AW15" s="82"/>
      <c r="AX15" s="82"/>
      <c r="AY15" s="82"/>
      <c r="AZ15" s="82"/>
      <c r="BA15" s="82"/>
      <c r="BB15" s="82"/>
      <c r="BC15">
        <v>1</v>
      </c>
      <c r="BD15" s="81" t="str">
        <f>REPLACE(INDEX(GroupVertices[Group],MATCH(Edges[[#This Row],[Vertex 1]],GroupVertices[Vertex],0)),1,1,"")</f>
        <v>1</v>
      </c>
      <c r="BE15" s="81" t="str">
        <f>REPLACE(INDEX(GroupVertices[Group],MATCH(Edges[[#This Row],[Vertex 2]],GroupVertices[Vertex],0)),1,1,"")</f>
        <v>1</v>
      </c>
      <c r="BF15" s="49">
        <v>0</v>
      </c>
      <c r="BG15" s="50">
        <v>0</v>
      </c>
      <c r="BH15" s="49">
        <v>2</v>
      </c>
      <c r="BI15" s="50">
        <v>6.0606060606060606</v>
      </c>
      <c r="BJ15" s="49">
        <v>0</v>
      </c>
      <c r="BK15" s="50">
        <v>0</v>
      </c>
      <c r="BL15" s="49">
        <v>31</v>
      </c>
      <c r="BM15" s="50">
        <v>93.93939393939394</v>
      </c>
      <c r="BN15" s="49">
        <v>33</v>
      </c>
    </row>
    <row r="16" spans="1:66" ht="15">
      <c r="A16" s="66" t="s">
        <v>263</v>
      </c>
      <c r="B16" s="66" t="s">
        <v>263</v>
      </c>
      <c r="C16" s="67" t="s">
        <v>4509</v>
      </c>
      <c r="D16" s="68">
        <v>3</v>
      </c>
      <c r="E16" s="69" t="s">
        <v>132</v>
      </c>
      <c r="F16" s="70">
        <v>32</v>
      </c>
      <c r="G16" s="67"/>
      <c r="H16" s="71"/>
      <c r="I16" s="72"/>
      <c r="J16" s="72"/>
      <c r="K16" s="35" t="s">
        <v>65</v>
      </c>
      <c r="L16" s="80">
        <v>16</v>
      </c>
      <c r="M16" s="80"/>
      <c r="N16" s="74"/>
      <c r="O16" s="82" t="s">
        <v>214</v>
      </c>
      <c r="P16" s="84">
        <v>44518.62585648148</v>
      </c>
      <c r="Q16" s="82" t="s">
        <v>541</v>
      </c>
      <c r="R16" s="85" t="str">
        <f>HYPERLINK("https://www.cdc.gov/drugresistance/covid19.html")</f>
        <v>https://www.cdc.gov/drugresistance/covid19.html</v>
      </c>
      <c r="S16" s="82" t="s">
        <v>903</v>
      </c>
      <c r="T16" s="87" t="s">
        <v>954</v>
      </c>
      <c r="U16" s="85" t="str">
        <f>HYPERLINK("https://pbs.twimg.com/media/FEfA-G8VIA0Qlin.jpg")</f>
        <v>https://pbs.twimg.com/media/FEfA-G8VIA0Qlin.jpg</v>
      </c>
      <c r="V16" s="85" t="str">
        <f>HYPERLINK("https://pbs.twimg.com/media/FEfA-G8VIA0Qlin.jpg")</f>
        <v>https://pbs.twimg.com/media/FEfA-G8VIA0Qlin.jpg</v>
      </c>
      <c r="W16" s="84">
        <v>44518.62585648148</v>
      </c>
      <c r="X16" s="90">
        <v>44518</v>
      </c>
      <c r="Y16" s="87" t="s">
        <v>1156</v>
      </c>
      <c r="Z16" s="85" t="str">
        <f>HYPERLINK("https://twitter.com/ukinatlanta/status/1461348779869700108")</f>
        <v>https://twitter.com/ukinatlanta/status/1461348779869700108</v>
      </c>
      <c r="AA16" s="82"/>
      <c r="AB16" s="82"/>
      <c r="AC16" s="87" t="s">
        <v>1458</v>
      </c>
      <c r="AD16" s="82"/>
      <c r="AE16" s="82" t="b">
        <v>0</v>
      </c>
      <c r="AF16" s="82">
        <v>5</v>
      </c>
      <c r="AG16" s="87" t="s">
        <v>1815</v>
      </c>
      <c r="AH16" s="82" t="b">
        <v>0</v>
      </c>
      <c r="AI16" s="82" t="s">
        <v>1826</v>
      </c>
      <c r="AJ16" s="82"/>
      <c r="AK16" s="87" t="s">
        <v>1815</v>
      </c>
      <c r="AL16" s="82" t="b">
        <v>0</v>
      </c>
      <c r="AM16" s="82">
        <v>4</v>
      </c>
      <c r="AN16" s="87" t="s">
        <v>1815</v>
      </c>
      <c r="AO16" s="87" t="s">
        <v>1854</v>
      </c>
      <c r="AP16" s="82" t="b">
        <v>0</v>
      </c>
      <c r="AQ16" s="87" t="s">
        <v>1458</v>
      </c>
      <c r="AR16" s="82"/>
      <c r="AS16" s="82">
        <v>0</v>
      </c>
      <c r="AT16" s="82">
        <v>0</v>
      </c>
      <c r="AU16" s="82"/>
      <c r="AV16" s="82"/>
      <c r="AW16" s="82"/>
      <c r="AX16" s="82"/>
      <c r="AY16" s="82"/>
      <c r="AZ16" s="82"/>
      <c r="BA16" s="82"/>
      <c r="BB16" s="82"/>
      <c r="BC16">
        <v>1</v>
      </c>
      <c r="BD16" s="81" t="str">
        <f>REPLACE(INDEX(GroupVertices[Group],MATCH(Edges[[#This Row],[Vertex 1]],GroupVertices[Vertex],0)),1,1,"")</f>
        <v>1</v>
      </c>
      <c r="BE16" s="81" t="str">
        <f>REPLACE(INDEX(GroupVertices[Group],MATCH(Edges[[#This Row],[Vertex 2]],GroupVertices[Vertex],0)),1,1,"")</f>
        <v>1</v>
      </c>
      <c r="BF16" s="49">
        <v>0</v>
      </c>
      <c r="BG16" s="50">
        <v>0</v>
      </c>
      <c r="BH16" s="49">
        <v>1</v>
      </c>
      <c r="BI16" s="50">
        <v>3.0303030303030303</v>
      </c>
      <c r="BJ16" s="49">
        <v>0</v>
      </c>
      <c r="BK16" s="50">
        <v>0</v>
      </c>
      <c r="BL16" s="49">
        <v>32</v>
      </c>
      <c r="BM16" s="50">
        <v>96.96969696969697</v>
      </c>
      <c r="BN16" s="49">
        <v>33</v>
      </c>
    </row>
    <row r="17" spans="1:66" ht="15">
      <c r="A17" s="66" t="s">
        <v>264</v>
      </c>
      <c r="B17" s="66" t="s">
        <v>264</v>
      </c>
      <c r="C17" s="67" t="s">
        <v>4509</v>
      </c>
      <c r="D17" s="68">
        <v>3</v>
      </c>
      <c r="E17" s="69" t="s">
        <v>132</v>
      </c>
      <c r="F17" s="70">
        <v>32</v>
      </c>
      <c r="G17" s="67"/>
      <c r="H17" s="71"/>
      <c r="I17" s="72"/>
      <c r="J17" s="72"/>
      <c r="K17" s="35" t="s">
        <v>65</v>
      </c>
      <c r="L17" s="80">
        <v>17</v>
      </c>
      <c r="M17" s="80"/>
      <c r="N17" s="74"/>
      <c r="O17" s="82" t="s">
        <v>214</v>
      </c>
      <c r="P17" s="84">
        <v>44518.62510416667</v>
      </c>
      <c r="Q17" s="82" t="s">
        <v>542</v>
      </c>
      <c r="R17" s="85" t="str">
        <f>HYPERLINK("https://www.cdc.gov/drugresistance/covid19.html")</f>
        <v>https://www.cdc.gov/drugresistance/covid19.html</v>
      </c>
      <c r="S17" s="82" t="s">
        <v>903</v>
      </c>
      <c r="T17" s="87" t="s">
        <v>954</v>
      </c>
      <c r="U17" s="82"/>
      <c r="V17" s="85" t="str">
        <f>HYPERLINK("https://pbs.twimg.com/profile_images/1360351752520892420/9AzOh9jt_normal.jpg")</f>
        <v>https://pbs.twimg.com/profile_images/1360351752520892420/9AzOh9jt_normal.jpg</v>
      </c>
      <c r="W17" s="84">
        <v>44518.62510416667</v>
      </c>
      <c r="X17" s="90">
        <v>44518</v>
      </c>
      <c r="Y17" s="87" t="s">
        <v>1157</v>
      </c>
      <c r="Z17" s="85" t="str">
        <f>HYPERLINK("https://twitter.com/umncvmresearch/status/1461348506174513160")</f>
        <v>https://twitter.com/umncvmresearch/status/1461348506174513160</v>
      </c>
      <c r="AA17" s="82"/>
      <c r="AB17" s="82"/>
      <c r="AC17" s="87" t="s">
        <v>1459</v>
      </c>
      <c r="AD17" s="82"/>
      <c r="AE17" s="82" t="b">
        <v>0</v>
      </c>
      <c r="AF17" s="82">
        <v>3</v>
      </c>
      <c r="AG17" s="87" t="s">
        <v>1815</v>
      </c>
      <c r="AH17" s="82" t="b">
        <v>0</v>
      </c>
      <c r="AI17" s="82" t="s">
        <v>1826</v>
      </c>
      <c r="AJ17" s="82"/>
      <c r="AK17" s="87" t="s">
        <v>1815</v>
      </c>
      <c r="AL17" s="82" t="b">
        <v>0</v>
      </c>
      <c r="AM17" s="82">
        <v>0</v>
      </c>
      <c r="AN17" s="87" t="s">
        <v>1815</v>
      </c>
      <c r="AO17" s="87" t="s">
        <v>1850</v>
      </c>
      <c r="AP17" s="82" t="b">
        <v>0</v>
      </c>
      <c r="AQ17" s="87" t="s">
        <v>1459</v>
      </c>
      <c r="AR17" s="82"/>
      <c r="AS17" s="82">
        <v>0</v>
      </c>
      <c r="AT17" s="82">
        <v>0</v>
      </c>
      <c r="AU17" s="82"/>
      <c r="AV17" s="82"/>
      <c r="AW17" s="82"/>
      <c r="AX17" s="82"/>
      <c r="AY17" s="82"/>
      <c r="AZ17" s="82"/>
      <c r="BA17" s="82"/>
      <c r="BB17" s="82"/>
      <c r="BC17">
        <v>1</v>
      </c>
      <c r="BD17" s="81" t="str">
        <f>REPLACE(INDEX(GroupVertices[Group],MATCH(Edges[[#This Row],[Vertex 1]],GroupVertices[Vertex],0)),1,1,"")</f>
        <v>1</v>
      </c>
      <c r="BE17" s="81" t="str">
        <f>REPLACE(INDEX(GroupVertices[Group],MATCH(Edges[[#This Row],[Vertex 2]],GroupVertices[Vertex],0)),1,1,"")</f>
        <v>1</v>
      </c>
      <c r="BF17" s="49">
        <v>0</v>
      </c>
      <c r="BG17" s="50">
        <v>0</v>
      </c>
      <c r="BH17" s="49">
        <v>1</v>
      </c>
      <c r="BI17" s="50">
        <v>3.0303030303030303</v>
      </c>
      <c r="BJ17" s="49">
        <v>0</v>
      </c>
      <c r="BK17" s="50">
        <v>0</v>
      </c>
      <c r="BL17" s="49">
        <v>32</v>
      </c>
      <c r="BM17" s="50">
        <v>96.96969696969697</v>
      </c>
      <c r="BN17" s="49">
        <v>33</v>
      </c>
    </row>
    <row r="18" spans="1:66" ht="15">
      <c r="A18" s="66" t="s">
        <v>265</v>
      </c>
      <c r="B18" s="66" t="s">
        <v>265</v>
      </c>
      <c r="C18" s="67" t="s">
        <v>4509</v>
      </c>
      <c r="D18" s="68">
        <v>3</v>
      </c>
      <c r="E18" s="69" t="s">
        <v>132</v>
      </c>
      <c r="F18" s="70">
        <v>32</v>
      </c>
      <c r="G18" s="67"/>
      <c r="H18" s="71"/>
      <c r="I18" s="72"/>
      <c r="J18" s="72"/>
      <c r="K18" s="35" t="s">
        <v>65</v>
      </c>
      <c r="L18" s="80">
        <v>18</v>
      </c>
      <c r="M18" s="80"/>
      <c r="N18" s="74"/>
      <c r="O18" s="82" t="s">
        <v>214</v>
      </c>
      <c r="P18" s="84">
        <v>44518.63321759259</v>
      </c>
      <c r="Q18" s="82" t="s">
        <v>543</v>
      </c>
      <c r="R18" s="85" t="s">
        <v>890</v>
      </c>
      <c r="S18" s="82" t="s">
        <v>904</v>
      </c>
      <c r="T18" s="87" t="s">
        <v>958</v>
      </c>
      <c r="U18" s="85" t="str">
        <f>HYPERLINK("https://pbs.twimg.com/media/FEfDD0fUUAQxvCQ.jpg")</f>
        <v>https://pbs.twimg.com/media/FEfDD0fUUAQxvCQ.jpg</v>
      </c>
      <c r="V18" s="85" t="str">
        <f>HYPERLINK("https://pbs.twimg.com/media/FEfDD0fUUAQxvCQ.jpg")</f>
        <v>https://pbs.twimg.com/media/FEfDD0fUUAQxvCQ.jpg</v>
      </c>
      <c r="W18" s="84">
        <v>44518.63321759259</v>
      </c>
      <c r="X18" s="90">
        <v>44518</v>
      </c>
      <c r="Y18" s="87" t="s">
        <v>1158</v>
      </c>
      <c r="Z18" s="85" t="str">
        <f>HYPERLINK("https://twitter.com/ukhsa_london/status/1461351446536851457")</f>
        <v>https://twitter.com/ukhsa_london/status/1461351446536851457</v>
      </c>
      <c r="AA18" s="82"/>
      <c r="AB18" s="82"/>
      <c r="AC18" s="87" t="s">
        <v>1460</v>
      </c>
      <c r="AD18" s="82"/>
      <c r="AE18" s="82" t="b">
        <v>0</v>
      </c>
      <c r="AF18" s="82">
        <v>1</v>
      </c>
      <c r="AG18" s="87" t="s">
        <v>1815</v>
      </c>
      <c r="AH18" s="82" t="b">
        <v>0</v>
      </c>
      <c r="AI18" s="82" t="s">
        <v>1826</v>
      </c>
      <c r="AJ18" s="82"/>
      <c r="AK18" s="87" t="s">
        <v>1815</v>
      </c>
      <c r="AL18" s="82" t="b">
        <v>0</v>
      </c>
      <c r="AM18" s="82">
        <v>0</v>
      </c>
      <c r="AN18" s="87" t="s">
        <v>1815</v>
      </c>
      <c r="AO18" s="87" t="s">
        <v>1850</v>
      </c>
      <c r="AP18" s="82" t="b">
        <v>0</v>
      </c>
      <c r="AQ18" s="87" t="s">
        <v>1460</v>
      </c>
      <c r="AR18" s="82"/>
      <c r="AS18" s="82">
        <v>0</v>
      </c>
      <c r="AT18" s="82">
        <v>0</v>
      </c>
      <c r="AU18" s="82"/>
      <c r="AV18" s="82"/>
      <c r="AW18" s="82"/>
      <c r="AX18" s="82"/>
      <c r="AY18" s="82"/>
      <c r="AZ18" s="82"/>
      <c r="BA18" s="82"/>
      <c r="BB18" s="82"/>
      <c r="BC18">
        <v>1</v>
      </c>
      <c r="BD18" s="81" t="str">
        <f>REPLACE(INDEX(GroupVertices[Group],MATCH(Edges[[#This Row],[Vertex 1]],GroupVertices[Vertex],0)),1,1,"")</f>
        <v>1</v>
      </c>
      <c r="BE18" s="81" t="str">
        <f>REPLACE(INDEX(GroupVertices[Group],MATCH(Edges[[#This Row],[Vertex 2]],GroupVertices[Vertex],0)),1,1,"")</f>
        <v>1</v>
      </c>
      <c r="BF18" s="49">
        <v>0</v>
      </c>
      <c r="BG18" s="50">
        <v>0</v>
      </c>
      <c r="BH18" s="49">
        <v>2</v>
      </c>
      <c r="BI18" s="50">
        <v>5.882352941176471</v>
      </c>
      <c r="BJ18" s="49">
        <v>0</v>
      </c>
      <c r="BK18" s="50">
        <v>0</v>
      </c>
      <c r="BL18" s="49">
        <v>32</v>
      </c>
      <c r="BM18" s="50">
        <v>94.11764705882354</v>
      </c>
      <c r="BN18" s="49">
        <v>34</v>
      </c>
    </row>
    <row r="19" spans="1:66" ht="15">
      <c r="A19" s="66" t="s">
        <v>266</v>
      </c>
      <c r="B19" s="66" t="s">
        <v>266</v>
      </c>
      <c r="C19" s="67" t="s">
        <v>4509</v>
      </c>
      <c r="D19" s="68">
        <v>3</v>
      </c>
      <c r="E19" s="69" t="s">
        <v>132</v>
      </c>
      <c r="F19" s="70">
        <v>32</v>
      </c>
      <c r="G19" s="67"/>
      <c r="H19" s="71"/>
      <c r="I19" s="72"/>
      <c r="J19" s="72"/>
      <c r="K19" s="35" t="s">
        <v>65</v>
      </c>
      <c r="L19" s="80">
        <v>19</v>
      </c>
      <c r="M19" s="80"/>
      <c r="N19" s="74"/>
      <c r="O19" s="82" t="s">
        <v>214</v>
      </c>
      <c r="P19" s="84">
        <v>44518.62550925926</v>
      </c>
      <c r="Q19" s="82" t="s">
        <v>544</v>
      </c>
      <c r="R19" s="82"/>
      <c r="S19" s="82"/>
      <c r="T19" s="87" t="s">
        <v>959</v>
      </c>
      <c r="U19" s="82"/>
      <c r="V19" s="85" t="str">
        <f>HYPERLINK("https://pbs.twimg.com/profile_images/1252456521/UDOHLogoRGBHorz_normal.jpg")</f>
        <v>https://pbs.twimg.com/profile_images/1252456521/UDOHLogoRGBHorz_normal.jpg</v>
      </c>
      <c r="W19" s="84">
        <v>44518.62550925926</v>
      </c>
      <c r="X19" s="90">
        <v>44518</v>
      </c>
      <c r="Y19" s="87" t="s">
        <v>1159</v>
      </c>
      <c r="Z19" s="85" t="str">
        <f>HYPERLINK("https://twitter.com/utahdepofhealth/status/1461348653965008901")</f>
        <v>https://twitter.com/utahdepofhealth/status/1461348653965008901</v>
      </c>
      <c r="AA19" s="82"/>
      <c r="AB19" s="82"/>
      <c r="AC19" s="87" t="s">
        <v>1461</v>
      </c>
      <c r="AD19" s="82"/>
      <c r="AE19" s="82" t="b">
        <v>0</v>
      </c>
      <c r="AF19" s="82">
        <v>5</v>
      </c>
      <c r="AG19" s="87" t="s">
        <v>1815</v>
      </c>
      <c r="AH19" s="82" t="b">
        <v>0</v>
      </c>
      <c r="AI19" s="82" t="s">
        <v>1826</v>
      </c>
      <c r="AJ19" s="82"/>
      <c r="AK19" s="87" t="s">
        <v>1815</v>
      </c>
      <c r="AL19" s="82" t="b">
        <v>0</v>
      </c>
      <c r="AM19" s="82">
        <v>3</v>
      </c>
      <c r="AN19" s="87" t="s">
        <v>1815</v>
      </c>
      <c r="AO19" s="87" t="s">
        <v>1854</v>
      </c>
      <c r="AP19" s="82" t="b">
        <v>0</v>
      </c>
      <c r="AQ19" s="87" t="s">
        <v>1461</v>
      </c>
      <c r="AR19" s="82"/>
      <c r="AS19" s="82">
        <v>0</v>
      </c>
      <c r="AT19" s="82">
        <v>0</v>
      </c>
      <c r="AU19" s="82"/>
      <c r="AV19" s="82"/>
      <c r="AW19" s="82"/>
      <c r="AX19" s="82"/>
      <c r="AY19" s="82"/>
      <c r="AZ19" s="82"/>
      <c r="BA19" s="82"/>
      <c r="BB19" s="82"/>
      <c r="BC19">
        <v>1</v>
      </c>
      <c r="BD19" s="81" t="str">
        <f>REPLACE(INDEX(GroupVertices[Group],MATCH(Edges[[#This Row],[Vertex 1]],GroupVertices[Vertex],0)),1,1,"")</f>
        <v>1</v>
      </c>
      <c r="BE19" s="81" t="str">
        <f>REPLACE(INDEX(GroupVertices[Group],MATCH(Edges[[#This Row],[Vertex 2]],GroupVertices[Vertex],0)),1,1,"")</f>
        <v>1</v>
      </c>
      <c r="BF19" s="49">
        <v>0</v>
      </c>
      <c r="BG19" s="50">
        <v>0</v>
      </c>
      <c r="BH19" s="49">
        <v>3</v>
      </c>
      <c r="BI19" s="50">
        <v>9.090909090909092</v>
      </c>
      <c r="BJ19" s="49">
        <v>0</v>
      </c>
      <c r="BK19" s="50">
        <v>0</v>
      </c>
      <c r="BL19" s="49">
        <v>30</v>
      </c>
      <c r="BM19" s="50">
        <v>90.9090909090909</v>
      </c>
      <c r="BN19" s="49">
        <v>33</v>
      </c>
    </row>
    <row r="20" spans="1:66" ht="15">
      <c r="A20" s="66" t="s">
        <v>267</v>
      </c>
      <c r="B20" s="66" t="s">
        <v>267</v>
      </c>
      <c r="C20" s="67" t="s">
        <v>4509</v>
      </c>
      <c r="D20" s="68">
        <v>3</v>
      </c>
      <c r="E20" s="69" t="s">
        <v>132</v>
      </c>
      <c r="F20" s="70">
        <v>32</v>
      </c>
      <c r="G20" s="67"/>
      <c r="H20" s="71"/>
      <c r="I20" s="72"/>
      <c r="J20" s="72"/>
      <c r="K20" s="35" t="s">
        <v>65</v>
      </c>
      <c r="L20" s="80">
        <v>20</v>
      </c>
      <c r="M20" s="80"/>
      <c r="N20" s="74"/>
      <c r="O20" s="82" t="s">
        <v>214</v>
      </c>
      <c r="P20" s="84">
        <v>44518.62501157408</v>
      </c>
      <c r="Q20" s="82" t="s">
        <v>545</v>
      </c>
      <c r="R20" s="85" t="str">
        <f>HYPERLINK("https://antibioticguardian.com/")</f>
        <v>https://antibioticguardian.com/</v>
      </c>
      <c r="S20" s="82" t="s">
        <v>902</v>
      </c>
      <c r="T20" s="87" t="s">
        <v>960</v>
      </c>
      <c r="U20" s="85" t="str">
        <f>HYPERLINK("https://pbs.twimg.com/media/FEebINtXoAccdhT.jpg")</f>
        <v>https://pbs.twimg.com/media/FEebINtXoAccdhT.jpg</v>
      </c>
      <c r="V20" s="85" t="str">
        <f>HYPERLINK("https://pbs.twimg.com/media/FEebINtXoAccdhT.jpg")</f>
        <v>https://pbs.twimg.com/media/FEebINtXoAccdhT.jpg</v>
      </c>
      <c r="W20" s="84">
        <v>44518.62501157408</v>
      </c>
      <c r="X20" s="90">
        <v>44518</v>
      </c>
      <c r="Y20" s="87" t="s">
        <v>1152</v>
      </c>
      <c r="Z20" s="85" t="str">
        <f>HYPERLINK("https://twitter.com/ukhsa_yandh/status/1461348473077391360")</f>
        <v>https://twitter.com/ukhsa_yandh/status/1461348473077391360</v>
      </c>
      <c r="AA20" s="82"/>
      <c r="AB20" s="82"/>
      <c r="AC20" s="87" t="s">
        <v>1462</v>
      </c>
      <c r="AD20" s="82"/>
      <c r="AE20" s="82" t="b">
        <v>0</v>
      </c>
      <c r="AF20" s="82">
        <v>1</v>
      </c>
      <c r="AG20" s="87" t="s">
        <v>1815</v>
      </c>
      <c r="AH20" s="82" t="b">
        <v>0</v>
      </c>
      <c r="AI20" s="82" t="s">
        <v>1826</v>
      </c>
      <c r="AJ20" s="82"/>
      <c r="AK20" s="87" t="s">
        <v>1815</v>
      </c>
      <c r="AL20" s="82" t="b">
        <v>0</v>
      </c>
      <c r="AM20" s="82">
        <v>0</v>
      </c>
      <c r="AN20" s="87" t="s">
        <v>1815</v>
      </c>
      <c r="AO20" s="87" t="s">
        <v>1850</v>
      </c>
      <c r="AP20" s="82" t="b">
        <v>0</v>
      </c>
      <c r="AQ20" s="87" t="s">
        <v>1462</v>
      </c>
      <c r="AR20" s="82"/>
      <c r="AS20" s="82">
        <v>0</v>
      </c>
      <c r="AT20" s="82">
        <v>0</v>
      </c>
      <c r="AU20" s="82"/>
      <c r="AV20" s="82"/>
      <c r="AW20" s="82"/>
      <c r="AX20" s="82"/>
      <c r="AY20" s="82"/>
      <c r="AZ20" s="82"/>
      <c r="BA20" s="82"/>
      <c r="BB20" s="82"/>
      <c r="BC20">
        <v>1</v>
      </c>
      <c r="BD20" s="81" t="str">
        <f>REPLACE(INDEX(GroupVertices[Group],MATCH(Edges[[#This Row],[Vertex 1]],GroupVertices[Vertex],0)),1,1,"")</f>
        <v>1</v>
      </c>
      <c r="BE20" s="81" t="str">
        <f>REPLACE(INDEX(GroupVertices[Group],MATCH(Edges[[#This Row],[Vertex 2]],GroupVertices[Vertex],0)),1,1,"")</f>
        <v>1</v>
      </c>
      <c r="BF20" s="49">
        <v>0</v>
      </c>
      <c r="BG20" s="50">
        <v>0</v>
      </c>
      <c r="BH20" s="49">
        <v>2</v>
      </c>
      <c r="BI20" s="50">
        <v>6.0606060606060606</v>
      </c>
      <c r="BJ20" s="49">
        <v>0</v>
      </c>
      <c r="BK20" s="50">
        <v>0</v>
      </c>
      <c r="BL20" s="49">
        <v>31</v>
      </c>
      <c r="BM20" s="50">
        <v>93.93939393939394</v>
      </c>
      <c r="BN20" s="49">
        <v>33</v>
      </c>
    </row>
    <row r="21" spans="1:66" ht="15">
      <c r="A21" s="66" t="s">
        <v>268</v>
      </c>
      <c r="B21" s="66" t="s">
        <v>268</v>
      </c>
      <c r="C21" s="67" t="s">
        <v>4509</v>
      </c>
      <c r="D21" s="68">
        <v>3</v>
      </c>
      <c r="E21" s="69" t="s">
        <v>132</v>
      </c>
      <c r="F21" s="70">
        <v>32</v>
      </c>
      <c r="G21" s="67"/>
      <c r="H21" s="71"/>
      <c r="I21" s="72"/>
      <c r="J21" s="72"/>
      <c r="K21" s="35" t="s">
        <v>65</v>
      </c>
      <c r="L21" s="80">
        <v>21</v>
      </c>
      <c r="M21" s="80"/>
      <c r="N21" s="74"/>
      <c r="O21" s="82" t="s">
        <v>214</v>
      </c>
      <c r="P21" s="84">
        <v>44518.625</v>
      </c>
      <c r="Q21" s="82" t="s">
        <v>546</v>
      </c>
      <c r="R21" s="82"/>
      <c r="S21" s="82"/>
      <c r="T21" s="87" t="s">
        <v>961</v>
      </c>
      <c r="U21" s="85" t="str">
        <f>HYPERLINK("https://pbs.twimg.com/media/FEO-HU0XIAAWCQX.jpg")</f>
        <v>https://pbs.twimg.com/media/FEO-HU0XIAAWCQX.jpg</v>
      </c>
      <c r="V21" s="85" t="str">
        <f>HYPERLINK("https://pbs.twimg.com/media/FEO-HU0XIAAWCQX.jpg")</f>
        <v>https://pbs.twimg.com/media/FEO-HU0XIAAWCQX.jpg</v>
      </c>
      <c r="W21" s="84">
        <v>44518.625</v>
      </c>
      <c r="X21" s="90">
        <v>44518</v>
      </c>
      <c r="Y21" s="87" t="s">
        <v>1160</v>
      </c>
      <c r="Z21" s="85" t="str">
        <f>HYPERLINK("https://twitter.com/theamrdoc/status/1461348471017906191")</f>
        <v>https://twitter.com/theamrdoc/status/1461348471017906191</v>
      </c>
      <c r="AA21" s="82"/>
      <c r="AB21" s="82"/>
      <c r="AC21" s="87" t="s">
        <v>1463</v>
      </c>
      <c r="AD21" s="82"/>
      <c r="AE21" s="82" t="b">
        <v>0</v>
      </c>
      <c r="AF21" s="82">
        <v>18</v>
      </c>
      <c r="AG21" s="87" t="s">
        <v>1815</v>
      </c>
      <c r="AH21" s="82" t="b">
        <v>0</v>
      </c>
      <c r="AI21" s="82" t="s">
        <v>1826</v>
      </c>
      <c r="AJ21" s="82"/>
      <c r="AK21" s="87" t="s">
        <v>1815</v>
      </c>
      <c r="AL21" s="82" t="b">
        <v>0</v>
      </c>
      <c r="AM21" s="82">
        <v>11</v>
      </c>
      <c r="AN21" s="87" t="s">
        <v>1815</v>
      </c>
      <c r="AO21" s="87" t="s">
        <v>1850</v>
      </c>
      <c r="AP21" s="82" t="b">
        <v>0</v>
      </c>
      <c r="AQ21" s="87" t="s">
        <v>1463</v>
      </c>
      <c r="AR21" s="82"/>
      <c r="AS21" s="82">
        <v>0</v>
      </c>
      <c r="AT21" s="82">
        <v>0</v>
      </c>
      <c r="AU21" s="82"/>
      <c r="AV21" s="82"/>
      <c r="AW21" s="82"/>
      <c r="AX21" s="82"/>
      <c r="AY21" s="82"/>
      <c r="AZ21" s="82"/>
      <c r="BA21" s="82"/>
      <c r="BB21" s="82"/>
      <c r="BC21">
        <v>1</v>
      </c>
      <c r="BD21" s="81" t="str">
        <f>REPLACE(INDEX(GroupVertices[Group],MATCH(Edges[[#This Row],[Vertex 1]],GroupVertices[Vertex],0)),1,1,"")</f>
        <v>1</v>
      </c>
      <c r="BE21" s="81" t="str">
        <f>REPLACE(INDEX(GroupVertices[Group],MATCH(Edges[[#This Row],[Vertex 2]],GroupVertices[Vertex],0)),1,1,"")</f>
        <v>1</v>
      </c>
      <c r="BF21" s="49">
        <v>0</v>
      </c>
      <c r="BG21" s="50">
        <v>0</v>
      </c>
      <c r="BH21" s="49">
        <v>2</v>
      </c>
      <c r="BI21" s="50">
        <v>6.0606060606060606</v>
      </c>
      <c r="BJ21" s="49">
        <v>0</v>
      </c>
      <c r="BK21" s="50">
        <v>0</v>
      </c>
      <c r="BL21" s="49">
        <v>31</v>
      </c>
      <c r="BM21" s="50">
        <v>93.93939393939394</v>
      </c>
      <c r="BN21" s="49">
        <v>33</v>
      </c>
    </row>
    <row r="22" spans="1:66" ht="15">
      <c r="A22" s="66" t="s">
        <v>269</v>
      </c>
      <c r="B22" s="66" t="s">
        <v>269</v>
      </c>
      <c r="C22" s="67" t="s">
        <v>4510</v>
      </c>
      <c r="D22" s="68">
        <v>3.6363636363636362</v>
      </c>
      <c r="E22" s="69" t="s">
        <v>136</v>
      </c>
      <c r="F22" s="70">
        <v>31.2972972972973</v>
      </c>
      <c r="G22" s="67"/>
      <c r="H22" s="71"/>
      <c r="I22" s="72"/>
      <c r="J22" s="72"/>
      <c r="K22" s="35" t="s">
        <v>65</v>
      </c>
      <c r="L22" s="80">
        <v>22</v>
      </c>
      <c r="M22" s="80"/>
      <c r="N22" s="74"/>
      <c r="O22" s="82" t="s">
        <v>214</v>
      </c>
      <c r="P22" s="84">
        <v>44518.66577546296</v>
      </c>
      <c r="Q22" s="82" t="s">
        <v>547</v>
      </c>
      <c r="R22" s="82"/>
      <c r="S22" s="82"/>
      <c r="T22" s="87" t="s">
        <v>962</v>
      </c>
      <c r="U22" s="85" t="str">
        <f>HYPERLINK("https://pbs.twimg.com/media/FEfN60HVgAYCKui.jpg")</f>
        <v>https://pbs.twimg.com/media/FEfN60HVgAYCKui.jpg</v>
      </c>
      <c r="V22" s="85" t="str">
        <f>HYPERLINK("https://pbs.twimg.com/media/FEfN60HVgAYCKui.jpg")</f>
        <v>https://pbs.twimg.com/media/FEfN60HVgAYCKui.jpg</v>
      </c>
      <c r="W22" s="84">
        <v>44518.66577546296</v>
      </c>
      <c r="X22" s="90">
        <v>44518</v>
      </c>
      <c r="Y22" s="87" t="s">
        <v>1161</v>
      </c>
      <c r="Z22" s="85" t="str">
        <f>HYPERLINK("https://twitter.com/travel_iosi/status/1461363246846251013")</f>
        <v>https://twitter.com/travel_iosi/status/1461363246846251013</v>
      </c>
      <c r="AA22" s="82"/>
      <c r="AB22" s="82"/>
      <c r="AC22" s="87" t="s">
        <v>1464</v>
      </c>
      <c r="AD22" s="82"/>
      <c r="AE22" s="82" t="b">
        <v>0</v>
      </c>
      <c r="AF22" s="82">
        <v>12</v>
      </c>
      <c r="AG22" s="87" t="s">
        <v>1815</v>
      </c>
      <c r="AH22" s="82" t="b">
        <v>0</v>
      </c>
      <c r="AI22" s="82" t="s">
        <v>1826</v>
      </c>
      <c r="AJ22" s="82"/>
      <c r="AK22" s="87" t="s">
        <v>1815</v>
      </c>
      <c r="AL22" s="82" t="b">
        <v>0</v>
      </c>
      <c r="AM22" s="82">
        <v>9</v>
      </c>
      <c r="AN22" s="87" t="s">
        <v>1815</v>
      </c>
      <c r="AO22" s="87" t="s">
        <v>1850</v>
      </c>
      <c r="AP22" s="82" t="b">
        <v>0</v>
      </c>
      <c r="AQ22" s="87" t="s">
        <v>1464</v>
      </c>
      <c r="AR22" s="82"/>
      <c r="AS22" s="82">
        <v>0</v>
      </c>
      <c r="AT22" s="82">
        <v>0</v>
      </c>
      <c r="AU22" s="82"/>
      <c r="AV22" s="82"/>
      <c r="AW22" s="82"/>
      <c r="AX22" s="82"/>
      <c r="AY22" s="82"/>
      <c r="AZ22" s="82"/>
      <c r="BA22" s="82"/>
      <c r="BB22" s="82"/>
      <c r="BC22">
        <v>2</v>
      </c>
      <c r="BD22" s="81" t="str">
        <f>REPLACE(INDEX(GroupVertices[Group],MATCH(Edges[[#This Row],[Vertex 1]],GroupVertices[Vertex],0)),1,1,"")</f>
        <v>1</v>
      </c>
      <c r="BE22" s="81" t="str">
        <f>REPLACE(INDEX(GroupVertices[Group],MATCH(Edges[[#This Row],[Vertex 2]],GroupVertices[Vertex],0)),1,1,"")</f>
        <v>1</v>
      </c>
      <c r="BF22" s="49">
        <v>0</v>
      </c>
      <c r="BG22" s="50">
        <v>0</v>
      </c>
      <c r="BH22" s="49">
        <v>0</v>
      </c>
      <c r="BI22" s="50">
        <v>0</v>
      </c>
      <c r="BJ22" s="49">
        <v>0</v>
      </c>
      <c r="BK22" s="50">
        <v>0</v>
      </c>
      <c r="BL22" s="49">
        <v>9</v>
      </c>
      <c r="BM22" s="50">
        <v>100</v>
      </c>
      <c r="BN22" s="49">
        <v>9</v>
      </c>
    </row>
    <row r="23" spans="1:66" ht="15">
      <c r="A23" s="66" t="s">
        <v>269</v>
      </c>
      <c r="B23" s="66" t="s">
        <v>269</v>
      </c>
      <c r="C23" s="67" t="s">
        <v>4510</v>
      </c>
      <c r="D23" s="68">
        <v>3.6363636363636362</v>
      </c>
      <c r="E23" s="69" t="s">
        <v>136</v>
      </c>
      <c r="F23" s="70">
        <v>31.2972972972973</v>
      </c>
      <c r="G23" s="67"/>
      <c r="H23" s="71"/>
      <c r="I23" s="72"/>
      <c r="J23" s="72"/>
      <c r="K23" s="35" t="s">
        <v>65</v>
      </c>
      <c r="L23" s="80">
        <v>23</v>
      </c>
      <c r="M23" s="80"/>
      <c r="N23" s="74"/>
      <c r="O23" s="82" t="s">
        <v>214</v>
      </c>
      <c r="P23" s="84">
        <v>44518.664814814816</v>
      </c>
      <c r="Q23" s="82" t="s">
        <v>548</v>
      </c>
      <c r="R23" s="82"/>
      <c r="S23" s="82"/>
      <c r="T23" s="87" t="s">
        <v>963</v>
      </c>
      <c r="U23" s="85" t="str">
        <f>HYPERLINK("https://pbs.twimg.com/media/FEfNjY0UcBAh2IZ.jpg")</f>
        <v>https://pbs.twimg.com/media/FEfNjY0UcBAh2IZ.jpg</v>
      </c>
      <c r="V23" s="85" t="str">
        <f>HYPERLINK("https://pbs.twimg.com/media/FEfNjY0UcBAh2IZ.jpg")</f>
        <v>https://pbs.twimg.com/media/FEfNjY0UcBAh2IZ.jpg</v>
      </c>
      <c r="W23" s="84">
        <v>44518.664814814816</v>
      </c>
      <c r="X23" s="90">
        <v>44518</v>
      </c>
      <c r="Y23" s="87" t="s">
        <v>1162</v>
      </c>
      <c r="Z23" s="85" t="str">
        <f>HYPERLINK("https://twitter.com/travel_iosi/status/1461362900698689540")</f>
        <v>https://twitter.com/travel_iosi/status/1461362900698689540</v>
      </c>
      <c r="AA23" s="82"/>
      <c r="AB23" s="82"/>
      <c r="AC23" s="87" t="s">
        <v>1465</v>
      </c>
      <c r="AD23" s="82"/>
      <c r="AE23" s="82" t="b">
        <v>0</v>
      </c>
      <c r="AF23" s="82">
        <v>0</v>
      </c>
      <c r="AG23" s="87" t="s">
        <v>1815</v>
      </c>
      <c r="AH23" s="82" t="b">
        <v>0</v>
      </c>
      <c r="AI23" s="82" t="s">
        <v>1826</v>
      </c>
      <c r="AJ23" s="82"/>
      <c r="AK23" s="87" t="s">
        <v>1815</v>
      </c>
      <c r="AL23" s="82" t="b">
        <v>0</v>
      </c>
      <c r="AM23" s="82">
        <v>0</v>
      </c>
      <c r="AN23" s="87" t="s">
        <v>1815</v>
      </c>
      <c r="AO23" s="87" t="s">
        <v>1850</v>
      </c>
      <c r="AP23" s="82" t="b">
        <v>0</v>
      </c>
      <c r="AQ23" s="87" t="s">
        <v>1465</v>
      </c>
      <c r="AR23" s="82"/>
      <c r="AS23" s="82">
        <v>0</v>
      </c>
      <c r="AT23" s="82">
        <v>0</v>
      </c>
      <c r="AU23" s="82"/>
      <c r="AV23" s="82"/>
      <c r="AW23" s="82"/>
      <c r="AX23" s="82"/>
      <c r="AY23" s="82"/>
      <c r="AZ23" s="82"/>
      <c r="BA23" s="82"/>
      <c r="BB23" s="82"/>
      <c r="BC23">
        <v>2</v>
      </c>
      <c r="BD23" s="81" t="str">
        <f>REPLACE(INDEX(GroupVertices[Group],MATCH(Edges[[#This Row],[Vertex 1]],GroupVertices[Vertex],0)),1,1,"")</f>
        <v>1</v>
      </c>
      <c r="BE23" s="81" t="str">
        <f>REPLACE(INDEX(GroupVertices[Group],MATCH(Edges[[#This Row],[Vertex 2]],GroupVertices[Vertex],0)),1,1,"")</f>
        <v>1</v>
      </c>
      <c r="BF23" s="49">
        <v>0</v>
      </c>
      <c r="BG23" s="50">
        <v>0</v>
      </c>
      <c r="BH23" s="49">
        <v>0</v>
      </c>
      <c r="BI23" s="50">
        <v>0</v>
      </c>
      <c r="BJ23" s="49">
        <v>0</v>
      </c>
      <c r="BK23" s="50">
        <v>0</v>
      </c>
      <c r="BL23" s="49">
        <v>14</v>
      </c>
      <c r="BM23" s="50">
        <v>100</v>
      </c>
      <c r="BN23" s="49">
        <v>14</v>
      </c>
    </row>
    <row r="24" spans="1:66" ht="15">
      <c r="A24" s="66" t="s">
        <v>270</v>
      </c>
      <c r="B24" s="66" t="s">
        <v>270</v>
      </c>
      <c r="C24" s="67" t="s">
        <v>4509</v>
      </c>
      <c r="D24" s="68">
        <v>3</v>
      </c>
      <c r="E24" s="69" t="s">
        <v>132</v>
      </c>
      <c r="F24" s="70">
        <v>32</v>
      </c>
      <c r="G24" s="67"/>
      <c r="H24" s="71"/>
      <c r="I24" s="72"/>
      <c r="J24" s="72"/>
      <c r="K24" s="35" t="s">
        <v>65</v>
      </c>
      <c r="L24" s="80">
        <v>24</v>
      </c>
      <c r="M24" s="80"/>
      <c r="N24" s="74"/>
      <c r="O24" s="82" t="s">
        <v>214</v>
      </c>
      <c r="P24" s="84">
        <v>44518.625</v>
      </c>
      <c r="Q24" s="82" t="s">
        <v>549</v>
      </c>
      <c r="R24" s="85" t="str">
        <f>HYPERLINK("https://www.ucl.ac.uk/infection-immunity/research/research-department-infection/lab-research-groups/centre-clinical-microbiology/about-0")</f>
        <v>https://www.ucl.ac.uk/infection-immunity/research/research-department-infection/lab-research-groups/centre-clinical-microbiology/about-0</v>
      </c>
      <c r="S24" s="82" t="s">
        <v>905</v>
      </c>
      <c r="T24" s="87" t="s">
        <v>964</v>
      </c>
      <c r="U24" s="82"/>
      <c r="V24" s="85" t="str">
        <f>HYPERLINK("https://pbs.twimg.com/profile_images/965579747446190080/74a4Xj4j_normal.jpg")</f>
        <v>https://pbs.twimg.com/profile_images/965579747446190080/74a4Xj4j_normal.jpg</v>
      </c>
      <c r="W24" s="84">
        <v>44518.625</v>
      </c>
      <c r="X24" s="90">
        <v>44518</v>
      </c>
      <c r="Y24" s="87" t="s">
        <v>1160</v>
      </c>
      <c r="Z24" s="85" t="str">
        <f>HYPERLINK("https://twitter.com/ucl_ccm/status/1461348470363619336")</f>
        <v>https://twitter.com/ucl_ccm/status/1461348470363619336</v>
      </c>
      <c r="AA24" s="82"/>
      <c r="AB24" s="82"/>
      <c r="AC24" s="87" t="s">
        <v>1466</v>
      </c>
      <c r="AD24" s="82"/>
      <c r="AE24" s="82" t="b">
        <v>0</v>
      </c>
      <c r="AF24" s="82">
        <v>3</v>
      </c>
      <c r="AG24" s="87" t="s">
        <v>1815</v>
      </c>
      <c r="AH24" s="82" t="b">
        <v>0</v>
      </c>
      <c r="AI24" s="82" t="s">
        <v>1826</v>
      </c>
      <c r="AJ24" s="82"/>
      <c r="AK24" s="87" t="s">
        <v>1815</v>
      </c>
      <c r="AL24" s="82" t="b">
        <v>0</v>
      </c>
      <c r="AM24" s="82">
        <v>3</v>
      </c>
      <c r="AN24" s="87" t="s">
        <v>1815</v>
      </c>
      <c r="AO24" s="87" t="s">
        <v>1853</v>
      </c>
      <c r="AP24" s="82" t="b">
        <v>0</v>
      </c>
      <c r="AQ24" s="87" t="s">
        <v>1466</v>
      </c>
      <c r="AR24" s="82"/>
      <c r="AS24" s="82">
        <v>0</v>
      </c>
      <c r="AT24" s="82">
        <v>0</v>
      </c>
      <c r="AU24" s="82"/>
      <c r="AV24" s="82"/>
      <c r="AW24" s="82"/>
      <c r="AX24" s="82"/>
      <c r="AY24" s="82"/>
      <c r="AZ24" s="82"/>
      <c r="BA24" s="82"/>
      <c r="BB24" s="82"/>
      <c r="BC24">
        <v>1</v>
      </c>
      <c r="BD24" s="81" t="str">
        <f>REPLACE(INDEX(GroupVertices[Group],MATCH(Edges[[#This Row],[Vertex 1]],GroupVertices[Vertex],0)),1,1,"")</f>
        <v>1</v>
      </c>
      <c r="BE24" s="81" t="str">
        <f>REPLACE(INDEX(GroupVertices[Group],MATCH(Edges[[#This Row],[Vertex 2]],GroupVertices[Vertex],0)),1,1,"")</f>
        <v>1</v>
      </c>
      <c r="BF24" s="49">
        <v>0</v>
      </c>
      <c r="BG24" s="50">
        <v>0</v>
      </c>
      <c r="BH24" s="49">
        <v>0</v>
      </c>
      <c r="BI24" s="50">
        <v>0</v>
      </c>
      <c r="BJ24" s="49">
        <v>0</v>
      </c>
      <c r="BK24" s="50">
        <v>0</v>
      </c>
      <c r="BL24" s="49">
        <v>22</v>
      </c>
      <c r="BM24" s="50">
        <v>100</v>
      </c>
      <c r="BN24" s="49">
        <v>22</v>
      </c>
    </row>
    <row r="25" spans="1:66" ht="15">
      <c r="A25" s="66" t="s">
        <v>271</v>
      </c>
      <c r="B25" s="66" t="s">
        <v>271</v>
      </c>
      <c r="C25" s="67" t="s">
        <v>4510</v>
      </c>
      <c r="D25" s="68">
        <v>3.6363636363636362</v>
      </c>
      <c r="E25" s="69" t="s">
        <v>136</v>
      </c>
      <c r="F25" s="70">
        <v>31.2972972972973</v>
      </c>
      <c r="G25" s="67"/>
      <c r="H25" s="71"/>
      <c r="I25" s="72"/>
      <c r="J25" s="72"/>
      <c r="K25" s="35" t="s">
        <v>65</v>
      </c>
      <c r="L25" s="80">
        <v>25</v>
      </c>
      <c r="M25" s="80"/>
      <c r="N25" s="74"/>
      <c r="O25" s="82" t="s">
        <v>214</v>
      </c>
      <c r="P25" s="84">
        <v>44518.62516203704</v>
      </c>
      <c r="Q25" s="82" t="s">
        <v>550</v>
      </c>
      <c r="R25" s="85" t="str">
        <f>HYPERLINK("https://www.cdc.gov/drugresistance/covid19.html")</f>
        <v>https://www.cdc.gov/drugresistance/covid19.html</v>
      </c>
      <c r="S25" s="82" t="s">
        <v>903</v>
      </c>
      <c r="T25" s="87" t="s">
        <v>954</v>
      </c>
      <c r="U25" s="85" t="str">
        <f>HYPERLINK("https://pbs.twimg.com/media/FEfAveLVQBMCxKk.png")</f>
        <v>https://pbs.twimg.com/media/FEfAveLVQBMCxKk.png</v>
      </c>
      <c r="V25" s="85" t="str">
        <f>HYPERLINK("https://pbs.twimg.com/media/FEfAveLVQBMCxKk.png")</f>
        <v>https://pbs.twimg.com/media/FEfAveLVQBMCxKk.png</v>
      </c>
      <c r="W25" s="84">
        <v>44518.62516203704</v>
      </c>
      <c r="X25" s="90">
        <v>44518</v>
      </c>
      <c r="Y25" s="87" t="s">
        <v>1163</v>
      </c>
      <c r="Z25" s="85" t="str">
        <f>HYPERLINK("https://twitter.com/vdhgov/status/1461348527427055623")</f>
        <v>https://twitter.com/vdhgov/status/1461348527427055623</v>
      </c>
      <c r="AA25" s="82"/>
      <c r="AB25" s="82"/>
      <c r="AC25" s="87" t="s">
        <v>1467</v>
      </c>
      <c r="AD25" s="82"/>
      <c r="AE25" s="82" t="b">
        <v>0</v>
      </c>
      <c r="AF25" s="82">
        <v>3</v>
      </c>
      <c r="AG25" s="87" t="s">
        <v>1815</v>
      </c>
      <c r="AH25" s="82" t="b">
        <v>0</v>
      </c>
      <c r="AI25" s="82" t="s">
        <v>1826</v>
      </c>
      <c r="AJ25" s="82"/>
      <c r="AK25" s="87" t="s">
        <v>1815</v>
      </c>
      <c r="AL25" s="82" t="b">
        <v>0</v>
      </c>
      <c r="AM25" s="82">
        <v>0</v>
      </c>
      <c r="AN25" s="87" t="s">
        <v>1815</v>
      </c>
      <c r="AO25" s="87" t="s">
        <v>1854</v>
      </c>
      <c r="AP25" s="82" t="b">
        <v>0</v>
      </c>
      <c r="AQ25" s="87" t="s">
        <v>1467</v>
      </c>
      <c r="AR25" s="82"/>
      <c r="AS25" s="82">
        <v>0</v>
      </c>
      <c r="AT25" s="82">
        <v>0</v>
      </c>
      <c r="AU25" s="82"/>
      <c r="AV25" s="82"/>
      <c r="AW25" s="82"/>
      <c r="AX25" s="82"/>
      <c r="AY25" s="82"/>
      <c r="AZ25" s="82"/>
      <c r="BA25" s="82"/>
      <c r="BB25" s="82"/>
      <c r="BC25">
        <v>2</v>
      </c>
      <c r="BD25" s="81" t="str">
        <f>REPLACE(INDEX(GroupVertices[Group],MATCH(Edges[[#This Row],[Vertex 1]],GroupVertices[Vertex],0)),1,1,"")</f>
        <v>1</v>
      </c>
      <c r="BE25" s="81" t="str">
        <f>REPLACE(INDEX(GroupVertices[Group],MATCH(Edges[[#This Row],[Vertex 2]],GroupVertices[Vertex],0)),1,1,"")</f>
        <v>1</v>
      </c>
      <c r="BF25" s="49">
        <v>0</v>
      </c>
      <c r="BG25" s="50">
        <v>0</v>
      </c>
      <c r="BH25" s="49">
        <v>2</v>
      </c>
      <c r="BI25" s="50">
        <v>5.714285714285714</v>
      </c>
      <c r="BJ25" s="49">
        <v>0</v>
      </c>
      <c r="BK25" s="50">
        <v>0</v>
      </c>
      <c r="BL25" s="49">
        <v>33</v>
      </c>
      <c r="BM25" s="50">
        <v>94.28571428571429</v>
      </c>
      <c r="BN25" s="49">
        <v>35</v>
      </c>
    </row>
    <row r="26" spans="1:66" ht="15">
      <c r="A26" s="66" t="s">
        <v>271</v>
      </c>
      <c r="B26" s="66" t="s">
        <v>271</v>
      </c>
      <c r="C26" s="67" t="s">
        <v>4510</v>
      </c>
      <c r="D26" s="68">
        <v>3.6363636363636362</v>
      </c>
      <c r="E26" s="69" t="s">
        <v>136</v>
      </c>
      <c r="F26" s="70">
        <v>31.2972972972973</v>
      </c>
      <c r="G26" s="67"/>
      <c r="H26" s="71"/>
      <c r="I26" s="72"/>
      <c r="J26" s="72"/>
      <c r="K26" s="35" t="s">
        <v>65</v>
      </c>
      <c r="L26" s="80">
        <v>26</v>
      </c>
      <c r="M26" s="80"/>
      <c r="N26" s="74"/>
      <c r="O26" s="82" t="s">
        <v>214</v>
      </c>
      <c r="P26" s="84">
        <v>44518.63716435185</v>
      </c>
      <c r="Q26" s="82" t="s">
        <v>551</v>
      </c>
      <c r="R26" s="85" t="str">
        <f>HYPERLINK("https://www.cdc.gov/antibiotic-use/week/get-involved.html")</f>
        <v>https://www.cdc.gov/antibiotic-use/week/get-involved.html</v>
      </c>
      <c r="S26" s="82" t="s">
        <v>903</v>
      </c>
      <c r="T26" s="87" t="s">
        <v>965</v>
      </c>
      <c r="U26" s="85" t="str">
        <f>HYPERLINK("https://pbs.twimg.com/media/FEfEsz5UUA8F68y.png")</f>
        <v>https://pbs.twimg.com/media/FEfEsz5UUA8F68y.png</v>
      </c>
      <c r="V26" s="85" t="str">
        <f>HYPERLINK("https://pbs.twimg.com/media/FEfEsz5UUA8F68y.png")</f>
        <v>https://pbs.twimg.com/media/FEfEsz5UUA8F68y.png</v>
      </c>
      <c r="W26" s="84">
        <v>44518.63716435185</v>
      </c>
      <c r="X26" s="90">
        <v>44518</v>
      </c>
      <c r="Y26" s="87" t="s">
        <v>1164</v>
      </c>
      <c r="Z26" s="85" t="str">
        <f>HYPERLINK("https://twitter.com/vdhgov/status/1461352879676030987")</f>
        <v>https://twitter.com/vdhgov/status/1461352879676030987</v>
      </c>
      <c r="AA26" s="82"/>
      <c r="AB26" s="82"/>
      <c r="AC26" s="87" t="s">
        <v>1468</v>
      </c>
      <c r="AD26" s="82"/>
      <c r="AE26" s="82" t="b">
        <v>0</v>
      </c>
      <c r="AF26" s="82">
        <v>6</v>
      </c>
      <c r="AG26" s="87" t="s">
        <v>1815</v>
      </c>
      <c r="AH26" s="82" t="b">
        <v>0</v>
      </c>
      <c r="AI26" s="82" t="s">
        <v>1826</v>
      </c>
      <c r="AJ26" s="82"/>
      <c r="AK26" s="87" t="s">
        <v>1815</v>
      </c>
      <c r="AL26" s="82" t="b">
        <v>0</v>
      </c>
      <c r="AM26" s="82">
        <v>0</v>
      </c>
      <c r="AN26" s="87" t="s">
        <v>1815</v>
      </c>
      <c r="AO26" s="87" t="s">
        <v>1854</v>
      </c>
      <c r="AP26" s="82" t="b">
        <v>0</v>
      </c>
      <c r="AQ26" s="87" t="s">
        <v>1468</v>
      </c>
      <c r="AR26" s="82"/>
      <c r="AS26" s="82">
        <v>0</v>
      </c>
      <c r="AT26" s="82">
        <v>0</v>
      </c>
      <c r="AU26" s="82"/>
      <c r="AV26" s="82"/>
      <c r="AW26" s="82"/>
      <c r="AX26" s="82"/>
      <c r="AY26" s="82"/>
      <c r="AZ26" s="82"/>
      <c r="BA26" s="82"/>
      <c r="BB26" s="82"/>
      <c r="BC26">
        <v>2</v>
      </c>
      <c r="BD26" s="81" t="str">
        <f>REPLACE(INDEX(GroupVertices[Group],MATCH(Edges[[#This Row],[Vertex 1]],GroupVertices[Vertex],0)),1,1,"")</f>
        <v>1</v>
      </c>
      <c r="BE26" s="81" t="str">
        <f>REPLACE(INDEX(GroupVertices[Group],MATCH(Edges[[#This Row],[Vertex 2]],GroupVertices[Vertex],0)),1,1,"")</f>
        <v>1</v>
      </c>
      <c r="BF26" s="49">
        <v>1</v>
      </c>
      <c r="BG26" s="50">
        <v>4.545454545454546</v>
      </c>
      <c r="BH26" s="49">
        <v>0</v>
      </c>
      <c r="BI26" s="50">
        <v>0</v>
      </c>
      <c r="BJ26" s="49">
        <v>0</v>
      </c>
      <c r="BK26" s="50">
        <v>0</v>
      </c>
      <c r="BL26" s="49">
        <v>21</v>
      </c>
      <c r="BM26" s="50">
        <v>95.45454545454545</v>
      </c>
      <c r="BN26" s="49">
        <v>22</v>
      </c>
    </row>
    <row r="27" spans="1:66" ht="15">
      <c r="A27" s="66" t="s">
        <v>272</v>
      </c>
      <c r="B27" s="66" t="s">
        <v>272</v>
      </c>
      <c r="C27" s="67" t="s">
        <v>4510</v>
      </c>
      <c r="D27" s="68">
        <v>3.6363636363636362</v>
      </c>
      <c r="E27" s="69" t="s">
        <v>136</v>
      </c>
      <c r="F27" s="70">
        <v>31.2972972972973</v>
      </c>
      <c r="G27" s="67"/>
      <c r="H27" s="71"/>
      <c r="I27" s="72"/>
      <c r="J27" s="72"/>
      <c r="K27" s="35" t="s">
        <v>65</v>
      </c>
      <c r="L27" s="80">
        <v>27</v>
      </c>
      <c r="M27" s="80"/>
      <c r="N27" s="74"/>
      <c r="O27" s="82" t="s">
        <v>214</v>
      </c>
      <c r="P27" s="84">
        <v>44518.63695601852</v>
      </c>
      <c r="Q27" s="82" t="s">
        <v>552</v>
      </c>
      <c r="R27" s="82"/>
      <c r="S27" s="82"/>
      <c r="T27" s="87" t="s">
        <v>966</v>
      </c>
      <c r="U27" s="82"/>
      <c r="V27" s="85" t="str">
        <f>HYPERLINK("https://pbs.twimg.com/profile_images/765406776850132992/g4Q0EKix_normal.jpg")</f>
        <v>https://pbs.twimg.com/profile_images/765406776850132992/g4Q0EKix_normal.jpg</v>
      </c>
      <c r="W27" s="84">
        <v>44518.63695601852</v>
      </c>
      <c r="X27" s="90">
        <v>44518</v>
      </c>
      <c r="Y27" s="87" t="s">
        <v>1165</v>
      </c>
      <c r="Z27" s="85" t="str">
        <f>HYPERLINK("https://twitter.com/tehzeebzulfiqar/status/1461352801385152520")</f>
        <v>https://twitter.com/tehzeebzulfiqar/status/1461352801385152520</v>
      </c>
      <c r="AA27" s="82"/>
      <c r="AB27" s="82"/>
      <c r="AC27" s="87" t="s">
        <v>1469</v>
      </c>
      <c r="AD27" s="82"/>
      <c r="AE27" s="82" t="b">
        <v>0</v>
      </c>
      <c r="AF27" s="82">
        <v>0</v>
      </c>
      <c r="AG27" s="87" t="s">
        <v>1815</v>
      </c>
      <c r="AH27" s="82" t="b">
        <v>0</v>
      </c>
      <c r="AI27" s="82" t="s">
        <v>1826</v>
      </c>
      <c r="AJ27" s="82"/>
      <c r="AK27" s="87" t="s">
        <v>1815</v>
      </c>
      <c r="AL27" s="82" t="b">
        <v>0</v>
      </c>
      <c r="AM27" s="82">
        <v>0</v>
      </c>
      <c r="AN27" s="87" t="s">
        <v>1815</v>
      </c>
      <c r="AO27" s="87" t="s">
        <v>1851</v>
      </c>
      <c r="AP27" s="82" t="b">
        <v>0</v>
      </c>
      <c r="AQ27" s="87" t="s">
        <v>1469</v>
      </c>
      <c r="AR27" s="82"/>
      <c r="AS27" s="82">
        <v>0</v>
      </c>
      <c r="AT27" s="82">
        <v>0</v>
      </c>
      <c r="AU27" s="82" t="s">
        <v>1871</v>
      </c>
      <c r="AV27" s="82" t="s">
        <v>1875</v>
      </c>
      <c r="AW27" s="82" t="s">
        <v>1878</v>
      </c>
      <c r="AX27" s="82" t="s">
        <v>1881</v>
      </c>
      <c r="AY27" s="82" t="s">
        <v>1885</v>
      </c>
      <c r="AZ27" s="82" t="s">
        <v>1889</v>
      </c>
      <c r="BA27" s="82" t="s">
        <v>1892</v>
      </c>
      <c r="BB27" s="85" t="str">
        <f>HYPERLINK("https://api.twitter.com/1.1/geo/id/00cc0d5640394308.json")</f>
        <v>https://api.twitter.com/1.1/geo/id/00cc0d5640394308.json</v>
      </c>
      <c r="BC27">
        <v>2</v>
      </c>
      <c r="BD27" s="81" t="str">
        <f>REPLACE(INDEX(GroupVertices[Group],MATCH(Edges[[#This Row],[Vertex 1]],GroupVertices[Vertex],0)),1,1,"")</f>
        <v>1</v>
      </c>
      <c r="BE27" s="81" t="str">
        <f>REPLACE(INDEX(GroupVertices[Group],MATCH(Edges[[#This Row],[Vertex 2]],GroupVertices[Vertex],0)),1,1,"")</f>
        <v>1</v>
      </c>
      <c r="BF27" s="49">
        <v>0</v>
      </c>
      <c r="BG27" s="50">
        <v>0</v>
      </c>
      <c r="BH27" s="49">
        <v>4</v>
      </c>
      <c r="BI27" s="50">
        <v>14.285714285714286</v>
      </c>
      <c r="BJ27" s="49">
        <v>0</v>
      </c>
      <c r="BK27" s="50">
        <v>0</v>
      </c>
      <c r="BL27" s="49">
        <v>24</v>
      </c>
      <c r="BM27" s="50">
        <v>85.71428571428571</v>
      </c>
      <c r="BN27" s="49">
        <v>28</v>
      </c>
    </row>
    <row r="28" spans="1:66" ht="15">
      <c r="A28" s="66" t="s">
        <v>272</v>
      </c>
      <c r="B28" s="66" t="s">
        <v>272</v>
      </c>
      <c r="C28" s="67" t="s">
        <v>4510</v>
      </c>
      <c r="D28" s="68">
        <v>3.6363636363636362</v>
      </c>
      <c r="E28" s="69" t="s">
        <v>136</v>
      </c>
      <c r="F28" s="70">
        <v>31.2972972972973</v>
      </c>
      <c r="G28" s="67"/>
      <c r="H28" s="71"/>
      <c r="I28" s="72"/>
      <c r="J28" s="72"/>
      <c r="K28" s="35" t="s">
        <v>65</v>
      </c>
      <c r="L28" s="80">
        <v>28</v>
      </c>
      <c r="M28" s="80"/>
      <c r="N28" s="74"/>
      <c r="O28" s="82" t="s">
        <v>214</v>
      </c>
      <c r="P28" s="84">
        <v>44518.63369212963</v>
      </c>
      <c r="Q28" s="82" t="s">
        <v>553</v>
      </c>
      <c r="R28" s="82"/>
      <c r="S28" s="82"/>
      <c r="T28" s="87" t="s">
        <v>967</v>
      </c>
      <c r="U28" s="82"/>
      <c r="V28" s="85" t="str">
        <f>HYPERLINK("https://pbs.twimg.com/profile_images/765406776850132992/g4Q0EKix_normal.jpg")</f>
        <v>https://pbs.twimg.com/profile_images/765406776850132992/g4Q0EKix_normal.jpg</v>
      </c>
      <c r="W28" s="84">
        <v>44518.63369212963</v>
      </c>
      <c r="X28" s="90">
        <v>44518</v>
      </c>
      <c r="Y28" s="87" t="s">
        <v>1166</v>
      </c>
      <c r="Z28" s="85" t="str">
        <f>HYPERLINK("https://twitter.com/tehzeebzulfiqar/status/1461351622152310785")</f>
        <v>https://twitter.com/tehzeebzulfiqar/status/1461351622152310785</v>
      </c>
      <c r="AA28" s="82"/>
      <c r="AB28" s="82"/>
      <c r="AC28" s="87" t="s">
        <v>1470</v>
      </c>
      <c r="AD28" s="82"/>
      <c r="AE28" s="82" t="b">
        <v>0</v>
      </c>
      <c r="AF28" s="82">
        <v>2</v>
      </c>
      <c r="AG28" s="87" t="s">
        <v>1815</v>
      </c>
      <c r="AH28" s="82" t="b">
        <v>0</v>
      </c>
      <c r="AI28" s="82" t="s">
        <v>1826</v>
      </c>
      <c r="AJ28" s="82"/>
      <c r="AK28" s="87" t="s">
        <v>1815</v>
      </c>
      <c r="AL28" s="82" t="b">
        <v>0</v>
      </c>
      <c r="AM28" s="82">
        <v>4</v>
      </c>
      <c r="AN28" s="87" t="s">
        <v>1815</v>
      </c>
      <c r="AO28" s="87" t="s">
        <v>1851</v>
      </c>
      <c r="AP28" s="82" t="b">
        <v>0</v>
      </c>
      <c r="AQ28" s="87" t="s">
        <v>1470</v>
      </c>
      <c r="AR28" s="82"/>
      <c r="AS28" s="82">
        <v>0</v>
      </c>
      <c r="AT28" s="82">
        <v>0</v>
      </c>
      <c r="AU28" s="82" t="s">
        <v>1871</v>
      </c>
      <c r="AV28" s="82" t="s">
        <v>1875</v>
      </c>
      <c r="AW28" s="82" t="s">
        <v>1878</v>
      </c>
      <c r="AX28" s="82" t="s">
        <v>1881</v>
      </c>
      <c r="AY28" s="82" t="s">
        <v>1885</v>
      </c>
      <c r="AZ28" s="82" t="s">
        <v>1889</v>
      </c>
      <c r="BA28" s="82" t="s">
        <v>1892</v>
      </c>
      <c r="BB28" s="85" t="str">
        <f>HYPERLINK("https://api.twitter.com/1.1/geo/id/00cc0d5640394308.json")</f>
        <v>https://api.twitter.com/1.1/geo/id/00cc0d5640394308.json</v>
      </c>
      <c r="BC28">
        <v>2</v>
      </c>
      <c r="BD28" s="81" t="str">
        <f>REPLACE(INDEX(GroupVertices[Group],MATCH(Edges[[#This Row],[Vertex 1]],GroupVertices[Vertex],0)),1,1,"")</f>
        <v>1</v>
      </c>
      <c r="BE28" s="81" t="str">
        <f>REPLACE(INDEX(GroupVertices[Group],MATCH(Edges[[#This Row],[Vertex 2]],GroupVertices[Vertex],0)),1,1,"")</f>
        <v>1</v>
      </c>
      <c r="BF28" s="49">
        <v>0</v>
      </c>
      <c r="BG28" s="50">
        <v>0</v>
      </c>
      <c r="BH28" s="49">
        <v>1</v>
      </c>
      <c r="BI28" s="50">
        <v>3.125</v>
      </c>
      <c r="BJ28" s="49">
        <v>0</v>
      </c>
      <c r="BK28" s="50">
        <v>0</v>
      </c>
      <c r="BL28" s="49">
        <v>31</v>
      </c>
      <c r="BM28" s="50">
        <v>96.875</v>
      </c>
      <c r="BN28" s="49">
        <v>32</v>
      </c>
    </row>
    <row r="29" spans="1:66" ht="15">
      <c r="A29" s="66" t="s">
        <v>273</v>
      </c>
      <c r="B29" s="66" t="s">
        <v>273</v>
      </c>
      <c r="C29" s="67" t="s">
        <v>4509</v>
      </c>
      <c r="D29" s="68">
        <v>3</v>
      </c>
      <c r="E29" s="69" t="s">
        <v>132</v>
      </c>
      <c r="F29" s="70">
        <v>32</v>
      </c>
      <c r="G29" s="67"/>
      <c r="H29" s="71"/>
      <c r="I29" s="72"/>
      <c r="J29" s="72"/>
      <c r="K29" s="35" t="s">
        <v>65</v>
      </c>
      <c r="L29" s="80">
        <v>29</v>
      </c>
      <c r="M29" s="80"/>
      <c r="N29" s="74"/>
      <c r="O29" s="82" t="s">
        <v>214</v>
      </c>
      <c r="P29" s="84">
        <v>44518.6250462963</v>
      </c>
      <c r="Q29" s="82" t="s">
        <v>554</v>
      </c>
      <c r="R29" s="82"/>
      <c r="S29" s="82"/>
      <c r="T29" s="87" t="s">
        <v>968</v>
      </c>
      <c r="U29" s="85" t="str">
        <f>HYPERLINK("https://pbs.twimg.com/media/FEeB-UNXIAUhYhr.jpg")</f>
        <v>https://pbs.twimg.com/media/FEeB-UNXIAUhYhr.jpg</v>
      </c>
      <c r="V29" s="85" t="str">
        <f>HYPERLINK("https://pbs.twimg.com/media/FEeB-UNXIAUhYhr.jpg")</f>
        <v>https://pbs.twimg.com/media/FEeB-UNXIAUhYhr.jpg</v>
      </c>
      <c r="W29" s="84">
        <v>44518.6250462963</v>
      </c>
      <c r="X29" s="90">
        <v>44518</v>
      </c>
      <c r="Y29" s="87" t="s">
        <v>1167</v>
      </c>
      <c r="Z29" s="85" t="str">
        <f>HYPERLINK("https://twitter.com/ukhsa_eastmids/status/1461348485215576069")</f>
        <v>https://twitter.com/ukhsa_eastmids/status/1461348485215576069</v>
      </c>
      <c r="AA29" s="82"/>
      <c r="AB29" s="82"/>
      <c r="AC29" s="87" t="s">
        <v>1471</v>
      </c>
      <c r="AD29" s="82"/>
      <c r="AE29" s="82" t="b">
        <v>0</v>
      </c>
      <c r="AF29" s="82">
        <v>2</v>
      </c>
      <c r="AG29" s="87" t="s">
        <v>1815</v>
      </c>
      <c r="AH29" s="82" t="b">
        <v>0</v>
      </c>
      <c r="AI29" s="82" t="s">
        <v>1826</v>
      </c>
      <c r="AJ29" s="82"/>
      <c r="AK29" s="87" t="s">
        <v>1815</v>
      </c>
      <c r="AL29" s="82" t="b">
        <v>0</v>
      </c>
      <c r="AM29" s="82">
        <v>0</v>
      </c>
      <c r="AN29" s="87" t="s">
        <v>1815</v>
      </c>
      <c r="AO29" s="87" t="s">
        <v>1853</v>
      </c>
      <c r="AP29" s="82" t="b">
        <v>0</v>
      </c>
      <c r="AQ29" s="87" t="s">
        <v>1471</v>
      </c>
      <c r="AR29" s="82"/>
      <c r="AS29" s="82">
        <v>0</v>
      </c>
      <c r="AT29" s="82">
        <v>0</v>
      </c>
      <c r="AU29" s="82"/>
      <c r="AV29" s="82"/>
      <c r="AW29" s="82"/>
      <c r="AX29" s="82"/>
      <c r="AY29" s="82"/>
      <c r="AZ29" s="82"/>
      <c r="BA29" s="82"/>
      <c r="BB29" s="82"/>
      <c r="BC29">
        <v>1</v>
      </c>
      <c r="BD29" s="81" t="str">
        <f>REPLACE(INDEX(GroupVertices[Group],MATCH(Edges[[#This Row],[Vertex 1]],GroupVertices[Vertex],0)),1,1,"")</f>
        <v>1</v>
      </c>
      <c r="BE29" s="81" t="str">
        <f>REPLACE(INDEX(GroupVertices[Group],MATCH(Edges[[#This Row],[Vertex 2]],GroupVertices[Vertex],0)),1,1,"")</f>
        <v>1</v>
      </c>
      <c r="BF29" s="49">
        <v>0</v>
      </c>
      <c r="BG29" s="50">
        <v>0</v>
      </c>
      <c r="BH29" s="49">
        <v>2</v>
      </c>
      <c r="BI29" s="50">
        <v>6.451612903225806</v>
      </c>
      <c r="BJ29" s="49">
        <v>0</v>
      </c>
      <c r="BK29" s="50">
        <v>0</v>
      </c>
      <c r="BL29" s="49">
        <v>29</v>
      </c>
      <c r="BM29" s="50">
        <v>93.54838709677419</v>
      </c>
      <c r="BN29" s="49">
        <v>31</v>
      </c>
    </row>
    <row r="30" spans="1:66" ht="15">
      <c r="A30" s="66" t="s">
        <v>274</v>
      </c>
      <c r="B30" s="66" t="s">
        <v>451</v>
      </c>
      <c r="C30" s="67" t="s">
        <v>4509</v>
      </c>
      <c r="D30" s="68">
        <v>3</v>
      </c>
      <c r="E30" s="69" t="s">
        <v>132</v>
      </c>
      <c r="F30" s="70">
        <v>32</v>
      </c>
      <c r="G30" s="67"/>
      <c r="H30" s="71"/>
      <c r="I30" s="72"/>
      <c r="J30" s="72"/>
      <c r="K30" s="35" t="s">
        <v>65</v>
      </c>
      <c r="L30" s="80">
        <v>30</v>
      </c>
      <c r="M30" s="80"/>
      <c r="N30" s="74"/>
      <c r="O30" s="82" t="s">
        <v>528</v>
      </c>
      <c r="P30" s="84">
        <v>44518.665659722225</v>
      </c>
      <c r="Q30" s="82" t="s">
        <v>555</v>
      </c>
      <c r="R30" s="82"/>
      <c r="S30" s="82"/>
      <c r="T30" s="87" t="s">
        <v>969</v>
      </c>
      <c r="U30" s="85" t="str">
        <f>HYPERLINK("https://pbs.twimg.com/media/FEfOFW2UYA8Kx4M.jpg")</f>
        <v>https://pbs.twimg.com/media/FEfOFW2UYA8Kx4M.jpg</v>
      </c>
      <c r="V30" s="85" t="str">
        <f>HYPERLINK("https://pbs.twimg.com/media/FEfOFW2UYA8Kx4M.jpg")</f>
        <v>https://pbs.twimg.com/media/FEfOFW2UYA8Kx4M.jpg</v>
      </c>
      <c r="W30" s="84">
        <v>44518.665659722225</v>
      </c>
      <c r="X30" s="90">
        <v>44518</v>
      </c>
      <c r="Y30" s="87" t="s">
        <v>1168</v>
      </c>
      <c r="Z30" s="85" t="str">
        <f>HYPERLINK("https://twitter.com/vikkij89/status/1461363204248854539")</f>
        <v>https://twitter.com/vikkij89/status/1461363204248854539</v>
      </c>
      <c r="AA30" s="82"/>
      <c r="AB30" s="82"/>
      <c r="AC30" s="87" t="s">
        <v>1472</v>
      </c>
      <c r="AD30" s="82"/>
      <c r="AE30" s="82" t="b">
        <v>0</v>
      </c>
      <c r="AF30" s="82">
        <v>6</v>
      </c>
      <c r="AG30" s="87" t="s">
        <v>1815</v>
      </c>
      <c r="AH30" s="82" t="b">
        <v>0</v>
      </c>
      <c r="AI30" s="82" t="s">
        <v>1826</v>
      </c>
      <c r="AJ30" s="82"/>
      <c r="AK30" s="87" t="s">
        <v>1815</v>
      </c>
      <c r="AL30" s="82" t="b">
        <v>0</v>
      </c>
      <c r="AM30" s="82">
        <v>0</v>
      </c>
      <c r="AN30" s="87" t="s">
        <v>1815</v>
      </c>
      <c r="AO30" s="87" t="s">
        <v>1851</v>
      </c>
      <c r="AP30" s="82" t="b">
        <v>0</v>
      </c>
      <c r="AQ30" s="87" t="s">
        <v>1472</v>
      </c>
      <c r="AR30" s="82"/>
      <c r="AS30" s="82">
        <v>0</v>
      </c>
      <c r="AT30" s="82">
        <v>0</v>
      </c>
      <c r="AU30" s="82"/>
      <c r="AV30" s="82"/>
      <c r="AW30" s="82"/>
      <c r="AX30" s="82"/>
      <c r="AY30" s="82"/>
      <c r="AZ30" s="82"/>
      <c r="BA30" s="82"/>
      <c r="BB30" s="82"/>
      <c r="BC30">
        <v>1</v>
      </c>
      <c r="BD30" s="81" t="str">
        <f>REPLACE(INDEX(GroupVertices[Group],MATCH(Edges[[#This Row],[Vertex 1]],GroupVertices[Vertex],0)),1,1,"")</f>
        <v>8</v>
      </c>
      <c r="BE30" s="81" t="str">
        <f>REPLACE(INDEX(GroupVertices[Group],MATCH(Edges[[#This Row],[Vertex 2]],GroupVertices[Vertex],0)),1,1,"")</f>
        <v>8</v>
      </c>
      <c r="BF30" s="49"/>
      <c r="BG30" s="50"/>
      <c r="BH30" s="49"/>
      <c r="BI30" s="50"/>
      <c r="BJ30" s="49"/>
      <c r="BK30" s="50"/>
      <c r="BL30" s="49"/>
      <c r="BM30" s="50"/>
      <c r="BN30" s="49"/>
    </row>
    <row r="31" spans="1:66" ht="15">
      <c r="A31" s="66" t="s">
        <v>274</v>
      </c>
      <c r="B31" s="66" t="s">
        <v>452</v>
      </c>
      <c r="C31" s="67" t="s">
        <v>4509</v>
      </c>
      <c r="D31" s="68">
        <v>3</v>
      </c>
      <c r="E31" s="69" t="s">
        <v>132</v>
      </c>
      <c r="F31" s="70">
        <v>32</v>
      </c>
      <c r="G31" s="67"/>
      <c r="H31" s="71"/>
      <c r="I31" s="72"/>
      <c r="J31" s="72"/>
      <c r="K31" s="35" t="s">
        <v>65</v>
      </c>
      <c r="L31" s="80">
        <v>31</v>
      </c>
      <c r="M31" s="80"/>
      <c r="N31" s="74"/>
      <c r="O31" s="82" t="s">
        <v>528</v>
      </c>
      <c r="P31" s="84">
        <v>44518.665659722225</v>
      </c>
      <c r="Q31" s="82" t="s">
        <v>555</v>
      </c>
      <c r="R31" s="82"/>
      <c r="S31" s="82"/>
      <c r="T31" s="87" t="s">
        <v>969</v>
      </c>
      <c r="U31" s="85" t="str">
        <f>HYPERLINK("https://pbs.twimg.com/media/FEfOFW2UYA8Kx4M.jpg")</f>
        <v>https://pbs.twimg.com/media/FEfOFW2UYA8Kx4M.jpg</v>
      </c>
      <c r="V31" s="85" t="str">
        <f>HYPERLINK("https://pbs.twimg.com/media/FEfOFW2UYA8Kx4M.jpg")</f>
        <v>https://pbs.twimg.com/media/FEfOFW2UYA8Kx4M.jpg</v>
      </c>
      <c r="W31" s="84">
        <v>44518.665659722225</v>
      </c>
      <c r="X31" s="90">
        <v>44518</v>
      </c>
      <c r="Y31" s="87" t="s">
        <v>1168</v>
      </c>
      <c r="Z31" s="85" t="str">
        <f>HYPERLINK("https://twitter.com/vikkij89/status/1461363204248854539")</f>
        <v>https://twitter.com/vikkij89/status/1461363204248854539</v>
      </c>
      <c r="AA31" s="82"/>
      <c r="AB31" s="82"/>
      <c r="AC31" s="87" t="s">
        <v>1472</v>
      </c>
      <c r="AD31" s="82"/>
      <c r="AE31" s="82" t="b">
        <v>0</v>
      </c>
      <c r="AF31" s="82">
        <v>6</v>
      </c>
      <c r="AG31" s="87" t="s">
        <v>1815</v>
      </c>
      <c r="AH31" s="82" t="b">
        <v>0</v>
      </c>
      <c r="AI31" s="82" t="s">
        <v>1826</v>
      </c>
      <c r="AJ31" s="82"/>
      <c r="AK31" s="87" t="s">
        <v>1815</v>
      </c>
      <c r="AL31" s="82" t="b">
        <v>0</v>
      </c>
      <c r="AM31" s="82">
        <v>0</v>
      </c>
      <c r="AN31" s="87" t="s">
        <v>1815</v>
      </c>
      <c r="AO31" s="87" t="s">
        <v>1851</v>
      </c>
      <c r="AP31" s="82" t="b">
        <v>0</v>
      </c>
      <c r="AQ31" s="87" t="s">
        <v>1472</v>
      </c>
      <c r="AR31" s="82"/>
      <c r="AS31" s="82">
        <v>0</v>
      </c>
      <c r="AT31" s="82">
        <v>0</v>
      </c>
      <c r="AU31" s="82"/>
      <c r="AV31" s="82"/>
      <c r="AW31" s="82"/>
      <c r="AX31" s="82"/>
      <c r="AY31" s="82"/>
      <c r="AZ31" s="82"/>
      <c r="BA31" s="82"/>
      <c r="BB31" s="82"/>
      <c r="BC31">
        <v>1</v>
      </c>
      <c r="BD31" s="81" t="str">
        <f>REPLACE(INDEX(GroupVertices[Group],MATCH(Edges[[#This Row],[Vertex 1]],GroupVertices[Vertex],0)),1,1,"")</f>
        <v>8</v>
      </c>
      <c r="BE31" s="81" t="str">
        <f>REPLACE(INDEX(GroupVertices[Group],MATCH(Edges[[#This Row],[Vertex 2]],GroupVertices[Vertex],0)),1,1,"")</f>
        <v>8</v>
      </c>
      <c r="BF31" s="49"/>
      <c r="BG31" s="50"/>
      <c r="BH31" s="49"/>
      <c r="BI31" s="50"/>
      <c r="BJ31" s="49"/>
      <c r="BK31" s="50"/>
      <c r="BL31" s="49"/>
      <c r="BM31" s="50"/>
      <c r="BN31" s="49"/>
    </row>
    <row r="32" spans="1:66" ht="15">
      <c r="A32" s="66" t="s">
        <v>274</v>
      </c>
      <c r="B32" s="66" t="s">
        <v>453</v>
      </c>
      <c r="C32" s="67" t="s">
        <v>4509</v>
      </c>
      <c r="D32" s="68">
        <v>3</v>
      </c>
      <c r="E32" s="69" t="s">
        <v>132</v>
      </c>
      <c r="F32" s="70">
        <v>32</v>
      </c>
      <c r="G32" s="67"/>
      <c r="H32" s="71"/>
      <c r="I32" s="72"/>
      <c r="J32" s="72"/>
      <c r="K32" s="35" t="s">
        <v>65</v>
      </c>
      <c r="L32" s="80">
        <v>32</v>
      </c>
      <c r="M32" s="80"/>
      <c r="N32" s="74"/>
      <c r="O32" s="82" t="s">
        <v>528</v>
      </c>
      <c r="P32" s="84">
        <v>44518.665659722225</v>
      </c>
      <c r="Q32" s="82" t="s">
        <v>555</v>
      </c>
      <c r="R32" s="82"/>
      <c r="S32" s="82"/>
      <c r="T32" s="87" t="s">
        <v>969</v>
      </c>
      <c r="U32" s="85" t="str">
        <f>HYPERLINK("https://pbs.twimg.com/media/FEfOFW2UYA8Kx4M.jpg")</f>
        <v>https://pbs.twimg.com/media/FEfOFW2UYA8Kx4M.jpg</v>
      </c>
      <c r="V32" s="85" t="str">
        <f>HYPERLINK("https://pbs.twimg.com/media/FEfOFW2UYA8Kx4M.jpg")</f>
        <v>https://pbs.twimg.com/media/FEfOFW2UYA8Kx4M.jpg</v>
      </c>
      <c r="W32" s="84">
        <v>44518.665659722225</v>
      </c>
      <c r="X32" s="90">
        <v>44518</v>
      </c>
      <c r="Y32" s="87" t="s">
        <v>1168</v>
      </c>
      <c r="Z32" s="85" t="str">
        <f>HYPERLINK("https://twitter.com/vikkij89/status/1461363204248854539")</f>
        <v>https://twitter.com/vikkij89/status/1461363204248854539</v>
      </c>
      <c r="AA32" s="82"/>
      <c r="AB32" s="82"/>
      <c r="AC32" s="87" t="s">
        <v>1472</v>
      </c>
      <c r="AD32" s="82"/>
      <c r="AE32" s="82" t="b">
        <v>0</v>
      </c>
      <c r="AF32" s="82">
        <v>6</v>
      </c>
      <c r="AG32" s="87" t="s">
        <v>1815</v>
      </c>
      <c r="AH32" s="82" t="b">
        <v>0</v>
      </c>
      <c r="AI32" s="82" t="s">
        <v>1826</v>
      </c>
      <c r="AJ32" s="82"/>
      <c r="AK32" s="87" t="s">
        <v>1815</v>
      </c>
      <c r="AL32" s="82" t="b">
        <v>0</v>
      </c>
      <c r="AM32" s="82">
        <v>0</v>
      </c>
      <c r="AN32" s="87" t="s">
        <v>1815</v>
      </c>
      <c r="AO32" s="87" t="s">
        <v>1851</v>
      </c>
      <c r="AP32" s="82" t="b">
        <v>0</v>
      </c>
      <c r="AQ32" s="87" t="s">
        <v>1472</v>
      </c>
      <c r="AR32" s="82"/>
      <c r="AS32" s="82">
        <v>0</v>
      </c>
      <c r="AT32" s="82">
        <v>0</v>
      </c>
      <c r="AU32" s="82"/>
      <c r="AV32" s="82"/>
      <c r="AW32" s="82"/>
      <c r="AX32" s="82"/>
      <c r="AY32" s="82"/>
      <c r="AZ32" s="82"/>
      <c r="BA32" s="82"/>
      <c r="BB32" s="82"/>
      <c r="BC32">
        <v>1</v>
      </c>
      <c r="BD32" s="81" t="str">
        <f>REPLACE(INDEX(GroupVertices[Group],MATCH(Edges[[#This Row],[Vertex 1]],GroupVertices[Vertex],0)),1,1,"")</f>
        <v>8</v>
      </c>
      <c r="BE32" s="81" t="str">
        <f>REPLACE(INDEX(GroupVertices[Group],MATCH(Edges[[#This Row],[Vertex 2]],GroupVertices[Vertex],0)),1,1,"")</f>
        <v>8</v>
      </c>
      <c r="BF32" s="49"/>
      <c r="BG32" s="50"/>
      <c r="BH32" s="49"/>
      <c r="BI32" s="50"/>
      <c r="BJ32" s="49"/>
      <c r="BK32" s="50"/>
      <c r="BL32" s="49"/>
      <c r="BM32" s="50"/>
      <c r="BN32" s="49"/>
    </row>
    <row r="33" spans="1:66" ht="15">
      <c r="A33" s="66" t="s">
        <v>274</v>
      </c>
      <c r="B33" s="66" t="s">
        <v>454</v>
      </c>
      <c r="C33" s="67" t="s">
        <v>4510</v>
      </c>
      <c r="D33" s="68">
        <v>3.6363636363636362</v>
      </c>
      <c r="E33" s="69" t="s">
        <v>136</v>
      </c>
      <c r="F33" s="70">
        <v>31.2972972972973</v>
      </c>
      <c r="G33" s="67"/>
      <c r="H33" s="71"/>
      <c r="I33" s="72"/>
      <c r="J33" s="72"/>
      <c r="K33" s="35" t="s">
        <v>65</v>
      </c>
      <c r="L33" s="80">
        <v>33</v>
      </c>
      <c r="M33" s="80"/>
      <c r="N33" s="74"/>
      <c r="O33" s="82" t="s">
        <v>528</v>
      </c>
      <c r="P33" s="84">
        <v>44518.665659722225</v>
      </c>
      <c r="Q33" s="82" t="s">
        <v>555</v>
      </c>
      <c r="R33" s="82"/>
      <c r="S33" s="82"/>
      <c r="T33" s="87" t="s">
        <v>969</v>
      </c>
      <c r="U33" s="85" t="str">
        <f>HYPERLINK("https://pbs.twimg.com/media/FEfOFW2UYA8Kx4M.jpg")</f>
        <v>https://pbs.twimg.com/media/FEfOFW2UYA8Kx4M.jpg</v>
      </c>
      <c r="V33" s="85" t="str">
        <f>HYPERLINK("https://pbs.twimg.com/media/FEfOFW2UYA8Kx4M.jpg")</f>
        <v>https://pbs.twimg.com/media/FEfOFW2UYA8Kx4M.jpg</v>
      </c>
      <c r="W33" s="84">
        <v>44518.665659722225</v>
      </c>
      <c r="X33" s="90">
        <v>44518</v>
      </c>
      <c r="Y33" s="87" t="s">
        <v>1168</v>
      </c>
      <c r="Z33" s="85" t="str">
        <f>HYPERLINK("https://twitter.com/vikkij89/status/1461363204248854539")</f>
        <v>https://twitter.com/vikkij89/status/1461363204248854539</v>
      </c>
      <c r="AA33" s="82"/>
      <c r="AB33" s="82"/>
      <c r="AC33" s="87" t="s">
        <v>1472</v>
      </c>
      <c r="AD33" s="82"/>
      <c r="AE33" s="82" t="b">
        <v>0</v>
      </c>
      <c r="AF33" s="82">
        <v>6</v>
      </c>
      <c r="AG33" s="87" t="s">
        <v>1815</v>
      </c>
      <c r="AH33" s="82" t="b">
        <v>0</v>
      </c>
      <c r="AI33" s="82" t="s">
        <v>1826</v>
      </c>
      <c r="AJ33" s="82"/>
      <c r="AK33" s="87" t="s">
        <v>1815</v>
      </c>
      <c r="AL33" s="82" t="b">
        <v>0</v>
      </c>
      <c r="AM33" s="82">
        <v>0</v>
      </c>
      <c r="AN33" s="87" t="s">
        <v>1815</v>
      </c>
      <c r="AO33" s="87" t="s">
        <v>1851</v>
      </c>
      <c r="AP33" s="82" t="b">
        <v>0</v>
      </c>
      <c r="AQ33" s="87" t="s">
        <v>1472</v>
      </c>
      <c r="AR33" s="82"/>
      <c r="AS33" s="82">
        <v>0</v>
      </c>
      <c r="AT33" s="82">
        <v>0</v>
      </c>
      <c r="AU33" s="82"/>
      <c r="AV33" s="82"/>
      <c r="AW33" s="82"/>
      <c r="AX33" s="82"/>
      <c r="AY33" s="82"/>
      <c r="AZ33" s="82"/>
      <c r="BA33" s="82"/>
      <c r="BB33" s="82"/>
      <c r="BC33">
        <v>2</v>
      </c>
      <c r="BD33" s="81" t="str">
        <f>REPLACE(INDEX(GroupVertices[Group],MATCH(Edges[[#This Row],[Vertex 1]],GroupVertices[Vertex],0)),1,1,"")</f>
        <v>8</v>
      </c>
      <c r="BE33" s="81" t="str">
        <f>REPLACE(INDEX(GroupVertices[Group],MATCH(Edges[[#This Row],[Vertex 2]],GroupVertices[Vertex],0)),1,1,"")</f>
        <v>8</v>
      </c>
      <c r="BF33" s="49"/>
      <c r="BG33" s="50"/>
      <c r="BH33" s="49"/>
      <c r="BI33" s="50"/>
      <c r="BJ33" s="49"/>
      <c r="BK33" s="50"/>
      <c r="BL33" s="49"/>
      <c r="BM33" s="50"/>
      <c r="BN33" s="49"/>
    </row>
    <row r="34" spans="1:66" ht="15">
      <c r="A34" s="66" t="s">
        <v>274</v>
      </c>
      <c r="B34" s="66" t="s">
        <v>454</v>
      </c>
      <c r="C34" s="67" t="s">
        <v>4510</v>
      </c>
      <c r="D34" s="68">
        <v>3.6363636363636362</v>
      </c>
      <c r="E34" s="69" t="s">
        <v>136</v>
      </c>
      <c r="F34" s="70">
        <v>31.2972972972973</v>
      </c>
      <c r="G34" s="67"/>
      <c r="H34" s="71"/>
      <c r="I34" s="72"/>
      <c r="J34" s="72"/>
      <c r="K34" s="35" t="s">
        <v>65</v>
      </c>
      <c r="L34" s="80">
        <v>34</v>
      </c>
      <c r="M34" s="80"/>
      <c r="N34" s="74"/>
      <c r="O34" s="82" t="s">
        <v>528</v>
      </c>
      <c r="P34" s="84">
        <v>44518.626226851855</v>
      </c>
      <c r="Q34" s="82" t="s">
        <v>556</v>
      </c>
      <c r="R34" s="82"/>
      <c r="S34" s="82"/>
      <c r="T34" s="87" t="s">
        <v>970</v>
      </c>
      <c r="U34" s="85" t="str">
        <f>HYPERLINK("https://pbs.twimg.com/media/FEfBFmIVEAYsR1d.jpg")</f>
        <v>https://pbs.twimg.com/media/FEfBFmIVEAYsR1d.jpg</v>
      </c>
      <c r="V34" s="85" t="str">
        <f>HYPERLINK("https://pbs.twimg.com/media/FEfBFmIVEAYsR1d.jpg")</f>
        <v>https://pbs.twimg.com/media/FEfBFmIVEAYsR1d.jpg</v>
      </c>
      <c r="W34" s="84">
        <v>44518.626226851855</v>
      </c>
      <c r="X34" s="90">
        <v>44518</v>
      </c>
      <c r="Y34" s="87" t="s">
        <v>1169</v>
      </c>
      <c r="Z34" s="85" t="str">
        <f>HYPERLINK("https://twitter.com/vikkij89/status/1461348912816541704")</f>
        <v>https://twitter.com/vikkij89/status/1461348912816541704</v>
      </c>
      <c r="AA34" s="82"/>
      <c r="AB34" s="82"/>
      <c r="AC34" s="87" t="s">
        <v>1473</v>
      </c>
      <c r="AD34" s="82"/>
      <c r="AE34" s="82" t="b">
        <v>0</v>
      </c>
      <c r="AF34" s="82">
        <v>13</v>
      </c>
      <c r="AG34" s="87" t="s">
        <v>1815</v>
      </c>
      <c r="AH34" s="82" t="b">
        <v>0</v>
      </c>
      <c r="AI34" s="82" t="s">
        <v>1826</v>
      </c>
      <c r="AJ34" s="82"/>
      <c r="AK34" s="87" t="s">
        <v>1815</v>
      </c>
      <c r="AL34" s="82" t="b">
        <v>0</v>
      </c>
      <c r="AM34" s="82">
        <v>2</v>
      </c>
      <c r="AN34" s="87" t="s">
        <v>1815</v>
      </c>
      <c r="AO34" s="87" t="s">
        <v>1851</v>
      </c>
      <c r="AP34" s="82" t="b">
        <v>0</v>
      </c>
      <c r="AQ34" s="87" t="s">
        <v>1473</v>
      </c>
      <c r="AR34" s="82"/>
      <c r="AS34" s="82">
        <v>0</v>
      </c>
      <c r="AT34" s="82">
        <v>0</v>
      </c>
      <c r="AU34" s="82"/>
      <c r="AV34" s="82"/>
      <c r="AW34" s="82"/>
      <c r="AX34" s="82"/>
      <c r="AY34" s="82"/>
      <c r="AZ34" s="82"/>
      <c r="BA34" s="82"/>
      <c r="BB34" s="82"/>
      <c r="BC34">
        <v>2</v>
      </c>
      <c r="BD34" s="81" t="str">
        <f>REPLACE(INDEX(GroupVertices[Group],MATCH(Edges[[#This Row],[Vertex 1]],GroupVertices[Vertex],0)),1,1,"")</f>
        <v>8</v>
      </c>
      <c r="BE34" s="81" t="str">
        <f>REPLACE(INDEX(GroupVertices[Group],MATCH(Edges[[#This Row],[Vertex 2]],GroupVertices[Vertex],0)),1,1,"")</f>
        <v>8</v>
      </c>
      <c r="BF34" s="49"/>
      <c r="BG34" s="50"/>
      <c r="BH34" s="49"/>
      <c r="BI34" s="50"/>
      <c r="BJ34" s="49"/>
      <c r="BK34" s="50"/>
      <c r="BL34" s="49"/>
      <c r="BM34" s="50"/>
      <c r="BN34" s="49"/>
    </row>
    <row r="35" spans="1:66" ht="15">
      <c r="A35" s="66" t="s">
        <v>274</v>
      </c>
      <c r="B35" s="66" t="s">
        <v>455</v>
      </c>
      <c r="C35" s="67" t="s">
        <v>4510</v>
      </c>
      <c r="D35" s="68">
        <v>3.6363636363636362</v>
      </c>
      <c r="E35" s="69" t="s">
        <v>136</v>
      </c>
      <c r="F35" s="70">
        <v>31.2972972972973</v>
      </c>
      <c r="G35" s="67"/>
      <c r="H35" s="71"/>
      <c r="I35" s="72"/>
      <c r="J35" s="72"/>
      <c r="K35" s="35" t="s">
        <v>65</v>
      </c>
      <c r="L35" s="80">
        <v>35</v>
      </c>
      <c r="M35" s="80"/>
      <c r="N35" s="74"/>
      <c r="O35" s="82" t="s">
        <v>528</v>
      </c>
      <c r="P35" s="84">
        <v>44518.665659722225</v>
      </c>
      <c r="Q35" s="82" t="s">
        <v>555</v>
      </c>
      <c r="R35" s="82"/>
      <c r="S35" s="82"/>
      <c r="T35" s="87" t="s">
        <v>969</v>
      </c>
      <c r="U35" s="85" t="str">
        <f>HYPERLINK("https://pbs.twimg.com/media/FEfOFW2UYA8Kx4M.jpg")</f>
        <v>https://pbs.twimg.com/media/FEfOFW2UYA8Kx4M.jpg</v>
      </c>
      <c r="V35" s="85" t="str">
        <f>HYPERLINK("https://pbs.twimg.com/media/FEfOFW2UYA8Kx4M.jpg")</f>
        <v>https://pbs.twimg.com/media/FEfOFW2UYA8Kx4M.jpg</v>
      </c>
      <c r="W35" s="84">
        <v>44518.665659722225</v>
      </c>
      <c r="X35" s="90">
        <v>44518</v>
      </c>
      <c r="Y35" s="87" t="s">
        <v>1168</v>
      </c>
      <c r="Z35" s="85" t="str">
        <f>HYPERLINK("https://twitter.com/vikkij89/status/1461363204248854539")</f>
        <v>https://twitter.com/vikkij89/status/1461363204248854539</v>
      </c>
      <c r="AA35" s="82"/>
      <c r="AB35" s="82"/>
      <c r="AC35" s="87" t="s">
        <v>1472</v>
      </c>
      <c r="AD35" s="82"/>
      <c r="AE35" s="82" t="b">
        <v>0</v>
      </c>
      <c r="AF35" s="82">
        <v>6</v>
      </c>
      <c r="AG35" s="87" t="s">
        <v>1815</v>
      </c>
      <c r="AH35" s="82" t="b">
        <v>0</v>
      </c>
      <c r="AI35" s="82" t="s">
        <v>1826</v>
      </c>
      <c r="AJ35" s="82"/>
      <c r="AK35" s="87" t="s">
        <v>1815</v>
      </c>
      <c r="AL35" s="82" t="b">
        <v>0</v>
      </c>
      <c r="AM35" s="82">
        <v>0</v>
      </c>
      <c r="AN35" s="87" t="s">
        <v>1815</v>
      </c>
      <c r="AO35" s="87" t="s">
        <v>1851</v>
      </c>
      <c r="AP35" s="82" t="b">
        <v>0</v>
      </c>
      <c r="AQ35" s="87" t="s">
        <v>1472</v>
      </c>
      <c r="AR35" s="82"/>
      <c r="AS35" s="82">
        <v>0</v>
      </c>
      <c r="AT35" s="82">
        <v>0</v>
      </c>
      <c r="AU35" s="82"/>
      <c r="AV35" s="82"/>
      <c r="AW35" s="82"/>
      <c r="AX35" s="82"/>
      <c r="AY35" s="82"/>
      <c r="AZ35" s="82"/>
      <c r="BA35" s="82"/>
      <c r="BB35" s="82"/>
      <c r="BC35">
        <v>2</v>
      </c>
      <c r="BD35" s="81" t="str">
        <f>REPLACE(INDEX(GroupVertices[Group],MATCH(Edges[[#This Row],[Vertex 1]],GroupVertices[Vertex],0)),1,1,"")</f>
        <v>8</v>
      </c>
      <c r="BE35" s="81" t="str">
        <f>REPLACE(INDEX(GroupVertices[Group],MATCH(Edges[[#This Row],[Vertex 2]],GroupVertices[Vertex],0)),1,1,"")</f>
        <v>8</v>
      </c>
      <c r="BF35" s="49"/>
      <c r="BG35" s="50"/>
      <c r="BH35" s="49"/>
      <c r="BI35" s="50"/>
      <c r="BJ35" s="49"/>
      <c r="BK35" s="50"/>
      <c r="BL35" s="49"/>
      <c r="BM35" s="50"/>
      <c r="BN35" s="49"/>
    </row>
    <row r="36" spans="1:66" ht="15">
      <c r="A36" s="66" t="s">
        <v>274</v>
      </c>
      <c r="B36" s="66" t="s">
        <v>455</v>
      </c>
      <c r="C36" s="67" t="s">
        <v>4510</v>
      </c>
      <c r="D36" s="68">
        <v>3.6363636363636362</v>
      </c>
      <c r="E36" s="69" t="s">
        <v>136</v>
      </c>
      <c r="F36" s="70">
        <v>31.2972972972973</v>
      </c>
      <c r="G36" s="67"/>
      <c r="H36" s="71"/>
      <c r="I36" s="72"/>
      <c r="J36" s="72"/>
      <c r="K36" s="35" t="s">
        <v>65</v>
      </c>
      <c r="L36" s="80">
        <v>36</v>
      </c>
      <c r="M36" s="80"/>
      <c r="N36" s="74"/>
      <c r="O36" s="82" t="s">
        <v>528</v>
      </c>
      <c r="P36" s="84">
        <v>44518.626226851855</v>
      </c>
      <c r="Q36" s="82" t="s">
        <v>556</v>
      </c>
      <c r="R36" s="82"/>
      <c r="S36" s="82"/>
      <c r="T36" s="87" t="s">
        <v>970</v>
      </c>
      <c r="U36" s="85" t="str">
        <f>HYPERLINK("https://pbs.twimg.com/media/FEfBFmIVEAYsR1d.jpg")</f>
        <v>https://pbs.twimg.com/media/FEfBFmIVEAYsR1d.jpg</v>
      </c>
      <c r="V36" s="85" t="str">
        <f>HYPERLINK("https://pbs.twimg.com/media/FEfBFmIVEAYsR1d.jpg")</f>
        <v>https://pbs.twimg.com/media/FEfBFmIVEAYsR1d.jpg</v>
      </c>
      <c r="W36" s="84">
        <v>44518.626226851855</v>
      </c>
      <c r="X36" s="90">
        <v>44518</v>
      </c>
      <c r="Y36" s="87" t="s">
        <v>1169</v>
      </c>
      <c r="Z36" s="85" t="str">
        <f>HYPERLINK("https://twitter.com/vikkij89/status/1461348912816541704")</f>
        <v>https://twitter.com/vikkij89/status/1461348912816541704</v>
      </c>
      <c r="AA36" s="82"/>
      <c r="AB36" s="82"/>
      <c r="AC36" s="87" t="s">
        <v>1473</v>
      </c>
      <c r="AD36" s="82"/>
      <c r="AE36" s="82" t="b">
        <v>0</v>
      </c>
      <c r="AF36" s="82">
        <v>13</v>
      </c>
      <c r="AG36" s="87" t="s">
        <v>1815</v>
      </c>
      <c r="AH36" s="82" t="b">
        <v>0</v>
      </c>
      <c r="AI36" s="82" t="s">
        <v>1826</v>
      </c>
      <c r="AJ36" s="82"/>
      <c r="AK36" s="87" t="s">
        <v>1815</v>
      </c>
      <c r="AL36" s="82" t="b">
        <v>0</v>
      </c>
      <c r="AM36" s="82">
        <v>2</v>
      </c>
      <c r="AN36" s="87" t="s">
        <v>1815</v>
      </c>
      <c r="AO36" s="87" t="s">
        <v>1851</v>
      </c>
      <c r="AP36" s="82" t="b">
        <v>0</v>
      </c>
      <c r="AQ36" s="87" t="s">
        <v>1473</v>
      </c>
      <c r="AR36" s="82"/>
      <c r="AS36" s="82">
        <v>0</v>
      </c>
      <c r="AT36" s="82">
        <v>0</v>
      </c>
      <c r="AU36" s="82"/>
      <c r="AV36" s="82"/>
      <c r="AW36" s="82"/>
      <c r="AX36" s="82"/>
      <c r="AY36" s="82"/>
      <c r="AZ36" s="82"/>
      <c r="BA36" s="82"/>
      <c r="BB36" s="82"/>
      <c r="BC36">
        <v>2</v>
      </c>
      <c r="BD36" s="81" t="str">
        <f>REPLACE(INDEX(GroupVertices[Group],MATCH(Edges[[#This Row],[Vertex 1]],GroupVertices[Vertex],0)),1,1,"")</f>
        <v>8</v>
      </c>
      <c r="BE36" s="81" t="str">
        <f>REPLACE(INDEX(GroupVertices[Group],MATCH(Edges[[#This Row],[Vertex 2]],GroupVertices[Vertex],0)),1,1,"")</f>
        <v>8</v>
      </c>
      <c r="BF36" s="49"/>
      <c r="BG36" s="50"/>
      <c r="BH36" s="49"/>
      <c r="BI36" s="50"/>
      <c r="BJ36" s="49"/>
      <c r="BK36" s="50"/>
      <c r="BL36" s="49"/>
      <c r="BM36" s="50"/>
      <c r="BN36" s="49"/>
    </row>
    <row r="37" spans="1:66" ht="15">
      <c r="A37" s="66" t="s">
        <v>274</v>
      </c>
      <c r="B37" s="66" t="s">
        <v>456</v>
      </c>
      <c r="C37" s="67" t="s">
        <v>4510</v>
      </c>
      <c r="D37" s="68">
        <v>3.6363636363636362</v>
      </c>
      <c r="E37" s="69" t="s">
        <v>136</v>
      </c>
      <c r="F37" s="70">
        <v>31.2972972972973</v>
      </c>
      <c r="G37" s="67"/>
      <c r="H37" s="71"/>
      <c r="I37" s="72"/>
      <c r="J37" s="72"/>
      <c r="K37" s="35" t="s">
        <v>65</v>
      </c>
      <c r="L37" s="80">
        <v>37</v>
      </c>
      <c r="M37" s="80"/>
      <c r="N37" s="74"/>
      <c r="O37" s="82" t="s">
        <v>528</v>
      </c>
      <c r="P37" s="84">
        <v>44518.665659722225</v>
      </c>
      <c r="Q37" s="82" t="s">
        <v>555</v>
      </c>
      <c r="R37" s="82"/>
      <c r="S37" s="82"/>
      <c r="T37" s="87" t="s">
        <v>969</v>
      </c>
      <c r="U37" s="85" t="str">
        <f>HYPERLINK("https://pbs.twimg.com/media/FEfOFW2UYA8Kx4M.jpg")</f>
        <v>https://pbs.twimg.com/media/FEfOFW2UYA8Kx4M.jpg</v>
      </c>
      <c r="V37" s="85" t="str">
        <f>HYPERLINK("https://pbs.twimg.com/media/FEfOFW2UYA8Kx4M.jpg")</f>
        <v>https://pbs.twimg.com/media/FEfOFW2UYA8Kx4M.jpg</v>
      </c>
      <c r="W37" s="84">
        <v>44518.665659722225</v>
      </c>
      <c r="X37" s="90">
        <v>44518</v>
      </c>
      <c r="Y37" s="87" t="s">
        <v>1168</v>
      </c>
      <c r="Z37" s="85" t="str">
        <f>HYPERLINK("https://twitter.com/vikkij89/status/1461363204248854539")</f>
        <v>https://twitter.com/vikkij89/status/1461363204248854539</v>
      </c>
      <c r="AA37" s="82"/>
      <c r="AB37" s="82"/>
      <c r="AC37" s="87" t="s">
        <v>1472</v>
      </c>
      <c r="AD37" s="82"/>
      <c r="AE37" s="82" t="b">
        <v>0</v>
      </c>
      <c r="AF37" s="82">
        <v>6</v>
      </c>
      <c r="AG37" s="87" t="s">
        <v>1815</v>
      </c>
      <c r="AH37" s="82" t="b">
        <v>0</v>
      </c>
      <c r="AI37" s="82" t="s">
        <v>1826</v>
      </c>
      <c r="AJ37" s="82"/>
      <c r="AK37" s="87" t="s">
        <v>1815</v>
      </c>
      <c r="AL37" s="82" t="b">
        <v>0</v>
      </c>
      <c r="AM37" s="82">
        <v>0</v>
      </c>
      <c r="AN37" s="87" t="s">
        <v>1815</v>
      </c>
      <c r="AO37" s="87" t="s">
        <v>1851</v>
      </c>
      <c r="AP37" s="82" t="b">
        <v>0</v>
      </c>
      <c r="AQ37" s="87" t="s">
        <v>1472</v>
      </c>
      <c r="AR37" s="82"/>
      <c r="AS37" s="82">
        <v>0</v>
      </c>
      <c r="AT37" s="82">
        <v>0</v>
      </c>
      <c r="AU37" s="82"/>
      <c r="AV37" s="82"/>
      <c r="AW37" s="82"/>
      <c r="AX37" s="82"/>
      <c r="AY37" s="82"/>
      <c r="AZ37" s="82"/>
      <c r="BA37" s="82"/>
      <c r="BB37" s="82"/>
      <c r="BC37">
        <v>2</v>
      </c>
      <c r="BD37" s="81" t="str">
        <f>REPLACE(INDEX(GroupVertices[Group],MATCH(Edges[[#This Row],[Vertex 1]],GroupVertices[Vertex],0)),1,1,"")</f>
        <v>8</v>
      </c>
      <c r="BE37" s="81" t="str">
        <f>REPLACE(INDEX(GroupVertices[Group],MATCH(Edges[[#This Row],[Vertex 2]],GroupVertices[Vertex],0)),1,1,"")</f>
        <v>8</v>
      </c>
      <c r="BF37" s="49">
        <v>0</v>
      </c>
      <c r="BG37" s="50">
        <v>0</v>
      </c>
      <c r="BH37" s="49">
        <v>1</v>
      </c>
      <c r="BI37" s="50">
        <v>3.3333333333333335</v>
      </c>
      <c r="BJ37" s="49">
        <v>0</v>
      </c>
      <c r="BK37" s="50">
        <v>0</v>
      </c>
      <c r="BL37" s="49">
        <v>29</v>
      </c>
      <c r="BM37" s="50">
        <v>96.66666666666667</v>
      </c>
      <c r="BN37" s="49">
        <v>30</v>
      </c>
    </row>
    <row r="38" spans="1:66" ht="15">
      <c r="A38" s="66" t="s">
        <v>274</v>
      </c>
      <c r="B38" s="66" t="s">
        <v>456</v>
      </c>
      <c r="C38" s="67" t="s">
        <v>4510</v>
      </c>
      <c r="D38" s="68">
        <v>3.6363636363636362</v>
      </c>
      <c r="E38" s="69" t="s">
        <v>136</v>
      </c>
      <c r="F38" s="70">
        <v>31.2972972972973</v>
      </c>
      <c r="G38" s="67"/>
      <c r="H38" s="71"/>
      <c r="I38" s="72"/>
      <c r="J38" s="72"/>
      <c r="K38" s="35" t="s">
        <v>65</v>
      </c>
      <c r="L38" s="80">
        <v>38</v>
      </c>
      <c r="M38" s="80"/>
      <c r="N38" s="74"/>
      <c r="O38" s="82" t="s">
        <v>528</v>
      </c>
      <c r="P38" s="84">
        <v>44518.626226851855</v>
      </c>
      <c r="Q38" s="82" t="s">
        <v>556</v>
      </c>
      <c r="R38" s="82"/>
      <c r="S38" s="82"/>
      <c r="T38" s="87" t="s">
        <v>970</v>
      </c>
      <c r="U38" s="85" t="str">
        <f>HYPERLINK("https://pbs.twimg.com/media/FEfBFmIVEAYsR1d.jpg")</f>
        <v>https://pbs.twimg.com/media/FEfBFmIVEAYsR1d.jpg</v>
      </c>
      <c r="V38" s="85" t="str">
        <f>HYPERLINK("https://pbs.twimg.com/media/FEfBFmIVEAYsR1d.jpg")</f>
        <v>https://pbs.twimg.com/media/FEfBFmIVEAYsR1d.jpg</v>
      </c>
      <c r="W38" s="84">
        <v>44518.626226851855</v>
      </c>
      <c r="X38" s="90">
        <v>44518</v>
      </c>
      <c r="Y38" s="87" t="s">
        <v>1169</v>
      </c>
      <c r="Z38" s="85" t="str">
        <f>HYPERLINK("https://twitter.com/vikkij89/status/1461348912816541704")</f>
        <v>https://twitter.com/vikkij89/status/1461348912816541704</v>
      </c>
      <c r="AA38" s="82"/>
      <c r="AB38" s="82"/>
      <c r="AC38" s="87" t="s">
        <v>1473</v>
      </c>
      <c r="AD38" s="82"/>
      <c r="AE38" s="82" t="b">
        <v>0</v>
      </c>
      <c r="AF38" s="82">
        <v>13</v>
      </c>
      <c r="AG38" s="87" t="s">
        <v>1815</v>
      </c>
      <c r="AH38" s="82" t="b">
        <v>0</v>
      </c>
      <c r="AI38" s="82" t="s">
        <v>1826</v>
      </c>
      <c r="AJ38" s="82"/>
      <c r="AK38" s="87" t="s">
        <v>1815</v>
      </c>
      <c r="AL38" s="82" t="b">
        <v>0</v>
      </c>
      <c r="AM38" s="82">
        <v>2</v>
      </c>
      <c r="AN38" s="87" t="s">
        <v>1815</v>
      </c>
      <c r="AO38" s="87" t="s">
        <v>1851</v>
      </c>
      <c r="AP38" s="82" t="b">
        <v>0</v>
      </c>
      <c r="AQ38" s="87" t="s">
        <v>1473</v>
      </c>
      <c r="AR38" s="82"/>
      <c r="AS38" s="82">
        <v>0</v>
      </c>
      <c r="AT38" s="82">
        <v>0</v>
      </c>
      <c r="AU38" s="82"/>
      <c r="AV38" s="82"/>
      <c r="AW38" s="82"/>
      <c r="AX38" s="82"/>
      <c r="AY38" s="82"/>
      <c r="AZ38" s="82"/>
      <c r="BA38" s="82"/>
      <c r="BB38" s="82"/>
      <c r="BC38">
        <v>2</v>
      </c>
      <c r="BD38" s="81" t="str">
        <f>REPLACE(INDEX(GroupVertices[Group],MATCH(Edges[[#This Row],[Vertex 1]],GroupVertices[Vertex],0)),1,1,"")</f>
        <v>8</v>
      </c>
      <c r="BE38" s="81" t="str">
        <f>REPLACE(INDEX(GroupVertices[Group],MATCH(Edges[[#This Row],[Vertex 2]],GroupVertices[Vertex],0)),1,1,"")</f>
        <v>8</v>
      </c>
      <c r="BF38" s="49">
        <v>2</v>
      </c>
      <c r="BG38" s="50">
        <v>10.526315789473685</v>
      </c>
      <c r="BH38" s="49">
        <v>1</v>
      </c>
      <c r="BI38" s="50">
        <v>5.2631578947368425</v>
      </c>
      <c r="BJ38" s="49">
        <v>0</v>
      </c>
      <c r="BK38" s="50">
        <v>0</v>
      </c>
      <c r="BL38" s="49">
        <v>16</v>
      </c>
      <c r="BM38" s="50">
        <v>84.21052631578948</v>
      </c>
      <c r="BN38" s="49">
        <v>19</v>
      </c>
    </row>
    <row r="39" spans="1:66" ht="15">
      <c r="A39" s="66" t="s">
        <v>275</v>
      </c>
      <c r="B39" s="66" t="s">
        <v>275</v>
      </c>
      <c r="C39" s="67" t="s">
        <v>4511</v>
      </c>
      <c r="D39" s="68">
        <v>5.545454545454545</v>
      </c>
      <c r="E39" s="69" t="s">
        <v>136</v>
      </c>
      <c r="F39" s="70">
        <v>29.18918918918919</v>
      </c>
      <c r="G39" s="67"/>
      <c r="H39" s="71"/>
      <c r="I39" s="72"/>
      <c r="J39" s="72"/>
      <c r="K39" s="35" t="s">
        <v>65</v>
      </c>
      <c r="L39" s="80">
        <v>39</v>
      </c>
      <c r="M39" s="80"/>
      <c r="N39" s="74"/>
      <c r="O39" s="82" t="s">
        <v>214</v>
      </c>
      <c r="P39" s="84">
        <v>44518.633993055555</v>
      </c>
      <c r="Q39" s="82" t="s">
        <v>557</v>
      </c>
      <c r="R39" s="85" t="str">
        <f>HYPERLINK("https://www.cdc.gov/antibiotic-use/q-a.html")</f>
        <v>https://www.cdc.gov/antibiotic-use/q-a.html</v>
      </c>
      <c r="S39" s="82" t="s">
        <v>903</v>
      </c>
      <c r="T39" s="87" t="s">
        <v>971</v>
      </c>
      <c r="U39" s="82"/>
      <c r="V39" s="85" t="str">
        <f>HYPERLINK("https://pbs.twimg.com/profile_images/1177052209659273216/Y7DiEhPi_normal.jpg")</f>
        <v>https://pbs.twimg.com/profile_images/1177052209659273216/Y7DiEhPi_normal.jpg</v>
      </c>
      <c r="W39" s="84">
        <v>44518.633993055555</v>
      </c>
      <c r="X39" s="90">
        <v>44518</v>
      </c>
      <c r="Y39" s="87" t="s">
        <v>1170</v>
      </c>
      <c r="Z39" s="85" t="str">
        <f>HYPERLINK("https://twitter.com/wintercourseid/status/1461351728805126146")</f>
        <v>https://twitter.com/wintercourseid/status/1461351728805126146</v>
      </c>
      <c r="AA39" s="82"/>
      <c r="AB39" s="82"/>
      <c r="AC39" s="87" t="s">
        <v>1474</v>
      </c>
      <c r="AD39" s="82"/>
      <c r="AE39" s="82" t="b">
        <v>0</v>
      </c>
      <c r="AF39" s="82">
        <v>1</v>
      </c>
      <c r="AG39" s="87" t="s">
        <v>1815</v>
      </c>
      <c r="AH39" s="82" t="b">
        <v>0</v>
      </c>
      <c r="AI39" s="82" t="s">
        <v>1826</v>
      </c>
      <c r="AJ39" s="82"/>
      <c r="AK39" s="87" t="s">
        <v>1815</v>
      </c>
      <c r="AL39" s="82" t="b">
        <v>0</v>
      </c>
      <c r="AM39" s="82">
        <v>1</v>
      </c>
      <c r="AN39" s="87" t="s">
        <v>1815</v>
      </c>
      <c r="AO39" s="87" t="s">
        <v>1850</v>
      </c>
      <c r="AP39" s="82" t="b">
        <v>0</v>
      </c>
      <c r="AQ39" s="87" t="s">
        <v>1474</v>
      </c>
      <c r="AR39" s="82"/>
      <c r="AS39" s="82">
        <v>0</v>
      </c>
      <c r="AT39" s="82">
        <v>0</v>
      </c>
      <c r="AU39" s="82"/>
      <c r="AV39" s="82"/>
      <c r="AW39" s="82"/>
      <c r="AX39" s="82"/>
      <c r="AY39" s="82"/>
      <c r="AZ39" s="82"/>
      <c r="BA39" s="82"/>
      <c r="BB39" s="82"/>
      <c r="BC39">
        <v>5</v>
      </c>
      <c r="BD39" s="81" t="str">
        <f>REPLACE(INDEX(GroupVertices[Group],MATCH(Edges[[#This Row],[Vertex 1]],GroupVertices[Vertex],0)),1,1,"")</f>
        <v>1</v>
      </c>
      <c r="BE39" s="81" t="str">
        <f>REPLACE(INDEX(GroupVertices[Group],MATCH(Edges[[#This Row],[Vertex 2]],GroupVertices[Vertex],0)),1,1,"")</f>
        <v>1</v>
      </c>
      <c r="BF39" s="49">
        <v>1</v>
      </c>
      <c r="BG39" s="50">
        <v>6.25</v>
      </c>
      <c r="BH39" s="49">
        <v>0</v>
      </c>
      <c r="BI39" s="50">
        <v>0</v>
      </c>
      <c r="BJ39" s="49">
        <v>0</v>
      </c>
      <c r="BK39" s="50">
        <v>0</v>
      </c>
      <c r="BL39" s="49">
        <v>15</v>
      </c>
      <c r="BM39" s="50">
        <v>93.75</v>
      </c>
      <c r="BN39" s="49">
        <v>16</v>
      </c>
    </row>
    <row r="40" spans="1:66" ht="15">
      <c r="A40" s="66" t="s">
        <v>275</v>
      </c>
      <c r="B40" s="66" t="s">
        <v>275</v>
      </c>
      <c r="C40" s="67" t="s">
        <v>4511</v>
      </c>
      <c r="D40" s="68">
        <v>5.545454545454545</v>
      </c>
      <c r="E40" s="69" t="s">
        <v>136</v>
      </c>
      <c r="F40" s="70">
        <v>29.18918918918919</v>
      </c>
      <c r="G40" s="67"/>
      <c r="H40" s="71"/>
      <c r="I40" s="72"/>
      <c r="J40" s="72"/>
      <c r="K40" s="35" t="s">
        <v>65</v>
      </c>
      <c r="L40" s="80">
        <v>40</v>
      </c>
      <c r="M40" s="80"/>
      <c r="N40" s="74"/>
      <c r="O40" s="82" t="s">
        <v>214</v>
      </c>
      <c r="P40" s="84">
        <v>44518.625659722224</v>
      </c>
      <c r="Q40" s="82" t="s">
        <v>558</v>
      </c>
      <c r="R40" s="85" t="str">
        <f>HYPERLINK("https://www.cdc.gov/drugresistance/covid19.html")</f>
        <v>https://www.cdc.gov/drugresistance/covid19.html</v>
      </c>
      <c r="S40" s="82" t="s">
        <v>903</v>
      </c>
      <c r="T40" s="87" t="s">
        <v>954</v>
      </c>
      <c r="U40" s="85" t="str">
        <f>HYPERLINK("https://pbs.twimg.com/media/FEfA5xRVUAUOWXi.jpg")</f>
        <v>https://pbs.twimg.com/media/FEfA5xRVUAUOWXi.jpg</v>
      </c>
      <c r="V40" s="85" t="str">
        <f>HYPERLINK("https://pbs.twimg.com/media/FEfA5xRVUAUOWXi.jpg")</f>
        <v>https://pbs.twimg.com/media/FEfA5xRVUAUOWXi.jpg</v>
      </c>
      <c r="W40" s="84">
        <v>44518.625659722224</v>
      </c>
      <c r="X40" s="90">
        <v>44518</v>
      </c>
      <c r="Y40" s="87" t="s">
        <v>1171</v>
      </c>
      <c r="Z40" s="85" t="str">
        <f>HYPERLINK("https://twitter.com/wintercourseid/status/1461348708142837774")</f>
        <v>https://twitter.com/wintercourseid/status/1461348708142837774</v>
      </c>
      <c r="AA40" s="82"/>
      <c r="AB40" s="82"/>
      <c r="AC40" s="87" t="s">
        <v>1475</v>
      </c>
      <c r="AD40" s="82"/>
      <c r="AE40" s="82" t="b">
        <v>0</v>
      </c>
      <c r="AF40" s="82">
        <v>1</v>
      </c>
      <c r="AG40" s="87" t="s">
        <v>1815</v>
      </c>
      <c r="AH40" s="82" t="b">
        <v>0</v>
      </c>
      <c r="AI40" s="82" t="s">
        <v>1826</v>
      </c>
      <c r="AJ40" s="82"/>
      <c r="AK40" s="87" t="s">
        <v>1815</v>
      </c>
      <c r="AL40" s="82" t="b">
        <v>0</v>
      </c>
      <c r="AM40" s="82">
        <v>0</v>
      </c>
      <c r="AN40" s="87" t="s">
        <v>1815</v>
      </c>
      <c r="AO40" s="87" t="s">
        <v>1850</v>
      </c>
      <c r="AP40" s="82" t="b">
        <v>0</v>
      </c>
      <c r="AQ40" s="87" t="s">
        <v>1475</v>
      </c>
      <c r="AR40" s="82"/>
      <c r="AS40" s="82">
        <v>0</v>
      </c>
      <c r="AT40" s="82">
        <v>0</v>
      </c>
      <c r="AU40" s="82"/>
      <c r="AV40" s="82"/>
      <c r="AW40" s="82"/>
      <c r="AX40" s="82"/>
      <c r="AY40" s="82"/>
      <c r="AZ40" s="82"/>
      <c r="BA40" s="82"/>
      <c r="BB40" s="82"/>
      <c r="BC40">
        <v>5</v>
      </c>
      <c r="BD40" s="81" t="str">
        <f>REPLACE(INDEX(GroupVertices[Group],MATCH(Edges[[#This Row],[Vertex 1]],GroupVertices[Vertex],0)),1,1,"")</f>
        <v>1</v>
      </c>
      <c r="BE40" s="81" t="str">
        <f>REPLACE(INDEX(GroupVertices[Group],MATCH(Edges[[#This Row],[Vertex 2]],GroupVertices[Vertex],0)),1,1,"")</f>
        <v>1</v>
      </c>
      <c r="BF40" s="49">
        <v>0</v>
      </c>
      <c r="BG40" s="50">
        <v>0</v>
      </c>
      <c r="BH40" s="49">
        <v>1</v>
      </c>
      <c r="BI40" s="50">
        <v>3.0303030303030303</v>
      </c>
      <c r="BJ40" s="49">
        <v>0</v>
      </c>
      <c r="BK40" s="50">
        <v>0</v>
      </c>
      <c r="BL40" s="49">
        <v>32</v>
      </c>
      <c r="BM40" s="50">
        <v>96.96969696969697</v>
      </c>
      <c r="BN40" s="49">
        <v>33</v>
      </c>
    </row>
    <row r="41" spans="1:66" ht="15">
      <c r="A41" s="66" t="s">
        <v>275</v>
      </c>
      <c r="B41" s="66" t="s">
        <v>275</v>
      </c>
      <c r="C41" s="67" t="s">
        <v>4511</v>
      </c>
      <c r="D41" s="68">
        <v>5.545454545454545</v>
      </c>
      <c r="E41" s="69" t="s">
        <v>136</v>
      </c>
      <c r="F41" s="70">
        <v>29.18918918918919</v>
      </c>
      <c r="G41" s="67"/>
      <c r="H41" s="71"/>
      <c r="I41" s="72"/>
      <c r="J41" s="72"/>
      <c r="K41" s="35" t="s">
        <v>65</v>
      </c>
      <c r="L41" s="80">
        <v>41</v>
      </c>
      <c r="M41" s="80"/>
      <c r="N41" s="74"/>
      <c r="O41" s="82" t="s">
        <v>214</v>
      </c>
      <c r="P41" s="84">
        <v>44518.63122685185</v>
      </c>
      <c r="Q41" s="82" t="s">
        <v>559</v>
      </c>
      <c r="R41" s="85" t="str">
        <f>HYPERLINK("https://www.cdc.gov/antibiotic-use/antibiotic-resistance.html")</f>
        <v>https://www.cdc.gov/antibiotic-use/antibiotic-resistance.html</v>
      </c>
      <c r="S41" s="82" t="s">
        <v>903</v>
      </c>
      <c r="T41" s="87" t="s">
        <v>972</v>
      </c>
      <c r="U41" s="82"/>
      <c r="V41" s="85" t="str">
        <f>HYPERLINK("https://pbs.twimg.com/profile_images/1177052209659273216/Y7DiEhPi_normal.jpg")</f>
        <v>https://pbs.twimg.com/profile_images/1177052209659273216/Y7DiEhPi_normal.jpg</v>
      </c>
      <c r="W41" s="84">
        <v>44518.63122685185</v>
      </c>
      <c r="X41" s="90">
        <v>44518</v>
      </c>
      <c r="Y41" s="87" t="s">
        <v>1172</v>
      </c>
      <c r="Z41" s="85" t="str">
        <f>HYPERLINK("https://twitter.com/wintercourseid/status/1461350728455258116")</f>
        <v>https://twitter.com/wintercourseid/status/1461350728455258116</v>
      </c>
      <c r="AA41" s="82"/>
      <c r="AB41" s="82"/>
      <c r="AC41" s="87" t="s">
        <v>1476</v>
      </c>
      <c r="AD41" s="82"/>
      <c r="AE41" s="82" t="b">
        <v>0</v>
      </c>
      <c r="AF41" s="82">
        <v>2</v>
      </c>
      <c r="AG41" s="87" t="s">
        <v>1815</v>
      </c>
      <c r="AH41" s="82" t="b">
        <v>0</v>
      </c>
      <c r="AI41" s="82" t="s">
        <v>1826</v>
      </c>
      <c r="AJ41" s="82"/>
      <c r="AK41" s="87" t="s">
        <v>1815</v>
      </c>
      <c r="AL41" s="82" t="b">
        <v>0</v>
      </c>
      <c r="AM41" s="82">
        <v>0</v>
      </c>
      <c r="AN41" s="87" t="s">
        <v>1815</v>
      </c>
      <c r="AO41" s="87" t="s">
        <v>1850</v>
      </c>
      <c r="AP41" s="82" t="b">
        <v>0</v>
      </c>
      <c r="AQ41" s="87" t="s">
        <v>1476</v>
      </c>
      <c r="AR41" s="82"/>
      <c r="AS41" s="82">
        <v>0</v>
      </c>
      <c r="AT41" s="82">
        <v>0</v>
      </c>
      <c r="AU41" s="82"/>
      <c r="AV41" s="82"/>
      <c r="AW41" s="82"/>
      <c r="AX41" s="82"/>
      <c r="AY41" s="82"/>
      <c r="AZ41" s="82"/>
      <c r="BA41" s="82"/>
      <c r="BB41" s="82"/>
      <c r="BC41">
        <v>5</v>
      </c>
      <c r="BD41" s="81" t="str">
        <f>REPLACE(INDEX(GroupVertices[Group],MATCH(Edges[[#This Row],[Vertex 1]],GroupVertices[Vertex],0)),1,1,"")</f>
        <v>1</v>
      </c>
      <c r="BE41" s="81" t="str">
        <f>REPLACE(INDEX(GroupVertices[Group],MATCH(Edges[[#This Row],[Vertex 2]],GroupVertices[Vertex],0)),1,1,"")</f>
        <v>1</v>
      </c>
      <c r="BF41" s="49">
        <v>0</v>
      </c>
      <c r="BG41" s="50">
        <v>0</v>
      </c>
      <c r="BH41" s="49">
        <v>0</v>
      </c>
      <c r="BI41" s="50">
        <v>0</v>
      </c>
      <c r="BJ41" s="49">
        <v>0</v>
      </c>
      <c r="BK41" s="50">
        <v>0</v>
      </c>
      <c r="BL41" s="49">
        <v>19</v>
      </c>
      <c r="BM41" s="50">
        <v>100</v>
      </c>
      <c r="BN41" s="49">
        <v>19</v>
      </c>
    </row>
    <row r="42" spans="1:66" ht="15">
      <c r="A42" s="66" t="s">
        <v>275</v>
      </c>
      <c r="B42" s="66" t="s">
        <v>275</v>
      </c>
      <c r="C42" s="67" t="s">
        <v>4511</v>
      </c>
      <c r="D42" s="68">
        <v>5.545454545454545</v>
      </c>
      <c r="E42" s="69" t="s">
        <v>136</v>
      </c>
      <c r="F42" s="70">
        <v>29.18918918918919</v>
      </c>
      <c r="G42" s="67"/>
      <c r="H42" s="71"/>
      <c r="I42" s="72"/>
      <c r="J42" s="72"/>
      <c r="K42" s="35" t="s">
        <v>65</v>
      </c>
      <c r="L42" s="80">
        <v>42</v>
      </c>
      <c r="M42" s="80"/>
      <c r="N42" s="74"/>
      <c r="O42" s="82" t="s">
        <v>214</v>
      </c>
      <c r="P42" s="84">
        <v>44518.64193287037</v>
      </c>
      <c r="Q42" s="82" t="s">
        <v>560</v>
      </c>
      <c r="R42" s="85" t="str">
        <f>HYPERLINK("https://www.cdc.gov/drugresistance/covid19.html")</f>
        <v>https://www.cdc.gov/drugresistance/covid19.html</v>
      </c>
      <c r="S42" s="82" t="s">
        <v>903</v>
      </c>
      <c r="T42" s="87" t="s">
        <v>973</v>
      </c>
      <c r="U42" s="85" t="str">
        <f>HYPERLINK("https://pbs.twimg.com/media/FEfGRE4VEAg2YLz.jpg")</f>
        <v>https://pbs.twimg.com/media/FEfGRE4VEAg2YLz.jpg</v>
      </c>
      <c r="V42" s="85" t="str">
        <f>HYPERLINK("https://pbs.twimg.com/media/FEfGRE4VEAg2YLz.jpg")</f>
        <v>https://pbs.twimg.com/media/FEfGRE4VEAg2YLz.jpg</v>
      </c>
      <c r="W42" s="84">
        <v>44518.64193287037</v>
      </c>
      <c r="X42" s="90">
        <v>44518</v>
      </c>
      <c r="Y42" s="87" t="s">
        <v>1173</v>
      </c>
      <c r="Z42" s="85" t="str">
        <f>HYPERLINK("https://twitter.com/wintercourseid/status/1461354607116836864")</f>
        <v>https://twitter.com/wintercourseid/status/1461354607116836864</v>
      </c>
      <c r="AA42" s="82"/>
      <c r="AB42" s="82"/>
      <c r="AC42" s="87" t="s">
        <v>1477</v>
      </c>
      <c r="AD42" s="82"/>
      <c r="AE42" s="82" t="b">
        <v>0</v>
      </c>
      <c r="AF42" s="82">
        <v>0</v>
      </c>
      <c r="AG42" s="87" t="s">
        <v>1815</v>
      </c>
      <c r="AH42" s="82" t="b">
        <v>0</v>
      </c>
      <c r="AI42" s="82" t="s">
        <v>1826</v>
      </c>
      <c r="AJ42" s="82"/>
      <c r="AK42" s="87" t="s">
        <v>1815</v>
      </c>
      <c r="AL42" s="82" t="b">
        <v>0</v>
      </c>
      <c r="AM42" s="82">
        <v>1</v>
      </c>
      <c r="AN42" s="87" t="s">
        <v>1815</v>
      </c>
      <c r="AO42" s="87" t="s">
        <v>1850</v>
      </c>
      <c r="AP42" s="82" t="b">
        <v>0</v>
      </c>
      <c r="AQ42" s="87" t="s">
        <v>1477</v>
      </c>
      <c r="AR42" s="82"/>
      <c r="AS42" s="82">
        <v>0</v>
      </c>
      <c r="AT42" s="82">
        <v>0</v>
      </c>
      <c r="AU42" s="82"/>
      <c r="AV42" s="82"/>
      <c r="AW42" s="82"/>
      <c r="AX42" s="82"/>
      <c r="AY42" s="82"/>
      <c r="AZ42" s="82"/>
      <c r="BA42" s="82"/>
      <c r="BB42" s="82"/>
      <c r="BC42">
        <v>5</v>
      </c>
      <c r="BD42" s="81" t="str">
        <f>REPLACE(INDEX(GroupVertices[Group],MATCH(Edges[[#This Row],[Vertex 1]],GroupVertices[Vertex],0)),1,1,"")</f>
        <v>1</v>
      </c>
      <c r="BE42" s="81" t="str">
        <f>REPLACE(INDEX(GroupVertices[Group],MATCH(Edges[[#This Row],[Vertex 2]],GroupVertices[Vertex],0)),1,1,"")</f>
        <v>1</v>
      </c>
      <c r="BF42" s="49">
        <v>0</v>
      </c>
      <c r="BG42" s="50">
        <v>0</v>
      </c>
      <c r="BH42" s="49">
        <v>1</v>
      </c>
      <c r="BI42" s="50">
        <v>3.0303030303030303</v>
      </c>
      <c r="BJ42" s="49">
        <v>0</v>
      </c>
      <c r="BK42" s="50">
        <v>0</v>
      </c>
      <c r="BL42" s="49">
        <v>32</v>
      </c>
      <c r="BM42" s="50">
        <v>96.96969696969697</v>
      </c>
      <c r="BN42" s="49">
        <v>33</v>
      </c>
    </row>
    <row r="43" spans="1:66" ht="15">
      <c r="A43" s="66" t="s">
        <v>275</v>
      </c>
      <c r="B43" s="66" t="s">
        <v>275</v>
      </c>
      <c r="C43" s="67" t="s">
        <v>4511</v>
      </c>
      <c r="D43" s="68">
        <v>5.545454545454545</v>
      </c>
      <c r="E43" s="69" t="s">
        <v>136</v>
      </c>
      <c r="F43" s="70">
        <v>29.18918918918919</v>
      </c>
      <c r="G43" s="67"/>
      <c r="H43" s="71"/>
      <c r="I43" s="72"/>
      <c r="J43" s="72"/>
      <c r="K43" s="35" t="s">
        <v>65</v>
      </c>
      <c r="L43" s="80">
        <v>43</v>
      </c>
      <c r="M43" s="80"/>
      <c r="N43" s="74"/>
      <c r="O43" s="82" t="s">
        <v>214</v>
      </c>
      <c r="P43" s="84">
        <v>44518.64523148148</v>
      </c>
      <c r="Q43" s="82" t="s">
        <v>561</v>
      </c>
      <c r="R43" s="85" t="str">
        <f>HYPERLINK("https://www.pewtrusts.org/en/research-and-analysis/data-visualizations/2020/antibiotic-resistant-bacteria-is-a-growing-threat?utm_campaign=saveantibiotics&amp;utm_source=twitter&amp;utm_medium=social")</f>
        <v>https://www.pewtrusts.org/en/research-and-analysis/data-visualizations/2020/antibiotic-resistant-bacteria-is-a-growing-threat?utm_campaign=saveantibiotics&amp;utm_source=twitter&amp;utm_medium=social</v>
      </c>
      <c r="S43" s="82" t="s">
        <v>906</v>
      </c>
      <c r="T43" s="87" t="s">
        <v>974</v>
      </c>
      <c r="U43" s="82"/>
      <c r="V43" s="85" t="str">
        <f>HYPERLINK("https://pbs.twimg.com/profile_images/1177052209659273216/Y7DiEhPi_normal.jpg")</f>
        <v>https://pbs.twimg.com/profile_images/1177052209659273216/Y7DiEhPi_normal.jpg</v>
      </c>
      <c r="W43" s="84">
        <v>44518.64523148148</v>
      </c>
      <c r="X43" s="90">
        <v>44518</v>
      </c>
      <c r="Y43" s="87" t="s">
        <v>1174</v>
      </c>
      <c r="Z43" s="85" t="str">
        <f>HYPERLINK("https://twitter.com/wintercourseid/status/1461355803923812352")</f>
        <v>https://twitter.com/wintercourseid/status/1461355803923812352</v>
      </c>
      <c r="AA43" s="82"/>
      <c r="AB43" s="82"/>
      <c r="AC43" s="87" t="s">
        <v>1478</v>
      </c>
      <c r="AD43" s="82"/>
      <c r="AE43" s="82" t="b">
        <v>0</v>
      </c>
      <c r="AF43" s="82">
        <v>4</v>
      </c>
      <c r="AG43" s="87" t="s">
        <v>1815</v>
      </c>
      <c r="AH43" s="82" t="b">
        <v>0</v>
      </c>
      <c r="AI43" s="82" t="s">
        <v>1826</v>
      </c>
      <c r="AJ43" s="82"/>
      <c r="AK43" s="87" t="s">
        <v>1815</v>
      </c>
      <c r="AL43" s="82" t="b">
        <v>0</v>
      </c>
      <c r="AM43" s="82">
        <v>0</v>
      </c>
      <c r="AN43" s="87" t="s">
        <v>1815</v>
      </c>
      <c r="AO43" s="87" t="s">
        <v>1850</v>
      </c>
      <c r="AP43" s="82" t="b">
        <v>0</v>
      </c>
      <c r="AQ43" s="87" t="s">
        <v>1478</v>
      </c>
      <c r="AR43" s="82"/>
      <c r="AS43" s="82">
        <v>0</v>
      </c>
      <c r="AT43" s="82">
        <v>0</v>
      </c>
      <c r="AU43" s="82"/>
      <c r="AV43" s="82"/>
      <c r="AW43" s="82"/>
      <c r="AX43" s="82"/>
      <c r="AY43" s="82"/>
      <c r="AZ43" s="82"/>
      <c r="BA43" s="82"/>
      <c r="BB43" s="82"/>
      <c r="BC43">
        <v>5</v>
      </c>
      <c r="BD43" s="81" t="str">
        <f>REPLACE(INDEX(GroupVertices[Group],MATCH(Edges[[#This Row],[Vertex 1]],GroupVertices[Vertex],0)),1,1,"")</f>
        <v>1</v>
      </c>
      <c r="BE43" s="81" t="str">
        <f>REPLACE(INDEX(GroupVertices[Group],MATCH(Edges[[#This Row],[Vertex 2]],GroupVertices[Vertex],0)),1,1,"")</f>
        <v>1</v>
      </c>
      <c r="BF43" s="49">
        <v>0</v>
      </c>
      <c r="BG43" s="50">
        <v>0</v>
      </c>
      <c r="BH43" s="49">
        <v>1</v>
      </c>
      <c r="BI43" s="50">
        <v>4.3478260869565215</v>
      </c>
      <c r="BJ43" s="49">
        <v>0</v>
      </c>
      <c r="BK43" s="50">
        <v>0</v>
      </c>
      <c r="BL43" s="49">
        <v>22</v>
      </c>
      <c r="BM43" s="50">
        <v>95.65217391304348</v>
      </c>
      <c r="BN43" s="49">
        <v>23</v>
      </c>
    </row>
    <row r="44" spans="1:66" ht="15">
      <c r="A44" s="66" t="s">
        <v>276</v>
      </c>
      <c r="B44" s="66" t="s">
        <v>276</v>
      </c>
      <c r="C44" s="67" t="s">
        <v>4509</v>
      </c>
      <c r="D44" s="68">
        <v>3</v>
      </c>
      <c r="E44" s="69" t="s">
        <v>132</v>
      </c>
      <c r="F44" s="70">
        <v>32</v>
      </c>
      <c r="G44" s="67"/>
      <c r="H44" s="71"/>
      <c r="I44" s="72"/>
      <c r="J44" s="72"/>
      <c r="K44" s="35" t="s">
        <v>65</v>
      </c>
      <c r="L44" s="80">
        <v>44</v>
      </c>
      <c r="M44" s="80"/>
      <c r="N44" s="74"/>
      <c r="O44" s="82" t="s">
        <v>214</v>
      </c>
      <c r="P44" s="84">
        <v>44518.63202546296</v>
      </c>
      <c r="Q44" s="82" t="s">
        <v>562</v>
      </c>
      <c r="R44" s="82"/>
      <c r="S44" s="82"/>
      <c r="T44" s="87" t="s">
        <v>975</v>
      </c>
      <c r="U44" s="85" t="str">
        <f>HYPERLINK("https://pbs.twimg.com/tweet_video_thumb/FEfDAb0VIA413ie.jpg")</f>
        <v>https://pbs.twimg.com/tweet_video_thumb/FEfDAb0VIA413ie.jpg</v>
      </c>
      <c r="V44" s="85" t="str">
        <f>HYPERLINK("https://pbs.twimg.com/tweet_video_thumb/FEfDAb0VIA413ie.jpg")</f>
        <v>https://pbs.twimg.com/tweet_video_thumb/FEfDAb0VIA413ie.jpg</v>
      </c>
      <c r="W44" s="84">
        <v>44518.63202546296</v>
      </c>
      <c r="X44" s="90">
        <v>44518</v>
      </c>
      <c r="Y44" s="87" t="s">
        <v>1175</v>
      </c>
      <c r="Z44" s="85" t="str">
        <f>HYPERLINK("https://twitter.com/tewv/status/1461351017996378122")</f>
        <v>https://twitter.com/tewv/status/1461351017996378122</v>
      </c>
      <c r="AA44" s="82"/>
      <c r="AB44" s="82"/>
      <c r="AC44" s="87" t="s">
        <v>1479</v>
      </c>
      <c r="AD44" s="82"/>
      <c r="AE44" s="82" t="b">
        <v>0</v>
      </c>
      <c r="AF44" s="82">
        <v>1</v>
      </c>
      <c r="AG44" s="87" t="s">
        <v>1815</v>
      </c>
      <c r="AH44" s="82" t="b">
        <v>0</v>
      </c>
      <c r="AI44" s="82" t="s">
        <v>1826</v>
      </c>
      <c r="AJ44" s="82"/>
      <c r="AK44" s="87" t="s">
        <v>1815</v>
      </c>
      <c r="AL44" s="82" t="b">
        <v>0</v>
      </c>
      <c r="AM44" s="82">
        <v>1</v>
      </c>
      <c r="AN44" s="87" t="s">
        <v>1815</v>
      </c>
      <c r="AO44" s="87" t="s">
        <v>1854</v>
      </c>
      <c r="AP44" s="82" t="b">
        <v>0</v>
      </c>
      <c r="AQ44" s="87" t="s">
        <v>1479</v>
      </c>
      <c r="AR44" s="82"/>
      <c r="AS44" s="82">
        <v>0</v>
      </c>
      <c r="AT44" s="82">
        <v>0</v>
      </c>
      <c r="AU44" s="82"/>
      <c r="AV44" s="82"/>
      <c r="AW44" s="82"/>
      <c r="AX44" s="82"/>
      <c r="AY44" s="82"/>
      <c r="AZ44" s="82"/>
      <c r="BA44" s="82"/>
      <c r="BB44" s="82"/>
      <c r="BC44">
        <v>1</v>
      </c>
      <c r="BD44" s="81" t="str">
        <f>REPLACE(INDEX(GroupVertices[Group],MATCH(Edges[[#This Row],[Vertex 1]],GroupVertices[Vertex],0)),1,1,"")</f>
        <v>1</v>
      </c>
      <c r="BE44" s="81" t="str">
        <f>REPLACE(INDEX(GroupVertices[Group],MATCH(Edges[[#This Row],[Vertex 2]],GroupVertices[Vertex],0)),1,1,"")</f>
        <v>1</v>
      </c>
      <c r="BF44" s="49">
        <v>1</v>
      </c>
      <c r="BG44" s="50">
        <v>4.166666666666667</v>
      </c>
      <c r="BH44" s="49">
        <v>0</v>
      </c>
      <c r="BI44" s="50">
        <v>0</v>
      </c>
      <c r="BJ44" s="49">
        <v>0</v>
      </c>
      <c r="BK44" s="50">
        <v>0</v>
      </c>
      <c r="BL44" s="49">
        <v>23</v>
      </c>
      <c r="BM44" s="50">
        <v>95.83333333333333</v>
      </c>
      <c r="BN44" s="49">
        <v>24</v>
      </c>
    </row>
    <row r="45" spans="1:66" ht="15">
      <c r="A45" s="66" t="s">
        <v>277</v>
      </c>
      <c r="B45" s="66" t="s">
        <v>277</v>
      </c>
      <c r="C45" s="67" t="s">
        <v>4509</v>
      </c>
      <c r="D45" s="68">
        <v>3</v>
      </c>
      <c r="E45" s="69" t="s">
        <v>132</v>
      </c>
      <c r="F45" s="70">
        <v>32</v>
      </c>
      <c r="G45" s="67"/>
      <c r="H45" s="71"/>
      <c r="I45" s="72"/>
      <c r="J45" s="72"/>
      <c r="K45" s="35" t="s">
        <v>65</v>
      </c>
      <c r="L45" s="80">
        <v>45</v>
      </c>
      <c r="M45" s="80"/>
      <c r="N45" s="74"/>
      <c r="O45" s="82" t="s">
        <v>214</v>
      </c>
      <c r="P45" s="84">
        <v>44518.62847222222</v>
      </c>
      <c r="Q45" s="82" t="s">
        <v>563</v>
      </c>
      <c r="R45" s="82"/>
      <c r="S45" s="82"/>
      <c r="T45" s="87" t="s">
        <v>955</v>
      </c>
      <c r="U45" s="85" t="str">
        <f>HYPERLINK("https://pbs.twimg.com/media/FEebOmJX0Ak2Vrb.jpg")</f>
        <v>https://pbs.twimg.com/media/FEebOmJX0Ak2Vrb.jpg</v>
      </c>
      <c r="V45" s="85" t="str">
        <f>HYPERLINK("https://pbs.twimg.com/media/FEebOmJX0Ak2Vrb.jpg")</f>
        <v>https://pbs.twimg.com/media/FEebOmJX0Ak2Vrb.jpg</v>
      </c>
      <c r="W45" s="84">
        <v>44518.62847222222</v>
      </c>
      <c r="X45" s="90">
        <v>44518</v>
      </c>
      <c r="Y45" s="87" t="s">
        <v>1154</v>
      </c>
      <c r="Z45" s="85" t="str">
        <f>HYPERLINK("https://twitter.com/ukhsa_northeast/status/1461349727690182657")</f>
        <v>https://twitter.com/ukhsa_northeast/status/1461349727690182657</v>
      </c>
      <c r="AA45" s="82"/>
      <c r="AB45" s="82"/>
      <c r="AC45" s="87" t="s">
        <v>1480</v>
      </c>
      <c r="AD45" s="82"/>
      <c r="AE45" s="82" t="b">
        <v>0</v>
      </c>
      <c r="AF45" s="82">
        <v>2</v>
      </c>
      <c r="AG45" s="87" t="s">
        <v>1815</v>
      </c>
      <c r="AH45" s="82" t="b">
        <v>0</v>
      </c>
      <c r="AI45" s="82" t="s">
        <v>1826</v>
      </c>
      <c r="AJ45" s="82"/>
      <c r="AK45" s="87" t="s">
        <v>1815</v>
      </c>
      <c r="AL45" s="82" t="b">
        <v>0</v>
      </c>
      <c r="AM45" s="82">
        <v>1</v>
      </c>
      <c r="AN45" s="87" t="s">
        <v>1815</v>
      </c>
      <c r="AO45" s="87" t="s">
        <v>1850</v>
      </c>
      <c r="AP45" s="82" t="b">
        <v>0</v>
      </c>
      <c r="AQ45" s="87" t="s">
        <v>1480</v>
      </c>
      <c r="AR45" s="82"/>
      <c r="AS45" s="82">
        <v>0</v>
      </c>
      <c r="AT45" s="82">
        <v>0</v>
      </c>
      <c r="AU45" s="82"/>
      <c r="AV45" s="82"/>
      <c r="AW45" s="82"/>
      <c r="AX45" s="82"/>
      <c r="AY45" s="82"/>
      <c r="AZ45" s="82"/>
      <c r="BA45" s="82"/>
      <c r="BB45" s="82"/>
      <c r="BC45">
        <v>1</v>
      </c>
      <c r="BD45" s="81" t="str">
        <f>REPLACE(INDEX(GroupVertices[Group],MATCH(Edges[[#This Row],[Vertex 1]],GroupVertices[Vertex],0)),1,1,"")</f>
        <v>1</v>
      </c>
      <c r="BE45" s="81" t="str">
        <f>REPLACE(INDEX(GroupVertices[Group],MATCH(Edges[[#This Row],[Vertex 2]],GroupVertices[Vertex],0)),1,1,"")</f>
        <v>1</v>
      </c>
      <c r="BF45" s="49">
        <v>0</v>
      </c>
      <c r="BG45" s="50">
        <v>0</v>
      </c>
      <c r="BH45" s="49">
        <v>2</v>
      </c>
      <c r="BI45" s="50">
        <v>6.0606060606060606</v>
      </c>
      <c r="BJ45" s="49">
        <v>0</v>
      </c>
      <c r="BK45" s="50">
        <v>0</v>
      </c>
      <c r="BL45" s="49">
        <v>31</v>
      </c>
      <c r="BM45" s="50">
        <v>93.93939393939394</v>
      </c>
      <c r="BN45" s="49">
        <v>33</v>
      </c>
    </row>
    <row r="46" spans="1:66" ht="15">
      <c r="A46" s="66" t="s">
        <v>278</v>
      </c>
      <c r="B46" s="66" t="s">
        <v>278</v>
      </c>
      <c r="C46" s="67" t="s">
        <v>4509</v>
      </c>
      <c r="D46" s="68">
        <v>3</v>
      </c>
      <c r="E46" s="69" t="s">
        <v>132</v>
      </c>
      <c r="F46" s="70">
        <v>32</v>
      </c>
      <c r="G46" s="67"/>
      <c r="H46" s="71"/>
      <c r="I46" s="72"/>
      <c r="J46" s="72"/>
      <c r="K46" s="35" t="s">
        <v>65</v>
      </c>
      <c r="L46" s="80">
        <v>46</v>
      </c>
      <c r="M46" s="80"/>
      <c r="N46" s="74"/>
      <c r="O46" s="82" t="s">
        <v>214</v>
      </c>
      <c r="P46" s="84">
        <v>44518.63800925926</v>
      </c>
      <c r="Q46" s="82" t="s">
        <v>564</v>
      </c>
      <c r="R46" s="85" t="str">
        <f>HYPERLINK("https://Antimicrobialawareness.ca/")</f>
        <v>https://Antimicrobialawareness.ca/</v>
      </c>
      <c r="S46" s="82" t="s">
        <v>907</v>
      </c>
      <c r="T46" s="87" t="s">
        <v>976</v>
      </c>
      <c r="U46" s="85" t="str">
        <f>HYPERLINK("https://pbs.twimg.com/media/FEfE-iMVgAkqBNa.jpg")</f>
        <v>https://pbs.twimg.com/media/FEfE-iMVgAkqBNa.jpg</v>
      </c>
      <c r="V46" s="85" t="str">
        <f>HYPERLINK("https://pbs.twimg.com/media/FEfE-iMVgAkqBNa.jpg")</f>
        <v>https://pbs.twimg.com/media/FEfE-iMVgAkqBNa.jpg</v>
      </c>
      <c r="W46" s="84">
        <v>44518.63800925926</v>
      </c>
      <c r="X46" s="90">
        <v>44518</v>
      </c>
      <c r="Y46" s="87" t="s">
        <v>1176</v>
      </c>
      <c r="Z46" s="85" t="str">
        <f>HYPERLINK("https://twitter.com/uwpharmacy/status/1461353186443218949")</f>
        <v>https://twitter.com/uwpharmacy/status/1461353186443218949</v>
      </c>
      <c r="AA46" s="82"/>
      <c r="AB46" s="82"/>
      <c r="AC46" s="87" t="s">
        <v>1481</v>
      </c>
      <c r="AD46" s="82"/>
      <c r="AE46" s="82" t="b">
        <v>0</v>
      </c>
      <c r="AF46" s="82">
        <v>11</v>
      </c>
      <c r="AG46" s="87" t="s">
        <v>1815</v>
      </c>
      <c r="AH46" s="82" t="b">
        <v>0</v>
      </c>
      <c r="AI46" s="82" t="s">
        <v>1826</v>
      </c>
      <c r="AJ46" s="82"/>
      <c r="AK46" s="87" t="s">
        <v>1815</v>
      </c>
      <c r="AL46" s="82" t="b">
        <v>0</v>
      </c>
      <c r="AM46" s="82">
        <v>6</v>
      </c>
      <c r="AN46" s="87" t="s">
        <v>1815</v>
      </c>
      <c r="AO46" s="87" t="s">
        <v>1855</v>
      </c>
      <c r="AP46" s="82" t="b">
        <v>0</v>
      </c>
      <c r="AQ46" s="87" t="s">
        <v>1481</v>
      </c>
      <c r="AR46" s="82"/>
      <c r="AS46" s="82">
        <v>0</v>
      </c>
      <c r="AT46" s="82">
        <v>0</v>
      </c>
      <c r="AU46" s="82"/>
      <c r="AV46" s="82"/>
      <c r="AW46" s="82"/>
      <c r="AX46" s="82"/>
      <c r="AY46" s="82"/>
      <c r="AZ46" s="82"/>
      <c r="BA46" s="82"/>
      <c r="BB46" s="82"/>
      <c r="BC46">
        <v>1</v>
      </c>
      <c r="BD46" s="81" t="str">
        <f>REPLACE(INDEX(GroupVertices[Group],MATCH(Edges[[#This Row],[Vertex 1]],GroupVertices[Vertex],0)),1,1,"")</f>
        <v>1</v>
      </c>
      <c r="BE46" s="81" t="str">
        <f>REPLACE(INDEX(GroupVertices[Group],MATCH(Edges[[#This Row],[Vertex 2]],GroupVertices[Vertex],0)),1,1,"")</f>
        <v>1</v>
      </c>
      <c r="BF46" s="49">
        <v>0</v>
      </c>
      <c r="BG46" s="50">
        <v>0</v>
      </c>
      <c r="BH46" s="49">
        <v>0</v>
      </c>
      <c r="BI46" s="50">
        <v>0</v>
      </c>
      <c r="BJ46" s="49">
        <v>0</v>
      </c>
      <c r="BK46" s="50">
        <v>0</v>
      </c>
      <c r="BL46" s="49">
        <v>32</v>
      </c>
      <c r="BM46" s="50">
        <v>100</v>
      </c>
      <c r="BN46" s="49">
        <v>32</v>
      </c>
    </row>
    <row r="47" spans="1:66" ht="15">
      <c r="A47" s="66" t="s">
        <v>279</v>
      </c>
      <c r="B47" s="66" t="s">
        <v>279</v>
      </c>
      <c r="C47" s="67" t="s">
        <v>4509</v>
      </c>
      <c r="D47" s="68">
        <v>3</v>
      </c>
      <c r="E47" s="69" t="s">
        <v>132</v>
      </c>
      <c r="F47" s="70">
        <v>32</v>
      </c>
      <c r="G47" s="67"/>
      <c r="H47" s="71"/>
      <c r="I47" s="72"/>
      <c r="J47" s="72"/>
      <c r="K47" s="35" t="s">
        <v>65</v>
      </c>
      <c r="L47" s="80">
        <v>47</v>
      </c>
      <c r="M47" s="80"/>
      <c r="N47" s="74"/>
      <c r="O47" s="82" t="s">
        <v>214</v>
      </c>
      <c r="P47" s="84">
        <v>44518.62846064815</v>
      </c>
      <c r="Q47" s="82" t="s">
        <v>565</v>
      </c>
      <c r="R47" s="85" t="str">
        <f>HYPERLINK("https://ukhsa-newsroom.prgloo.com/news/why-we-should-all-keep-antibiotics-working-in-the-south-east-and-beyond-2")</f>
        <v>https://ukhsa-newsroom.prgloo.com/news/why-we-should-all-keep-antibiotics-working-in-the-south-east-and-beyond-2</v>
      </c>
      <c r="S47" s="82" t="s">
        <v>908</v>
      </c>
      <c r="T47" s="87" t="s">
        <v>977</v>
      </c>
      <c r="U47" s="85" t="str">
        <f>HYPERLINK("https://pbs.twimg.com/media/FEfAhbhVEAw_Pvh.jpg")</f>
        <v>https://pbs.twimg.com/media/FEfAhbhVEAw_Pvh.jpg</v>
      </c>
      <c r="V47" s="85" t="str">
        <f>HYPERLINK("https://pbs.twimg.com/media/FEfAhbhVEAw_Pvh.jpg")</f>
        <v>https://pbs.twimg.com/media/FEfAhbhVEAw_Pvh.jpg</v>
      </c>
      <c r="W47" s="84">
        <v>44518.62846064815</v>
      </c>
      <c r="X47" s="90">
        <v>44518</v>
      </c>
      <c r="Y47" s="87" t="s">
        <v>1177</v>
      </c>
      <c r="Z47" s="85" t="str">
        <f>HYPERLINK("https://twitter.com/ukhsa_southeast/status/1461349723252551690")</f>
        <v>https://twitter.com/ukhsa_southeast/status/1461349723252551690</v>
      </c>
      <c r="AA47" s="82"/>
      <c r="AB47" s="82"/>
      <c r="AC47" s="87" t="s">
        <v>1482</v>
      </c>
      <c r="AD47" s="82"/>
      <c r="AE47" s="82" t="b">
        <v>0</v>
      </c>
      <c r="AF47" s="82">
        <v>4</v>
      </c>
      <c r="AG47" s="87" t="s">
        <v>1815</v>
      </c>
      <c r="AH47" s="82" t="b">
        <v>0</v>
      </c>
      <c r="AI47" s="82" t="s">
        <v>1826</v>
      </c>
      <c r="AJ47" s="82"/>
      <c r="AK47" s="87" t="s">
        <v>1815</v>
      </c>
      <c r="AL47" s="82" t="b">
        <v>0</v>
      </c>
      <c r="AM47" s="82">
        <v>1</v>
      </c>
      <c r="AN47" s="87" t="s">
        <v>1815</v>
      </c>
      <c r="AO47" s="87" t="s">
        <v>1850</v>
      </c>
      <c r="AP47" s="82" t="b">
        <v>0</v>
      </c>
      <c r="AQ47" s="87" t="s">
        <v>1482</v>
      </c>
      <c r="AR47" s="82"/>
      <c r="AS47" s="82">
        <v>0</v>
      </c>
      <c r="AT47" s="82">
        <v>0</v>
      </c>
      <c r="AU47" s="82"/>
      <c r="AV47" s="82"/>
      <c r="AW47" s="82"/>
      <c r="AX47" s="82"/>
      <c r="AY47" s="82"/>
      <c r="AZ47" s="82"/>
      <c r="BA47" s="82"/>
      <c r="BB47" s="82"/>
      <c r="BC47">
        <v>1</v>
      </c>
      <c r="BD47" s="81" t="str">
        <f>REPLACE(INDEX(GroupVertices[Group],MATCH(Edges[[#This Row],[Vertex 1]],GroupVertices[Vertex],0)),1,1,"")</f>
        <v>1</v>
      </c>
      <c r="BE47" s="81" t="str">
        <f>REPLACE(INDEX(GroupVertices[Group],MATCH(Edges[[#This Row],[Vertex 2]],GroupVertices[Vertex],0)),1,1,"")</f>
        <v>1</v>
      </c>
      <c r="BF47" s="49">
        <v>0</v>
      </c>
      <c r="BG47" s="50">
        <v>0</v>
      </c>
      <c r="BH47" s="49">
        <v>2</v>
      </c>
      <c r="BI47" s="50">
        <v>5.405405405405405</v>
      </c>
      <c r="BJ47" s="49">
        <v>0</v>
      </c>
      <c r="BK47" s="50">
        <v>0</v>
      </c>
      <c r="BL47" s="49">
        <v>35</v>
      </c>
      <c r="BM47" s="50">
        <v>94.5945945945946</v>
      </c>
      <c r="BN47" s="49">
        <v>37</v>
      </c>
    </row>
    <row r="48" spans="1:66" ht="15">
      <c r="A48" s="66" t="s">
        <v>280</v>
      </c>
      <c r="B48" s="66" t="s">
        <v>280</v>
      </c>
      <c r="C48" s="67" t="s">
        <v>4512</v>
      </c>
      <c r="D48" s="68">
        <v>4.2727272727272725</v>
      </c>
      <c r="E48" s="69" t="s">
        <v>136</v>
      </c>
      <c r="F48" s="70">
        <v>30.594594594594593</v>
      </c>
      <c r="G48" s="67"/>
      <c r="H48" s="71"/>
      <c r="I48" s="72"/>
      <c r="J48" s="72"/>
      <c r="K48" s="35" t="s">
        <v>65</v>
      </c>
      <c r="L48" s="80">
        <v>48</v>
      </c>
      <c r="M48" s="80"/>
      <c r="N48" s="74"/>
      <c r="O48" s="82" t="s">
        <v>214</v>
      </c>
      <c r="P48" s="84">
        <v>44518.65277777778</v>
      </c>
      <c r="Q48" s="82" t="s">
        <v>566</v>
      </c>
      <c r="R48" s="85" t="str">
        <f>HYPERLINK("https://antibioticguardian.com/")</f>
        <v>https://antibioticguardian.com/</v>
      </c>
      <c r="S48" s="82" t="s">
        <v>902</v>
      </c>
      <c r="T48" s="87" t="s">
        <v>978</v>
      </c>
      <c r="U48" s="85" t="str">
        <f>HYPERLINK("https://pbs.twimg.com/media/FEfJlRnVEAcmtHB.jpg")</f>
        <v>https://pbs.twimg.com/media/FEfJlRnVEAcmtHB.jpg</v>
      </c>
      <c r="V48" s="85" t="str">
        <f>HYPERLINK("https://pbs.twimg.com/media/FEfJlRnVEAcmtHB.jpg")</f>
        <v>https://pbs.twimg.com/media/FEfJlRnVEAcmtHB.jpg</v>
      </c>
      <c r="W48" s="84">
        <v>44518.65277777778</v>
      </c>
      <c r="X48" s="90">
        <v>44518</v>
      </c>
      <c r="Y48" s="87" t="s">
        <v>1178</v>
      </c>
      <c r="Z48" s="85" t="str">
        <f>HYPERLINK("https://twitter.com/ukhsa_westmids/status/1461358535795785728")</f>
        <v>https://twitter.com/ukhsa_westmids/status/1461358535795785728</v>
      </c>
      <c r="AA48" s="82"/>
      <c r="AB48" s="82"/>
      <c r="AC48" s="87" t="s">
        <v>1483</v>
      </c>
      <c r="AD48" s="82"/>
      <c r="AE48" s="82" t="b">
        <v>0</v>
      </c>
      <c r="AF48" s="82">
        <v>4</v>
      </c>
      <c r="AG48" s="87" t="s">
        <v>1815</v>
      </c>
      <c r="AH48" s="82" t="b">
        <v>0</v>
      </c>
      <c r="AI48" s="82" t="s">
        <v>1826</v>
      </c>
      <c r="AJ48" s="82"/>
      <c r="AK48" s="87" t="s">
        <v>1815</v>
      </c>
      <c r="AL48" s="82" t="b">
        <v>0</v>
      </c>
      <c r="AM48" s="82">
        <v>5</v>
      </c>
      <c r="AN48" s="87" t="s">
        <v>1815</v>
      </c>
      <c r="AO48" s="87" t="s">
        <v>1853</v>
      </c>
      <c r="AP48" s="82" t="b">
        <v>0</v>
      </c>
      <c r="AQ48" s="87" t="s">
        <v>1483</v>
      </c>
      <c r="AR48" s="82"/>
      <c r="AS48" s="82">
        <v>0</v>
      </c>
      <c r="AT48" s="82">
        <v>0</v>
      </c>
      <c r="AU48" s="82"/>
      <c r="AV48" s="82"/>
      <c r="AW48" s="82"/>
      <c r="AX48" s="82"/>
      <c r="AY48" s="82"/>
      <c r="AZ48" s="82"/>
      <c r="BA48" s="82"/>
      <c r="BB48" s="82"/>
      <c r="BC48">
        <v>3</v>
      </c>
      <c r="BD48" s="81" t="str">
        <f>REPLACE(INDEX(GroupVertices[Group],MATCH(Edges[[#This Row],[Vertex 1]],GroupVertices[Vertex],0)),1,1,"")</f>
        <v>1</v>
      </c>
      <c r="BE48" s="81" t="str">
        <f>REPLACE(INDEX(GroupVertices[Group],MATCH(Edges[[#This Row],[Vertex 2]],GroupVertices[Vertex],0)),1,1,"")</f>
        <v>1</v>
      </c>
      <c r="BF48" s="49">
        <v>1</v>
      </c>
      <c r="BG48" s="50">
        <v>3.0303030303030303</v>
      </c>
      <c r="BH48" s="49">
        <v>0</v>
      </c>
      <c r="BI48" s="50">
        <v>0</v>
      </c>
      <c r="BJ48" s="49">
        <v>0</v>
      </c>
      <c r="BK48" s="50">
        <v>0</v>
      </c>
      <c r="BL48" s="49">
        <v>32</v>
      </c>
      <c r="BM48" s="50">
        <v>96.96969696969697</v>
      </c>
      <c r="BN48" s="49">
        <v>33</v>
      </c>
    </row>
    <row r="49" spans="1:66" ht="15">
      <c r="A49" s="66" t="s">
        <v>280</v>
      </c>
      <c r="B49" s="66" t="s">
        <v>280</v>
      </c>
      <c r="C49" s="67" t="s">
        <v>4512</v>
      </c>
      <c r="D49" s="68">
        <v>4.2727272727272725</v>
      </c>
      <c r="E49" s="69" t="s">
        <v>136</v>
      </c>
      <c r="F49" s="70">
        <v>30.594594594594593</v>
      </c>
      <c r="G49" s="67"/>
      <c r="H49" s="71"/>
      <c r="I49" s="72"/>
      <c r="J49" s="72"/>
      <c r="K49" s="35" t="s">
        <v>65</v>
      </c>
      <c r="L49" s="80">
        <v>49</v>
      </c>
      <c r="M49" s="80"/>
      <c r="N49" s="74"/>
      <c r="O49" s="82" t="s">
        <v>214</v>
      </c>
      <c r="P49" s="84">
        <v>44518.62503472222</v>
      </c>
      <c r="Q49" s="82" t="s">
        <v>567</v>
      </c>
      <c r="R49" s="82"/>
      <c r="S49" s="82"/>
      <c r="T49" s="87" t="s">
        <v>979</v>
      </c>
      <c r="U49" s="85" t="str">
        <f>HYPERLINK("https://pbs.twimg.com/media/FEe5dfuUYAUZ7D-.jpg")</f>
        <v>https://pbs.twimg.com/media/FEe5dfuUYAUZ7D-.jpg</v>
      </c>
      <c r="V49" s="85" t="str">
        <f>HYPERLINK("https://pbs.twimg.com/media/FEe5dfuUYAUZ7D-.jpg")</f>
        <v>https://pbs.twimg.com/media/FEe5dfuUYAUZ7D-.jpg</v>
      </c>
      <c r="W49" s="84">
        <v>44518.62503472222</v>
      </c>
      <c r="X49" s="90">
        <v>44518</v>
      </c>
      <c r="Y49" s="87" t="s">
        <v>1149</v>
      </c>
      <c r="Z49" s="85" t="str">
        <f>HYPERLINK("https://twitter.com/ukhsa_westmids/status/1461348481558274048")</f>
        <v>https://twitter.com/ukhsa_westmids/status/1461348481558274048</v>
      </c>
      <c r="AA49" s="82"/>
      <c r="AB49" s="82"/>
      <c r="AC49" s="87" t="s">
        <v>1484</v>
      </c>
      <c r="AD49" s="82"/>
      <c r="AE49" s="82" t="b">
        <v>0</v>
      </c>
      <c r="AF49" s="82">
        <v>0</v>
      </c>
      <c r="AG49" s="87" t="s">
        <v>1815</v>
      </c>
      <c r="AH49" s="82" t="b">
        <v>0</v>
      </c>
      <c r="AI49" s="82" t="s">
        <v>1826</v>
      </c>
      <c r="AJ49" s="82"/>
      <c r="AK49" s="87" t="s">
        <v>1815</v>
      </c>
      <c r="AL49" s="82" t="b">
        <v>0</v>
      </c>
      <c r="AM49" s="82">
        <v>1</v>
      </c>
      <c r="AN49" s="87" t="s">
        <v>1815</v>
      </c>
      <c r="AO49" s="87" t="s">
        <v>1853</v>
      </c>
      <c r="AP49" s="82" t="b">
        <v>0</v>
      </c>
      <c r="AQ49" s="87" t="s">
        <v>1484</v>
      </c>
      <c r="AR49" s="82"/>
      <c r="AS49" s="82">
        <v>0</v>
      </c>
      <c r="AT49" s="82">
        <v>0</v>
      </c>
      <c r="AU49" s="82"/>
      <c r="AV49" s="82"/>
      <c r="AW49" s="82"/>
      <c r="AX49" s="82"/>
      <c r="AY49" s="82"/>
      <c r="AZ49" s="82"/>
      <c r="BA49" s="82"/>
      <c r="BB49" s="82"/>
      <c r="BC49">
        <v>3</v>
      </c>
      <c r="BD49" s="81" t="str">
        <f>REPLACE(INDEX(GroupVertices[Group],MATCH(Edges[[#This Row],[Vertex 1]],GroupVertices[Vertex],0)),1,1,"")</f>
        <v>1</v>
      </c>
      <c r="BE49" s="81" t="str">
        <f>REPLACE(INDEX(GroupVertices[Group],MATCH(Edges[[#This Row],[Vertex 2]],GroupVertices[Vertex],0)),1,1,"")</f>
        <v>1</v>
      </c>
      <c r="BF49" s="49">
        <v>0</v>
      </c>
      <c r="BG49" s="50">
        <v>0</v>
      </c>
      <c r="BH49" s="49">
        <v>2</v>
      </c>
      <c r="BI49" s="50">
        <v>6.25</v>
      </c>
      <c r="BJ49" s="49">
        <v>0</v>
      </c>
      <c r="BK49" s="50">
        <v>0</v>
      </c>
      <c r="BL49" s="49">
        <v>30</v>
      </c>
      <c r="BM49" s="50">
        <v>93.75</v>
      </c>
      <c r="BN49" s="49">
        <v>32</v>
      </c>
    </row>
    <row r="50" spans="1:66" ht="15">
      <c r="A50" s="66" t="s">
        <v>280</v>
      </c>
      <c r="B50" s="66" t="s">
        <v>280</v>
      </c>
      <c r="C50" s="67" t="s">
        <v>4512</v>
      </c>
      <c r="D50" s="68">
        <v>4.2727272727272725</v>
      </c>
      <c r="E50" s="69" t="s">
        <v>136</v>
      </c>
      <c r="F50" s="70">
        <v>30.594594594594593</v>
      </c>
      <c r="G50" s="67"/>
      <c r="H50" s="71"/>
      <c r="I50" s="72"/>
      <c r="J50" s="72"/>
      <c r="K50" s="35" t="s">
        <v>65</v>
      </c>
      <c r="L50" s="80">
        <v>50</v>
      </c>
      <c r="M50" s="80"/>
      <c r="N50" s="74"/>
      <c r="O50" s="82" t="s">
        <v>214</v>
      </c>
      <c r="P50" s="84">
        <v>44518.64295138889</v>
      </c>
      <c r="Q50" s="82" t="s">
        <v>568</v>
      </c>
      <c r="R50" s="85" t="str">
        <f>HYPERLINK("https://www.gov.uk/government/news/antibiotic-resistant-infections-fell-in-2020-for-first-time-since-2016-but-ukhsa-warns-drop-likely-temporary")</f>
        <v>https://www.gov.uk/government/news/antibiotic-resistant-infections-fell-in-2020-for-first-time-since-2016-but-ukhsa-warns-drop-likely-temporary</v>
      </c>
      <c r="S50" s="82" t="s">
        <v>909</v>
      </c>
      <c r="T50" s="87" t="s">
        <v>980</v>
      </c>
      <c r="U50" s="85" t="str">
        <f>HYPERLINK("https://pbs.twimg.com/media/FEfGmOGVcAwagf5.jpg")</f>
        <v>https://pbs.twimg.com/media/FEfGmOGVcAwagf5.jpg</v>
      </c>
      <c r="V50" s="85" t="str">
        <f>HYPERLINK("https://pbs.twimg.com/media/FEfGmOGVcAwagf5.jpg")</f>
        <v>https://pbs.twimg.com/media/FEfGmOGVcAwagf5.jpg</v>
      </c>
      <c r="W50" s="84">
        <v>44518.64295138889</v>
      </c>
      <c r="X50" s="90">
        <v>44518</v>
      </c>
      <c r="Y50" s="87" t="s">
        <v>1179</v>
      </c>
      <c r="Z50" s="85" t="str">
        <f>HYPERLINK("https://twitter.com/ukhsa_westmids/status/1461354976505073671")</f>
        <v>https://twitter.com/ukhsa_westmids/status/1461354976505073671</v>
      </c>
      <c r="AA50" s="82"/>
      <c r="AB50" s="82"/>
      <c r="AC50" s="87" t="s">
        <v>1485</v>
      </c>
      <c r="AD50" s="82"/>
      <c r="AE50" s="82" t="b">
        <v>0</v>
      </c>
      <c r="AF50" s="82">
        <v>2</v>
      </c>
      <c r="AG50" s="87" t="s">
        <v>1815</v>
      </c>
      <c r="AH50" s="82" t="b">
        <v>0</v>
      </c>
      <c r="AI50" s="82" t="s">
        <v>1826</v>
      </c>
      <c r="AJ50" s="82"/>
      <c r="AK50" s="87" t="s">
        <v>1815</v>
      </c>
      <c r="AL50" s="82" t="b">
        <v>0</v>
      </c>
      <c r="AM50" s="82">
        <v>1</v>
      </c>
      <c r="AN50" s="87" t="s">
        <v>1815</v>
      </c>
      <c r="AO50" s="87" t="s">
        <v>1853</v>
      </c>
      <c r="AP50" s="82" t="b">
        <v>0</v>
      </c>
      <c r="AQ50" s="87" t="s">
        <v>1485</v>
      </c>
      <c r="AR50" s="82"/>
      <c r="AS50" s="82">
        <v>0</v>
      </c>
      <c r="AT50" s="82">
        <v>0</v>
      </c>
      <c r="AU50" s="82"/>
      <c r="AV50" s="82"/>
      <c r="AW50" s="82"/>
      <c r="AX50" s="82"/>
      <c r="AY50" s="82"/>
      <c r="AZ50" s="82"/>
      <c r="BA50" s="82"/>
      <c r="BB50" s="82"/>
      <c r="BC50">
        <v>3</v>
      </c>
      <c r="BD50" s="81" t="str">
        <f>REPLACE(INDEX(GroupVertices[Group],MATCH(Edges[[#This Row],[Vertex 1]],GroupVertices[Vertex],0)),1,1,"")</f>
        <v>1</v>
      </c>
      <c r="BE50" s="81" t="str">
        <f>REPLACE(INDEX(GroupVertices[Group],MATCH(Edges[[#This Row],[Vertex 2]],GroupVertices[Vertex],0)),1,1,"")</f>
        <v>1</v>
      </c>
      <c r="BF50" s="49">
        <v>0</v>
      </c>
      <c r="BG50" s="50">
        <v>0</v>
      </c>
      <c r="BH50" s="49">
        <v>1</v>
      </c>
      <c r="BI50" s="50">
        <v>3.225806451612903</v>
      </c>
      <c r="BJ50" s="49">
        <v>0</v>
      </c>
      <c r="BK50" s="50">
        <v>0</v>
      </c>
      <c r="BL50" s="49">
        <v>30</v>
      </c>
      <c r="BM50" s="50">
        <v>96.7741935483871</v>
      </c>
      <c r="BN50" s="49">
        <v>31</v>
      </c>
    </row>
    <row r="51" spans="1:66" ht="15">
      <c r="A51" s="66" t="s">
        <v>281</v>
      </c>
      <c r="B51" s="66" t="s">
        <v>281</v>
      </c>
      <c r="C51" s="67" t="s">
        <v>4510</v>
      </c>
      <c r="D51" s="68">
        <v>3.6363636363636362</v>
      </c>
      <c r="E51" s="69" t="s">
        <v>136</v>
      </c>
      <c r="F51" s="70">
        <v>31.2972972972973</v>
      </c>
      <c r="G51" s="67"/>
      <c r="H51" s="71"/>
      <c r="I51" s="72"/>
      <c r="J51" s="72"/>
      <c r="K51" s="35" t="s">
        <v>65</v>
      </c>
      <c r="L51" s="80">
        <v>51</v>
      </c>
      <c r="M51" s="80"/>
      <c r="N51" s="74"/>
      <c r="O51" s="82" t="s">
        <v>214</v>
      </c>
      <c r="P51" s="84">
        <v>44518.633784722224</v>
      </c>
      <c r="Q51" s="82" t="s">
        <v>569</v>
      </c>
      <c r="R51" s="82"/>
      <c r="S51" s="82"/>
      <c r="T51" s="87" t="s">
        <v>966</v>
      </c>
      <c r="U51" s="85" t="str">
        <f>HYPERLINK("https://pbs.twimg.com/media/FEfDikPVQAc2WLG.jpg")</f>
        <v>https://pbs.twimg.com/media/FEfDikPVQAc2WLG.jpg</v>
      </c>
      <c r="V51" s="85" t="str">
        <f>HYPERLINK("https://pbs.twimg.com/media/FEfDikPVQAc2WLG.jpg")</f>
        <v>https://pbs.twimg.com/media/FEfDikPVQAc2WLG.jpg</v>
      </c>
      <c r="W51" s="84">
        <v>44518.633784722224</v>
      </c>
      <c r="X51" s="90">
        <v>44518</v>
      </c>
      <c r="Y51" s="87" t="s">
        <v>1180</v>
      </c>
      <c r="Z51" s="85" t="str">
        <f>HYPERLINK("https://twitter.com/zainablakhani5/status/1461351653366403081")</f>
        <v>https://twitter.com/zainablakhani5/status/1461351653366403081</v>
      </c>
      <c r="AA51" s="82"/>
      <c r="AB51" s="82"/>
      <c r="AC51" s="87" t="s">
        <v>1486</v>
      </c>
      <c r="AD51" s="82"/>
      <c r="AE51" s="82" t="b">
        <v>0</v>
      </c>
      <c r="AF51" s="82">
        <v>7</v>
      </c>
      <c r="AG51" s="87" t="s">
        <v>1815</v>
      </c>
      <c r="AH51" s="82" t="b">
        <v>0</v>
      </c>
      <c r="AI51" s="82" t="s">
        <v>1826</v>
      </c>
      <c r="AJ51" s="82"/>
      <c r="AK51" s="87" t="s">
        <v>1815</v>
      </c>
      <c r="AL51" s="82" t="b">
        <v>0</v>
      </c>
      <c r="AM51" s="82">
        <v>7</v>
      </c>
      <c r="AN51" s="87" t="s">
        <v>1815</v>
      </c>
      <c r="AO51" s="87" t="s">
        <v>1851</v>
      </c>
      <c r="AP51" s="82" t="b">
        <v>0</v>
      </c>
      <c r="AQ51" s="87" t="s">
        <v>1486</v>
      </c>
      <c r="AR51" s="82"/>
      <c r="AS51" s="82">
        <v>0</v>
      </c>
      <c r="AT51" s="82">
        <v>0</v>
      </c>
      <c r="AU51" s="82"/>
      <c r="AV51" s="82"/>
      <c r="AW51" s="82"/>
      <c r="AX51" s="82"/>
      <c r="AY51" s="82"/>
      <c r="AZ51" s="82"/>
      <c r="BA51" s="82"/>
      <c r="BB51" s="82"/>
      <c r="BC51">
        <v>2</v>
      </c>
      <c r="BD51" s="81" t="str">
        <f>REPLACE(INDEX(GroupVertices[Group],MATCH(Edges[[#This Row],[Vertex 1]],GroupVertices[Vertex],0)),1,1,"")</f>
        <v>1</v>
      </c>
      <c r="BE51" s="81" t="str">
        <f>REPLACE(INDEX(GroupVertices[Group],MATCH(Edges[[#This Row],[Vertex 2]],GroupVertices[Vertex],0)),1,1,"")</f>
        <v>1</v>
      </c>
      <c r="BF51" s="49">
        <v>0</v>
      </c>
      <c r="BG51" s="50">
        <v>0</v>
      </c>
      <c r="BH51" s="49">
        <v>4</v>
      </c>
      <c r="BI51" s="50">
        <v>14.285714285714286</v>
      </c>
      <c r="BJ51" s="49">
        <v>0</v>
      </c>
      <c r="BK51" s="50">
        <v>0</v>
      </c>
      <c r="BL51" s="49">
        <v>24</v>
      </c>
      <c r="BM51" s="50">
        <v>85.71428571428571</v>
      </c>
      <c r="BN51" s="49">
        <v>28</v>
      </c>
    </row>
    <row r="52" spans="1:66" ht="15">
      <c r="A52" s="66" t="s">
        <v>281</v>
      </c>
      <c r="B52" s="66" t="s">
        <v>281</v>
      </c>
      <c r="C52" s="67" t="s">
        <v>4510</v>
      </c>
      <c r="D52" s="68">
        <v>3.6363636363636362</v>
      </c>
      <c r="E52" s="69" t="s">
        <v>136</v>
      </c>
      <c r="F52" s="70">
        <v>31.2972972972973</v>
      </c>
      <c r="G52" s="67"/>
      <c r="H52" s="71"/>
      <c r="I52" s="72"/>
      <c r="J52" s="72"/>
      <c r="K52" s="35" t="s">
        <v>65</v>
      </c>
      <c r="L52" s="80">
        <v>52</v>
      </c>
      <c r="M52" s="80"/>
      <c r="N52" s="74"/>
      <c r="O52" s="82" t="s">
        <v>214</v>
      </c>
      <c r="P52" s="84">
        <v>44518.63959490741</v>
      </c>
      <c r="Q52" s="82" t="s">
        <v>570</v>
      </c>
      <c r="R52" s="82"/>
      <c r="S52" s="82"/>
      <c r="T52" s="87" t="s">
        <v>966</v>
      </c>
      <c r="U52" s="85" t="str">
        <f>HYPERLINK("https://pbs.twimg.com/media/FEfFfZgUcBQFFB2.jpg")</f>
        <v>https://pbs.twimg.com/media/FEfFfZgUcBQFFB2.jpg</v>
      </c>
      <c r="V52" s="85" t="str">
        <f>HYPERLINK("https://pbs.twimg.com/media/FEfFfZgUcBQFFB2.jpg")</f>
        <v>https://pbs.twimg.com/media/FEfFfZgUcBQFFB2.jpg</v>
      </c>
      <c r="W52" s="84">
        <v>44518.63959490741</v>
      </c>
      <c r="X52" s="90">
        <v>44518</v>
      </c>
      <c r="Y52" s="87" t="s">
        <v>1181</v>
      </c>
      <c r="Z52" s="85" t="str">
        <f>HYPERLINK("https://twitter.com/zainablakhani5/status/1461353760626671618")</f>
        <v>https://twitter.com/zainablakhani5/status/1461353760626671618</v>
      </c>
      <c r="AA52" s="82"/>
      <c r="AB52" s="82"/>
      <c r="AC52" s="87" t="s">
        <v>1487</v>
      </c>
      <c r="AD52" s="82"/>
      <c r="AE52" s="82" t="b">
        <v>0</v>
      </c>
      <c r="AF52" s="82">
        <v>5</v>
      </c>
      <c r="AG52" s="87" t="s">
        <v>1815</v>
      </c>
      <c r="AH52" s="82" t="b">
        <v>0</v>
      </c>
      <c r="AI52" s="82" t="s">
        <v>1827</v>
      </c>
      <c r="AJ52" s="82"/>
      <c r="AK52" s="87" t="s">
        <v>1815</v>
      </c>
      <c r="AL52" s="82" t="b">
        <v>0</v>
      </c>
      <c r="AM52" s="82">
        <v>4</v>
      </c>
      <c r="AN52" s="87" t="s">
        <v>1815</v>
      </c>
      <c r="AO52" s="87" t="s">
        <v>1851</v>
      </c>
      <c r="AP52" s="82" t="b">
        <v>0</v>
      </c>
      <c r="AQ52" s="87" t="s">
        <v>1487</v>
      </c>
      <c r="AR52" s="82"/>
      <c r="AS52" s="82">
        <v>0</v>
      </c>
      <c r="AT52" s="82">
        <v>0</v>
      </c>
      <c r="AU52" s="82"/>
      <c r="AV52" s="82"/>
      <c r="AW52" s="82"/>
      <c r="AX52" s="82"/>
      <c r="AY52" s="82"/>
      <c r="AZ52" s="82"/>
      <c r="BA52" s="82"/>
      <c r="BB52" s="82"/>
      <c r="BC52">
        <v>2</v>
      </c>
      <c r="BD52" s="81" t="str">
        <f>REPLACE(INDEX(GroupVertices[Group],MATCH(Edges[[#This Row],[Vertex 1]],GroupVertices[Vertex],0)),1,1,"")</f>
        <v>1</v>
      </c>
      <c r="BE52" s="81" t="str">
        <f>REPLACE(INDEX(GroupVertices[Group],MATCH(Edges[[#This Row],[Vertex 2]],GroupVertices[Vertex],0)),1,1,"")</f>
        <v>1</v>
      </c>
      <c r="BF52" s="49">
        <v>0</v>
      </c>
      <c r="BG52" s="50">
        <v>0</v>
      </c>
      <c r="BH52" s="49">
        <v>0</v>
      </c>
      <c r="BI52" s="50">
        <v>0</v>
      </c>
      <c r="BJ52" s="49">
        <v>0</v>
      </c>
      <c r="BK52" s="50">
        <v>0</v>
      </c>
      <c r="BL52" s="49">
        <v>5</v>
      </c>
      <c r="BM52" s="50">
        <v>100</v>
      </c>
      <c r="BN52" s="49">
        <v>5</v>
      </c>
    </row>
    <row r="53" spans="1:66" ht="15">
      <c r="A53" s="66" t="s">
        <v>282</v>
      </c>
      <c r="B53" s="66" t="s">
        <v>282</v>
      </c>
      <c r="C53" s="67" t="s">
        <v>4509</v>
      </c>
      <c r="D53" s="68">
        <v>3</v>
      </c>
      <c r="E53" s="69" t="s">
        <v>132</v>
      </c>
      <c r="F53" s="70">
        <v>32</v>
      </c>
      <c r="G53" s="67"/>
      <c r="H53" s="71"/>
      <c r="I53" s="72"/>
      <c r="J53" s="72"/>
      <c r="K53" s="35" t="s">
        <v>65</v>
      </c>
      <c r="L53" s="80">
        <v>53</v>
      </c>
      <c r="M53" s="80"/>
      <c r="N53" s="74"/>
      <c r="O53" s="82" t="s">
        <v>214</v>
      </c>
      <c r="P53" s="84">
        <v>44518.626909722225</v>
      </c>
      <c r="Q53" s="82" t="s">
        <v>571</v>
      </c>
      <c r="R53" s="85" t="str">
        <f>HYPERLINK("https://www.wchc.nhs.uk/news/health-column-keep-antibiotics-working/")</f>
        <v>https://www.wchc.nhs.uk/news/health-column-keep-antibiotics-working/</v>
      </c>
      <c r="S53" s="82" t="s">
        <v>910</v>
      </c>
      <c r="T53" s="87" t="s">
        <v>955</v>
      </c>
      <c r="U53" s="85" t="str">
        <f>HYPERLINK("https://pbs.twimg.com/media/FEfBUSmVgAM8gYZ.jpg")</f>
        <v>https://pbs.twimg.com/media/FEfBUSmVgAM8gYZ.jpg</v>
      </c>
      <c r="V53" s="85" t="str">
        <f>HYPERLINK("https://pbs.twimg.com/media/FEfBUSmVgAM8gYZ.jpg")</f>
        <v>https://pbs.twimg.com/media/FEfBUSmVgAM8gYZ.jpg</v>
      </c>
      <c r="W53" s="84">
        <v>44518.626909722225</v>
      </c>
      <c r="X53" s="90">
        <v>44518</v>
      </c>
      <c r="Y53" s="87" t="s">
        <v>1182</v>
      </c>
      <c r="Z53" s="85" t="str">
        <f>HYPERLINK("https://twitter.com/wchc_nhs/status/1461349160385351682")</f>
        <v>https://twitter.com/wchc_nhs/status/1461349160385351682</v>
      </c>
      <c r="AA53" s="82"/>
      <c r="AB53" s="82"/>
      <c r="AC53" s="87" t="s">
        <v>1488</v>
      </c>
      <c r="AD53" s="82"/>
      <c r="AE53" s="82" t="b">
        <v>0</v>
      </c>
      <c r="AF53" s="82">
        <v>4</v>
      </c>
      <c r="AG53" s="87" t="s">
        <v>1815</v>
      </c>
      <c r="AH53" s="82" t="b">
        <v>0</v>
      </c>
      <c r="AI53" s="82" t="s">
        <v>1826</v>
      </c>
      <c r="AJ53" s="82"/>
      <c r="AK53" s="87" t="s">
        <v>1815</v>
      </c>
      <c r="AL53" s="82" t="b">
        <v>0</v>
      </c>
      <c r="AM53" s="82">
        <v>0</v>
      </c>
      <c r="AN53" s="87" t="s">
        <v>1815</v>
      </c>
      <c r="AO53" s="87" t="s">
        <v>1854</v>
      </c>
      <c r="AP53" s="82" t="b">
        <v>0</v>
      </c>
      <c r="AQ53" s="87" t="s">
        <v>1488</v>
      </c>
      <c r="AR53" s="82"/>
      <c r="AS53" s="82">
        <v>0</v>
      </c>
      <c r="AT53" s="82">
        <v>0</v>
      </c>
      <c r="AU53" s="82"/>
      <c r="AV53" s="82"/>
      <c r="AW53" s="82"/>
      <c r="AX53" s="82"/>
      <c r="AY53" s="82"/>
      <c r="AZ53" s="82"/>
      <c r="BA53" s="82"/>
      <c r="BB53" s="82"/>
      <c r="BC53">
        <v>1</v>
      </c>
      <c r="BD53" s="81" t="str">
        <f>REPLACE(INDEX(GroupVertices[Group],MATCH(Edges[[#This Row],[Vertex 1]],GroupVertices[Vertex],0)),1,1,"")</f>
        <v>1</v>
      </c>
      <c r="BE53" s="81" t="str">
        <f>REPLACE(INDEX(GroupVertices[Group],MATCH(Edges[[#This Row],[Vertex 2]],GroupVertices[Vertex],0)),1,1,"")</f>
        <v>1</v>
      </c>
      <c r="BF53" s="49">
        <v>0</v>
      </c>
      <c r="BG53" s="50">
        <v>0</v>
      </c>
      <c r="BH53" s="49">
        <v>3</v>
      </c>
      <c r="BI53" s="50">
        <v>10</v>
      </c>
      <c r="BJ53" s="49">
        <v>0</v>
      </c>
      <c r="BK53" s="50">
        <v>0</v>
      </c>
      <c r="BL53" s="49">
        <v>27</v>
      </c>
      <c r="BM53" s="50">
        <v>90</v>
      </c>
      <c r="BN53" s="49">
        <v>30</v>
      </c>
    </row>
    <row r="54" spans="1:66" ht="15">
      <c r="A54" s="66" t="s">
        <v>283</v>
      </c>
      <c r="B54" s="66" t="s">
        <v>457</v>
      </c>
      <c r="C54" s="67" t="s">
        <v>4509</v>
      </c>
      <c r="D54" s="68">
        <v>3</v>
      </c>
      <c r="E54" s="69" t="s">
        <v>132</v>
      </c>
      <c r="F54" s="70">
        <v>32</v>
      </c>
      <c r="G54" s="67"/>
      <c r="H54" s="71"/>
      <c r="I54" s="72"/>
      <c r="J54" s="72"/>
      <c r="K54" s="35" t="s">
        <v>65</v>
      </c>
      <c r="L54" s="80">
        <v>54</v>
      </c>
      <c r="M54" s="80"/>
      <c r="N54" s="74"/>
      <c r="O54" s="82" t="s">
        <v>528</v>
      </c>
      <c r="P54" s="84">
        <v>44518.6531712963</v>
      </c>
      <c r="Q54" s="82" t="s">
        <v>572</v>
      </c>
      <c r="R54" s="82" t="s">
        <v>891</v>
      </c>
      <c r="S54" s="82" t="s">
        <v>911</v>
      </c>
      <c r="T54" s="87" t="s">
        <v>981</v>
      </c>
      <c r="U54" s="82"/>
      <c r="V54" s="85" t="str">
        <f>HYPERLINK("https://pbs.twimg.com/profile_images/1255209049198649347/iDod2ON7_normal.jpg")</f>
        <v>https://pbs.twimg.com/profile_images/1255209049198649347/iDod2ON7_normal.jpg</v>
      </c>
      <c r="W54" s="84">
        <v>44518.6531712963</v>
      </c>
      <c r="X54" s="90">
        <v>44518</v>
      </c>
      <c r="Y54" s="87" t="s">
        <v>1183</v>
      </c>
      <c r="Z54" s="85" t="str">
        <f>HYPERLINK("https://twitter.com/thepfid/status/1461358678049583104")</f>
        <v>https://twitter.com/thepfid/status/1461358678049583104</v>
      </c>
      <c r="AA54" s="82"/>
      <c r="AB54" s="82"/>
      <c r="AC54" s="87" t="s">
        <v>1489</v>
      </c>
      <c r="AD54" s="82"/>
      <c r="AE54" s="82" t="b">
        <v>0</v>
      </c>
      <c r="AF54" s="82">
        <v>2</v>
      </c>
      <c r="AG54" s="87" t="s">
        <v>1815</v>
      </c>
      <c r="AH54" s="82" t="b">
        <v>1</v>
      </c>
      <c r="AI54" s="82" t="s">
        <v>1826</v>
      </c>
      <c r="AJ54" s="82"/>
      <c r="AK54" s="87" t="s">
        <v>1833</v>
      </c>
      <c r="AL54" s="82" t="b">
        <v>0</v>
      </c>
      <c r="AM54" s="82">
        <v>1</v>
      </c>
      <c r="AN54" s="87" t="s">
        <v>1815</v>
      </c>
      <c r="AO54" s="87" t="s">
        <v>1850</v>
      </c>
      <c r="AP54" s="82" t="b">
        <v>0</v>
      </c>
      <c r="AQ54" s="87" t="s">
        <v>1489</v>
      </c>
      <c r="AR54" s="82"/>
      <c r="AS54" s="82">
        <v>0</v>
      </c>
      <c r="AT54" s="82">
        <v>0</v>
      </c>
      <c r="AU54" s="82"/>
      <c r="AV54" s="82"/>
      <c r="AW54" s="82"/>
      <c r="AX54" s="82"/>
      <c r="AY54" s="82"/>
      <c r="AZ54" s="82"/>
      <c r="BA54" s="82"/>
      <c r="BB54" s="82"/>
      <c r="BC54">
        <v>1</v>
      </c>
      <c r="BD54" s="81" t="str">
        <f>REPLACE(INDEX(GroupVertices[Group],MATCH(Edges[[#This Row],[Vertex 1]],GroupVertices[Vertex],0)),1,1,"")</f>
        <v>25</v>
      </c>
      <c r="BE54" s="81" t="str">
        <f>REPLACE(INDEX(GroupVertices[Group],MATCH(Edges[[#This Row],[Vertex 2]],GroupVertices[Vertex],0)),1,1,"")</f>
        <v>25</v>
      </c>
      <c r="BF54" s="49">
        <v>1</v>
      </c>
      <c r="BG54" s="50">
        <v>3.0303030303030303</v>
      </c>
      <c r="BH54" s="49">
        <v>4</v>
      </c>
      <c r="BI54" s="50">
        <v>12.121212121212121</v>
      </c>
      <c r="BJ54" s="49">
        <v>0</v>
      </c>
      <c r="BK54" s="50">
        <v>0</v>
      </c>
      <c r="BL54" s="49">
        <v>28</v>
      </c>
      <c r="BM54" s="50">
        <v>84.84848484848484</v>
      </c>
      <c r="BN54" s="49">
        <v>33</v>
      </c>
    </row>
    <row r="55" spans="1:66" ht="15">
      <c r="A55" s="66" t="s">
        <v>283</v>
      </c>
      <c r="B55" s="66" t="s">
        <v>283</v>
      </c>
      <c r="C55" s="67" t="s">
        <v>4512</v>
      </c>
      <c r="D55" s="68">
        <v>4.2727272727272725</v>
      </c>
      <c r="E55" s="69" t="s">
        <v>136</v>
      </c>
      <c r="F55" s="70">
        <v>30.594594594594593</v>
      </c>
      <c r="G55" s="67"/>
      <c r="H55" s="71"/>
      <c r="I55" s="72"/>
      <c r="J55" s="72"/>
      <c r="K55" s="35" t="s">
        <v>65</v>
      </c>
      <c r="L55" s="80">
        <v>55</v>
      </c>
      <c r="M55" s="80"/>
      <c r="N55" s="74"/>
      <c r="O55" s="82" t="s">
        <v>214</v>
      </c>
      <c r="P55" s="84">
        <v>44518.6358912037</v>
      </c>
      <c r="Q55" s="82" t="s">
        <v>573</v>
      </c>
      <c r="R55" s="85" t="str">
        <f>HYPERLINK("http://www.youtube.com/watch?v=3CfAD41KoG8")</f>
        <v>http://www.youtube.com/watch?v=3CfAD41KoG8</v>
      </c>
      <c r="S55" s="82" t="s">
        <v>912</v>
      </c>
      <c r="T55" s="87" t="s">
        <v>982</v>
      </c>
      <c r="U55" s="85" t="str">
        <f>HYPERLINK("https://pbs.twimg.com/media/FEfC-6nVkAEIztA.png")</f>
        <v>https://pbs.twimg.com/media/FEfC-6nVkAEIztA.png</v>
      </c>
      <c r="V55" s="85" t="str">
        <f>HYPERLINK("https://pbs.twimg.com/media/FEfC-6nVkAEIztA.png")</f>
        <v>https://pbs.twimg.com/media/FEfC-6nVkAEIztA.png</v>
      </c>
      <c r="W55" s="84">
        <v>44518.6358912037</v>
      </c>
      <c r="X55" s="90">
        <v>44518</v>
      </c>
      <c r="Y55" s="87" t="s">
        <v>1184</v>
      </c>
      <c r="Z55" s="85" t="str">
        <f>HYPERLINK("https://twitter.com/thepfid/status/1461352416591319048")</f>
        <v>https://twitter.com/thepfid/status/1461352416591319048</v>
      </c>
      <c r="AA55" s="82"/>
      <c r="AB55" s="82"/>
      <c r="AC55" s="87" t="s">
        <v>1490</v>
      </c>
      <c r="AD55" s="82"/>
      <c r="AE55" s="82" t="b">
        <v>0</v>
      </c>
      <c r="AF55" s="82">
        <v>11</v>
      </c>
      <c r="AG55" s="87" t="s">
        <v>1815</v>
      </c>
      <c r="AH55" s="82" t="b">
        <v>0</v>
      </c>
      <c r="AI55" s="82" t="s">
        <v>1826</v>
      </c>
      <c r="AJ55" s="82"/>
      <c r="AK55" s="87" t="s">
        <v>1815</v>
      </c>
      <c r="AL55" s="82" t="b">
        <v>0</v>
      </c>
      <c r="AM55" s="82">
        <v>5</v>
      </c>
      <c r="AN55" s="87" t="s">
        <v>1815</v>
      </c>
      <c r="AO55" s="87" t="s">
        <v>1850</v>
      </c>
      <c r="AP55" s="82" t="b">
        <v>0</v>
      </c>
      <c r="AQ55" s="87" t="s">
        <v>1490</v>
      </c>
      <c r="AR55" s="82"/>
      <c r="AS55" s="82">
        <v>0</v>
      </c>
      <c r="AT55" s="82">
        <v>0</v>
      </c>
      <c r="AU55" s="82"/>
      <c r="AV55" s="82"/>
      <c r="AW55" s="82"/>
      <c r="AX55" s="82"/>
      <c r="AY55" s="82"/>
      <c r="AZ55" s="82"/>
      <c r="BA55" s="82"/>
      <c r="BB55" s="82"/>
      <c r="BC55">
        <v>3</v>
      </c>
      <c r="BD55" s="81" t="str">
        <f>REPLACE(INDEX(GroupVertices[Group],MATCH(Edges[[#This Row],[Vertex 1]],GroupVertices[Vertex],0)),1,1,"")</f>
        <v>25</v>
      </c>
      <c r="BE55" s="81" t="str">
        <f>REPLACE(INDEX(GroupVertices[Group],MATCH(Edges[[#This Row],[Vertex 2]],GroupVertices[Vertex],0)),1,1,"")</f>
        <v>25</v>
      </c>
      <c r="BF55" s="49">
        <v>1</v>
      </c>
      <c r="BG55" s="50">
        <v>2.7027027027027026</v>
      </c>
      <c r="BH55" s="49">
        <v>4</v>
      </c>
      <c r="BI55" s="50">
        <v>10.81081081081081</v>
      </c>
      <c r="BJ55" s="49">
        <v>0</v>
      </c>
      <c r="BK55" s="50">
        <v>0</v>
      </c>
      <c r="BL55" s="49">
        <v>32</v>
      </c>
      <c r="BM55" s="50">
        <v>86.48648648648648</v>
      </c>
      <c r="BN55" s="49">
        <v>37</v>
      </c>
    </row>
    <row r="56" spans="1:66" ht="15">
      <c r="A56" s="66" t="s">
        <v>283</v>
      </c>
      <c r="B56" s="66" t="s">
        <v>283</v>
      </c>
      <c r="C56" s="67" t="s">
        <v>4512</v>
      </c>
      <c r="D56" s="68">
        <v>4.2727272727272725</v>
      </c>
      <c r="E56" s="69" t="s">
        <v>136</v>
      </c>
      <c r="F56" s="70">
        <v>30.594594594594593</v>
      </c>
      <c r="G56" s="67"/>
      <c r="H56" s="71"/>
      <c r="I56" s="72"/>
      <c r="J56" s="72"/>
      <c r="K56" s="35" t="s">
        <v>65</v>
      </c>
      <c r="L56" s="80">
        <v>56</v>
      </c>
      <c r="M56" s="80"/>
      <c r="N56" s="74"/>
      <c r="O56" s="82" t="s">
        <v>214</v>
      </c>
      <c r="P56" s="84">
        <v>44518.65599537037</v>
      </c>
      <c r="Q56" s="82" t="s">
        <v>574</v>
      </c>
      <c r="R56" s="82" t="s">
        <v>892</v>
      </c>
      <c r="S56" s="82" t="s">
        <v>913</v>
      </c>
      <c r="T56" s="87" t="s">
        <v>983</v>
      </c>
      <c r="U56" s="85" t="str">
        <f>HYPERLINK("https://pbs.twimg.com/media/FEfKOd5VgAwTS19.png")</f>
        <v>https://pbs.twimg.com/media/FEfKOd5VgAwTS19.png</v>
      </c>
      <c r="V56" s="85" t="str">
        <f>HYPERLINK("https://pbs.twimg.com/media/FEfKOd5VgAwTS19.png")</f>
        <v>https://pbs.twimg.com/media/FEfKOd5VgAwTS19.png</v>
      </c>
      <c r="W56" s="84">
        <v>44518.65599537037</v>
      </c>
      <c r="X56" s="90">
        <v>44518</v>
      </c>
      <c r="Y56" s="87" t="s">
        <v>1185</v>
      </c>
      <c r="Z56" s="85" t="str">
        <f>HYPERLINK("https://twitter.com/thepfid/status/1461359702286037009")</f>
        <v>https://twitter.com/thepfid/status/1461359702286037009</v>
      </c>
      <c r="AA56" s="82"/>
      <c r="AB56" s="82"/>
      <c r="AC56" s="87" t="s">
        <v>1491</v>
      </c>
      <c r="AD56" s="82"/>
      <c r="AE56" s="82" t="b">
        <v>0</v>
      </c>
      <c r="AF56" s="82">
        <v>1</v>
      </c>
      <c r="AG56" s="87" t="s">
        <v>1815</v>
      </c>
      <c r="AH56" s="82" t="b">
        <v>1</v>
      </c>
      <c r="AI56" s="82" t="s">
        <v>1826</v>
      </c>
      <c r="AJ56" s="82"/>
      <c r="AK56" s="87" t="s">
        <v>1763</v>
      </c>
      <c r="AL56" s="82" t="b">
        <v>0</v>
      </c>
      <c r="AM56" s="82">
        <v>0</v>
      </c>
      <c r="AN56" s="87" t="s">
        <v>1815</v>
      </c>
      <c r="AO56" s="87" t="s">
        <v>1850</v>
      </c>
      <c r="AP56" s="82" t="b">
        <v>0</v>
      </c>
      <c r="AQ56" s="87" t="s">
        <v>1491</v>
      </c>
      <c r="AR56" s="82"/>
      <c r="AS56" s="82">
        <v>0</v>
      </c>
      <c r="AT56" s="82">
        <v>0</v>
      </c>
      <c r="AU56" s="82"/>
      <c r="AV56" s="82"/>
      <c r="AW56" s="82"/>
      <c r="AX56" s="82"/>
      <c r="AY56" s="82"/>
      <c r="AZ56" s="82"/>
      <c r="BA56" s="82"/>
      <c r="BB56" s="82"/>
      <c r="BC56">
        <v>3</v>
      </c>
      <c r="BD56" s="81" t="str">
        <f>REPLACE(INDEX(GroupVertices[Group],MATCH(Edges[[#This Row],[Vertex 1]],GroupVertices[Vertex],0)),1,1,"")</f>
        <v>25</v>
      </c>
      <c r="BE56" s="81" t="str">
        <f>REPLACE(INDEX(GroupVertices[Group],MATCH(Edges[[#This Row],[Vertex 2]],GroupVertices[Vertex],0)),1,1,"")</f>
        <v>25</v>
      </c>
      <c r="BF56" s="49">
        <v>1</v>
      </c>
      <c r="BG56" s="50">
        <v>3.225806451612903</v>
      </c>
      <c r="BH56" s="49">
        <v>0</v>
      </c>
      <c r="BI56" s="50">
        <v>0</v>
      </c>
      <c r="BJ56" s="49">
        <v>0</v>
      </c>
      <c r="BK56" s="50">
        <v>0</v>
      </c>
      <c r="BL56" s="49">
        <v>30</v>
      </c>
      <c r="BM56" s="50">
        <v>96.7741935483871</v>
      </c>
      <c r="BN56" s="49">
        <v>31</v>
      </c>
    </row>
    <row r="57" spans="1:66" ht="15">
      <c r="A57" s="66" t="s">
        <v>283</v>
      </c>
      <c r="B57" s="66" t="s">
        <v>283</v>
      </c>
      <c r="C57" s="67" t="s">
        <v>4512</v>
      </c>
      <c r="D57" s="68">
        <v>4.2727272727272725</v>
      </c>
      <c r="E57" s="69" t="s">
        <v>136</v>
      </c>
      <c r="F57" s="70">
        <v>30.594594594594593</v>
      </c>
      <c r="G57" s="67"/>
      <c r="H57" s="71"/>
      <c r="I57" s="72"/>
      <c r="J57" s="72"/>
      <c r="K57" s="35" t="s">
        <v>65</v>
      </c>
      <c r="L57" s="80">
        <v>57</v>
      </c>
      <c r="M57" s="80"/>
      <c r="N57" s="74"/>
      <c r="O57" s="82" t="s">
        <v>214</v>
      </c>
      <c r="P57" s="84">
        <v>44518.63710648148</v>
      </c>
      <c r="Q57" s="82" t="s">
        <v>575</v>
      </c>
      <c r="R57" s="85" t="str">
        <f>HYPERLINK("https://twitter.com/AmerAcadPeds/status/1461329618632327171")</f>
        <v>https://twitter.com/AmerAcadPeds/status/1461329618632327171</v>
      </c>
      <c r="S57" s="82" t="s">
        <v>914</v>
      </c>
      <c r="T57" s="87" t="s">
        <v>984</v>
      </c>
      <c r="U57" s="82"/>
      <c r="V57" s="85" t="str">
        <f>HYPERLINK("https://pbs.twimg.com/profile_images/1255209049198649347/iDod2ON7_normal.jpg")</f>
        <v>https://pbs.twimg.com/profile_images/1255209049198649347/iDod2ON7_normal.jpg</v>
      </c>
      <c r="W57" s="84">
        <v>44518.63710648148</v>
      </c>
      <c r="X57" s="90">
        <v>44518</v>
      </c>
      <c r="Y57" s="87" t="s">
        <v>1186</v>
      </c>
      <c r="Z57" s="85" t="str">
        <f>HYPERLINK("https://twitter.com/thepfid/status/1461352858553438220")</f>
        <v>https://twitter.com/thepfid/status/1461352858553438220</v>
      </c>
      <c r="AA57" s="82"/>
      <c r="AB57" s="82"/>
      <c r="AC57" s="87" t="s">
        <v>1492</v>
      </c>
      <c r="AD57" s="82"/>
      <c r="AE57" s="82" t="b">
        <v>0</v>
      </c>
      <c r="AF57" s="82">
        <v>1</v>
      </c>
      <c r="AG57" s="87" t="s">
        <v>1815</v>
      </c>
      <c r="AH57" s="82" t="b">
        <v>1</v>
      </c>
      <c r="AI57" s="82" t="s">
        <v>1827</v>
      </c>
      <c r="AJ57" s="82"/>
      <c r="AK57" s="87" t="s">
        <v>1834</v>
      </c>
      <c r="AL57" s="82" t="b">
        <v>0</v>
      </c>
      <c r="AM57" s="82">
        <v>1</v>
      </c>
      <c r="AN57" s="87" t="s">
        <v>1815</v>
      </c>
      <c r="AO57" s="87" t="s">
        <v>1850</v>
      </c>
      <c r="AP57" s="82" t="b">
        <v>0</v>
      </c>
      <c r="AQ57" s="87" t="s">
        <v>1492</v>
      </c>
      <c r="AR57" s="82"/>
      <c r="AS57" s="82">
        <v>0</v>
      </c>
      <c r="AT57" s="82">
        <v>0</v>
      </c>
      <c r="AU57" s="82"/>
      <c r="AV57" s="82"/>
      <c r="AW57" s="82"/>
      <c r="AX57" s="82"/>
      <c r="AY57" s="82"/>
      <c r="AZ57" s="82"/>
      <c r="BA57" s="82"/>
      <c r="BB57" s="82"/>
      <c r="BC57">
        <v>3</v>
      </c>
      <c r="BD57" s="81" t="str">
        <f>REPLACE(INDEX(GroupVertices[Group],MATCH(Edges[[#This Row],[Vertex 1]],GroupVertices[Vertex],0)),1,1,"")</f>
        <v>25</v>
      </c>
      <c r="BE57" s="81" t="str">
        <f>REPLACE(INDEX(GroupVertices[Group],MATCH(Edges[[#This Row],[Vertex 2]],GroupVertices[Vertex],0)),1,1,"")</f>
        <v>25</v>
      </c>
      <c r="BF57" s="49">
        <v>0</v>
      </c>
      <c r="BG57" s="50">
        <v>0</v>
      </c>
      <c r="BH57" s="49">
        <v>0</v>
      </c>
      <c r="BI57" s="50">
        <v>0</v>
      </c>
      <c r="BJ57" s="49">
        <v>0</v>
      </c>
      <c r="BK57" s="50">
        <v>0</v>
      </c>
      <c r="BL57" s="49">
        <v>5</v>
      </c>
      <c r="BM57" s="50">
        <v>100</v>
      </c>
      <c r="BN57" s="49">
        <v>5</v>
      </c>
    </row>
    <row r="58" spans="1:66" ht="15">
      <c r="A58" s="66" t="s">
        <v>284</v>
      </c>
      <c r="B58" s="66" t="s">
        <v>284</v>
      </c>
      <c r="C58" s="67" t="s">
        <v>4513</v>
      </c>
      <c r="D58" s="68">
        <v>10</v>
      </c>
      <c r="E58" s="69" t="s">
        <v>136</v>
      </c>
      <c r="F58" s="70">
        <v>24.27027027027027</v>
      </c>
      <c r="G58" s="67"/>
      <c r="H58" s="71"/>
      <c r="I58" s="72"/>
      <c r="J58" s="72"/>
      <c r="K58" s="35" t="s">
        <v>65</v>
      </c>
      <c r="L58" s="80">
        <v>58</v>
      </c>
      <c r="M58" s="80"/>
      <c r="N58" s="74"/>
      <c r="O58" s="82" t="s">
        <v>214</v>
      </c>
      <c r="P58" s="84">
        <v>44518.64061342592</v>
      </c>
      <c r="Q58" s="82" t="s">
        <v>576</v>
      </c>
      <c r="R58" s="85" t="str">
        <f>HYPERLINK("https://www.southampton.ac.uk/medicine/academic_units/projects/define.page")</f>
        <v>https://www.southampton.ac.uk/medicine/academic_units/projects/define.page</v>
      </c>
      <c r="S58" s="82" t="s">
        <v>905</v>
      </c>
      <c r="T58" s="87" t="s">
        <v>985</v>
      </c>
      <c r="U58" s="82"/>
      <c r="V58" s="85" t="str">
        <f>HYPERLINK("https://pbs.twimg.com/profile_images/506411328475389953/6odFfeAJ_normal.png")</f>
        <v>https://pbs.twimg.com/profile_images/506411328475389953/6odFfeAJ_normal.png</v>
      </c>
      <c r="W58" s="84">
        <v>44518.64061342592</v>
      </c>
      <c r="X58" s="90">
        <v>44518</v>
      </c>
      <c r="Y58" s="87" t="s">
        <v>1187</v>
      </c>
      <c r="Z58" s="85" t="str">
        <f>HYPERLINK("https://twitter.com/uos_primarycare/status/1461354126269317138")</f>
        <v>https://twitter.com/uos_primarycare/status/1461354126269317138</v>
      </c>
      <c r="AA58" s="82"/>
      <c r="AB58" s="82"/>
      <c r="AC58" s="87" t="s">
        <v>1493</v>
      </c>
      <c r="AD58" s="82"/>
      <c r="AE58" s="82" t="b">
        <v>0</v>
      </c>
      <c r="AF58" s="82">
        <v>0</v>
      </c>
      <c r="AG58" s="87" t="s">
        <v>1815</v>
      </c>
      <c r="AH58" s="82" t="b">
        <v>0</v>
      </c>
      <c r="AI58" s="82" t="s">
        <v>1826</v>
      </c>
      <c r="AJ58" s="82"/>
      <c r="AK58" s="87" t="s">
        <v>1815</v>
      </c>
      <c r="AL58" s="82" t="b">
        <v>0</v>
      </c>
      <c r="AM58" s="82">
        <v>0</v>
      </c>
      <c r="AN58" s="87" t="s">
        <v>1815</v>
      </c>
      <c r="AO58" s="87" t="s">
        <v>1850</v>
      </c>
      <c r="AP58" s="82" t="b">
        <v>0</v>
      </c>
      <c r="AQ58" s="87" t="s">
        <v>1493</v>
      </c>
      <c r="AR58" s="82"/>
      <c r="AS58" s="82">
        <v>0</v>
      </c>
      <c r="AT58" s="82">
        <v>0</v>
      </c>
      <c r="AU58" s="82"/>
      <c r="AV58" s="82"/>
      <c r="AW58" s="82"/>
      <c r="AX58" s="82"/>
      <c r="AY58" s="82"/>
      <c r="AZ58" s="82"/>
      <c r="BA58" s="82"/>
      <c r="BB58" s="82"/>
      <c r="BC58">
        <v>12</v>
      </c>
      <c r="BD58" s="81" t="str">
        <f>REPLACE(INDEX(GroupVertices[Group],MATCH(Edges[[#This Row],[Vertex 1]],GroupVertices[Vertex],0)),1,1,"")</f>
        <v>1</v>
      </c>
      <c r="BE58" s="81" t="str">
        <f>REPLACE(INDEX(GroupVertices[Group],MATCH(Edges[[#This Row],[Vertex 2]],GroupVertices[Vertex],0)),1,1,"")</f>
        <v>1</v>
      </c>
      <c r="BF58" s="49">
        <v>1</v>
      </c>
      <c r="BG58" s="50">
        <v>9.090909090909092</v>
      </c>
      <c r="BH58" s="49">
        <v>0</v>
      </c>
      <c r="BI58" s="50">
        <v>0</v>
      </c>
      <c r="BJ58" s="49">
        <v>0</v>
      </c>
      <c r="BK58" s="50">
        <v>0</v>
      </c>
      <c r="BL58" s="49">
        <v>10</v>
      </c>
      <c r="BM58" s="50">
        <v>90.9090909090909</v>
      </c>
      <c r="BN58" s="49">
        <v>11</v>
      </c>
    </row>
    <row r="59" spans="1:66" ht="15">
      <c r="A59" s="66" t="s">
        <v>284</v>
      </c>
      <c r="B59" s="66" t="s">
        <v>284</v>
      </c>
      <c r="C59" s="67" t="s">
        <v>4513</v>
      </c>
      <c r="D59" s="68">
        <v>10</v>
      </c>
      <c r="E59" s="69" t="s">
        <v>136</v>
      </c>
      <c r="F59" s="70">
        <v>24.27027027027027</v>
      </c>
      <c r="G59" s="67"/>
      <c r="H59" s="71"/>
      <c r="I59" s="72"/>
      <c r="J59" s="72"/>
      <c r="K59" s="35" t="s">
        <v>65</v>
      </c>
      <c r="L59" s="80">
        <v>59</v>
      </c>
      <c r="M59" s="80"/>
      <c r="N59" s="74"/>
      <c r="O59" s="82" t="s">
        <v>214</v>
      </c>
      <c r="P59" s="84">
        <v>44518.65835648148</v>
      </c>
      <c r="Q59" s="82" t="s">
        <v>577</v>
      </c>
      <c r="R59" s="85" t="str">
        <f>HYPERLINK("https://www.southampton.ac.uk/medicine/academic_units/academic_units/open-study.page")</f>
        <v>https://www.southampton.ac.uk/medicine/academic_units/academic_units/open-study.page</v>
      </c>
      <c r="S59" s="82" t="s">
        <v>905</v>
      </c>
      <c r="T59" s="87" t="s">
        <v>985</v>
      </c>
      <c r="U59" s="82"/>
      <c r="V59" s="85" t="str">
        <f>HYPERLINK("https://pbs.twimg.com/profile_images/506411328475389953/6odFfeAJ_normal.png")</f>
        <v>https://pbs.twimg.com/profile_images/506411328475389953/6odFfeAJ_normal.png</v>
      </c>
      <c r="W59" s="84">
        <v>44518.65835648148</v>
      </c>
      <c r="X59" s="90">
        <v>44518</v>
      </c>
      <c r="Y59" s="87" t="s">
        <v>1188</v>
      </c>
      <c r="Z59" s="85" t="str">
        <f>HYPERLINK("https://twitter.com/uos_primarycare/status/1461360559333408772")</f>
        <v>https://twitter.com/uos_primarycare/status/1461360559333408772</v>
      </c>
      <c r="AA59" s="82"/>
      <c r="AB59" s="82"/>
      <c r="AC59" s="87" t="s">
        <v>1494</v>
      </c>
      <c r="AD59" s="82"/>
      <c r="AE59" s="82" t="b">
        <v>0</v>
      </c>
      <c r="AF59" s="82">
        <v>0</v>
      </c>
      <c r="AG59" s="87" t="s">
        <v>1815</v>
      </c>
      <c r="AH59" s="82" t="b">
        <v>0</v>
      </c>
      <c r="AI59" s="82" t="s">
        <v>1826</v>
      </c>
      <c r="AJ59" s="82"/>
      <c r="AK59" s="87" t="s">
        <v>1815</v>
      </c>
      <c r="AL59" s="82" t="b">
        <v>0</v>
      </c>
      <c r="AM59" s="82">
        <v>0</v>
      </c>
      <c r="AN59" s="87" t="s">
        <v>1815</v>
      </c>
      <c r="AO59" s="87" t="s">
        <v>1850</v>
      </c>
      <c r="AP59" s="82" t="b">
        <v>0</v>
      </c>
      <c r="AQ59" s="87" t="s">
        <v>1494</v>
      </c>
      <c r="AR59" s="82"/>
      <c r="AS59" s="82">
        <v>0</v>
      </c>
      <c r="AT59" s="82">
        <v>0</v>
      </c>
      <c r="AU59" s="82"/>
      <c r="AV59" s="82"/>
      <c r="AW59" s="82"/>
      <c r="AX59" s="82"/>
      <c r="AY59" s="82"/>
      <c r="AZ59" s="82"/>
      <c r="BA59" s="82"/>
      <c r="BB59" s="82"/>
      <c r="BC59">
        <v>12</v>
      </c>
      <c r="BD59" s="81" t="str">
        <f>REPLACE(INDEX(GroupVertices[Group],MATCH(Edges[[#This Row],[Vertex 1]],GroupVertices[Vertex],0)),1,1,"")</f>
        <v>1</v>
      </c>
      <c r="BE59" s="81" t="str">
        <f>REPLACE(INDEX(GroupVertices[Group],MATCH(Edges[[#This Row],[Vertex 2]],GroupVertices[Vertex],0)),1,1,"")</f>
        <v>1</v>
      </c>
      <c r="BF59" s="49">
        <v>1</v>
      </c>
      <c r="BG59" s="50">
        <v>9.090909090909092</v>
      </c>
      <c r="BH59" s="49">
        <v>0</v>
      </c>
      <c r="BI59" s="50">
        <v>0</v>
      </c>
      <c r="BJ59" s="49">
        <v>0</v>
      </c>
      <c r="BK59" s="50">
        <v>0</v>
      </c>
      <c r="BL59" s="49">
        <v>10</v>
      </c>
      <c r="BM59" s="50">
        <v>90.9090909090909</v>
      </c>
      <c r="BN59" s="49">
        <v>11</v>
      </c>
    </row>
    <row r="60" spans="1:66" ht="15">
      <c r="A60" s="66" t="s">
        <v>284</v>
      </c>
      <c r="B60" s="66" t="s">
        <v>284</v>
      </c>
      <c r="C60" s="67" t="s">
        <v>4513</v>
      </c>
      <c r="D60" s="68">
        <v>10</v>
      </c>
      <c r="E60" s="69" t="s">
        <v>136</v>
      </c>
      <c r="F60" s="70">
        <v>24.27027027027027</v>
      </c>
      <c r="G60" s="67"/>
      <c r="H60" s="71"/>
      <c r="I60" s="72"/>
      <c r="J60" s="72"/>
      <c r="K60" s="35" t="s">
        <v>65</v>
      </c>
      <c r="L60" s="80">
        <v>60</v>
      </c>
      <c r="M60" s="80"/>
      <c r="N60" s="74"/>
      <c r="O60" s="82" t="s">
        <v>214</v>
      </c>
      <c r="P60" s="84">
        <v>44518.66541666666</v>
      </c>
      <c r="Q60" s="82" t="s">
        <v>578</v>
      </c>
      <c r="R60" s="85" t="str">
        <f>HYPERLINK("https://www.southampton.ac.uk/medicine/academic_units/projects/venus-study.page")</f>
        <v>https://www.southampton.ac.uk/medicine/academic_units/projects/venus-study.page</v>
      </c>
      <c r="S60" s="82" t="s">
        <v>905</v>
      </c>
      <c r="T60" s="87" t="s">
        <v>986</v>
      </c>
      <c r="U60" s="82"/>
      <c r="V60" s="85" t="str">
        <f>HYPERLINK("https://pbs.twimg.com/profile_images/506411328475389953/6odFfeAJ_normal.png")</f>
        <v>https://pbs.twimg.com/profile_images/506411328475389953/6odFfeAJ_normal.png</v>
      </c>
      <c r="W60" s="84">
        <v>44518.66541666666</v>
      </c>
      <c r="X60" s="90">
        <v>44518</v>
      </c>
      <c r="Y60" s="87" t="s">
        <v>1189</v>
      </c>
      <c r="Z60" s="85" t="str">
        <f>HYPERLINK("https://twitter.com/uos_primarycare/status/1461363114817974275")</f>
        <v>https://twitter.com/uos_primarycare/status/1461363114817974275</v>
      </c>
      <c r="AA60" s="82"/>
      <c r="AB60" s="82"/>
      <c r="AC60" s="87" t="s">
        <v>1495</v>
      </c>
      <c r="AD60" s="82"/>
      <c r="AE60" s="82" t="b">
        <v>0</v>
      </c>
      <c r="AF60" s="82">
        <v>0</v>
      </c>
      <c r="AG60" s="87" t="s">
        <v>1815</v>
      </c>
      <c r="AH60" s="82" t="b">
        <v>0</v>
      </c>
      <c r="AI60" s="82" t="s">
        <v>1826</v>
      </c>
      <c r="AJ60" s="82"/>
      <c r="AK60" s="87" t="s">
        <v>1815</v>
      </c>
      <c r="AL60" s="82" t="b">
        <v>0</v>
      </c>
      <c r="AM60" s="82">
        <v>0</v>
      </c>
      <c r="AN60" s="87" t="s">
        <v>1815</v>
      </c>
      <c r="AO60" s="87" t="s">
        <v>1850</v>
      </c>
      <c r="AP60" s="82" t="b">
        <v>0</v>
      </c>
      <c r="AQ60" s="87" t="s">
        <v>1495</v>
      </c>
      <c r="AR60" s="82"/>
      <c r="AS60" s="82">
        <v>0</v>
      </c>
      <c r="AT60" s="82">
        <v>0</v>
      </c>
      <c r="AU60" s="82"/>
      <c r="AV60" s="82"/>
      <c r="AW60" s="82"/>
      <c r="AX60" s="82"/>
      <c r="AY60" s="82"/>
      <c r="AZ60" s="82"/>
      <c r="BA60" s="82"/>
      <c r="BB60" s="82"/>
      <c r="BC60">
        <v>12</v>
      </c>
      <c r="BD60" s="81" t="str">
        <f>REPLACE(INDEX(GroupVertices[Group],MATCH(Edges[[#This Row],[Vertex 1]],GroupVertices[Vertex],0)),1,1,"")</f>
        <v>1</v>
      </c>
      <c r="BE60" s="81" t="str">
        <f>REPLACE(INDEX(GroupVertices[Group],MATCH(Edges[[#This Row],[Vertex 2]],GroupVertices[Vertex],0)),1,1,"")</f>
        <v>1</v>
      </c>
      <c r="BF60" s="49">
        <v>1</v>
      </c>
      <c r="BG60" s="50">
        <v>7.6923076923076925</v>
      </c>
      <c r="BH60" s="49">
        <v>0</v>
      </c>
      <c r="BI60" s="50">
        <v>0</v>
      </c>
      <c r="BJ60" s="49">
        <v>0</v>
      </c>
      <c r="BK60" s="50">
        <v>0</v>
      </c>
      <c r="BL60" s="49">
        <v>12</v>
      </c>
      <c r="BM60" s="50">
        <v>92.3076923076923</v>
      </c>
      <c r="BN60" s="49">
        <v>13</v>
      </c>
    </row>
    <row r="61" spans="1:66" ht="15">
      <c r="A61" s="66" t="s">
        <v>284</v>
      </c>
      <c r="B61" s="66" t="s">
        <v>284</v>
      </c>
      <c r="C61" s="67" t="s">
        <v>4513</v>
      </c>
      <c r="D61" s="68">
        <v>10</v>
      </c>
      <c r="E61" s="69" t="s">
        <v>136</v>
      </c>
      <c r="F61" s="70">
        <v>24.27027027027027</v>
      </c>
      <c r="G61" s="67"/>
      <c r="H61" s="71"/>
      <c r="I61" s="72"/>
      <c r="J61" s="72"/>
      <c r="K61" s="35" t="s">
        <v>65</v>
      </c>
      <c r="L61" s="80">
        <v>61</v>
      </c>
      <c r="M61" s="80"/>
      <c r="N61" s="74"/>
      <c r="O61" s="82" t="s">
        <v>214</v>
      </c>
      <c r="P61" s="84">
        <v>44518.65739583333</v>
      </c>
      <c r="Q61" s="82" t="s">
        <v>579</v>
      </c>
      <c r="R61" s="85" t="str">
        <f>HYPERLINK("https://www.southampton.ac.uk/medicine/research/projects/germ-defence.page")</f>
        <v>https://www.southampton.ac.uk/medicine/research/projects/germ-defence.page</v>
      </c>
      <c r="S61" s="82" t="s">
        <v>905</v>
      </c>
      <c r="T61" s="87" t="s">
        <v>985</v>
      </c>
      <c r="U61" s="82"/>
      <c r="V61" s="85" t="str">
        <f>HYPERLINK("https://pbs.twimg.com/profile_images/506411328475389953/6odFfeAJ_normal.png")</f>
        <v>https://pbs.twimg.com/profile_images/506411328475389953/6odFfeAJ_normal.png</v>
      </c>
      <c r="W61" s="84">
        <v>44518.65739583333</v>
      </c>
      <c r="X61" s="90">
        <v>44518</v>
      </c>
      <c r="Y61" s="87" t="s">
        <v>1190</v>
      </c>
      <c r="Z61" s="85" t="str">
        <f>HYPERLINK("https://twitter.com/uos_primarycare/status/1461360212158287890")</f>
        <v>https://twitter.com/uos_primarycare/status/1461360212158287890</v>
      </c>
      <c r="AA61" s="82"/>
      <c r="AB61" s="82"/>
      <c r="AC61" s="87" t="s">
        <v>1496</v>
      </c>
      <c r="AD61" s="82"/>
      <c r="AE61" s="82" t="b">
        <v>0</v>
      </c>
      <c r="AF61" s="82">
        <v>0</v>
      </c>
      <c r="AG61" s="87" t="s">
        <v>1815</v>
      </c>
      <c r="AH61" s="82" t="b">
        <v>0</v>
      </c>
      <c r="AI61" s="82" t="s">
        <v>1826</v>
      </c>
      <c r="AJ61" s="82"/>
      <c r="AK61" s="87" t="s">
        <v>1815</v>
      </c>
      <c r="AL61" s="82" t="b">
        <v>0</v>
      </c>
      <c r="AM61" s="82">
        <v>0</v>
      </c>
      <c r="AN61" s="87" t="s">
        <v>1815</v>
      </c>
      <c r="AO61" s="87" t="s">
        <v>1850</v>
      </c>
      <c r="AP61" s="82" t="b">
        <v>0</v>
      </c>
      <c r="AQ61" s="87" t="s">
        <v>1496</v>
      </c>
      <c r="AR61" s="82"/>
      <c r="AS61" s="82">
        <v>0</v>
      </c>
      <c r="AT61" s="82">
        <v>0</v>
      </c>
      <c r="AU61" s="82"/>
      <c r="AV61" s="82"/>
      <c r="AW61" s="82"/>
      <c r="AX61" s="82"/>
      <c r="AY61" s="82"/>
      <c r="AZ61" s="82"/>
      <c r="BA61" s="82"/>
      <c r="BB61" s="82"/>
      <c r="BC61">
        <v>12</v>
      </c>
      <c r="BD61" s="81" t="str">
        <f>REPLACE(INDEX(GroupVertices[Group],MATCH(Edges[[#This Row],[Vertex 1]],GroupVertices[Vertex],0)),1,1,"")</f>
        <v>1</v>
      </c>
      <c r="BE61" s="81" t="str">
        <f>REPLACE(INDEX(GroupVertices[Group],MATCH(Edges[[#This Row],[Vertex 2]],GroupVertices[Vertex],0)),1,1,"")</f>
        <v>1</v>
      </c>
      <c r="BF61" s="49">
        <v>1</v>
      </c>
      <c r="BG61" s="50">
        <v>8.333333333333334</v>
      </c>
      <c r="BH61" s="49">
        <v>0</v>
      </c>
      <c r="BI61" s="50">
        <v>0</v>
      </c>
      <c r="BJ61" s="49">
        <v>0</v>
      </c>
      <c r="BK61" s="50">
        <v>0</v>
      </c>
      <c r="BL61" s="49">
        <v>11</v>
      </c>
      <c r="BM61" s="50">
        <v>91.66666666666667</v>
      </c>
      <c r="BN61" s="49">
        <v>12</v>
      </c>
    </row>
    <row r="62" spans="1:66" ht="15">
      <c r="A62" s="66" t="s">
        <v>284</v>
      </c>
      <c r="B62" s="66" t="s">
        <v>284</v>
      </c>
      <c r="C62" s="67" t="s">
        <v>4513</v>
      </c>
      <c r="D62" s="68">
        <v>10</v>
      </c>
      <c r="E62" s="69" t="s">
        <v>136</v>
      </c>
      <c r="F62" s="70">
        <v>24.27027027027027</v>
      </c>
      <c r="G62" s="67"/>
      <c r="H62" s="71"/>
      <c r="I62" s="72"/>
      <c r="J62" s="72"/>
      <c r="K62" s="35" t="s">
        <v>65</v>
      </c>
      <c r="L62" s="80">
        <v>62</v>
      </c>
      <c r="M62" s="80"/>
      <c r="N62" s="74"/>
      <c r="O62" s="82" t="s">
        <v>214</v>
      </c>
      <c r="P62" s="84">
        <v>44518.66253472222</v>
      </c>
      <c r="Q62" s="82" t="s">
        <v>580</v>
      </c>
      <c r="R62" s="85" t="str">
        <f>HYPERLINK("https://www.southampton.ac.uk/medicine/academic_units/academic_units/open-study.page")</f>
        <v>https://www.southampton.ac.uk/medicine/academic_units/academic_units/open-study.page</v>
      </c>
      <c r="S62" s="82" t="s">
        <v>905</v>
      </c>
      <c r="T62" s="87" t="s">
        <v>986</v>
      </c>
      <c r="U62" s="82"/>
      <c r="V62" s="85" t="str">
        <f>HYPERLINK("https://pbs.twimg.com/profile_images/506411328475389953/6odFfeAJ_normal.png")</f>
        <v>https://pbs.twimg.com/profile_images/506411328475389953/6odFfeAJ_normal.png</v>
      </c>
      <c r="W62" s="84">
        <v>44518.66253472222</v>
      </c>
      <c r="X62" s="90">
        <v>44518</v>
      </c>
      <c r="Y62" s="87" t="s">
        <v>1191</v>
      </c>
      <c r="Z62" s="85" t="str">
        <f>HYPERLINK("https://twitter.com/uos_primarycare/status/1461362070700453897")</f>
        <v>https://twitter.com/uos_primarycare/status/1461362070700453897</v>
      </c>
      <c r="AA62" s="82"/>
      <c r="AB62" s="82"/>
      <c r="AC62" s="87" t="s">
        <v>1497</v>
      </c>
      <c r="AD62" s="82"/>
      <c r="AE62" s="82" t="b">
        <v>0</v>
      </c>
      <c r="AF62" s="82">
        <v>0</v>
      </c>
      <c r="AG62" s="87" t="s">
        <v>1815</v>
      </c>
      <c r="AH62" s="82" t="b">
        <v>0</v>
      </c>
      <c r="AI62" s="82" t="s">
        <v>1826</v>
      </c>
      <c r="AJ62" s="82"/>
      <c r="AK62" s="87" t="s">
        <v>1815</v>
      </c>
      <c r="AL62" s="82" t="b">
        <v>0</v>
      </c>
      <c r="AM62" s="82">
        <v>0</v>
      </c>
      <c r="AN62" s="87" t="s">
        <v>1815</v>
      </c>
      <c r="AO62" s="87" t="s">
        <v>1850</v>
      </c>
      <c r="AP62" s="82" t="b">
        <v>0</v>
      </c>
      <c r="AQ62" s="87" t="s">
        <v>1497</v>
      </c>
      <c r="AR62" s="82"/>
      <c r="AS62" s="82">
        <v>0</v>
      </c>
      <c r="AT62" s="82">
        <v>0</v>
      </c>
      <c r="AU62" s="82"/>
      <c r="AV62" s="82"/>
      <c r="AW62" s="82"/>
      <c r="AX62" s="82"/>
      <c r="AY62" s="82"/>
      <c r="AZ62" s="82"/>
      <c r="BA62" s="82"/>
      <c r="BB62" s="82"/>
      <c r="BC62">
        <v>12</v>
      </c>
      <c r="BD62" s="81" t="str">
        <f>REPLACE(INDEX(GroupVertices[Group],MATCH(Edges[[#This Row],[Vertex 1]],GroupVertices[Vertex],0)),1,1,"")</f>
        <v>1</v>
      </c>
      <c r="BE62" s="81" t="str">
        <f>REPLACE(INDEX(GroupVertices[Group],MATCH(Edges[[#This Row],[Vertex 2]],GroupVertices[Vertex],0)),1,1,"")</f>
        <v>1</v>
      </c>
      <c r="BF62" s="49">
        <v>1</v>
      </c>
      <c r="BG62" s="50">
        <v>7.6923076923076925</v>
      </c>
      <c r="BH62" s="49">
        <v>0</v>
      </c>
      <c r="BI62" s="50">
        <v>0</v>
      </c>
      <c r="BJ62" s="49">
        <v>0</v>
      </c>
      <c r="BK62" s="50">
        <v>0</v>
      </c>
      <c r="BL62" s="49">
        <v>12</v>
      </c>
      <c r="BM62" s="50">
        <v>92.3076923076923</v>
      </c>
      <c r="BN62" s="49">
        <v>13</v>
      </c>
    </row>
    <row r="63" spans="1:66" ht="15">
      <c r="A63" s="66" t="s">
        <v>284</v>
      </c>
      <c r="B63" s="66" t="s">
        <v>284</v>
      </c>
      <c r="C63" s="67" t="s">
        <v>4513</v>
      </c>
      <c r="D63" s="68">
        <v>10</v>
      </c>
      <c r="E63" s="69" t="s">
        <v>136</v>
      </c>
      <c r="F63" s="70">
        <v>24.27027027027027</v>
      </c>
      <c r="G63" s="67"/>
      <c r="H63" s="71"/>
      <c r="I63" s="72"/>
      <c r="J63" s="72"/>
      <c r="K63" s="35" t="s">
        <v>65</v>
      </c>
      <c r="L63" s="80">
        <v>63</v>
      </c>
      <c r="M63" s="80"/>
      <c r="N63" s="74"/>
      <c r="O63" s="82" t="s">
        <v>214</v>
      </c>
      <c r="P63" s="84">
        <v>44518.664976851855</v>
      </c>
      <c r="Q63" s="82" t="s">
        <v>581</v>
      </c>
      <c r="R63" s="85" t="str">
        <f>HYPERLINK("https://www.southampton.ac.uk/medicine/academic_units/projects/articpc.page")</f>
        <v>https://www.southampton.ac.uk/medicine/academic_units/projects/articpc.page</v>
      </c>
      <c r="S63" s="82" t="s">
        <v>905</v>
      </c>
      <c r="T63" s="87" t="s">
        <v>986</v>
      </c>
      <c r="U63" s="82"/>
      <c r="V63" s="85" t="str">
        <f>HYPERLINK("https://pbs.twimg.com/profile_images/506411328475389953/6odFfeAJ_normal.png")</f>
        <v>https://pbs.twimg.com/profile_images/506411328475389953/6odFfeAJ_normal.png</v>
      </c>
      <c r="W63" s="84">
        <v>44518.664976851855</v>
      </c>
      <c r="X63" s="90">
        <v>44518</v>
      </c>
      <c r="Y63" s="87" t="s">
        <v>1192</v>
      </c>
      <c r="Z63" s="85" t="str">
        <f>HYPERLINK("https://twitter.com/uos_primarycare/status/1461362958718496773")</f>
        <v>https://twitter.com/uos_primarycare/status/1461362958718496773</v>
      </c>
      <c r="AA63" s="82"/>
      <c r="AB63" s="82"/>
      <c r="AC63" s="87" t="s">
        <v>1498</v>
      </c>
      <c r="AD63" s="82"/>
      <c r="AE63" s="82" t="b">
        <v>0</v>
      </c>
      <c r="AF63" s="82">
        <v>0</v>
      </c>
      <c r="AG63" s="87" t="s">
        <v>1815</v>
      </c>
      <c r="AH63" s="82" t="b">
        <v>0</v>
      </c>
      <c r="AI63" s="82" t="s">
        <v>1826</v>
      </c>
      <c r="AJ63" s="82"/>
      <c r="AK63" s="87" t="s">
        <v>1815</v>
      </c>
      <c r="AL63" s="82" t="b">
        <v>0</v>
      </c>
      <c r="AM63" s="82">
        <v>0</v>
      </c>
      <c r="AN63" s="87" t="s">
        <v>1815</v>
      </c>
      <c r="AO63" s="87" t="s">
        <v>1850</v>
      </c>
      <c r="AP63" s="82" t="b">
        <v>0</v>
      </c>
      <c r="AQ63" s="87" t="s">
        <v>1498</v>
      </c>
      <c r="AR63" s="82"/>
      <c r="AS63" s="82">
        <v>0</v>
      </c>
      <c r="AT63" s="82">
        <v>0</v>
      </c>
      <c r="AU63" s="82"/>
      <c r="AV63" s="82"/>
      <c r="AW63" s="82"/>
      <c r="AX63" s="82"/>
      <c r="AY63" s="82"/>
      <c r="AZ63" s="82"/>
      <c r="BA63" s="82"/>
      <c r="BB63" s="82"/>
      <c r="BC63">
        <v>12</v>
      </c>
      <c r="BD63" s="81" t="str">
        <f>REPLACE(INDEX(GroupVertices[Group],MATCH(Edges[[#This Row],[Vertex 1]],GroupVertices[Vertex],0)),1,1,"")</f>
        <v>1</v>
      </c>
      <c r="BE63" s="81" t="str">
        <f>REPLACE(INDEX(GroupVertices[Group],MATCH(Edges[[#This Row],[Vertex 2]],GroupVertices[Vertex],0)),1,1,"")</f>
        <v>1</v>
      </c>
      <c r="BF63" s="49">
        <v>1</v>
      </c>
      <c r="BG63" s="50">
        <v>7.142857142857143</v>
      </c>
      <c r="BH63" s="49">
        <v>0</v>
      </c>
      <c r="BI63" s="50">
        <v>0</v>
      </c>
      <c r="BJ63" s="49">
        <v>0</v>
      </c>
      <c r="BK63" s="50">
        <v>0</v>
      </c>
      <c r="BL63" s="49">
        <v>13</v>
      </c>
      <c r="BM63" s="50">
        <v>92.85714285714286</v>
      </c>
      <c r="BN63" s="49">
        <v>14</v>
      </c>
    </row>
    <row r="64" spans="1:66" ht="15">
      <c r="A64" s="66" t="s">
        <v>284</v>
      </c>
      <c r="B64" s="66" t="s">
        <v>284</v>
      </c>
      <c r="C64" s="67" t="s">
        <v>4513</v>
      </c>
      <c r="D64" s="68">
        <v>10</v>
      </c>
      <c r="E64" s="69" t="s">
        <v>136</v>
      </c>
      <c r="F64" s="70">
        <v>24.27027027027027</v>
      </c>
      <c r="G64" s="67"/>
      <c r="H64" s="71"/>
      <c r="I64" s="72"/>
      <c r="J64" s="72"/>
      <c r="K64" s="35" t="s">
        <v>65</v>
      </c>
      <c r="L64" s="80">
        <v>64</v>
      </c>
      <c r="M64" s="80"/>
      <c r="N64" s="74"/>
      <c r="O64" s="82" t="s">
        <v>214</v>
      </c>
      <c r="P64" s="84">
        <v>44518.66369212963</v>
      </c>
      <c r="Q64" s="82" t="s">
        <v>582</v>
      </c>
      <c r="R64" s="85" t="str">
        <f>HYPERLINK("https://www.southampton.ac.uk/medicine/academic_units/projects/supporting-targeting-of-antibiotics-primary-care.page")</f>
        <v>https://www.southampton.ac.uk/medicine/academic_units/projects/supporting-targeting-of-antibiotics-primary-care.page</v>
      </c>
      <c r="S64" s="82" t="s">
        <v>905</v>
      </c>
      <c r="T64" s="87" t="s">
        <v>986</v>
      </c>
      <c r="U64" s="82"/>
      <c r="V64" s="85" t="str">
        <f>HYPERLINK("https://pbs.twimg.com/profile_images/506411328475389953/6odFfeAJ_normal.png")</f>
        <v>https://pbs.twimg.com/profile_images/506411328475389953/6odFfeAJ_normal.png</v>
      </c>
      <c r="W64" s="84">
        <v>44518.66369212963</v>
      </c>
      <c r="X64" s="90">
        <v>44518</v>
      </c>
      <c r="Y64" s="87" t="s">
        <v>1193</v>
      </c>
      <c r="Z64" s="85" t="str">
        <f>HYPERLINK("https://twitter.com/uos_primarycare/status/1461362492894973954")</f>
        <v>https://twitter.com/uos_primarycare/status/1461362492894973954</v>
      </c>
      <c r="AA64" s="82"/>
      <c r="AB64" s="82"/>
      <c r="AC64" s="87" t="s">
        <v>1499</v>
      </c>
      <c r="AD64" s="82"/>
      <c r="AE64" s="82" t="b">
        <v>0</v>
      </c>
      <c r="AF64" s="82">
        <v>0</v>
      </c>
      <c r="AG64" s="87" t="s">
        <v>1815</v>
      </c>
      <c r="AH64" s="82" t="b">
        <v>0</v>
      </c>
      <c r="AI64" s="82" t="s">
        <v>1826</v>
      </c>
      <c r="AJ64" s="82"/>
      <c r="AK64" s="87" t="s">
        <v>1815</v>
      </c>
      <c r="AL64" s="82" t="b">
        <v>0</v>
      </c>
      <c r="AM64" s="82">
        <v>0</v>
      </c>
      <c r="AN64" s="87" t="s">
        <v>1815</v>
      </c>
      <c r="AO64" s="87" t="s">
        <v>1850</v>
      </c>
      <c r="AP64" s="82" t="b">
        <v>0</v>
      </c>
      <c r="AQ64" s="87" t="s">
        <v>1499</v>
      </c>
      <c r="AR64" s="82"/>
      <c r="AS64" s="82">
        <v>0</v>
      </c>
      <c r="AT64" s="82">
        <v>0</v>
      </c>
      <c r="AU64" s="82"/>
      <c r="AV64" s="82"/>
      <c r="AW64" s="82"/>
      <c r="AX64" s="82"/>
      <c r="AY64" s="82"/>
      <c r="AZ64" s="82"/>
      <c r="BA64" s="82"/>
      <c r="BB64" s="82"/>
      <c r="BC64">
        <v>12</v>
      </c>
      <c r="BD64" s="81" t="str">
        <f>REPLACE(INDEX(GroupVertices[Group],MATCH(Edges[[#This Row],[Vertex 1]],GroupVertices[Vertex],0)),1,1,"")</f>
        <v>1</v>
      </c>
      <c r="BE64" s="81" t="str">
        <f>REPLACE(INDEX(GroupVertices[Group],MATCH(Edges[[#This Row],[Vertex 2]],GroupVertices[Vertex],0)),1,1,"")</f>
        <v>1</v>
      </c>
      <c r="BF64" s="49">
        <v>1</v>
      </c>
      <c r="BG64" s="50">
        <v>7.142857142857143</v>
      </c>
      <c r="BH64" s="49">
        <v>0</v>
      </c>
      <c r="BI64" s="50">
        <v>0</v>
      </c>
      <c r="BJ64" s="49">
        <v>0</v>
      </c>
      <c r="BK64" s="50">
        <v>0</v>
      </c>
      <c r="BL64" s="49">
        <v>13</v>
      </c>
      <c r="BM64" s="50">
        <v>92.85714285714286</v>
      </c>
      <c r="BN64" s="49">
        <v>14</v>
      </c>
    </row>
    <row r="65" spans="1:66" ht="15">
      <c r="A65" s="66" t="s">
        <v>284</v>
      </c>
      <c r="B65" s="66" t="s">
        <v>284</v>
      </c>
      <c r="C65" s="67" t="s">
        <v>4513</v>
      </c>
      <c r="D65" s="68">
        <v>10</v>
      </c>
      <c r="E65" s="69" t="s">
        <v>136</v>
      </c>
      <c r="F65" s="70">
        <v>24.27027027027027</v>
      </c>
      <c r="G65" s="67"/>
      <c r="H65" s="71"/>
      <c r="I65" s="72"/>
      <c r="J65" s="72"/>
      <c r="K65" s="35" t="s">
        <v>65</v>
      </c>
      <c r="L65" s="80">
        <v>65</v>
      </c>
      <c r="M65" s="80"/>
      <c r="N65" s="74"/>
      <c r="O65" s="82" t="s">
        <v>214</v>
      </c>
      <c r="P65" s="84">
        <v>44518.62949074074</v>
      </c>
      <c r="Q65" s="82" t="s">
        <v>583</v>
      </c>
      <c r="R65" s="85" t="str">
        <f>HYPERLINK("https://www.southampton.ac.uk/medicine/academic_units/projects/chat-copd.page")</f>
        <v>https://www.southampton.ac.uk/medicine/academic_units/projects/chat-copd.page</v>
      </c>
      <c r="S65" s="82" t="s">
        <v>905</v>
      </c>
      <c r="T65" s="87" t="s">
        <v>985</v>
      </c>
      <c r="U65" s="82"/>
      <c r="V65" s="85" t="str">
        <f>HYPERLINK("https://pbs.twimg.com/profile_images/506411328475389953/6odFfeAJ_normal.png")</f>
        <v>https://pbs.twimg.com/profile_images/506411328475389953/6odFfeAJ_normal.png</v>
      </c>
      <c r="W65" s="84">
        <v>44518.62949074074</v>
      </c>
      <c r="X65" s="90">
        <v>44518</v>
      </c>
      <c r="Y65" s="87" t="s">
        <v>1194</v>
      </c>
      <c r="Z65" s="85" t="str">
        <f>HYPERLINK("https://twitter.com/uos_primarycare/status/1461350097103450112")</f>
        <v>https://twitter.com/uos_primarycare/status/1461350097103450112</v>
      </c>
      <c r="AA65" s="82"/>
      <c r="AB65" s="82"/>
      <c r="AC65" s="87" t="s">
        <v>1500</v>
      </c>
      <c r="AD65" s="82"/>
      <c r="AE65" s="82" t="b">
        <v>0</v>
      </c>
      <c r="AF65" s="82">
        <v>0</v>
      </c>
      <c r="AG65" s="87" t="s">
        <v>1815</v>
      </c>
      <c r="AH65" s="82" t="b">
        <v>0</v>
      </c>
      <c r="AI65" s="82" t="s">
        <v>1826</v>
      </c>
      <c r="AJ65" s="82"/>
      <c r="AK65" s="87" t="s">
        <v>1815</v>
      </c>
      <c r="AL65" s="82" t="b">
        <v>0</v>
      </c>
      <c r="AM65" s="82">
        <v>0</v>
      </c>
      <c r="AN65" s="87" t="s">
        <v>1815</v>
      </c>
      <c r="AO65" s="87" t="s">
        <v>1850</v>
      </c>
      <c r="AP65" s="82" t="b">
        <v>0</v>
      </c>
      <c r="AQ65" s="87" t="s">
        <v>1500</v>
      </c>
      <c r="AR65" s="82"/>
      <c r="AS65" s="82">
        <v>0</v>
      </c>
      <c r="AT65" s="82">
        <v>0</v>
      </c>
      <c r="AU65" s="82"/>
      <c r="AV65" s="82"/>
      <c r="AW65" s="82"/>
      <c r="AX65" s="82"/>
      <c r="AY65" s="82"/>
      <c r="AZ65" s="82"/>
      <c r="BA65" s="82"/>
      <c r="BB65" s="82"/>
      <c r="BC65">
        <v>12</v>
      </c>
      <c r="BD65" s="81" t="str">
        <f>REPLACE(INDEX(GroupVertices[Group],MATCH(Edges[[#This Row],[Vertex 1]],GroupVertices[Vertex],0)),1,1,"")</f>
        <v>1</v>
      </c>
      <c r="BE65" s="81" t="str">
        <f>REPLACE(INDEX(GroupVertices[Group],MATCH(Edges[[#This Row],[Vertex 2]],GroupVertices[Vertex],0)),1,1,"")</f>
        <v>1</v>
      </c>
      <c r="BF65" s="49">
        <v>1</v>
      </c>
      <c r="BG65" s="50">
        <v>8.333333333333334</v>
      </c>
      <c r="BH65" s="49">
        <v>0</v>
      </c>
      <c r="BI65" s="50">
        <v>0</v>
      </c>
      <c r="BJ65" s="49">
        <v>0</v>
      </c>
      <c r="BK65" s="50">
        <v>0</v>
      </c>
      <c r="BL65" s="49">
        <v>11</v>
      </c>
      <c r="BM65" s="50">
        <v>91.66666666666667</v>
      </c>
      <c r="BN65" s="49">
        <v>12</v>
      </c>
    </row>
    <row r="66" spans="1:66" ht="15">
      <c r="A66" s="66" t="s">
        <v>284</v>
      </c>
      <c r="B66" s="66" t="s">
        <v>284</v>
      </c>
      <c r="C66" s="67" t="s">
        <v>4513</v>
      </c>
      <c r="D66" s="68">
        <v>10</v>
      </c>
      <c r="E66" s="69" t="s">
        <v>136</v>
      </c>
      <c r="F66" s="70">
        <v>24.27027027027027</v>
      </c>
      <c r="G66" s="67"/>
      <c r="H66" s="71"/>
      <c r="I66" s="72"/>
      <c r="J66" s="72"/>
      <c r="K66" s="35" t="s">
        <v>65</v>
      </c>
      <c r="L66" s="80">
        <v>66</v>
      </c>
      <c r="M66" s="80"/>
      <c r="N66" s="74"/>
      <c r="O66" s="82" t="s">
        <v>214</v>
      </c>
      <c r="P66" s="84">
        <v>44518.66439814815</v>
      </c>
      <c r="Q66" s="82" t="s">
        <v>584</v>
      </c>
      <c r="R66" s="85" t="str">
        <f>HYPERLINK("https://www.southampton.ac.uk/medicine/academic_units/projects/hatric.page")</f>
        <v>https://www.southampton.ac.uk/medicine/academic_units/projects/hatric.page</v>
      </c>
      <c r="S66" s="82" t="s">
        <v>905</v>
      </c>
      <c r="T66" s="87" t="s">
        <v>986</v>
      </c>
      <c r="U66" s="82"/>
      <c r="V66" s="85" t="str">
        <f>HYPERLINK("https://pbs.twimg.com/profile_images/506411328475389953/6odFfeAJ_normal.png")</f>
        <v>https://pbs.twimg.com/profile_images/506411328475389953/6odFfeAJ_normal.png</v>
      </c>
      <c r="W66" s="84">
        <v>44518.66439814815</v>
      </c>
      <c r="X66" s="90">
        <v>44518</v>
      </c>
      <c r="Y66" s="87" t="s">
        <v>1195</v>
      </c>
      <c r="Z66" s="85" t="str">
        <f>HYPERLINK("https://twitter.com/uos_primarycare/status/1461362747111739402")</f>
        <v>https://twitter.com/uos_primarycare/status/1461362747111739402</v>
      </c>
      <c r="AA66" s="82"/>
      <c r="AB66" s="82"/>
      <c r="AC66" s="87" t="s">
        <v>1501</v>
      </c>
      <c r="AD66" s="82"/>
      <c r="AE66" s="82" t="b">
        <v>0</v>
      </c>
      <c r="AF66" s="82">
        <v>0</v>
      </c>
      <c r="AG66" s="87" t="s">
        <v>1815</v>
      </c>
      <c r="AH66" s="82" t="b">
        <v>0</v>
      </c>
      <c r="AI66" s="82" t="s">
        <v>1826</v>
      </c>
      <c r="AJ66" s="82"/>
      <c r="AK66" s="87" t="s">
        <v>1815</v>
      </c>
      <c r="AL66" s="82" t="b">
        <v>0</v>
      </c>
      <c r="AM66" s="82">
        <v>0</v>
      </c>
      <c r="AN66" s="87" t="s">
        <v>1815</v>
      </c>
      <c r="AO66" s="87" t="s">
        <v>1850</v>
      </c>
      <c r="AP66" s="82" t="b">
        <v>0</v>
      </c>
      <c r="AQ66" s="87" t="s">
        <v>1501</v>
      </c>
      <c r="AR66" s="82"/>
      <c r="AS66" s="82">
        <v>0</v>
      </c>
      <c r="AT66" s="82">
        <v>0</v>
      </c>
      <c r="AU66" s="82"/>
      <c r="AV66" s="82"/>
      <c r="AW66" s="82"/>
      <c r="AX66" s="82"/>
      <c r="AY66" s="82"/>
      <c r="AZ66" s="82"/>
      <c r="BA66" s="82"/>
      <c r="BB66" s="82"/>
      <c r="BC66">
        <v>12</v>
      </c>
      <c r="BD66" s="81" t="str">
        <f>REPLACE(INDEX(GroupVertices[Group],MATCH(Edges[[#This Row],[Vertex 1]],GroupVertices[Vertex],0)),1,1,"")</f>
        <v>1</v>
      </c>
      <c r="BE66" s="81" t="str">
        <f>REPLACE(INDEX(GroupVertices[Group],MATCH(Edges[[#This Row],[Vertex 2]],GroupVertices[Vertex],0)),1,1,"")</f>
        <v>1</v>
      </c>
      <c r="BF66" s="49">
        <v>1</v>
      </c>
      <c r="BG66" s="50">
        <v>7.6923076923076925</v>
      </c>
      <c r="BH66" s="49">
        <v>0</v>
      </c>
      <c r="BI66" s="50">
        <v>0</v>
      </c>
      <c r="BJ66" s="49">
        <v>0</v>
      </c>
      <c r="BK66" s="50">
        <v>0</v>
      </c>
      <c r="BL66" s="49">
        <v>12</v>
      </c>
      <c r="BM66" s="50">
        <v>92.3076923076923</v>
      </c>
      <c r="BN66" s="49">
        <v>13</v>
      </c>
    </row>
    <row r="67" spans="1:66" ht="15">
      <c r="A67" s="66" t="s">
        <v>284</v>
      </c>
      <c r="B67" s="66" t="s">
        <v>284</v>
      </c>
      <c r="C67" s="67" t="s">
        <v>4513</v>
      </c>
      <c r="D67" s="68">
        <v>10</v>
      </c>
      <c r="E67" s="69" t="s">
        <v>136</v>
      </c>
      <c r="F67" s="70">
        <v>24.27027027027027</v>
      </c>
      <c r="G67" s="67"/>
      <c r="H67" s="71"/>
      <c r="I67" s="72"/>
      <c r="J67" s="72"/>
      <c r="K67" s="35" t="s">
        <v>65</v>
      </c>
      <c r="L67" s="80">
        <v>67</v>
      </c>
      <c r="M67" s="80"/>
      <c r="N67" s="74"/>
      <c r="O67" s="82" t="s">
        <v>214</v>
      </c>
      <c r="P67" s="84">
        <v>44518.664039351854</v>
      </c>
      <c r="Q67" s="82" t="s">
        <v>585</v>
      </c>
      <c r="R67" s="85" t="str">
        <f>HYPERLINK("https://www.southampton.ac.uk/medicine/academic_units/projects/princess.page")</f>
        <v>https://www.southampton.ac.uk/medicine/academic_units/projects/princess.page</v>
      </c>
      <c r="S67" s="82" t="s">
        <v>905</v>
      </c>
      <c r="T67" s="87" t="s">
        <v>986</v>
      </c>
      <c r="U67" s="82"/>
      <c r="V67" s="85" t="str">
        <f>HYPERLINK("https://pbs.twimg.com/profile_images/506411328475389953/6odFfeAJ_normal.png")</f>
        <v>https://pbs.twimg.com/profile_images/506411328475389953/6odFfeAJ_normal.png</v>
      </c>
      <c r="W67" s="84">
        <v>44518.664039351854</v>
      </c>
      <c r="X67" s="90">
        <v>44518</v>
      </c>
      <c r="Y67" s="87" t="s">
        <v>1196</v>
      </c>
      <c r="Z67" s="85" t="str">
        <f>HYPERLINK("https://twitter.com/uos_primarycare/status/1461362616958259206")</f>
        <v>https://twitter.com/uos_primarycare/status/1461362616958259206</v>
      </c>
      <c r="AA67" s="82"/>
      <c r="AB67" s="82"/>
      <c r="AC67" s="87" t="s">
        <v>1502</v>
      </c>
      <c r="AD67" s="82"/>
      <c r="AE67" s="82" t="b">
        <v>0</v>
      </c>
      <c r="AF67" s="82">
        <v>0</v>
      </c>
      <c r="AG67" s="87" t="s">
        <v>1815</v>
      </c>
      <c r="AH67" s="82" t="b">
        <v>0</v>
      </c>
      <c r="AI67" s="82" t="s">
        <v>1826</v>
      </c>
      <c r="AJ67" s="82"/>
      <c r="AK67" s="87" t="s">
        <v>1815</v>
      </c>
      <c r="AL67" s="82" t="b">
        <v>0</v>
      </c>
      <c r="AM67" s="82">
        <v>0</v>
      </c>
      <c r="AN67" s="87" t="s">
        <v>1815</v>
      </c>
      <c r="AO67" s="87" t="s">
        <v>1850</v>
      </c>
      <c r="AP67" s="82" t="b">
        <v>0</v>
      </c>
      <c r="AQ67" s="87" t="s">
        <v>1502</v>
      </c>
      <c r="AR67" s="82"/>
      <c r="AS67" s="82">
        <v>0</v>
      </c>
      <c r="AT67" s="82">
        <v>0</v>
      </c>
      <c r="AU67" s="82"/>
      <c r="AV67" s="82"/>
      <c r="AW67" s="82"/>
      <c r="AX67" s="82"/>
      <c r="AY67" s="82"/>
      <c r="AZ67" s="82"/>
      <c r="BA67" s="82"/>
      <c r="BB67" s="82"/>
      <c r="BC67">
        <v>12</v>
      </c>
      <c r="BD67" s="81" t="str">
        <f>REPLACE(INDEX(GroupVertices[Group],MATCH(Edges[[#This Row],[Vertex 1]],GroupVertices[Vertex],0)),1,1,"")</f>
        <v>1</v>
      </c>
      <c r="BE67" s="81" t="str">
        <f>REPLACE(INDEX(GroupVertices[Group],MATCH(Edges[[#This Row],[Vertex 2]],GroupVertices[Vertex],0)),1,1,"")</f>
        <v>1</v>
      </c>
      <c r="BF67" s="49">
        <v>1</v>
      </c>
      <c r="BG67" s="50">
        <v>7.6923076923076925</v>
      </c>
      <c r="BH67" s="49">
        <v>0</v>
      </c>
      <c r="BI67" s="50">
        <v>0</v>
      </c>
      <c r="BJ67" s="49">
        <v>0</v>
      </c>
      <c r="BK67" s="50">
        <v>0</v>
      </c>
      <c r="BL67" s="49">
        <v>12</v>
      </c>
      <c r="BM67" s="50">
        <v>92.3076923076923</v>
      </c>
      <c r="BN67" s="49">
        <v>13</v>
      </c>
    </row>
    <row r="68" spans="1:66" ht="15">
      <c r="A68" s="66" t="s">
        <v>284</v>
      </c>
      <c r="B68" s="66" t="s">
        <v>284</v>
      </c>
      <c r="C68" s="67" t="s">
        <v>4513</v>
      </c>
      <c r="D68" s="68">
        <v>10</v>
      </c>
      <c r="E68" s="69" t="s">
        <v>136</v>
      </c>
      <c r="F68" s="70">
        <v>24.27027027027027</v>
      </c>
      <c r="G68" s="67"/>
      <c r="H68" s="71"/>
      <c r="I68" s="72"/>
      <c r="J68" s="72"/>
      <c r="K68" s="35" t="s">
        <v>65</v>
      </c>
      <c r="L68" s="80">
        <v>68</v>
      </c>
      <c r="M68" s="80"/>
      <c r="N68" s="74"/>
      <c r="O68" s="82" t="s">
        <v>214</v>
      </c>
      <c r="P68" s="84">
        <v>44518.66326388889</v>
      </c>
      <c r="Q68" s="82" t="s">
        <v>586</v>
      </c>
      <c r="R68" s="82"/>
      <c r="S68" s="82"/>
      <c r="T68" s="87" t="s">
        <v>986</v>
      </c>
      <c r="U68" s="82"/>
      <c r="V68" s="85" t="str">
        <f>HYPERLINK("https://pbs.twimg.com/profile_images/506411328475389953/6odFfeAJ_normal.png")</f>
        <v>https://pbs.twimg.com/profile_images/506411328475389953/6odFfeAJ_normal.png</v>
      </c>
      <c r="W68" s="84">
        <v>44518.66326388889</v>
      </c>
      <c r="X68" s="90">
        <v>44518</v>
      </c>
      <c r="Y68" s="87" t="s">
        <v>1197</v>
      </c>
      <c r="Z68" s="85" t="str">
        <f>HYPERLINK("https://twitter.com/uos_primarycare/status/1461362335755345933")</f>
        <v>https://twitter.com/uos_primarycare/status/1461362335755345933</v>
      </c>
      <c r="AA68" s="82"/>
      <c r="AB68" s="82"/>
      <c r="AC68" s="87" t="s">
        <v>1503</v>
      </c>
      <c r="AD68" s="82"/>
      <c r="AE68" s="82" t="b">
        <v>0</v>
      </c>
      <c r="AF68" s="82">
        <v>0</v>
      </c>
      <c r="AG68" s="87" t="s">
        <v>1815</v>
      </c>
      <c r="AH68" s="82" t="b">
        <v>0</v>
      </c>
      <c r="AI68" s="82" t="s">
        <v>1826</v>
      </c>
      <c r="AJ68" s="82"/>
      <c r="AK68" s="87" t="s">
        <v>1815</v>
      </c>
      <c r="AL68" s="82" t="b">
        <v>0</v>
      </c>
      <c r="AM68" s="82">
        <v>0</v>
      </c>
      <c r="AN68" s="87" t="s">
        <v>1815</v>
      </c>
      <c r="AO68" s="87" t="s">
        <v>1850</v>
      </c>
      <c r="AP68" s="82" t="b">
        <v>0</v>
      </c>
      <c r="AQ68" s="87" t="s">
        <v>1503</v>
      </c>
      <c r="AR68" s="82"/>
      <c r="AS68" s="82">
        <v>0</v>
      </c>
      <c r="AT68" s="82">
        <v>0</v>
      </c>
      <c r="AU68" s="82"/>
      <c r="AV68" s="82"/>
      <c r="AW68" s="82"/>
      <c r="AX68" s="82"/>
      <c r="AY68" s="82"/>
      <c r="AZ68" s="82"/>
      <c r="BA68" s="82"/>
      <c r="BB68" s="82"/>
      <c r="BC68">
        <v>12</v>
      </c>
      <c r="BD68" s="81" t="str">
        <f>REPLACE(INDEX(GroupVertices[Group],MATCH(Edges[[#This Row],[Vertex 1]],GroupVertices[Vertex],0)),1,1,"")</f>
        <v>1</v>
      </c>
      <c r="BE68" s="81" t="str">
        <f>REPLACE(INDEX(GroupVertices[Group],MATCH(Edges[[#This Row],[Vertex 2]],GroupVertices[Vertex],0)),1,1,"")</f>
        <v>1</v>
      </c>
      <c r="BF68" s="49">
        <v>1</v>
      </c>
      <c r="BG68" s="50">
        <v>6.25</v>
      </c>
      <c r="BH68" s="49">
        <v>0</v>
      </c>
      <c r="BI68" s="50">
        <v>0</v>
      </c>
      <c r="BJ68" s="49">
        <v>0</v>
      </c>
      <c r="BK68" s="50">
        <v>0</v>
      </c>
      <c r="BL68" s="49">
        <v>15</v>
      </c>
      <c r="BM68" s="50">
        <v>93.75</v>
      </c>
      <c r="BN68" s="49">
        <v>16</v>
      </c>
    </row>
    <row r="69" spans="1:66" ht="15">
      <c r="A69" s="66" t="s">
        <v>284</v>
      </c>
      <c r="B69" s="66" t="s">
        <v>284</v>
      </c>
      <c r="C69" s="67" t="s">
        <v>4513</v>
      </c>
      <c r="D69" s="68">
        <v>10</v>
      </c>
      <c r="E69" s="69" t="s">
        <v>136</v>
      </c>
      <c r="F69" s="70">
        <v>24.27027027027027</v>
      </c>
      <c r="G69" s="67"/>
      <c r="H69" s="71"/>
      <c r="I69" s="72"/>
      <c r="J69" s="72"/>
      <c r="K69" s="35" t="s">
        <v>65</v>
      </c>
      <c r="L69" s="80">
        <v>69</v>
      </c>
      <c r="M69" s="80"/>
      <c r="N69" s="74"/>
      <c r="O69" s="82" t="s">
        <v>214</v>
      </c>
      <c r="P69" s="84">
        <v>44518.63585648148</v>
      </c>
      <c r="Q69" s="82" t="s">
        <v>587</v>
      </c>
      <c r="R69" s="85" t="str">
        <f>HYPERLINK("https://www.southampton.ac.uk/medicine/academic_units/projects/4s.page")</f>
        <v>https://www.southampton.ac.uk/medicine/academic_units/projects/4s.page</v>
      </c>
      <c r="S69" s="82" t="s">
        <v>905</v>
      </c>
      <c r="T69" s="87" t="s">
        <v>985</v>
      </c>
      <c r="U69" s="82"/>
      <c r="V69" s="85" t="str">
        <f>HYPERLINK("https://pbs.twimg.com/profile_images/506411328475389953/6odFfeAJ_normal.png")</f>
        <v>https://pbs.twimg.com/profile_images/506411328475389953/6odFfeAJ_normal.png</v>
      </c>
      <c r="W69" s="84">
        <v>44518.63585648148</v>
      </c>
      <c r="X69" s="90">
        <v>44518</v>
      </c>
      <c r="Y69" s="87" t="s">
        <v>1198</v>
      </c>
      <c r="Z69" s="85" t="str">
        <f>HYPERLINK("https://twitter.com/uos_primarycare/status/1461352405828653058")</f>
        <v>https://twitter.com/uos_primarycare/status/1461352405828653058</v>
      </c>
      <c r="AA69" s="82"/>
      <c r="AB69" s="82"/>
      <c r="AC69" s="87" t="s">
        <v>1504</v>
      </c>
      <c r="AD69" s="82"/>
      <c r="AE69" s="82" t="b">
        <v>0</v>
      </c>
      <c r="AF69" s="82">
        <v>0</v>
      </c>
      <c r="AG69" s="87" t="s">
        <v>1815</v>
      </c>
      <c r="AH69" s="82" t="b">
        <v>0</v>
      </c>
      <c r="AI69" s="82" t="s">
        <v>1826</v>
      </c>
      <c r="AJ69" s="82"/>
      <c r="AK69" s="87" t="s">
        <v>1815</v>
      </c>
      <c r="AL69" s="82" t="b">
        <v>0</v>
      </c>
      <c r="AM69" s="82">
        <v>0</v>
      </c>
      <c r="AN69" s="87" t="s">
        <v>1815</v>
      </c>
      <c r="AO69" s="87" t="s">
        <v>1850</v>
      </c>
      <c r="AP69" s="82" t="b">
        <v>0</v>
      </c>
      <c r="AQ69" s="87" t="s">
        <v>1504</v>
      </c>
      <c r="AR69" s="82"/>
      <c r="AS69" s="82">
        <v>0</v>
      </c>
      <c r="AT69" s="82">
        <v>0</v>
      </c>
      <c r="AU69" s="82"/>
      <c r="AV69" s="82"/>
      <c r="AW69" s="82"/>
      <c r="AX69" s="82"/>
      <c r="AY69" s="82"/>
      <c r="AZ69" s="82"/>
      <c r="BA69" s="82"/>
      <c r="BB69" s="82"/>
      <c r="BC69">
        <v>12</v>
      </c>
      <c r="BD69" s="81" t="str">
        <f>REPLACE(INDEX(GroupVertices[Group],MATCH(Edges[[#This Row],[Vertex 1]],GroupVertices[Vertex],0)),1,1,"")</f>
        <v>1</v>
      </c>
      <c r="BE69" s="81" t="str">
        <f>REPLACE(INDEX(GroupVertices[Group],MATCH(Edges[[#This Row],[Vertex 2]],GroupVertices[Vertex],0)),1,1,"")</f>
        <v>1</v>
      </c>
      <c r="BF69" s="49">
        <v>1</v>
      </c>
      <c r="BG69" s="50">
        <v>9.090909090909092</v>
      </c>
      <c r="BH69" s="49">
        <v>0</v>
      </c>
      <c r="BI69" s="50">
        <v>0</v>
      </c>
      <c r="BJ69" s="49">
        <v>0</v>
      </c>
      <c r="BK69" s="50">
        <v>0</v>
      </c>
      <c r="BL69" s="49">
        <v>10</v>
      </c>
      <c r="BM69" s="50">
        <v>90.9090909090909</v>
      </c>
      <c r="BN69" s="49">
        <v>11</v>
      </c>
    </row>
    <row r="70" spans="1:66" ht="15">
      <c r="A70" s="66" t="s">
        <v>285</v>
      </c>
      <c r="B70" s="66" t="s">
        <v>285</v>
      </c>
      <c r="C70" s="67" t="s">
        <v>4512</v>
      </c>
      <c r="D70" s="68">
        <v>4.2727272727272725</v>
      </c>
      <c r="E70" s="69" t="s">
        <v>136</v>
      </c>
      <c r="F70" s="70">
        <v>30.594594594594593</v>
      </c>
      <c r="G70" s="67"/>
      <c r="H70" s="71"/>
      <c r="I70" s="72"/>
      <c r="J70" s="72"/>
      <c r="K70" s="35" t="s">
        <v>65</v>
      </c>
      <c r="L70" s="80">
        <v>70</v>
      </c>
      <c r="M70" s="80"/>
      <c r="N70" s="74"/>
      <c r="O70" s="82" t="s">
        <v>214</v>
      </c>
      <c r="P70" s="84">
        <v>44518.62501157408</v>
      </c>
      <c r="Q70" s="82" t="s">
        <v>588</v>
      </c>
      <c r="R70" s="82"/>
      <c r="S70" s="82"/>
      <c r="T70" s="87" t="s">
        <v>955</v>
      </c>
      <c r="U70" s="85" t="str">
        <f>HYPERLINK("https://pbs.twimg.com/media/FEeQnA9XEAUZ7pg.jpg")</f>
        <v>https://pbs.twimg.com/media/FEeQnA9XEAUZ7pg.jpg</v>
      </c>
      <c r="V70" s="85" t="str">
        <f>HYPERLINK("https://pbs.twimg.com/media/FEeQnA9XEAUZ7pg.jpg")</f>
        <v>https://pbs.twimg.com/media/FEeQnA9XEAUZ7pg.jpg</v>
      </c>
      <c r="W70" s="84">
        <v>44518.62501157408</v>
      </c>
      <c r="X70" s="90">
        <v>44518</v>
      </c>
      <c r="Y70" s="87" t="s">
        <v>1152</v>
      </c>
      <c r="Z70" s="85" t="str">
        <f>HYPERLINK("https://twitter.com/ukhsa_eoengland/status/1461348474880937984")</f>
        <v>https://twitter.com/ukhsa_eoengland/status/1461348474880937984</v>
      </c>
      <c r="AA70" s="82"/>
      <c r="AB70" s="82"/>
      <c r="AC70" s="87" t="s">
        <v>1505</v>
      </c>
      <c r="AD70" s="82"/>
      <c r="AE70" s="82" t="b">
        <v>0</v>
      </c>
      <c r="AF70" s="82">
        <v>2</v>
      </c>
      <c r="AG70" s="87" t="s">
        <v>1815</v>
      </c>
      <c r="AH70" s="82" t="b">
        <v>0</v>
      </c>
      <c r="AI70" s="82" t="s">
        <v>1826</v>
      </c>
      <c r="AJ70" s="82"/>
      <c r="AK70" s="87" t="s">
        <v>1815</v>
      </c>
      <c r="AL70" s="82" t="b">
        <v>0</v>
      </c>
      <c r="AM70" s="82">
        <v>0</v>
      </c>
      <c r="AN70" s="87" t="s">
        <v>1815</v>
      </c>
      <c r="AO70" s="87" t="s">
        <v>1853</v>
      </c>
      <c r="AP70" s="82" t="b">
        <v>0</v>
      </c>
      <c r="AQ70" s="87" t="s">
        <v>1505</v>
      </c>
      <c r="AR70" s="82"/>
      <c r="AS70" s="82">
        <v>0</v>
      </c>
      <c r="AT70" s="82">
        <v>0</v>
      </c>
      <c r="AU70" s="82"/>
      <c r="AV70" s="82"/>
      <c r="AW70" s="82"/>
      <c r="AX70" s="82"/>
      <c r="AY70" s="82"/>
      <c r="AZ70" s="82"/>
      <c r="BA70" s="82"/>
      <c r="BB70" s="82"/>
      <c r="BC70">
        <v>3</v>
      </c>
      <c r="BD70" s="81" t="str">
        <f>REPLACE(INDEX(GroupVertices[Group],MATCH(Edges[[#This Row],[Vertex 1]],GroupVertices[Vertex],0)),1,1,"")</f>
        <v>1</v>
      </c>
      <c r="BE70" s="81" t="str">
        <f>REPLACE(INDEX(GroupVertices[Group],MATCH(Edges[[#This Row],[Vertex 2]],GroupVertices[Vertex],0)),1,1,"")</f>
        <v>1</v>
      </c>
      <c r="BF70" s="49">
        <v>0</v>
      </c>
      <c r="BG70" s="50">
        <v>0</v>
      </c>
      <c r="BH70" s="49">
        <v>2</v>
      </c>
      <c r="BI70" s="50">
        <v>6.0606060606060606</v>
      </c>
      <c r="BJ70" s="49">
        <v>0</v>
      </c>
      <c r="BK70" s="50">
        <v>0</v>
      </c>
      <c r="BL70" s="49">
        <v>31</v>
      </c>
      <c r="BM70" s="50">
        <v>93.93939393939394</v>
      </c>
      <c r="BN70" s="49">
        <v>33</v>
      </c>
    </row>
    <row r="71" spans="1:66" ht="15">
      <c r="A71" s="66" t="s">
        <v>285</v>
      </c>
      <c r="B71" s="66" t="s">
        <v>285</v>
      </c>
      <c r="C71" s="67" t="s">
        <v>4512</v>
      </c>
      <c r="D71" s="68">
        <v>4.2727272727272725</v>
      </c>
      <c r="E71" s="69" t="s">
        <v>136</v>
      </c>
      <c r="F71" s="70">
        <v>30.594594594594593</v>
      </c>
      <c r="G71" s="67"/>
      <c r="H71" s="71"/>
      <c r="I71" s="72"/>
      <c r="J71" s="72"/>
      <c r="K71" s="35" t="s">
        <v>65</v>
      </c>
      <c r="L71" s="80">
        <v>71</v>
      </c>
      <c r="M71" s="80"/>
      <c r="N71" s="74"/>
      <c r="O71" s="82" t="s">
        <v>214</v>
      </c>
      <c r="P71" s="84">
        <v>44518.63888888889</v>
      </c>
      <c r="Q71" s="82" t="s">
        <v>589</v>
      </c>
      <c r="R71" s="82"/>
      <c r="S71" s="82"/>
      <c r="T71" s="87" t="s">
        <v>955</v>
      </c>
      <c r="U71" s="85" t="str">
        <f>HYPERLINK("https://pbs.twimg.com/media/FEetb2pXEBYRnxN.jpg")</f>
        <v>https://pbs.twimg.com/media/FEetb2pXEBYRnxN.jpg</v>
      </c>
      <c r="V71" s="85" t="str">
        <f>HYPERLINK("https://pbs.twimg.com/media/FEetb2pXEBYRnxN.jpg")</f>
        <v>https://pbs.twimg.com/media/FEetb2pXEBYRnxN.jpg</v>
      </c>
      <c r="W71" s="84">
        <v>44518.63888888889</v>
      </c>
      <c r="X71" s="90">
        <v>44518</v>
      </c>
      <c r="Y71" s="87" t="s">
        <v>1199</v>
      </c>
      <c r="Z71" s="85" t="str">
        <f>HYPERLINK("https://twitter.com/ukhsa_eoengland/status/1461353502295404544")</f>
        <v>https://twitter.com/ukhsa_eoengland/status/1461353502295404544</v>
      </c>
      <c r="AA71" s="82"/>
      <c r="AB71" s="82"/>
      <c r="AC71" s="87" t="s">
        <v>1506</v>
      </c>
      <c r="AD71" s="82"/>
      <c r="AE71" s="82" t="b">
        <v>0</v>
      </c>
      <c r="AF71" s="82">
        <v>4</v>
      </c>
      <c r="AG71" s="87" t="s">
        <v>1815</v>
      </c>
      <c r="AH71" s="82" t="b">
        <v>0</v>
      </c>
      <c r="AI71" s="82" t="s">
        <v>1826</v>
      </c>
      <c r="AJ71" s="82"/>
      <c r="AK71" s="87" t="s">
        <v>1815</v>
      </c>
      <c r="AL71" s="82" t="b">
        <v>0</v>
      </c>
      <c r="AM71" s="82">
        <v>2</v>
      </c>
      <c r="AN71" s="87" t="s">
        <v>1815</v>
      </c>
      <c r="AO71" s="87" t="s">
        <v>1853</v>
      </c>
      <c r="AP71" s="82" t="b">
        <v>0</v>
      </c>
      <c r="AQ71" s="87" t="s">
        <v>1506</v>
      </c>
      <c r="AR71" s="82"/>
      <c r="AS71" s="82">
        <v>0</v>
      </c>
      <c r="AT71" s="82">
        <v>0</v>
      </c>
      <c r="AU71" s="82"/>
      <c r="AV71" s="82"/>
      <c r="AW71" s="82"/>
      <c r="AX71" s="82"/>
      <c r="AY71" s="82"/>
      <c r="AZ71" s="82"/>
      <c r="BA71" s="82"/>
      <c r="BB71" s="82"/>
      <c r="BC71">
        <v>3</v>
      </c>
      <c r="BD71" s="81" t="str">
        <f>REPLACE(INDEX(GroupVertices[Group],MATCH(Edges[[#This Row],[Vertex 1]],GroupVertices[Vertex],0)),1,1,"")</f>
        <v>1</v>
      </c>
      <c r="BE71" s="81" t="str">
        <f>REPLACE(INDEX(GroupVertices[Group],MATCH(Edges[[#This Row],[Vertex 2]],GroupVertices[Vertex],0)),1,1,"")</f>
        <v>1</v>
      </c>
      <c r="BF71" s="49">
        <v>0</v>
      </c>
      <c r="BG71" s="50">
        <v>0</v>
      </c>
      <c r="BH71" s="49">
        <v>2</v>
      </c>
      <c r="BI71" s="50">
        <v>6.0606060606060606</v>
      </c>
      <c r="BJ71" s="49">
        <v>0</v>
      </c>
      <c r="BK71" s="50">
        <v>0</v>
      </c>
      <c r="BL71" s="49">
        <v>31</v>
      </c>
      <c r="BM71" s="50">
        <v>93.93939393939394</v>
      </c>
      <c r="BN71" s="49">
        <v>33</v>
      </c>
    </row>
    <row r="72" spans="1:66" ht="15">
      <c r="A72" s="66" t="s">
        <v>285</v>
      </c>
      <c r="B72" s="66" t="s">
        <v>285</v>
      </c>
      <c r="C72" s="67" t="s">
        <v>4512</v>
      </c>
      <c r="D72" s="68">
        <v>4.2727272727272725</v>
      </c>
      <c r="E72" s="69" t="s">
        <v>136</v>
      </c>
      <c r="F72" s="70">
        <v>30.594594594594593</v>
      </c>
      <c r="G72" s="67"/>
      <c r="H72" s="71"/>
      <c r="I72" s="72"/>
      <c r="J72" s="72"/>
      <c r="K72" s="35" t="s">
        <v>65</v>
      </c>
      <c r="L72" s="80">
        <v>72</v>
      </c>
      <c r="M72" s="80"/>
      <c r="N72" s="74"/>
      <c r="O72" s="82" t="s">
        <v>214</v>
      </c>
      <c r="P72" s="84">
        <v>44518.65625</v>
      </c>
      <c r="Q72" s="82" t="s">
        <v>590</v>
      </c>
      <c r="R72" s="82"/>
      <c r="S72" s="82"/>
      <c r="T72" s="87" t="s">
        <v>955</v>
      </c>
      <c r="U72" s="85" t="str">
        <f>HYPERLINK("https://pbs.twimg.com/media/FEeuEBmWYAgR5DM.jpg")</f>
        <v>https://pbs.twimg.com/media/FEeuEBmWYAgR5DM.jpg</v>
      </c>
      <c r="V72" s="85" t="str">
        <f>HYPERLINK("https://pbs.twimg.com/media/FEeuEBmWYAgR5DM.jpg")</f>
        <v>https://pbs.twimg.com/media/FEeuEBmWYAgR5DM.jpg</v>
      </c>
      <c r="W72" s="84">
        <v>44518.65625</v>
      </c>
      <c r="X72" s="90">
        <v>44518</v>
      </c>
      <c r="Y72" s="87" t="s">
        <v>1200</v>
      </c>
      <c r="Z72" s="85" t="str">
        <f>HYPERLINK("https://twitter.com/ukhsa_eoengland/status/1461359793671598082")</f>
        <v>https://twitter.com/ukhsa_eoengland/status/1461359793671598082</v>
      </c>
      <c r="AA72" s="82"/>
      <c r="AB72" s="82"/>
      <c r="AC72" s="87" t="s">
        <v>1507</v>
      </c>
      <c r="AD72" s="82"/>
      <c r="AE72" s="82" t="b">
        <v>0</v>
      </c>
      <c r="AF72" s="82">
        <v>1</v>
      </c>
      <c r="AG72" s="87" t="s">
        <v>1815</v>
      </c>
      <c r="AH72" s="82" t="b">
        <v>0</v>
      </c>
      <c r="AI72" s="82" t="s">
        <v>1826</v>
      </c>
      <c r="AJ72" s="82"/>
      <c r="AK72" s="87" t="s">
        <v>1815</v>
      </c>
      <c r="AL72" s="82" t="b">
        <v>0</v>
      </c>
      <c r="AM72" s="82">
        <v>0</v>
      </c>
      <c r="AN72" s="87" t="s">
        <v>1815</v>
      </c>
      <c r="AO72" s="87" t="s">
        <v>1853</v>
      </c>
      <c r="AP72" s="82" t="b">
        <v>0</v>
      </c>
      <c r="AQ72" s="87" t="s">
        <v>1507</v>
      </c>
      <c r="AR72" s="82"/>
      <c r="AS72" s="82">
        <v>0</v>
      </c>
      <c r="AT72" s="82">
        <v>0</v>
      </c>
      <c r="AU72" s="82"/>
      <c r="AV72" s="82"/>
      <c r="AW72" s="82"/>
      <c r="AX72" s="82"/>
      <c r="AY72" s="82"/>
      <c r="AZ72" s="82"/>
      <c r="BA72" s="82"/>
      <c r="BB72" s="82"/>
      <c r="BC72">
        <v>3</v>
      </c>
      <c r="BD72" s="81" t="str">
        <f>REPLACE(INDEX(GroupVertices[Group],MATCH(Edges[[#This Row],[Vertex 1]],GroupVertices[Vertex],0)),1,1,"")</f>
        <v>1</v>
      </c>
      <c r="BE72" s="81" t="str">
        <f>REPLACE(INDEX(GroupVertices[Group],MATCH(Edges[[#This Row],[Vertex 2]],GroupVertices[Vertex],0)),1,1,"")</f>
        <v>1</v>
      </c>
      <c r="BF72" s="49">
        <v>0</v>
      </c>
      <c r="BG72" s="50">
        <v>0</v>
      </c>
      <c r="BH72" s="49">
        <v>2</v>
      </c>
      <c r="BI72" s="50">
        <v>6.0606060606060606</v>
      </c>
      <c r="BJ72" s="49">
        <v>0</v>
      </c>
      <c r="BK72" s="50">
        <v>0</v>
      </c>
      <c r="BL72" s="49">
        <v>31</v>
      </c>
      <c r="BM72" s="50">
        <v>93.93939393939394</v>
      </c>
      <c r="BN72" s="49">
        <v>33</v>
      </c>
    </row>
    <row r="73" spans="1:66" ht="15">
      <c r="A73" s="66" t="s">
        <v>286</v>
      </c>
      <c r="B73" s="66" t="s">
        <v>286</v>
      </c>
      <c r="C73" s="67" t="s">
        <v>4509</v>
      </c>
      <c r="D73" s="68">
        <v>3</v>
      </c>
      <c r="E73" s="69" t="s">
        <v>132</v>
      </c>
      <c r="F73" s="70">
        <v>32</v>
      </c>
      <c r="G73" s="67"/>
      <c r="H73" s="71"/>
      <c r="I73" s="72"/>
      <c r="J73" s="72"/>
      <c r="K73" s="35" t="s">
        <v>65</v>
      </c>
      <c r="L73" s="80">
        <v>73</v>
      </c>
      <c r="M73" s="80"/>
      <c r="N73" s="74"/>
      <c r="O73" s="82" t="s">
        <v>214</v>
      </c>
      <c r="P73" s="84">
        <v>44518.62583333333</v>
      </c>
      <c r="Q73" s="82" t="s">
        <v>591</v>
      </c>
      <c r="R73" s="85" t="str">
        <f>HYPERLINK("https://www.cdc.gov/drugresistance/covid19.html")</f>
        <v>https://www.cdc.gov/drugresistance/covid19.html</v>
      </c>
      <c r="S73" s="82" t="s">
        <v>903</v>
      </c>
      <c r="T73" s="87" t="s">
        <v>954</v>
      </c>
      <c r="U73" s="85" t="str">
        <f>HYPERLINK("https://pbs.twimg.com/media/FEfA9iOUYAk7MNT.jpg")</f>
        <v>https://pbs.twimg.com/media/FEfA9iOUYAk7MNT.jpg</v>
      </c>
      <c r="V73" s="85" t="str">
        <f>HYPERLINK("https://pbs.twimg.com/media/FEfA9iOUYAk7MNT.jpg")</f>
        <v>https://pbs.twimg.com/media/FEfA9iOUYAk7MNT.jpg</v>
      </c>
      <c r="W73" s="84">
        <v>44518.62583333333</v>
      </c>
      <c r="X73" s="90">
        <v>44518</v>
      </c>
      <c r="Y73" s="87" t="s">
        <v>1201</v>
      </c>
      <c r="Z73" s="85" t="str">
        <f>HYPERLINK("https://twitter.com/stauntonuk/status/1461348770117914624")</f>
        <v>https://twitter.com/stauntonuk/status/1461348770117914624</v>
      </c>
      <c r="AA73" s="82"/>
      <c r="AB73" s="82"/>
      <c r="AC73" s="87" t="s">
        <v>1508</v>
      </c>
      <c r="AD73" s="82"/>
      <c r="AE73" s="82" t="b">
        <v>0</v>
      </c>
      <c r="AF73" s="82">
        <v>1</v>
      </c>
      <c r="AG73" s="87" t="s">
        <v>1815</v>
      </c>
      <c r="AH73" s="82" t="b">
        <v>0</v>
      </c>
      <c r="AI73" s="82" t="s">
        <v>1826</v>
      </c>
      <c r="AJ73" s="82"/>
      <c r="AK73" s="87" t="s">
        <v>1815</v>
      </c>
      <c r="AL73" s="82" t="b">
        <v>0</v>
      </c>
      <c r="AM73" s="82">
        <v>0</v>
      </c>
      <c r="AN73" s="87" t="s">
        <v>1815</v>
      </c>
      <c r="AO73" s="87" t="s">
        <v>1854</v>
      </c>
      <c r="AP73" s="82" t="b">
        <v>0</v>
      </c>
      <c r="AQ73" s="87" t="s">
        <v>1508</v>
      </c>
      <c r="AR73" s="82"/>
      <c r="AS73" s="82">
        <v>0</v>
      </c>
      <c r="AT73" s="82">
        <v>0</v>
      </c>
      <c r="AU73" s="82"/>
      <c r="AV73" s="82"/>
      <c r="AW73" s="82"/>
      <c r="AX73" s="82"/>
      <c r="AY73" s="82"/>
      <c r="AZ73" s="82"/>
      <c r="BA73" s="82"/>
      <c r="BB73" s="82"/>
      <c r="BC73">
        <v>1</v>
      </c>
      <c r="BD73" s="81" t="str">
        <f>REPLACE(INDEX(GroupVertices[Group],MATCH(Edges[[#This Row],[Vertex 1]],GroupVertices[Vertex],0)),1,1,"")</f>
        <v>1</v>
      </c>
      <c r="BE73" s="81" t="str">
        <f>REPLACE(INDEX(GroupVertices[Group],MATCH(Edges[[#This Row],[Vertex 2]],GroupVertices[Vertex],0)),1,1,"")</f>
        <v>1</v>
      </c>
      <c r="BF73" s="49">
        <v>0</v>
      </c>
      <c r="BG73" s="50">
        <v>0</v>
      </c>
      <c r="BH73" s="49">
        <v>1</v>
      </c>
      <c r="BI73" s="50">
        <v>3.0303030303030303</v>
      </c>
      <c r="BJ73" s="49">
        <v>0</v>
      </c>
      <c r="BK73" s="50">
        <v>0</v>
      </c>
      <c r="BL73" s="49">
        <v>32</v>
      </c>
      <c r="BM73" s="50">
        <v>96.96969696969697</v>
      </c>
      <c r="BN73" s="49">
        <v>33</v>
      </c>
    </row>
    <row r="74" spans="1:66" ht="15">
      <c r="A74" s="66" t="s">
        <v>287</v>
      </c>
      <c r="B74" s="66" t="s">
        <v>458</v>
      </c>
      <c r="C74" s="67" t="s">
        <v>4509</v>
      </c>
      <c r="D74" s="68">
        <v>3</v>
      </c>
      <c r="E74" s="69" t="s">
        <v>132</v>
      </c>
      <c r="F74" s="70">
        <v>32</v>
      </c>
      <c r="G74" s="67"/>
      <c r="H74" s="71"/>
      <c r="I74" s="72"/>
      <c r="J74" s="72"/>
      <c r="K74" s="35" t="s">
        <v>65</v>
      </c>
      <c r="L74" s="80">
        <v>74</v>
      </c>
      <c r="M74" s="80"/>
      <c r="N74" s="74"/>
      <c r="O74" s="82" t="s">
        <v>528</v>
      </c>
      <c r="P74" s="84">
        <v>44518.6415625</v>
      </c>
      <c r="Q74" s="82" t="s">
        <v>592</v>
      </c>
      <c r="R74" s="85" t="str">
        <f>HYPERLINK("https://www.ecdc.europa.eu/en/publications-data/surveillance-antimicrobial-consumption-europe-2020")</f>
        <v>https://www.ecdc.europa.eu/en/publications-data/surveillance-antimicrobial-consumption-europe-2020</v>
      </c>
      <c r="S74" s="82" t="s">
        <v>915</v>
      </c>
      <c r="T74" s="87" t="s">
        <v>987</v>
      </c>
      <c r="U74" s="82"/>
      <c r="V74" s="85" t="str">
        <f>HYPERLINK("https://pbs.twimg.com/profile_images/1402605249555226628/YE48Q_x4_normal.jpg")</f>
        <v>https://pbs.twimg.com/profile_images/1402605249555226628/YE48Q_x4_normal.jpg</v>
      </c>
      <c r="W74" s="84">
        <v>44518.6415625</v>
      </c>
      <c r="X74" s="90">
        <v>44518</v>
      </c>
      <c r="Y74" s="87" t="s">
        <v>1202</v>
      </c>
      <c r="Z74" s="85" t="str">
        <f>HYPERLINK("https://twitter.com/reactgroup/status/1461354471443759115")</f>
        <v>https://twitter.com/reactgroup/status/1461354471443759115</v>
      </c>
      <c r="AA74" s="82"/>
      <c r="AB74" s="82"/>
      <c r="AC74" s="87" t="s">
        <v>1509</v>
      </c>
      <c r="AD74" s="82"/>
      <c r="AE74" s="82" t="b">
        <v>0</v>
      </c>
      <c r="AF74" s="82">
        <v>5</v>
      </c>
      <c r="AG74" s="87" t="s">
        <v>1815</v>
      </c>
      <c r="AH74" s="82" t="b">
        <v>0</v>
      </c>
      <c r="AI74" s="82" t="s">
        <v>1826</v>
      </c>
      <c r="AJ74" s="82"/>
      <c r="AK74" s="87" t="s">
        <v>1815</v>
      </c>
      <c r="AL74" s="82" t="b">
        <v>0</v>
      </c>
      <c r="AM74" s="82">
        <v>3</v>
      </c>
      <c r="AN74" s="87" t="s">
        <v>1815</v>
      </c>
      <c r="AO74" s="87" t="s">
        <v>1850</v>
      </c>
      <c r="AP74" s="82" t="b">
        <v>0</v>
      </c>
      <c r="AQ74" s="87" t="s">
        <v>1509</v>
      </c>
      <c r="AR74" s="82"/>
      <c r="AS74" s="82">
        <v>0</v>
      </c>
      <c r="AT74" s="82">
        <v>0</v>
      </c>
      <c r="AU74" s="82"/>
      <c r="AV74" s="82"/>
      <c r="AW74" s="82"/>
      <c r="AX74" s="82"/>
      <c r="AY74" s="82"/>
      <c r="AZ74" s="82"/>
      <c r="BA74" s="82"/>
      <c r="BB74" s="82"/>
      <c r="BC74">
        <v>1</v>
      </c>
      <c r="BD74" s="81" t="str">
        <f>REPLACE(INDEX(GroupVertices[Group],MATCH(Edges[[#This Row],[Vertex 1]],GroupVertices[Vertex],0)),1,1,"")</f>
        <v>3</v>
      </c>
      <c r="BE74" s="81" t="str">
        <f>REPLACE(INDEX(GroupVertices[Group],MATCH(Edges[[#This Row],[Vertex 2]],GroupVertices[Vertex],0)),1,1,"")</f>
        <v>3</v>
      </c>
      <c r="BF74" s="49"/>
      <c r="BG74" s="50"/>
      <c r="BH74" s="49"/>
      <c r="BI74" s="50"/>
      <c r="BJ74" s="49"/>
      <c r="BK74" s="50"/>
      <c r="BL74" s="49"/>
      <c r="BM74" s="50"/>
      <c r="BN74" s="49"/>
    </row>
    <row r="75" spans="1:66" ht="15">
      <c r="A75" s="66" t="s">
        <v>287</v>
      </c>
      <c r="B75" s="66" t="s">
        <v>420</v>
      </c>
      <c r="C75" s="67" t="s">
        <v>4509</v>
      </c>
      <c r="D75" s="68">
        <v>3</v>
      </c>
      <c r="E75" s="69" t="s">
        <v>132</v>
      </c>
      <c r="F75" s="70">
        <v>32</v>
      </c>
      <c r="G75" s="67"/>
      <c r="H75" s="71"/>
      <c r="I75" s="72"/>
      <c r="J75" s="72"/>
      <c r="K75" s="35" t="s">
        <v>65</v>
      </c>
      <c r="L75" s="80">
        <v>75</v>
      </c>
      <c r="M75" s="80"/>
      <c r="N75" s="74"/>
      <c r="O75" s="82" t="s">
        <v>528</v>
      </c>
      <c r="P75" s="84">
        <v>44518.6415625</v>
      </c>
      <c r="Q75" s="82" t="s">
        <v>592</v>
      </c>
      <c r="R75" s="85" t="str">
        <f>HYPERLINK("https://www.ecdc.europa.eu/en/publications-data/surveillance-antimicrobial-consumption-europe-2020")</f>
        <v>https://www.ecdc.europa.eu/en/publications-data/surveillance-antimicrobial-consumption-europe-2020</v>
      </c>
      <c r="S75" s="82" t="s">
        <v>915</v>
      </c>
      <c r="T75" s="87" t="s">
        <v>987</v>
      </c>
      <c r="U75" s="82"/>
      <c r="V75" s="85" t="str">
        <f>HYPERLINK("https://pbs.twimg.com/profile_images/1402605249555226628/YE48Q_x4_normal.jpg")</f>
        <v>https://pbs.twimg.com/profile_images/1402605249555226628/YE48Q_x4_normal.jpg</v>
      </c>
      <c r="W75" s="84">
        <v>44518.6415625</v>
      </c>
      <c r="X75" s="90">
        <v>44518</v>
      </c>
      <c r="Y75" s="87" t="s">
        <v>1202</v>
      </c>
      <c r="Z75" s="85" t="str">
        <f>HYPERLINK("https://twitter.com/reactgroup/status/1461354471443759115")</f>
        <v>https://twitter.com/reactgroup/status/1461354471443759115</v>
      </c>
      <c r="AA75" s="82"/>
      <c r="AB75" s="82"/>
      <c r="AC75" s="87" t="s">
        <v>1509</v>
      </c>
      <c r="AD75" s="82"/>
      <c r="AE75" s="82" t="b">
        <v>0</v>
      </c>
      <c r="AF75" s="82">
        <v>5</v>
      </c>
      <c r="AG75" s="87" t="s">
        <v>1815</v>
      </c>
      <c r="AH75" s="82" t="b">
        <v>0</v>
      </c>
      <c r="AI75" s="82" t="s">
        <v>1826</v>
      </c>
      <c r="AJ75" s="82"/>
      <c r="AK75" s="87" t="s">
        <v>1815</v>
      </c>
      <c r="AL75" s="82" t="b">
        <v>0</v>
      </c>
      <c r="AM75" s="82">
        <v>3</v>
      </c>
      <c r="AN75" s="87" t="s">
        <v>1815</v>
      </c>
      <c r="AO75" s="87" t="s">
        <v>1850</v>
      </c>
      <c r="AP75" s="82" t="b">
        <v>0</v>
      </c>
      <c r="AQ75" s="87" t="s">
        <v>1509</v>
      </c>
      <c r="AR75" s="82"/>
      <c r="AS75" s="82">
        <v>0</v>
      </c>
      <c r="AT75" s="82">
        <v>0</v>
      </c>
      <c r="AU75" s="82"/>
      <c r="AV75" s="82"/>
      <c r="AW75" s="82"/>
      <c r="AX75" s="82"/>
      <c r="AY75" s="82"/>
      <c r="AZ75" s="82"/>
      <c r="BA75" s="82"/>
      <c r="BB75" s="82"/>
      <c r="BC75">
        <v>1</v>
      </c>
      <c r="BD75" s="81" t="str">
        <f>REPLACE(INDEX(GroupVertices[Group],MATCH(Edges[[#This Row],[Vertex 1]],GroupVertices[Vertex],0)),1,1,"")</f>
        <v>3</v>
      </c>
      <c r="BE75" s="81" t="str">
        <f>REPLACE(INDEX(GroupVertices[Group],MATCH(Edges[[#This Row],[Vertex 2]],GroupVertices[Vertex],0)),1,1,"")</f>
        <v>3</v>
      </c>
      <c r="BF75" s="49">
        <v>0</v>
      </c>
      <c r="BG75" s="50">
        <v>0</v>
      </c>
      <c r="BH75" s="49">
        <v>0</v>
      </c>
      <c r="BI75" s="50">
        <v>0</v>
      </c>
      <c r="BJ75" s="49">
        <v>0</v>
      </c>
      <c r="BK75" s="50">
        <v>0</v>
      </c>
      <c r="BL75" s="49">
        <v>23</v>
      </c>
      <c r="BM75" s="50">
        <v>100</v>
      </c>
      <c r="BN75" s="49">
        <v>23</v>
      </c>
    </row>
    <row r="76" spans="1:66" ht="15">
      <c r="A76" s="66" t="s">
        <v>288</v>
      </c>
      <c r="B76" s="66" t="s">
        <v>459</v>
      </c>
      <c r="C76" s="67" t="s">
        <v>4509</v>
      </c>
      <c r="D76" s="68">
        <v>3</v>
      </c>
      <c r="E76" s="69" t="s">
        <v>132</v>
      </c>
      <c r="F76" s="70">
        <v>32</v>
      </c>
      <c r="G76" s="67"/>
      <c r="H76" s="71"/>
      <c r="I76" s="72"/>
      <c r="J76" s="72"/>
      <c r="K76" s="35" t="s">
        <v>65</v>
      </c>
      <c r="L76" s="80">
        <v>76</v>
      </c>
      <c r="M76" s="80"/>
      <c r="N76" s="74"/>
      <c r="O76" s="82" t="s">
        <v>528</v>
      </c>
      <c r="P76" s="84">
        <v>44518.64032407408</v>
      </c>
      <c r="Q76" s="82" t="s">
        <v>593</v>
      </c>
      <c r="R76" s="85" t="str">
        <f>HYPERLINK("https://www.linkedin.com/feed/update/urn:li:activity:6867119217246916608")</f>
        <v>https://www.linkedin.com/feed/update/urn:li:activity:6867119217246916608</v>
      </c>
      <c r="S76" s="82" t="s">
        <v>916</v>
      </c>
      <c r="T76" s="87" t="s">
        <v>988</v>
      </c>
      <c r="U76" s="82"/>
      <c r="V76" s="85" t="str">
        <f>HYPERLINK("https://pbs.twimg.com/profile_images/1352629862561939458/kPtsMcXv_normal.jpg")</f>
        <v>https://pbs.twimg.com/profile_images/1352629862561939458/kPtsMcXv_normal.jpg</v>
      </c>
      <c r="W76" s="84">
        <v>44518.64032407408</v>
      </c>
      <c r="X76" s="90">
        <v>44518</v>
      </c>
      <c r="Y76" s="87" t="s">
        <v>1203</v>
      </c>
      <c r="Z76" s="85" t="str">
        <f>HYPERLINK("https://twitter.com/redaktionmk/status/1461354022502240256")</f>
        <v>https://twitter.com/redaktionmk/status/1461354022502240256</v>
      </c>
      <c r="AA76" s="82"/>
      <c r="AB76" s="82"/>
      <c r="AC76" s="87" t="s">
        <v>1510</v>
      </c>
      <c r="AD76" s="82"/>
      <c r="AE76" s="82" t="b">
        <v>0</v>
      </c>
      <c r="AF76" s="82">
        <v>1</v>
      </c>
      <c r="AG76" s="87" t="s">
        <v>1815</v>
      </c>
      <c r="AH76" s="82" t="b">
        <v>0</v>
      </c>
      <c r="AI76" s="82" t="s">
        <v>1828</v>
      </c>
      <c r="AJ76" s="82"/>
      <c r="AK76" s="87" t="s">
        <v>1815</v>
      </c>
      <c r="AL76" s="82" t="b">
        <v>0</v>
      </c>
      <c r="AM76" s="82">
        <v>0</v>
      </c>
      <c r="AN76" s="87" t="s">
        <v>1815</v>
      </c>
      <c r="AO76" s="87" t="s">
        <v>1853</v>
      </c>
      <c r="AP76" s="82" t="b">
        <v>0</v>
      </c>
      <c r="AQ76" s="87" t="s">
        <v>1510</v>
      </c>
      <c r="AR76" s="82"/>
      <c r="AS76" s="82">
        <v>0</v>
      </c>
      <c r="AT76" s="82">
        <v>0</v>
      </c>
      <c r="AU76" s="82"/>
      <c r="AV76" s="82"/>
      <c r="AW76" s="82"/>
      <c r="AX76" s="82"/>
      <c r="AY76" s="82"/>
      <c r="AZ76" s="82"/>
      <c r="BA76" s="82"/>
      <c r="BB76" s="82"/>
      <c r="BC76">
        <v>1</v>
      </c>
      <c r="BD76" s="81" t="str">
        <f>REPLACE(INDEX(GroupVertices[Group],MATCH(Edges[[#This Row],[Vertex 1]],GroupVertices[Vertex],0)),1,1,"")</f>
        <v>14</v>
      </c>
      <c r="BE76" s="81" t="str">
        <f>REPLACE(INDEX(GroupVertices[Group],MATCH(Edges[[#This Row],[Vertex 2]],GroupVertices[Vertex],0)),1,1,"")</f>
        <v>14</v>
      </c>
      <c r="BF76" s="49"/>
      <c r="BG76" s="50"/>
      <c r="BH76" s="49"/>
      <c r="BI76" s="50"/>
      <c r="BJ76" s="49"/>
      <c r="BK76" s="50"/>
      <c r="BL76" s="49"/>
      <c r="BM76" s="50"/>
      <c r="BN76" s="49"/>
    </row>
    <row r="77" spans="1:66" ht="15">
      <c r="A77" s="66" t="s">
        <v>288</v>
      </c>
      <c r="B77" s="66" t="s">
        <v>460</v>
      </c>
      <c r="C77" s="67" t="s">
        <v>4509</v>
      </c>
      <c r="D77" s="68">
        <v>3</v>
      </c>
      <c r="E77" s="69" t="s">
        <v>132</v>
      </c>
      <c r="F77" s="70">
        <v>32</v>
      </c>
      <c r="G77" s="67"/>
      <c r="H77" s="71"/>
      <c r="I77" s="72"/>
      <c r="J77" s="72"/>
      <c r="K77" s="35" t="s">
        <v>65</v>
      </c>
      <c r="L77" s="80">
        <v>77</v>
      </c>
      <c r="M77" s="80"/>
      <c r="N77" s="74"/>
      <c r="O77" s="82" t="s">
        <v>528</v>
      </c>
      <c r="P77" s="84">
        <v>44518.64032407408</v>
      </c>
      <c r="Q77" s="82" t="s">
        <v>593</v>
      </c>
      <c r="R77" s="85" t="str">
        <f>HYPERLINK("https://www.linkedin.com/feed/update/urn:li:activity:6867119217246916608")</f>
        <v>https://www.linkedin.com/feed/update/urn:li:activity:6867119217246916608</v>
      </c>
      <c r="S77" s="82" t="s">
        <v>916</v>
      </c>
      <c r="T77" s="87" t="s">
        <v>988</v>
      </c>
      <c r="U77" s="82"/>
      <c r="V77" s="85" t="str">
        <f>HYPERLINK("https://pbs.twimg.com/profile_images/1352629862561939458/kPtsMcXv_normal.jpg")</f>
        <v>https://pbs.twimg.com/profile_images/1352629862561939458/kPtsMcXv_normal.jpg</v>
      </c>
      <c r="W77" s="84">
        <v>44518.64032407408</v>
      </c>
      <c r="X77" s="90">
        <v>44518</v>
      </c>
      <c r="Y77" s="87" t="s">
        <v>1203</v>
      </c>
      <c r="Z77" s="85" t="str">
        <f>HYPERLINK("https://twitter.com/redaktionmk/status/1461354022502240256")</f>
        <v>https://twitter.com/redaktionmk/status/1461354022502240256</v>
      </c>
      <c r="AA77" s="82"/>
      <c r="AB77" s="82"/>
      <c r="AC77" s="87" t="s">
        <v>1510</v>
      </c>
      <c r="AD77" s="82"/>
      <c r="AE77" s="82" t="b">
        <v>0</v>
      </c>
      <c r="AF77" s="82">
        <v>1</v>
      </c>
      <c r="AG77" s="87" t="s">
        <v>1815</v>
      </c>
      <c r="AH77" s="82" t="b">
        <v>0</v>
      </c>
      <c r="AI77" s="82" t="s">
        <v>1828</v>
      </c>
      <c r="AJ77" s="82"/>
      <c r="AK77" s="87" t="s">
        <v>1815</v>
      </c>
      <c r="AL77" s="82" t="b">
        <v>0</v>
      </c>
      <c r="AM77" s="82">
        <v>0</v>
      </c>
      <c r="AN77" s="87" t="s">
        <v>1815</v>
      </c>
      <c r="AO77" s="87" t="s">
        <v>1853</v>
      </c>
      <c r="AP77" s="82" t="b">
        <v>0</v>
      </c>
      <c r="AQ77" s="87" t="s">
        <v>1510</v>
      </c>
      <c r="AR77" s="82"/>
      <c r="AS77" s="82">
        <v>0</v>
      </c>
      <c r="AT77" s="82">
        <v>0</v>
      </c>
      <c r="AU77" s="82"/>
      <c r="AV77" s="82"/>
      <c r="AW77" s="82"/>
      <c r="AX77" s="82"/>
      <c r="AY77" s="82"/>
      <c r="AZ77" s="82"/>
      <c r="BA77" s="82"/>
      <c r="BB77" s="82"/>
      <c r="BC77">
        <v>1</v>
      </c>
      <c r="BD77" s="81" t="str">
        <f>REPLACE(INDEX(GroupVertices[Group],MATCH(Edges[[#This Row],[Vertex 1]],GroupVertices[Vertex],0)),1,1,"")</f>
        <v>14</v>
      </c>
      <c r="BE77" s="81" t="str">
        <f>REPLACE(INDEX(GroupVertices[Group],MATCH(Edges[[#This Row],[Vertex 2]],GroupVertices[Vertex],0)),1,1,"")</f>
        <v>14</v>
      </c>
      <c r="BF77" s="49"/>
      <c r="BG77" s="50"/>
      <c r="BH77" s="49"/>
      <c r="BI77" s="50"/>
      <c r="BJ77" s="49"/>
      <c r="BK77" s="50"/>
      <c r="BL77" s="49"/>
      <c r="BM77" s="50"/>
      <c r="BN77" s="49"/>
    </row>
    <row r="78" spans="1:66" ht="15">
      <c r="A78" s="66" t="s">
        <v>288</v>
      </c>
      <c r="B78" s="66" t="s">
        <v>461</v>
      </c>
      <c r="C78" s="67" t="s">
        <v>4509</v>
      </c>
      <c r="D78" s="68">
        <v>3</v>
      </c>
      <c r="E78" s="69" t="s">
        <v>132</v>
      </c>
      <c r="F78" s="70">
        <v>32</v>
      </c>
      <c r="G78" s="67"/>
      <c r="H78" s="71"/>
      <c r="I78" s="72"/>
      <c r="J78" s="72"/>
      <c r="K78" s="35" t="s">
        <v>65</v>
      </c>
      <c r="L78" s="80">
        <v>78</v>
      </c>
      <c r="M78" s="80"/>
      <c r="N78" s="74"/>
      <c r="O78" s="82" t="s">
        <v>528</v>
      </c>
      <c r="P78" s="84">
        <v>44518.64032407408</v>
      </c>
      <c r="Q78" s="82" t="s">
        <v>593</v>
      </c>
      <c r="R78" s="85" t="str">
        <f>HYPERLINK("https://www.linkedin.com/feed/update/urn:li:activity:6867119217246916608")</f>
        <v>https://www.linkedin.com/feed/update/urn:li:activity:6867119217246916608</v>
      </c>
      <c r="S78" s="82" t="s">
        <v>916</v>
      </c>
      <c r="T78" s="87" t="s">
        <v>988</v>
      </c>
      <c r="U78" s="82"/>
      <c r="V78" s="85" t="str">
        <f>HYPERLINK("https://pbs.twimg.com/profile_images/1352629862561939458/kPtsMcXv_normal.jpg")</f>
        <v>https://pbs.twimg.com/profile_images/1352629862561939458/kPtsMcXv_normal.jpg</v>
      </c>
      <c r="W78" s="84">
        <v>44518.64032407408</v>
      </c>
      <c r="X78" s="90">
        <v>44518</v>
      </c>
      <c r="Y78" s="87" t="s">
        <v>1203</v>
      </c>
      <c r="Z78" s="85" t="str">
        <f>HYPERLINK("https://twitter.com/redaktionmk/status/1461354022502240256")</f>
        <v>https://twitter.com/redaktionmk/status/1461354022502240256</v>
      </c>
      <c r="AA78" s="82"/>
      <c r="AB78" s="82"/>
      <c r="AC78" s="87" t="s">
        <v>1510</v>
      </c>
      <c r="AD78" s="82"/>
      <c r="AE78" s="82" t="b">
        <v>0</v>
      </c>
      <c r="AF78" s="82">
        <v>1</v>
      </c>
      <c r="AG78" s="87" t="s">
        <v>1815</v>
      </c>
      <c r="AH78" s="82" t="b">
        <v>0</v>
      </c>
      <c r="AI78" s="82" t="s">
        <v>1828</v>
      </c>
      <c r="AJ78" s="82"/>
      <c r="AK78" s="87" t="s">
        <v>1815</v>
      </c>
      <c r="AL78" s="82" t="b">
        <v>0</v>
      </c>
      <c r="AM78" s="82">
        <v>0</v>
      </c>
      <c r="AN78" s="87" t="s">
        <v>1815</v>
      </c>
      <c r="AO78" s="87" t="s">
        <v>1853</v>
      </c>
      <c r="AP78" s="82" t="b">
        <v>0</v>
      </c>
      <c r="AQ78" s="87" t="s">
        <v>1510</v>
      </c>
      <c r="AR78" s="82"/>
      <c r="AS78" s="82">
        <v>0</v>
      </c>
      <c r="AT78" s="82">
        <v>0</v>
      </c>
      <c r="AU78" s="82"/>
      <c r="AV78" s="82"/>
      <c r="AW78" s="82"/>
      <c r="AX78" s="82"/>
      <c r="AY78" s="82"/>
      <c r="AZ78" s="82"/>
      <c r="BA78" s="82"/>
      <c r="BB78" s="82"/>
      <c r="BC78">
        <v>1</v>
      </c>
      <c r="BD78" s="81" t="str">
        <f>REPLACE(INDEX(GroupVertices[Group],MATCH(Edges[[#This Row],[Vertex 1]],GroupVertices[Vertex],0)),1,1,"")</f>
        <v>14</v>
      </c>
      <c r="BE78" s="81" t="str">
        <f>REPLACE(INDEX(GroupVertices[Group],MATCH(Edges[[#This Row],[Vertex 2]],GroupVertices[Vertex],0)),1,1,"")</f>
        <v>14</v>
      </c>
      <c r="BF78" s="49">
        <v>0</v>
      </c>
      <c r="BG78" s="50">
        <v>0</v>
      </c>
      <c r="BH78" s="49">
        <v>1</v>
      </c>
      <c r="BI78" s="50">
        <v>3.8461538461538463</v>
      </c>
      <c r="BJ78" s="49">
        <v>0</v>
      </c>
      <c r="BK78" s="50">
        <v>0</v>
      </c>
      <c r="BL78" s="49">
        <v>25</v>
      </c>
      <c r="BM78" s="50">
        <v>96.15384615384616</v>
      </c>
      <c r="BN78" s="49">
        <v>26</v>
      </c>
    </row>
    <row r="79" spans="1:66" ht="15">
      <c r="A79" s="66" t="s">
        <v>289</v>
      </c>
      <c r="B79" s="66" t="s">
        <v>427</v>
      </c>
      <c r="C79" s="67" t="s">
        <v>4509</v>
      </c>
      <c r="D79" s="68">
        <v>3</v>
      </c>
      <c r="E79" s="69" t="s">
        <v>132</v>
      </c>
      <c r="F79" s="70">
        <v>32</v>
      </c>
      <c r="G79" s="67"/>
      <c r="H79" s="71"/>
      <c r="I79" s="72"/>
      <c r="J79" s="72"/>
      <c r="K79" s="35" t="s">
        <v>65</v>
      </c>
      <c r="L79" s="80">
        <v>79</v>
      </c>
      <c r="M79" s="80"/>
      <c r="N79" s="74"/>
      <c r="O79" s="82" t="s">
        <v>528</v>
      </c>
      <c r="P79" s="84">
        <v>44518.625231481485</v>
      </c>
      <c r="Q79" s="82" t="s">
        <v>594</v>
      </c>
      <c r="R79" s="85" t="str">
        <f>HYPERLINK("https://www.cdc.gov/antibiotic-use/quiz.html")</f>
        <v>https://www.cdc.gov/antibiotic-use/quiz.html</v>
      </c>
      <c r="S79" s="82" t="s">
        <v>903</v>
      </c>
      <c r="T79" s="87" t="s">
        <v>989</v>
      </c>
      <c r="U79" s="85" t="str">
        <f>HYPERLINK("https://pbs.twimg.com/media/FEfAwkJVgA4OQeF.jpg")</f>
        <v>https://pbs.twimg.com/media/FEfAwkJVgA4OQeF.jpg</v>
      </c>
      <c r="V79" s="85" t="str">
        <f>HYPERLINK("https://pbs.twimg.com/media/FEfAwkJVgA4OQeF.jpg")</f>
        <v>https://pbs.twimg.com/media/FEfAwkJVgA4OQeF.jpg</v>
      </c>
      <c r="W79" s="84">
        <v>44518.625231481485</v>
      </c>
      <c r="X79" s="90">
        <v>44518</v>
      </c>
      <c r="Y79" s="87" t="s">
        <v>1204</v>
      </c>
      <c r="Z79" s="85" t="str">
        <f>HYPERLINK("https://twitter.com/ourhospitals/status/1461348552521646094")</f>
        <v>https://twitter.com/ourhospitals/status/1461348552521646094</v>
      </c>
      <c r="AA79" s="82"/>
      <c r="AB79" s="82"/>
      <c r="AC79" s="87" t="s">
        <v>1511</v>
      </c>
      <c r="AD79" s="82"/>
      <c r="AE79" s="82" t="b">
        <v>0</v>
      </c>
      <c r="AF79" s="82">
        <v>2</v>
      </c>
      <c r="AG79" s="87" t="s">
        <v>1815</v>
      </c>
      <c r="AH79" s="82" t="b">
        <v>0</v>
      </c>
      <c r="AI79" s="82" t="s">
        <v>1826</v>
      </c>
      <c r="AJ79" s="82"/>
      <c r="AK79" s="87" t="s">
        <v>1815</v>
      </c>
      <c r="AL79" s="82" t="b">
        <v>0</v>
      </c>
      <c r="AM79" s="82">
        <v>0</v>
      </c>
      <c r="AN79" s="87" t="s">
        <v>1815</v>
      </c>
      <c r="AO79" s="87" t="s">
        <v>1856</v>
      </c>
      <c r="AP79" s="82" t="b">
        <v>0</v>
      </c>
      <c r="AQ79" s="87" t="s">
        <v>1511</v>
      </c>
      <c r="AR79" s="82"/>
      <c r="AS79" s="82">
        <v>0</v>
      </c>
      <c r="AT79" s="82">
        <v>0</v>
      </c>
      <c r="AU79" s="82"/>
      <c r="AV79" s="82"/>
      <c r="AW79" s="82"/>
      <c r="AX79" s="82"/>
      <c r="AY79" s="82"/>
      <c r="AZ79" s="82"/>
      <c r="BA79" s="82"/>
      <c r="BB79" s="82"/>
      <c r="BC79">
        <v>1</v>
      </c>
      <c r="BD79" s="81" t="str">
        <f>REPLACE(INDEX(GroupVertices[Group],MATCH(Edges[[#This Row],[Vertex 1]],GroupVertices[Vertex],0)),1,1,"")</f>
        <v>5</v>
      </c>
      <c r="BE79" s="81" t="str">
        <f>REPLACE(INDEX(GroupVertices[Group],MATCH(Edges[[#This Row],[Vertex 2]],GroupVertices[Vertex],0)),1,1,"")</f>
        <v>5</v>
      </c>
      <c r="BF79" s="49">
        <v>0</v>
      </c>
      <c r="BG79" s="50">
        <v>0</v>
      </c>
      <c r="BH79" s="49">
        <v>1</v>
      </c>
      <c r="BI79" s="50">
        <v>4</v>
      </c>
      <c r="BJ79" s="49">
        <v>0</v>
      </c>
      <c r="BK79" s="50">
        <v>0</v>
      </c>
      <c r="BL79" s="49">
        <v>24</v>
      </c>
      <c r="BM79" s="50">
        <v>96</v>
      </c>
      <c r="BN79" s="49">
        <v>25</v>
      </c>
    </row>
    <row r="80" spans="1:66" ht="15">
      <c r="A80" s="66" t="s">
        <v>290</v>
      </c>
      <c r="B80" s="66" t="s">
        <v>462</v>
      </c>
      <c r="C80" s="67" t="s">
        <v>4509</v>
      </c>
      <c r="D80" s="68">
        <v>3</v>
      </c>
      <c r="E80" s="69" t="s">
        <v>132</v>
      </c>
      <c r="F80" s="70">
        <v>32</v>
      </c>
      <c r="G80" s="67"/>
      <c r="H80" s="71"/>
      <c r="I80" s="72"/>
      <c r="J80" s="72"/>
      <c r="K80" s="35" t="s">
        <v>65</v>
      </c>
      <c r="L80" s="80">
        <v>80</v>
      </c>
      <c r="M80" s="80"/>
      <c r="N80" s="74"/>
      <c r="O80" s="82" t="s">
        <v>528</v>
      </c>
      <c r="P80" s="84">
        <v>44518.625081018516</v>
      </c>
      <c r="Q80" s="82" t="s">
        <v>595</v>
      </c>
      <c r="R80" s="85" t="str">
        <f>HYPERLINK("https://www.cdc.gov/drugresistance/covid19.html")</f>
        <v>https://www.cdc.gov/drugresistance/covid19.html</v>
      </c>
      <c r="S80" s="82" t="s">
        <v>903</v>
      </c>
      <c r="T80" s="87" t="s">
        <v>954</v>
      </c>
      <c r="U80" s="82"/>
      <c r="V80" s="85" t="str">
        <f>HYPERLINK("https://pbs.twimg.com/profile_images/1353296179963035648/YmwSzrJH_normal.jpg")</f>
        <v>https://pbs.twimg.com/profile_images/1353296179963035648/YmwSzrJH_normal.jpg</v>
      </c>
      <c r="W80" s="84">
        <v>44518.625081018516</v>
      </c>
      <c r="X80" s="90">
        <v>44518</v>
      </c>
      <c r="Y80" s="87" t="s">
        <v>1205</v>
      </c>
      <c r="Z80" s="85" t="str">
        <f>HYPERLINK("https://twitter.com/polypidltd/status/1461348499639861260")</f>
        <v>https://twitter.com/polypidltd/status/1461348499639861260</v>
      </c>
      <c r="AA80" s="82"/>
      <c r="AB80" s="82"/>
      <c r="AC80" s="87" t="s">
        <v>1512</v>
      </c>
      <c r="AD80" s="82"/>
      <c r="AE80" s="82" t="b">
        <v>0</v>
      </c>
      <c r="AF80" s="82">
        <v>1</v>
      </c>
      <c r="AG80" s="87" t="s">
        <v>1815</v>
      </c>
      <c r="AH80" s="82" t="b">
        <v>0</v>
      </c>
      <c r="AI80" s="82" t="s">
        <v>1826</v>
      </c>
      <c r="AJ80" s="82"/>
      <c r="AK80" s="87" t="s">
        <v>1815</v>
      </c>
      <c r="AL80" s="82" t="b">
        <v>0</v>
      </c>
      <c r="AM80" s="82">
        <v>0</v>
      </c>
      <c r="AN80" s="87" t="s">
        <v>1815</v>
      </c>
      <c r="AO80" s="87" t="s">
        <v>1856</v>
      </c>
      <c r="AP80" s="82" t="b">
        <v>0</v>
      </c>
      <c r="AQ80" s="87" t="s">
        <v>1512</v>
      </c>
      <c r="AR80" s="82"/>
      <c r="AS80" s="82">
        <v>0</v>
      </c>
      <c r="AT80" s="82">
        <v>0</v>
      </c>
      <c r="AU80" s="82"/>
      <c r="AV80" s="82"/>
      <c r="AW80" s="82"/>
      <c r="AX80" s="82"/>
      <c r="AY80" s="82"/>
      <c r="AZ80" s="82"/>
      <c r="BA80" s="82"/>
      <c r="BB80" s="82"/>
      <c r="BC80">
        <v>1</v>
      </c>
      <c r="BD80" s="81" t="str">
        <f>REPLACE(INDEX(GroupVertices[Group],MATCH(Edges[[#This Row],[Vertex 1]],GroupVertices[Vertex],0)),1,1,"")</f>
        <v>24</v>
      </c>
      <c r="BE80" s="81" t="str">
        <f>REPLACE(INDEX(GroupVertices[Group],MATCH(Edges[[#This Row],[Vertex 2]],GroupVertices[Vertex],0)),1,1,"")</f>
        <v>24</v>
      </c>
      <c r="BF80" s="49">
        <v>0</v>
      </c>
      <c r="BG80" s="50">
        <v>0</v>
      </c>
      <c r="BH80" s="49">
        <v>1</v>
      </c>
      <c r="BI80" s="50">
        <v>3.0303030303030303</v>
      </c>
      <c r="BJ80" s="49">
        <v>0</v>
      </c>
      <c r="BK80" s="50">
        <v>0</v>
      </c>
      <c r="BL80" s="49">
        <v>32</v>
      </c>
      <c r="BM80" s="50">
        <v>96.96969696969697</v>
      </c>
      <c r="BN80" s="49">
        <v>33</v>
      </c>
    </row>
    <row r="81" spans="1:66" ht="15">
      <c r="A81" s="66" t="s">
        <v>291</v>
      </c>
      <c r="B81" s="66" t="s">
        <v>291</v>
      </c>
      <c r="C81" s="67" t="s">
        <v>4509</v>
      </c>
      <c r="D81" s="68">
        <v>3</v>
      </c>
      <c r="E81" s="69" t="s">
        <v>132</v>
      </c>
      <c r="F81" s="70">
        <v>32</v>
      </c>
      <c r="G81" s="67"/>
      <c r="H81" s="71"/>
      <c r="I81" s="72"/>
      <c r="J81" s="72"/>
      <c r="K81" s="35" t="s">
        <v>65</v>
      </c>
      <c r="L81" s="80">
        <v>81</v>
      </c>
      <c r="M81" s="80"/>
      <c r="N81" s="74"/>
      <c r="O81" s="82" t="s">
        <v>214</v>
      </c>
      <c r="P81" s="84">
        <v>44518.63878472222</v>
      </c>
      <c r="Q81" s="82" t="s">
        <v>596</v>
      </c>
      <c r="R81" s="82"/>
      <c r="S81" s="82"/>
      <c r="T81" s="87" t="s">
        <v>966</v>
      </c>
      <c r="U81" s="85" t="str">
        <f>HYPERLINK("https://pbs.twimg.com/media/FEfFNuqUUAsGzbg.jpg")</f>
        <v>https://pbs.twimg.com/media/FEfFNuqUUAsGzbg.jpg</v>
      </c>
      <c r="V81" s="85" t="str">
        <f>HYPERLINK("https://pbs.twimg.com/media/FEfFNuqUUAsGzbg.jpg")</f>
        <v>https://pbs.twimg.com/media/FEfFNuqUUAsGzbg.jpg</v>
      </c>
      <c r="W81" s="84">
        <v>44518.63878472222</v>
      </c>
      <c r="X81" s="90">
        <v>44518</v>
      </c>
      <c r="Y81" s="87" t="s">
        <v>1206</v>
      </c>
      <c r="Z81" s="85" t="str">
        <f>HYPERLINK("https://twitter.com/sawansa26253866/status/1461353464496156681")</f>
        <v>https://twitter.com/sawansa26253866/status/1461353464496156681</v>
      </c>
      <c r="AA81" s="82"/>
      <c r="AB81" s="82"/>
      <c r="AC81" s="87" t="s">
        <v>1513</v>
      </c>
      <c r="AD81" s="82"/>
      <c r="AE81" s="82" t="b">
        <v>0</v>
      </c>
      <c r="AF81" s="82">
        <v>0</v>
      </c>
      <c r="AG81" s="87" t="s">
        <v>1815</v>
      </c>
      <c r="AH81" s="82" t="b">
        <v>0</v>
      </c>
      <c r="AI81" s="82" t="s">
        <v>1826</v>
      </c>
      <c r="AJ81" s="82"/>
      <c r="AK81" s="87" t="s">
        <v>1815</v>
      </c>
      <c r="AL81" s="82" t="b">
        <v>0</v>
      </c>
      <c r="AM81" s="82">
        <v>0</v>
      </c>
      <c r="AN81" s="87" t="s">
        <v>1815</v>
      </c>
      <c r="AO81" s="87" t="s">
        <v>1852</v>
      </c>
      <c r="AP81" s="82" t="b">
        <v>0</v>
      </c>
      <c r="AQ81" s="87" t="s">
        <v>1513</v>
      </c>
      <c r="AR81" s="82"/>
      <c r="AS81" s="82">
        <v>0</v>
      </c>
      <c r="AT81" s="82">
        <v>0</v>
      </c>
      <c r="AU81" s="82"/>
      <c r="AV81" s="82"/>
      <c r="AW81" s="82"/>
      <c r="AX81" s="82"/>
      <c r="AY81" s="82"/>
      <c r="AZ81" s="82"/>
      <c r="BA81" s="82"/>
      <c r="BB81" s="82"/>
      <c r="BC81">
        <v>1</v>
      </c>
      <c r="BD81" s="81" t="str">
        <f>REPLACE(INDEX(GroupVertices[Group],MATCH(Edges[[#This Row],[Vertex 1]],GroupVertices[Vertex],0)),1,1,"")</f>
        <v>1</v>
      </c>
      <c r="BE81" s="81" t="str">
        <f>REPLACE(INDEX(GroupVertices[Group],MATCH(Edges[[#This Row],[Vertex 2]],GroupVertices[Vertex],0)),1,1,"")</f>
        <v>1</v>
      </c>
      <c r="BF81" s="49">
        <v>1</v>
      </c>
      <c r="BG81" s="50">
        <v>2.9411764705882355</v>
      </c>
      <c r="BH81" s="49">
        <v>0</v>
      </c>
      <c r="BI81" s="50">
        <v>0</v>
      </c>
      <c r="BJ81" s="49">
        <v>0</v>
      </c>
      <c r="BK81" s="50">
        <v>0</v>
      </c>
      <c r="BL81" s="49">
        <v>33</v>
      </c>
      <c r="BM81" s="50">
        <v>97.05882352941177</v>
      </c>
      <c r="BN81" s="49">
        <v>34</v>
      </c>
    </row>
    <row r="82" spans="1:66" ht="15">
      <c r="A82" s="66" t="s">
        <v>292</v>
      </c>
      <c r="B82" s="66" t="s">
        <v>292</v>
      </c>
      <c r="C82" s="67" t="s">
        <v>4509</v>
      </c>
      <c r="D82" s="68">
        <v>3</v>
      </c>
      <c r="E82" s="69" t="s">
        <v>132</v>
      </c>
      <c r="F82" s="70">
        <v>32</v>
      </c>
      <c r="G82" s="67"/>
      <c r="H82" s="71"/>
      <c r="I82" s="72"/>
      <c r="J82" s="72"/>
      <c r="K82" s="35" t="s">
        <v>65</v>
      </c>
      <c r="L82" s="80">
        <v>82</v>
      </c>
      <c r="M82" s="80"/>
      <c r="N82" s="74"/>
      <c r="O82" s="82" t="s">
        <v>214</v>
      </c>
      <c r="P82" s="84">
        <v>44518.63123842593</v>
      </c>
      <c r="Q82" s="82" t="s">
        <v>597</v>
      </c>
      <c r="R82" s="85" t="str">
        <f>HYPERLINK("https://twitter.com/CDCgov/status/1461348550298587140")</f>
        <v>https://twitter.com/CDCgov/status/1461348550298587140</v>
      </c>
      <c r="S82" s="82" t="s">
        <v>914</v>
      </c>
      <c r="T82" s="87" t="s">
        <v>990</v>
      </c>
      <c r="U82" s="82"/>
      <c r="V82" s="85" t="str">
        <f>HYPERLINK("https://pbs.twimg.com/profile_images/1433526179282182153/QDkfzArV_normal.jpg")</f>
        <v>https://pbs.twimg.com/profile_images/1433526179282182153/QDkfzArV_normal.jpg</v>
      </c>
      <c r="W82" s="84">
        <v>44518.63123842593</v>
      </c>
      <c r="X82" s="90">
        <v>44518</v>
      </c>
      <c r="Y82" s="87" t="s">
        <v>1207</v>
      </c>
      <c r="Z82" s="85" t="str">
        <f>HYPERLINK("https://twitter.com/mouthy_ip/status/1461350732175605781")</f>
        <v>https://twitter.com/mouthy_ip/status/1461350732175605781</v>
      </c>
      <c r="AA82" s="82"/>
      <c r="AB82" s="82"/>
      <c r="AC82" s="87" t="s">
        <v>1514</v>
      </c>
      <c r="AD82" s="82"/>
      <c r="AE82" s="82" t="b">
        <v>0</v>
      </c>
      <c r="AF82" s="82">
        <v>3</v>
      </c>
      <c r="AG82" s="87" t="s">
        <v>1815</v>
      </c>
      <c r="AH82" s="82" t="b">
        <v>1</v>
      </c>
      <c r="AI82" s="82" t="s">
        <v>1826</v>
      </c>
      <c r="AJ82" s="82"/>
      <c r="AK82" s="87" t="s">
        <v>1762</v>
      </c>
      <c r="AL82" s="82" t="b">
        <v>0</v>
      </c>
      <c r="AM82" s="82">
        <v>1</v>
      </c>
      <c r="AN82" s="87" t="s">
        <v>1815</v>
      </c>
      <c r="AO82" s="87" t="s">
        <v>1850</v>
      </c>
      <c r="AP82" s="82" t="b">
        <v>0</v>
      </c>
      <c r="AQ82" s="87" t="s">
        <v>1514</v>
      </c>
      <c r="AR82" s="82"/>
      <c r="AS82" s="82">
        <v>0</v>
      </c>
      <c r="AT82" s="82">
        <v>0</v>
      </c>
      <c r="AU82" s="82"/>
      <c r="AV82" s="82"/>
      <c r="AW82" s="82"/>
      <c r="AX82" s="82"/>
      <c r="AY82" s="82"/>
      <c r="AZ82" s="82"/>
      <c r="BA82" s="82"/>
      <c r="BB82" s="82"/>
      <c r="BC82">
        <v>1</v>
      </c>
      <c r="BD82" s="81" t="str">
        <f>REPLACE(INDEX(GroupVertices[Group],MATCH(Edges[[#This Row],[Vertex 1]],GroupVertices[Vertex],0)),1,1,"")</f>
        <v>1</v>
      </c>
      <c r="BE82" s="81" t="str">
        <f>REPLACE(INDEX(GroupVertices[Group],MATCH(Edges[[#This Row],[Vertex 2]],GroupVertices[Vertex],0)),1,1,"")</f>
        <v>1</v>
      </c>
      <c r="BF82" s="49">
        <v>0</v>
      </c>
      <c r="BG82" s="50">
        <v>0</v>
      </c>
      <c r="BH82" s="49">
        <v>0</v>
      </c>
      <c r="BI82" s="50">
        <v>0</v>
      </c>
      <c r="BJ82" s="49">
        <v>0</v>
      </c>
      <c r="BK82" s="50">
        <v>0</v>
      </c>
      <c r="BL82" s="49">
        <v>13</v>
      </c>
      <c r="BM82" s="50">
        <v>100</v>
      </c>
      <c r="BN82" s="49">
        <v>13</v>
      </c>
    </row>
    <row r="83" spans="1:66" ht="15">
      <c r="A83" s="66" t="s">
        <v>293</v>
      </c>
      <c r="B83" s="66" t="s">
        <v>293</v>
      </c>
      <c r="C83" s="67" t="s">
        <v>4509</v>
      </c>
      <c r="D83" s="68">
        <v>3</v>
      </c>
      <c r="E83" s="69" t="s">
        <v>132</v>
      </c>
      <c r="F83" s="70">
        <v>32</v>
      </c>
      <c r="G83" s="67"/>
      <c r="H83" s="71"/>
      <c r="I83" s="72"/>
      <c r="J83" s="72"/>
      <c r="K83" s="35" t="s">
        <v>65</v>
      </c>
      <c r="L83" s="80">
        <v>83</v>
      </c>
      <c r="M83" s="80"/>
      <c r="N83" s="74"/>
      <c r="O83" s="82" t="s">
        <v>214</v>
      </c>
      <c r="P83" s="84">
        <v>44518.62503472222</v>
      </c>
      <c r="Q83" s="82" t="s">
        <v>598</v>
      </c>
      <c r="R83" s="85" t="str">
        <f>HYPERLINK("https://antibioticguardian.com/")</f>
        <v>https://antibioticguardian.com/</v>
      </c>
      <c r="S83" s="82" t="s">
        <v>902</v>
      </c>
      <c r="T83" s="87" t="s">
        <v>955</v>
      </c>
      <c r="U83" s="85" t="str">
        <f>HYPERLINK("https://pbs.twimg.com/media/FEPSyQ6WUAIwAHr.jpg")</f>
        <v>https://pbs.twimg.com/media/FEPSyQ6WUAIwAHr.jpg</v>
      </c>
      <c r="V83" s="85" t="str">
        <f>HYPERLINK("https://pbs.twimg.com/media/FEPSyQ6WUAIwAHr.jpg")</f>
        <v>https://pbs.twimg.com/media/FEPSyQ6WUAIwAHr.jpg</v>
      </c>
      <c r="W83" s="84">
        <v>44518.62503472222</v>
      </c>
      <c r="X83" s="90">
        <v>44518</v>
      </c>
      <c r="Y83" s="87" t="s">
        <v>1149</v>
      </c>
      <c r="Z83" s="85" t="str">
        <f>HYPERLINK("https://twitter.com/nhs_nelccg/status/1461348481176678400")</f>
        <v>https://twitter.com/nhs_nelccg/status/1461348481176678400</v>
      </c>
      <c r="AA83" s="82"/>
      <c r="AB83" s="82"/>
      <c r="AC83" s="87" t="s">
        <v>1515</v>
      </c>
      <c r="AD83" s="82"/>
      <c r="AE83" s="82" t="b">
        <v>0</v>
      </c>
      <c r="AF83" s="82">
        <v>1</v>
      </c>
      <c r="AG83" s="87" t="s">
        <v>1815</v>
      </c>
      <c r="AH83" s="82" t="b">
        <v>0</v>
      </c>
      <c r="AI83" s="82" t="s">
        <v>1826</v>
      </c>
      <c r="AJ83" s="82"/>
      <c r="AK83" s="87" t="s">
        <v>1815</v>
      </c>
      <c r="AL83" s="82" t="b">
        <v>0</v>
      </c>
      <c r="AM83" s="82">
        <v>0</v>
      </c>
      <c r="AN83" s="87" t="s">
        <v>1815</v>
      </c>
      <c r="AO83" s="87" t="s">
        <v>1853</v>
      </c>
      <c r="AP83" s="82" t="b">
        <v>0</v>
      </c>
      <c r="AQ83" s="87" t="s">
        <v>1515</v>
      </c>
      <c r="AR83" s="82"/>
      <c r="AS83" s="82">
        <v>0</v>
      </c>
      <c r="AT83" s="82">
        <v>0</v>
      </c>
      <c r="AU83" s="82"/>
      <c r="AV83" s="82"/>
      <c r="AW83" s="82"/>
      <c r="AX83" s="82"/>
      <c r="AY83" s="82"/>
      <c r="AZ83" s="82"/>
      <c r="BA83" s="82"/>
      <c r="BB83" s="82"/>
      <c r="BC83">
        <v>1</v>
      </c>
      <c r="BD83" s="81" t="str">
        <f>REPLACE(INDEX(GroupVertices[Group],MATCH(Edges[[#This Row],[Vertex 1]],GroupVertices[Vertex],0)),1,1,"")</f>
        <v>1</v>
      </c>
      <c r="BE83" s="81" t="str">
        <f>REPLACE(INDEX(GroupVertices[Group],MATCH(Edges[[#This Row],[Vertex 2]],GroupVertices[Vertex],0)),1,1,"")</f>
        <v>1</v>
      </c>
      <c r="BF83" s="49">
        <v>0</v>
      </c>
      <c r="BG83" s="50">
        <v>0</v>
      </c>
      <c r="BH83" s="49">
        <v>2</v>
      </c>
      <c r="BI83" s="50">
        <v>11.11111111111111</v>
      </c>
      <c r="BJ83" s="49">
        <v>0</v>
      </c>
      <c r="BK83" s="50">
        <v>0</v>
      </c>
      <c r="BL83" s="49">
        <v>16</v>
      </c>
      <c r="BM83" s="50">
        <v>88.88888888888889</v>
      </c>
      <c r="BN83" s="49">
        <v>18</v>
      </c>
    </row>
    <row r="84" spans="1:66" ht="15">
      <c r="A84" s="66" t="s">
        <v>294</v>
      </c>
      <c r="B84" s="66" t="s">
        <v>294</v>
      </c>
      <c r="C84" s="67" t="s">
        <v>4509</v>
      </c>
      <c r="D84" s="68">
        <v>3</v>
      </c>
      <c r="E84" s="69" t="s">
        <v>132</v>
      </c>
      <c r="F84" s="70">
        <v>32</v>
      </c>
      <c r="G84" s="67"/>
      <c r="H84" s="71"/>
      <c r="I84" s="72"/>
      <c r="J84" s="72"/>
      <c r="K84" s="35" t="s">
        <v>65</v>
      </c>
      <c r="L84" s="80">
        <v>84</v>
      </c>
      <c r="M84" s="80"/>
      <c r="N84" s="74"/>
      <c r="O84" s="82" t="s">
        <v>214</v>
      </c>
      <c r="P84" s="84">
        <v>44518.628530092596</v>
      </c>
      <c r="Q84" s="82" t="s">
        <v>599</v>
      </c>
      <c r="R84" s="85" t="str">
        <f>HYPERLINK("https://antibioticguardian.com/")</f>
        <v>https://antibioticguardian.com/</v>
      </c>
      <c r="S84" s="82" t="s">
        <v>902</v>
      </c>
      <c r="T84" s="87" t="s">
        <v>955</v>
      </c>
      <c r="U84" s="85" t="str">
        <f>HYPERLINK("https://pbs.twimg.com/media/FEfB2nZUcAoOqAy.jpg")</f>
        <v>https://pbs.twimg.com/media/FEfB2nZUcAoOqAy.jpg</v>
      </c>
      <c r="V84" s="85" t="str">
        <f>HYPERLINK("https://pbs.twimg.com/media/FEfB2nZUcAoOqAy.jpg")</f>
        <v>https://pbs.twimg.com/media/FEfB2nZUcAoOqAy.jpg</v>
      </c>
      <c r="W84" s="84">
        <v>44518.628530092596</v>
      </c>
      <c r="X84" s="90">
        <v>44518</v>
      </c>
      <c r="Y84" s="87" t="s">
        <v>1208</v>
      </c>
      <c r="Z84" s="85" t="str">
        <f>HYPERLINK("https://twitter.com/nhs_tnw/status/1461349749936721933")</f>
        <v>https://twitter.com/nhs_tnw/status/1461349749936721933</v>
      </c>
      <c r="AA84" s="82"/>
      <c r="AB84" s="82"/>
      <c r="AC84" s="87" t="s">
        <v>1516</v>
      </c>
      <c r="AD84" s="82"/>
      <c r="AE84" s="82" t="b">
        <v>0</v>
      </c>
      <c r="AF84" s="82">
        <v>0</v>
      </c>
      <c r="AG84" s="87" t="s">
        <v>1815</v>
      </c>
      <c r="AH84" s="82" t="b">
        <v>0</v>
      </c>
      <c r="AI84" s="82" t="s">
        <v>1826</v>
      </c>
      <c r="AJ84" s="82"/>
      <c r="AK84" s="87" t="s">
        <v>1815</v>
      </c>
      <c r="AL84" s="82" t="b">
        <v>0</v>
      </c>
      <c r="AM84" s="82">
        <v>0</v>
      </c>
      <c r="AN84" s="87" t="s">
        <v>1815</v>
      </c>
      <c r="AO84" s="87" t="s">
        <v>1854</v>
      </c>
      <c r="AP84" s="82" t="b">
        <v>0</v>
      </c>
      <c r="AQ84" s="87" t="s">
        <v>1516</v>
      </c>
      <c r="AR84" s="82"/>
      <c r="AS84" s="82">
        <v>0</v>
      </c>
      <c r="AT84" s="82">
        <v>0</v>
      </c>
      <c r="AU84" s="82"/>
      <c r="AV84" s="82"/>
      <c r="AW84" s="82"/>
      <c r="AX84" s="82"/>
      <c r="AY84" s="82"/>
      <c r="AZ84" s="82"/>
      <c r="BA84" s="82"/>
      <c r="BB84" s="82"/>
      <c r="BC84">
        <v>1</v>
      </c>
      <c r="BD84" s="81" t="str">
        <f>REPLACE(INDEX(GroupVertices[Group],MATCH(Edges[[#This Row],[Vertex 1]],GroupVertices[Vertex],0)),1,1,"")</f>
        <v>1</v>
      </c>
      <c r="BE84" s="81" t="str">
        <f>REPLACE(INDEX(GroupVertices[Group],MATCH(Edges[[#This Row],[Vertex 2]],GroupVertices[Vertex],0)),1,1,"")</f>
        <v>1</v>
      </c>
      <c r="BF84" s="49">
        <v>0</v>
      </c>
      <c r="BG84" s="50">
        <v>0</v>
      </c>
      <c r="BH84" s="49">
        <v>2</v>
      </c>
      <c r="BI84" s="50">
        <v>11.11111111111111</v>
      </c>
      <c r="BJ84" s="49">
        <v>0</v>
      </c>
      <c r="BK84" s="50">
        <v>0</v>
      </c>
      <c r="BL84" s="49">
        <v>16</v>
      </c>
      <c r="BM84" s="50">
        <v>88.88888888888889</v>
      </c>
      <c r="BN84" s="49">
        <v>18</v>
      </c>
    </row>
    <row r="85" spans="1:66" ht="15">
      <c r="A85" s="66" t="s">
        <v>295</v>
      </c>
      <c r="B85" s="66" t="s">
        <v>295</v>
      </c>
      <c r="C85" s="67" t="s">
        <v>4509</v>
      </c>
      <c r="D85" s="68">
        <v>3</v>
      </c>
      <c r="E85" s="69" t="s">
        <v>132</v>
      </c>
      <c r="F85" s="70">
        <v>32</v>
      </c>
      <c r="G85" s="67"/>
      <c r="H85" s="71"/>
      <c r="I85" s="72"/>
      <c r="J85" s="72"/>
      <c r="K85" s="35" t="s">
        <v>65</v>
      </c>
      <c r="L85" s="80">
        <v>85</v>
      </c>
      <c r="M85" s="80"/>
      <c r="N85" s="74"/>
      <c r="O85" s="82" t="s">
        <v>214</v>
      </c>
      <c r="P85" s="84">
        <v>44518.625</v>
      </c>
      <c r="Q85" s="82" t="s">
        <v>600</v>
      </c>
      <c r="R85" s="85" t="str">
        <f>HYPERLINK("https://www.youtube.com/watch?v=Yh1H37CxxC8&amp;feature=youtu.be")</f>
        <v>https://www.youtube.com/watch?v=Yh1H37CxxC8&amp;feature=youtu.be</v>
      </c>
      <c r="S85" s="82" t="s">
        <v>912</v>
      </c>
      <c r="T85" s="87" t="s">
        <v>991</v>
      </c>
      <c r="U85" s="85" t="str">
        <f>HYPERLINK("https://pbs.twimg.com/media/FEd3zQKXsAEnehh.jpg")</f>
        <v>https://pbs.twimg.com/media/FEd3zQKXsAEnehh.jpg</v>
      </c>
      <c r="V85" s="85" t="str">
        <f>HYPERLINK("https://pbs.twimg.com/media/FEd3zQKXsAEnehh.jpg")</f>
        <v>https://pbs.twimg.com/media/FEd3zQKXsAEnehh.jpg</v>
      </c>
      <c r="W85" s="84">
        <v>44518.625</v>
      </c>
      <c r="X85" s="90">
        <v>44518</v>
      </c>
      <c r="Y85" s="87" t="s">
        <v>1160</v>
      </c>
      <c r="Z85" s="85" t="str">
        <f>HYPERLINK("https://twitter.com/nhswirralccg/status/1461348471932391424")</f>
        <v>https://twitter.com/nhswirralccg/status/1461348471932391424</v>
      </c>
      <c r="AA85" s="82"/>
      <c r="AB85" s="82"/>
      <c r="AC85" s="87" t="s">
        <v>1517</v>
      </c>
      <c r="AD85" s="82"/>
      <c r="AE85" s="82" t="b">
        <v>0</v>
      </c>
      <c r="AF85" s="82">
        <v>3</v>
      </c>
      <c r="AG85" s="87" t="s">
        <v>1815</v>
      </c>
      <c r="AH85" s="82" t="b">
        <v>0</v>
      </c>
      <c r="AI85" s="82" t="s">
        <v>1826</v>
      </c>
      <c r="AJ85" s="82"/>
      <c r="AK85" s="87" t="s">
        <v>1815</v>
      </c>
      <c r="AL85" s="82" t="b">
        <v>0</v>
      </c>
      <c r="AM85" s="82">
        <v>2</v>
      </c>
      <c r="AN85" s="87" t="s">
        <v>1815</v>
      </c>
      <c r="AO85" s="87" t="s">
        <v>1853</v>
      </c>
      <c r="AP85" s="82" t="b">
        <v>0</v>
      </c>
      <c r="AQ85" s="87" t="s">
        <v>1517</v>
      </c>
      <c r="AR85" s="82"/>
      <c r="AS85" s="82">
        <v>0</v>
      </c>
      <c r="AT85" s="82">
        <v>0</v>
      </c>
      <c r="AU85" s="82"/>
      <c r="AV85" s="82"/>
      <c r="AW85" s="82"/>
      <c r="AX85" s="82"/>
      <c r="AY85" s="82"/>
      <c r="AZ85" s="82"/>
      <c r="BA85" s="82"/>
      <c r="BB85" s="82"/>
      <c r="BC85">
        <v>1</v>
      </c>
      <c r="BD85" s="81" t="str">
        <f>REPLACE(INDEX(GroupVertices[Group],MATCH(Edges[[#This Row],[Vertex 1]],GroupVertices[Vertex],0)),1,1,"")</f>
        <v>1</v>
      </c>
      <c r="BE85" s="81" t="str">
        <f>REPLACE(INDEX(GroupVertices[Group],MATCH(Edges[[#This Row],[Vertex 2]],GroupVertices[Vertex],0)),1,1,"")</f>
        <v>1</v>
      </c>
      <c r="BF85" s="49">
        <v>1</v>
      </c>
      <c r="BG85" s="50">
        <v>2.7777777777777777</v>
      </c>
      <c r="BH85" s="49">
        <v>1</v>
      </c>
      <c r="BI85" s="50">
        <v>2.7777777777777777</v>
      </c>
      <c r="BJ85" s="49">
        <v>0</v>
      </c>
      <c r="BK85" s="50">
        <v>0</v>
      </c>
      <c r="BL85" s="49">
        <v>34</v>
      </c>
      <c r="BM85" s="50">
        <v>94.44444444444444</v>
      </c>
      <c r="BN85" s="49">
        <v>36</v>
      </c>
    </row>
    <row r="86" spans="1:66" ht="15">
      <c r="A86" s="66" t="s">
        <v>296</v>
      </c>
      <c r="B86" s="66" t="s">
        <v>296</v>
      </c>
      <c r="C86" s="67" t="s">
        <v>4509</v>
      </c>
      <c r="D86" s="68">
        <v>3</v>
      </c>
      <c r="E86" s="69" t="s">
        <v>132</v>
      </c>
      <c r="F86" s="70">
        <v>32</v>
      </c>
      <c r="G86" s="67"/>
      <c r="H86" s="71"/>
      <c r="I86" s="72"/>
      <c r="J86" s="72"/>
      <c r="K86" s="35" t="s">
        <v>65</v>
      </c>
      <c r="L86" s="80">
        <v>86</v>
      </c>
      <c r="M86" s="80"/>
      <c r="N86" s="74"/>
      <c r="O86" s="82" t="s">
        <v>214</v>
      </c>
      <c r="P86" s="84">
        <v>44518.66061342593</v>
      </c>
      <c r="Q86" s="82" t="s">
        <v>601</v>
      </c>
      <c r="R86" s="85" t="str">
        <f>HYPERLINK("https://www.youtube.com/watch?v=wZ80cWzt-lw&amp;feature=youtu.be")</f>
        <v>https://www.youtube.com/watch?v=wZ80cWzt-lw&amp;feature=youtu.be</v>
      </c>
      <c r="S86" s="82" t="s">
        <v>912</v>
      </c>
      <c r="T86" s="87" t="s">
        <v>992</v>
      </c>
      <c r="U86" s="85" t="str">
        <f>HYPERLINK("https://pbs.twimg.com/ext_tw_video_thumb/1461359873749180423/pu/img/hsAw0GwHnNQQFOF6.jpg")</f>
        <v>https://pbs.twimg.com/ext_tw_video_thumb/1461359873749180423/pu/img/hsAw0GwHnNQQFOF6.jpg</v>
      </c>
      <c r="V86" s="85" t="str">
        <f>HYPERLINK("https://pbs.twimg.com/ext_tw_video_thumb/1461359873749180423/pu/img/hsAw0GwHnNQQFOF6.jpg")</f>
        <v>https://pbs.twimg.com/ext_tw_video_thumb/1461359873749180423/pu/img/hsAw0GwHnNQQFOF6.jpg</v>
      </c>
      <c r="W86" s="84">
        <v>44518.66061342593</v>
      </c>
      <c r="X86" s="90">
        <v>44518</v>
      </c>
      <c r="Y86" s="87" t="s">
        <v>1209</v>
      </c>
      <c r="Z86" s="85" t="str">
        <f>HYPERLINK("https://twitter.com/parshallison/status/1461361376081821724")</f>
        <v>https://twitter.com/parshallison/status/1461361376081821724</v>
      </c>
      <c r="AA86" s="82"/>
      <c r="AB86" s="82"/>
      <c r="AC86" s="87" t="s">
        <v>1518</v>
      </c>
      <c r="AD86" s="82"/>
      <c r="AE86" s="82" t="b">
        <v>0</v>
      </c>
      <c r="AF86" s="82">
        <v>13</v>
      </c>
      <c r="AG86" s="87" t="s">
        <v>1815</v>
      </c>
      <c r="AH86" s="82" t="b">
        <v>0</v>
      </c>
      <c r="AI86" s="82" t="s">
        <v>1826</v>
      </c>
      <c r="AJ86" s="82"/>
      <c r="AK86" s="87" t="s">
        <v>1815</v>
      </c>
      <c r="AL86" s="82" t="b">
        <v>0</v>
      </c>
      <c r="AM86" s="82">
        <v>4</v>
      </c>
      <c r="AN86" s="87" t="s">
        <v>1815</v>
      </c>
      <c r="AO86" s="87" t="s">
        <v>1850</v>
      </c>
      <c r="AP86" s="82" t="b">
        <v>0</v>
      </c>
      <c r="AQ86" s="87" t="s">
        <v>1518</v>
      </c>
      <c r="AR86" s="82"/>
      <c r="AS86" s="82">
        <v>0</v>
      </c>
      <c r="AT86" s="82">
        <v>0</v>
      </c>
      <c r="AU86" s="82"/>
      <c r="AV86" s="82"/>
      <c r="AW86" s="82"/>
      <c r="AX86" s="82"/>
      <c r="AY86" s="82"/>
      <c r="AZ86" s="82"/>
      <c r="BA86" s="82"/>
      <c r="BB86" s="82"/>
      <c r="BC86">
        <v>1</v>
      </c>
      <c r="BD86" s="81" t="str">
        <f>REPLACE(INDEX(GroupVertices[Group],MATCH(Edges[[#This Row],[Vertex 1]],GroupVertices[Vertex],0)),1,1,"")</f>
        <v>1</v>
      </c>
      <c r="BE86" s="81" t="str">
        <f>REPLACE(INDEX(GroupVertices[Group],MATCH(Edges[[#This Row],[Vertex 2]],GroupVertices[Vertex],0)),1,1,"")</f>
        <v>1</v>
      </c>
      <c r="BF86" s="49">
        <v>1</v>
      </c>
      <c r="BG86" s="50">
        <v>2.7777777777777777</v>
      </c>
      <c r="BH86" s="49">
        <v>2</v>
      </c>
      <c r="BI86" s="50">
        <v>5.555555555555555</v>
      </c>
      <c r="BJ86" s="49">
        <v>1</v>
      </c>
      <c r="BK86" s="50">
        <v>2.7777777777777777</v>
      </c>
      <c r="BL86" s="49">
        <v>33</v>
      </c>
      <c r="BM86" s="50">
        <v>91.66666666666667</v>
      </c>
      <c r="BN86" s="49">
        <v>36</v>
      </c>
    </row>
    <row r="87" spans="1:66" ht="15">
      <c r="A87" s="66" t="s">
        <v>297</v>
      </c>
      <c r="B87" s="66" t="s">
        <v>463</v>
      </c>
      <c r="C87" s="67" t="s">
        <v>4509</v>
      </c>
      <c r="D87" s="68">
        <v>3</v>
      </c>
      <c r="E87" s="69" t="s">
        <v>132</v>
      </c>
      <c r="F87" s="70">
        <v>32</v>
      </c>
      <c r="G87" s="67"/>
      <c r="H87" s="71"/>
      <c r="I87" s="72"/>
      <c r="J87" s="72"/>
      <c r="K87" s="35" t="s">
        <v>65</v>
      </c>
      <c r="L87" s="80">
        <v>87</v>
      </c>
      <c r="M87" s="80"/>
      <c r="N87" s="74"/>
      <c r="O87" s="82" t="s">
        <v>528</v>
      </c>
      <c r="P87" s="84">
        <v>44518.63989583333</v>
      </c>
      <c r="Q87" s="82" t="s">
        <v>602</v>
      </c>
      <c r="R87" s="85" t="str">
        <f>HYPERLINK("https://twitter.com/eBug_UK/status/1461302711786348550")</f>
        <v>https://twitter.com/eBug_UK/status/1461302711786348550</v>
      </c>
      <c r="S87" s="82" t="s">
        <v>914</v>
      </c>
      <c r="T87" s="87" t="s">
        <v>991</v>
      </c>
      <c r="U87" s="82"/>
      <c r="V87" s="85" t="str">
        <f>HYPERLINK("https://abs.twimg.com/sticky/default_profile_images/default_profile_normal.png")</f>
        <v>https://abs.twimg.com/sticky/default_profile_images/default_profile_normal.png</v>
      </c>
      <c r="W87" s="84">
        <v>44518.63989583333</v>
      </c>
      <c r="X87" s="90">
        <v>44518</v>
      </c>
      <c r="Y87" s="87" t="s">
        <v>1210</v>
      </c>
      <c r="Z87" s="85" t="str">
        <f>HYPERLINK("https://twitter.com/pen_no_sillyin/status/1461353868541902851")</f>
        <v>https://twitter.com/pen_no_sillyin/status/1461353868541902851</v>
      </c>
      <c r="AA87" s="82"/>
      <c r="AB87" s="82"/>
      <c r="AC87" s="87" t="s">
        <v>1519</v>
      </c>
      <c r="AD87" s="82"/>
      <c r="AE87" s="82" t="b">
        <v>0</v>
      </c>
      <c r="AF87" s="82">
        <v>4</v>
      </c>
      <c r="AG87" s="87" t="s">
        <v>1815</v>
      </c>
      <c r="AH87" s="82" t="b">
        <v>1</v>
      </c>
      <c r="AI87" s="82" t="s">
        <v>1826</v>
      </c>
      <c r="AJ87" s="82"/>
      <c r="AK87" s="87" t="s">
        <v>1835</v>
      </c>
      <c r="AL87" s="82" t="b">
        <v>0</v>
      </c>
      <c r="AM87" s="82">
        <v>1</v>
      </c>
      <c r="AN87" s="87" t="s">
        <v>1815</v>
      </c>
      <c r="AO87" s="87" t="s">
        <v>1852</v>
      </c>
      <c r="AP87" s="82" t="b">
        <v>0</v>
      </c>
      <c r="AQ87" s="87" t="s">
        <v>1519</v>
      </c>
      <c r="AR87" s="82"/>
      <c r="AS87" s="82">
        <v>0</v>
      </c>
      <c r="AT87" s="82">
        <v>0</v>
      </c>
      <c r="AU87" s="82"/>
      <c r="AV87" s="82"/>
      <c r="AW87" s="82"/>
      <c r="AX87" s="82"/>
      <c r="AY87" s="82"/>
      <c r="AZ87" s="82"/>
      <c r="BA87" s="82"/>
      <c r="BB87" s="82"/>
      <c r="BC87">
        <v>1</v>
      </c>
      <c r="BD87" s="81" t="str">
        <f>REPLACE(INDEX(GroupVertices[Group],MATCH(Edges[[#This Row],[Vertex 1]],GroupVertices[Vertex],0)),1,1,"")</f>
        <v>23</v>
      </c>
      <c r="BE87" s="81" t="str">
        <f>REPLACE(INDEX(GroupVertices[Group],MATCH(Edges[[#This Row],[Vertex 2]],GroupVertices[Vertex],0)),1,1,"")</f>
        <v>23</v>
      </c>
      <c r="BF87" s="49">
        <v>1</v>
      </c>
      <c r="BG87" s="50">
        <v>2.857142857142857</v>
      </c>
      <c r="BH87" s="49">
        <v>1</v>
      </c>
      <c r="BI87" s="50">
        <v>2.857142857142857</v>
      </c>
      <c r="BJ87" s="49">
        <v>0</v>
      </c>
      <c r="BK87" s="50">
        <v>0</v>
      </c>
      <c r="BL87" s="49">
        <v>33</v>
      </c>
      <c r="BM87" s="50">
        <v>94.28571428571429</v>
      </c>
      <c r="BN87" s="49">
        <v>35</v>
      </c>
    </row>
    <row r="88" spans="1:66" ht="15">
      <c r="A88" s="66" t="s">
        <v>298</v>
      </c>
      <c r="B88" s="66" t="s">
        <v>298</v>
      </c>
      <c r="C88" s="67" t="s">
        <v>4509</v>
      </c>
      <c r="D88" s="68">
        <v>3</v>
      </c>
      <c r="E88" s="69" t="s">
        <v>132</v>
      </c>
      <c r="F88" s="70">
        <v>32</v>
      </c>
      <c r="G88" s="67"/>
      <c r="H88" s="71"/>
      <c r="I88" s="72"/>
      <c r="J88" s="72"/>
      <c r="K88" s="35" t="s">
        <v>65</v>
      </c>
      <c r="L88" s="80">
        <v>88</v>
      </c>
      <c r="M88" s="80"/>
      <c r="N88" s="74"/>
      <c r="O88" s="82" t="s">
        <v>214</v>
      </c>
      <c r="P88" s="84">
        <v>44518.62503472222</v>
      </c>
      <c r="Q88" s="82" t="s">
        <v>603</v>
      </c>
      <c r="R88" s="85" t="str">
        <f>HYPERLINK("https://www.youtube.com/watch?v=v2CBGgeKC3g&amp;feature=youtu.be")</f>
        <v>https://www.youtube.com/watch?v=v2CBGgeKC3g&amp;feature=youtu.be</v>
      </c>
      <c r="S88" s="82" t="s">
        <v>912</v>
      </c>
      <c r="T88" s="87" t="s">
        <v>993</v>
      </c>
      <c r="U88" s="82"/>
      <c r="V88" s="85" t="str">
        <f>HYPERLINK("https://pbs.twimg.com/profile_images/1198047348196302849/NtU9WNiM_normal.jpg")</f>
        <v>https://pbs.twimg.com/profile_images/1198047348196302849/NtU9WNiM_normal.jpg</v>
      </c>
      <c r="W88" s="84">
        <v>44518.62503472222</v>
      </c>
      <c r="X88" s="90">
        <v>44518</v>
      </c>
      <c r="Y88" s="87" t="s">
        <v>1149</v>
      </c>
      <c r="Z88" s="85" t="str">
        <f>HYPERLINK("https://twitter.com/sidpharm/status/1461348481235230740")</f>
        <v>https://twitter.com/sidpharm/status/1461348481235230740</v>
      </c>
      <c r="AA88" s="82"/>
      <c r="AB88" s="82"/>
      <c r="AC88" s="87" t="s">
        <v>1520</v>
      </c>
      <c r="AD88" s="82"/>
      <c r="AE88" s="82" t="b">
        <v>0</v>
      </c>
      <c r="AF88" s="82">
        <v>18</v>
      </c>
      <c r="AG88" s="87" t="s">
        <v>1815</v>
      </c>
      <c r="AH88" s="82" t="b">
        <v>0</v>
      </c>
      <c r="AI88" s="82" t="s">
        <v>1826</v>
      </c>
      <c r="AJ88" s="82"/>
      <c r="AK88" s="87" t="s">
        <v>1815</v>
      </c>
      <c r="AL88" s="82" t="b">
        <v>0</v>
      </c>
      <c r="AM88" s="82">
        <v>7</v>
      </c>
      <c r="AN88" s="87" t="s">
        <v>1815</v>
      </c>
      <c r="AO88" s="87" t="s">
        <v>1850</v>
      </c>
      <c r="AP88" s="82" t="b">
        <v>0</v>
      </c>
      <c r="AQ88" s="87" t="s">
        <v>1520</v>
      </c>
      <c r="AR88" s="82"/>
      <c r="AS88" s="82">
        <v>0</v>
      </c>
      <c r="AT88" s="82">
        <v>0</v>
      </c>
      <c r="AU88" s="82"/>
      <c r="AV88" s="82"/>
      <c r="AW88" s="82"/>
      <c r="AX88" s="82"/>
      <c r="AY88" s="82"/>
      <c r="AZ88" s="82"/>
      <c r="BA88" s="82"/>
      <c r="BB88" s="82"/>
      <c r="BC88">
        <v>1</v>
      </c>
      <c r="BD88" s="81" t="str">
        <f>REPLACE(INDEX(GroupVertices[Group],MATCH(Edges[[#This Row],[Vertex 1]],GroupVertices[Vertex],0)),1,1,"")</f>
        <v>1</v>
      </c>
      <c r="BE88" s="81" t="str">
        <f>REPLACE(INDEX(GroupVertices[Group],MATCH(Edges[[#This Row],[Vertex 2]],GroupVertices[Vertex],0)),1,1,"")</f>
        <v>1</v>
      </c>
      <c r="BF88" s="49">
        <v>0</v>
      </c>
      <c r="BG88" s="50">
        <v>0</v>
      </c>
      <c r="BH88" s="49">
        <v>3</v>
      </c>
      <c r="BI88" s="50">
        <v>9.090909090909092</v>
      </c>
      <c r="BJ88" s="49">
        <v>0</v>
      </c>
      <c r="BK88" s="50">
        <v>0</v>
      </c>
      <c r="BL88" s="49">
        <v>30</v>
      </c>
      <c r="BM88" s="50">
        <v>90.9090909090909</v>
      </c>
      <c r="BN88" s="49">
        <v>33</v>
      </c>
    </row>
    <row r="89" spans="1:66" ht="15">
      <c r="A89" s="66" t="s">
        <v>299</v>
      </c>
      <c r="B89" s="66" t="s">
        <v>299</v>
      </c>
      <c r="C89" s="67" t="s">
        <v>4509</v>
      </c>
      <c r="D89" s="68">
        <v>3</v>
      </c>
      <c r="E89" s="69" t="s">
        <v>132</v>
      </c>
      <c r="F89" s="70">
        <v>32</v>
      </c>
      <c r="G89" s="67"/>
      <c r="H89" s="71"/>
      <c r="I89" s="72"/>
      <c r="J89" s="72"/>
      <c r="K89" s="35" t="s">
        <v>65</v>
      </c>
      <c r="L89" s="80">
        <v>89</v>
      </c>
      <c r="M89" s="80"/>
      <c r="N89" s="74"/>
      <c r="O89" s="82" t="s">
        <v>214</v>
      </c>
      <c r="P89" s="84">
        <v>44518.62503472222</v>
      </c>
      <c r="Q89" s="82" t="s">
        <v>604</v>
      </c>
      <c r="R89" s="82"/>
      <c r="S89" s="82"/>
      <c r="T89" s="87" t="s">
        <v>994</v>
      </c>
      <c r="U89" s="85" t="str">
        <f>HYPERLINK("https://pbs.twimg.com/media/FEZVTqGWYAIBDJh.jpg")</f>
        <v>https://pbs.twimg.com/media/FEZVTqGWYAIBDJh.jpg</v>
      </c>
      <c r="V89" s="85" t="str">
        <f>HYPERLINK("https://pbs.twimg.com/media/FEZVTqGWYAIBDJh.jpg")</f>
        <v>https://pbs.twimg.com/media/FEZVTqGWYAIBDJh.jpg</v>
      </c>
      <c r="W89" s="84">
        <v>44518.62503472222</v>
      </c>
      <c r="X89" s="90">
        <v>44518</v>
      </c>
      <c r="Y89" s="87" t="s">
        <v>1149</v>
      </c>
      <c r="Z89" s="85" t="str">
        <f>HYPERLINK("https://twitter.com/pandoraidnet/status/1461348481176592384")</f>
        <v>https://twitter.com/pandoraidnet/status/1461348481176592384</v>
      </c>
      <c r="AA89" s="82"/>
      <c r="AB89" s="82"/>
      <c r="AC89" s="87" t="s">
        <v>1521</v>
      </c>
      <c r="AD89" s="82"/>
      <c r="AE89" s="82" t="b">
        <v>0</v>
      </c>
      <c r="AF89" s="82">
        <v>4</v>
      </c>
      <c r="AG89" s="87" t="s">
        <v>1815</v>
      </c>
      <c r="AH89" s="82" t="b">
        <v>0</v>
      </c>
      <c r="AI89" s="82" t="s">
        <v>1826</v>
      </c>
      <c r="AJ89" s="82"/>
      <c r="AK89" s="87" t="s">
        <v>1815</v>
      </c>
      <c r="AL89" s="82" t="b">
        <v>0</v>
      </c>
      <c r="AM89" s="82">
        <v>2</v>
      </c>
      <c r="AN89" s="87" t="s">
        <v>1815</v>
      </c>
      <c r="AO89" s="87" t="s">
        <v>1853</v>
      </c>
      <c r="AP89" s="82" t="b">
        <v>0</v>
      </c>
      <c r="AQ89" s="87" t="s">
        <v>1521</v>
      </c>
      <c r="AR89" s="82"/>
      <c r="AS89" s="82">
        <v>0</v>
      </c>
      <c r="AT89" s="82">
        <v>0</v>
      </c>
      <c r="AU89" s="82"/>
      <c r="AV89" s="82"/>
      <c r="AW89" s="82"/>
      <c r="AX89" s="82"/>
      <c r="AY89" s="82"/>
      <c r="AZ89" s="82"/>
      <c r="BA89" s="82"/>
      <c r="BB89" s="82"/>
      <c r="BC89">
        <v>1</v>
      </c>
      <c r="BD89" s="81" t="str">
        <f>REPLACE(INDEX(GroupVertices[Group],MATCH(Edges[[#This Row],[Vertex 1]],GroupVertices[Vertex],0)),1,1,"")</f>
        <v>1</v>
      </c>
      <c r="BE89" s="81" t="str">
        <f>REPLACE(INDEX(GroupVertices[Group],MATCH(Edges[[#This Row],[Vertex 2]],GroupVertices[Vertex],0)),1,1,"")</f>
        <v>1</v>
      </c>
      <c r="BF89" s="49">
        <v>0</v>
      </c>
      <c r="BG89" s="50">
        <v>0</v>
      </c>
      <c r="BH89" s="49">
        <v>0</v>
      </c>
      <c r="BI89" s="50">
        <v>0</v>
      </c>
      <c r="BJ89" s="49">
        <v>0</v>
      </c>
      <c r="BK89" s="50">
        <v>0</v>
      </c>
      <c r="BL89" s="49">
        <v>24</v>
      </c>
      <c r="BM89" s="50">
        <v>100</v>
      </c>
      <c r="BN89" s="49">
        <v>24</v>
      </c>
    </row>
    <row r="90" spans="1:66" ht="15">
      <c r="A90" s="66" t="s">
        <v>300</v>
      </c>
      <c r="B90" s="66" t="s">
        <v>464</v>
      </c>
      <c r="C90" s="67" t="s">
        <v>4509</v>
      </c>
      <c r="D90" s="68">
        <v>3</v>
      </c>
      <c r="E90" s="69" t="s">
        <v>132</v>
      </c>
      <c r="F90" s="70">
        <v>32</v>
      </c>
      <c r="G90" s="67"/>
      <c r="H90" s="71"/>
      <c r="I90" s="72"/>
      <c r="J90" s="72"/>
      <c r="K90" s="35" t="s">
        <v>65</v>
      </c>
      <c r="L90" s="80">
        <v>90</v>
      </c>
      <c r="M90" s="80"/>
      <c r="N90" s="74"/>
      <c r="O90" s="82" t="s">
        <v>528</v>
      </c>
      <c r="P90" s="84">
        <v>44518.62768518519</v>
      </c>
      <c r="Q90" s="82" t="s">
        <v>605</v>
      </c>
      <c r="R90" s="82"/>
      <c r="S90" s="82"/>
      <c r="T90" s="87" t="s">
        <v>995</v>
      </c>
      <c r="U90" s="85" t="str">
        <f>HYPERLINK("https://pbs.twimg.com/media/FEfBkhnVkBUgOV8.jpg")</f>
        <v>https://pbs.twimg.com/media/FEfBkhnVkBUgOV8.jpg</v>
      </c>
      <c r="V90" s="85" t="str">
        <f>HYPERLINK("https://pbs.twimg.com/media/FEfBkhnVkBUgOV8.jpg")</f>
        <v>https://pbs.twimg.com/media/FEfBkhnVkBUgOV8.jpg</v>
      </c>
      <c r="W90" s="84">
        <v>44518.62768518519</v>
      </c>
      <c r="X90" s="90">
        <v>44518</v>
      </c>
      <c r="Y90" s="87" t="s">
        <v>1211</v>
      </c>
      <c r="Z90" s="85" t="str">
        <f>HYPERLINK("https://twitter.com/preetyjr/status/1461349445342093315")</f>
        <v>https://twitter.com/preetyjr/status/1461349445342093315</v>
      </c>
      <c r="AA90" s="82"/>
      <c r="AB90" s="82"/>
      <c r="AC90" s="87" t="s">
        <v>1522</v>
      </c>
      <c r="AD90" s="82"/>
      <c r="AE90" s="82" t="b">
        <v>0</v>
      </c>
      <c r="AF90" s="82">
        <v>15</v>
      </c>
      <c r="AG90" s="87" t="s">
        <v>1815</v>
      </c>
      <c r="AH90" s="82" t="b">
        <v>0</v>
      </c>
      <c r="AI90" s="82" t="s">
        <v>1827</v>
      </c>
      <c r="AJ90" s="82"/>
      <c r="AK90" s="87" t="s">
        <v>1815</v>
      </c>
      <c r="AL90" s="82" t="b">
        <v>0</v>
      </c>
      <c r="AM90" s="82">
        <v>4</v>
      </c>
      <c r="AN90" s="87" t="s">
        <v>1815</v>
      </c>
      <c r="AO90" s="87" t="s">
        <v>1851</v>
      </c>
      <c r="AP90" s="82" t="b">
        <v>0</v>
      </c>
      <c r="AQ90" s="87" t="s">
        <v>1522</v>
      </c>
      <c r="AR90" s="82"/>
      <c r="AS90" s="82">
        <v>0</v>
      </c>
      <c r="AT90" s="82">
        <v>0</v>
      </c>
      <c r="AU90" s="82"/>
      <c r="AV90" s="82"/>
      <c r="AW90" s="82"/>
      <c r="AX90" s="82"/>
      <c r="AY90" s="82"/>
      <c r="AZ90" s="82"/>
      <c r="BA90" s="82"/>
      <c r="BB90" s="82"/>
      <c r="BC90">
        <v>1</v>
      </c>
      <c r="BD90" s="81" t="str">
        <f>REPLACE(INDEX(GroupVertices[Group],MATCH(Edges[[#This Row],[Vertex 1]],GroupVertices[Vertex],0)),1,1,"")</f>
        <v>2</v>
      </c>
      <c r="BE90" s="81" t="str">
        <f>REPLACE(INDEX(GroupVertices[Group],MATCH(Edges[[#This Row],[Vertex 2]],GroupVertices[Vertex],0)),1,1,"")</f>
        <v>2</v>
      </c>
      <c r="BF90" s="49"/>
      <c r="BG90" s="50"/>
      <c r="BH90" s="49"/>
      <c r="BI90" s="50"/>
      <c r="BJ90" s="49"/>
      <c r="BK90" s="50"/>
      <c r="BL90" s="49"/>
      <c r="BM90" s="50"/>
      <c r="BN90" s="49"/>
    </row>
    <row r="91" spans="1:66" ht="15">
      <c r="A91" s="66" t="s">
        <v>300</v>
      </c>
      <c r="B91" s="66" t="s">
        <v>465</v>
      </c>
      <c r="C91" s="67" t="s">
        <v>4509</v>
      </c>
      <c r="D91" s="68">
        <v>3</v>
      </c>
      <c r="E91" s="69" t="s">
        <v>132</v>
      </c>
      <c r="F91" s="70">
        <v>32</v>
      </c>
      <c r="G91" s="67"/>
      <c r="H91" s="71"/>
      <c r="I91" s="72"/>
      <c r="J91" s="72"/>
      <c r="K91" s="35" t="s">
        <v>65</v>
      </c>
      <c r="L91" s="80">
        <v>91</v>
      </c>
      <c r="M91" s="80"/>
      <c r="N91" s="74"/>
      <c r="O91" s="82" t="s">
        <v>528</v>
      </c>
      <c r="P91" s="84">
        <v>44518.62768518519</v>
      </c>
      <c r="Q91" s="82" t="s">
        <v>605</v>
      </c>
      <c r="R91" s="82"/>
      <c r="S91" s="82"/>
      <c r="T91" s="87" t="s">
        <v>995</v>
      </c>
      <c r="U91" s="85" t="str">
        <f>HYPERLINK("https://pbs.twimg.com/media/FEfBkhnVkBUgOV8.jpg")</f>
        <v>https://pbs.twimg.com/media/FEfBkhnVkBUgOV8.jpg</v>
      </c>
      <c r="V91" s="85" t="str">
        <f>HYPERLINK("https://pbs.twimg.com/media/FEfBkhnVkBUgOV8.jpg")</f>
        <v>https://pbs.twimg.com/media/FEfBkhnVkBUgOV8.jpg</v>
      </c>
      <c r="W91" s="84">
        <v>44518.62768518519</v>
      </c>
      <c r="X91" s="90">
        <v>44518</v>
      </c>
      <c r="Y91" s="87" t="s">
        <v>1211</v>
      </c>
      <c r="Z91" s="85" t="str">
        <f>HYPERLINK("https://twitter.com/preetyjr/status/1461349445342093315")</f>
        <v>https://twitter.com/preetyjr/status/1461349445342093315</v>
      </c>
      <c r="AA91" s="82"/>
      <c r="AB91" s="82"/>
      <c r="AC91" s="87" t="s">
        <v>1522</v>
      </c>
      <c r="AD91" s="82"/>
      <c r="AE91" s="82" t="b">
        <v>0</v>
      </c>
      <c r="AF91" s="82">
        <v>15</v>
      </c>
      <c r="AG91" s="87" t="s">
        <v>1815</v>
      </c>
      <c r="AH91" s="82" t="b">
        <v>0</v>
      </c>
      <c r="AI91" s="82" t="s">
        <v>1827</v>
      </c>
      <c r="AJ91" s="82"/>
      <c r="AK91" s="87" t="s">
        <v>1815</v>
      </c>
      <c r="AL91" s="82" t="b">
        <v>0</v>
      </c>
      <c r="AM91" s="82">
        <v>4</v>
      </c>
      <c r="AN91" s="87" t="s">
        <v>1815</v>
      </c>
      <c r="AO91" s="87" t="s">
        <v>1851</v>
      </c>
      <c r="AP91" s="82" t="b">
        <v>0</v>
      </c>
      <c r="AQ91" s="87" t="s">
        <v>1522</v>
      </c>
      <c r="AR91" s="82"/>
      <c r="AS91" s="82">
        <v>0</v>
      </c>
      <c r="AT91" s="82">
        <v>0</v>
      </c>
      <c r="AU91" s="82"/>
      <c r="AV91" s="82"/>
      <c r="AW91" s="82"/>
      <c r="AX91" s="82"/>
      <c r="AY91" s="82"/>
      <c r="AZ91" s="82"/>
      <c r="BA91" s="82"/>
      <c r="BB91" s="82"/>
      <c r="BC91">
        <v>1</v>
      </c>
      <c r="BD91" s="81" t="str">
        <f>REPLACE(INDEX(GroupVertices[Group],MATCH(Edges[[#This Row],[Vertex 1]],GroupVertices[Vertex],0)),1,1,"")</f>
        <v>2</v>
      </c>
      <c r="BE91" s="81" t="str">
        <f>REPLACE(INDEX(GroupVertices[Group],MATCH(Edges[[#This Row],[Vertex 2]],GroupVertices[Vertex],0)),1,1,"")</f>
        <v>2</v>
      </c>
      <c r="BF91" s="49"/>
      <c r="BG91" s="50"/>
      <c r="BH91" s="49"/>
      <c r="BI91" s="50"/>
      <c r="BJ91" s="49"/>
      <c r="BK91" s="50"/>
      <c r="BL91" s="49"/>
      <c r="BM91" s="50"/>
      <c r="BN91" s="49"/>
    </row>
    <row r="92" spans="1:66" ht="15">
      <c r="A92" s="66" t="s">
        <v>300</v>
      </c>
      <c r="B92" s="66" t="s">
        <v>466</v>
      </c>
      <c r="C92" s="67" t="s">
        <v>4509</v>
      </c>
      <c r="D92" s="68">
        <v>3</v>
      </c>
      <c r="E92" s="69" t="s">
        <v>132</v>
      </c>
      <c r="F92" s="70">
        <v>32</v>
      </c>
      <c r="G92" s="67"/>
      <c r="H92" s="71"/>
      <c r="I92" s="72"/>
      <c r="J92" s="72"/>
      <c r="K92" s="35" t="s">
        <v>65</v>
      </c>
      <c r="L92" s="80">
        <v>92</v>
      </c>
      <c r="M92" s="80"/>
      <c r="N92" s="74"/>
      <c r="O92" s="82" t="s">
        <v>528</v>
      </c>
      <c r="P92" s="84">
        <v>44518.62768518519</v>
      </c>
      <c r="Q92" s="82" t="s">
        <v>605</v>
      </c>
      <c r="R92" s="82"/>
      <c r="S92" s="82"/>
      <c r="T92" s="87" t="s">
        <v>995</v>
      </c>
      <c r="U92" s="85" t="str">
        <f>HYPERLINK("https://pbs.twimg.com/media/FEfBkhnVkBUgOV8.jpg")</f>
        <v>https://pbs.twimg.com/media/FEfBkhnVkBUgOV8.jpg</v>
      </c>
      <c r="V92" s="85" t="str">
        <f>HYPERLINK("https://pbs.twimg.com/media/FEfBkhnVkBUgOV8.jpg")</f>
        <v>https://pbs.twimg.com/media/FEfBkhnVkBUgOV8.jpg</v>
      </c>
      <c r="W92" s="84">
        <v>44518.62768518519</v>
      </c>
      <c r="X92" s="90">
        <v>44518</v>
      </c>
      <c r="Y92" s="87" t="s">
        <v>1211</v>
      </c>
      <c r="Z92" s="85" t="str">
        <f>HYPERLINK("https://twitter.com/preetyjr/status/1461349445342093315")</f>
        <v>https://twitter.com/preetyjr/status/1461349445342093315</v>
      </c>
      <c r="AA92" s="82"/>
      <c r="AB92" s="82"/>
      <c r="AC92" s="87" t="s">
        <v>1522</v>
      </c>
      <c r="AD92" s="82"/>
      <c r="AE92" s="82" t="b">
        <v>0</v>
      </c>
      <c r="AF92" s="82">
        <v>15</v>
      </c>
      <c r="AG92" s="87" t="s">
        <v>1815</v>
      </c>
      <c r="AH92" s="82" t="b">
        <v>0</v>
      </c>
      <c r="AI92" s="82" t="s">
        <v>1827</v>
      </c>
      <c r="AJ92" s="82"/>
      <c r="AK92" s="87" t="s">
        <v>1815</v>
      </c>
      <c r="AL92" s="82" t="b">
        <v>0</v>
      </c>
      <c r="AM92" s="82">
        <v>4</v>
      </c>
      <c r="AN92" s="87" t="s">
        <v>1815</v>
      </c>
      <c r="AO92" s="87" t="s">
        <v>1851</v>
      </c>
      <c r="AP92" s="82" t="b">
        <v>0</v>
      </c>
      <c r="AQ92" s="87" t="s">
        <v>1522</v>
      </c>
      <c r="AR92" s="82"/>
      <c r="AS92" s="82">
        <v>0</v>
      </c>
      <c r="AT92" s="82">
        <v>0</v>
      </c>
      <c r="AU92" s="82"/>
      <c r="AV92" s="82"/>
      <c r="AW92" s="82"/>
      <c r="AX92" s="82"/>
      <c r="AY92" s="82"/>
      <c r="AZ92" s="82"/>
      <c r="BA92" s="82"/>
      <c r="BB92" s="82"/>
      <c r="BC92">
        <v>1</v>
      </c>
      <c r="BD92" s="81" t="str">
        <f>REPLACE(INDEX(GroupVertices[Group],MATCH(Edges[[#This Row],[Vertex 1]],GroupVertices[Vertex],0)),1,1,"")</f>
        <v>2</v>
      </c>
      <c r="BE92" s="81" t="str">
        <f>REPLACE(INDEX(GroupVertices[Group],MATCH(Edges[[#This Row],[Vertex 2]],GroupVertices[Vertex],0)),1,1,"")</f>
        <v>2</v>
      </c>
      <c r="BF92" s="49"/>
      <c r="BG92" s="50"/>
      <c r="BH92" s="49"/>
      <c r="BI92" s="50"/>
      <c r="BJ92" s="49"/>
      <c r="BK92" s="50"/>
      <c r="BL92" s="49"/>
      <c r="BM92" s="50"/>
      <c r="BN92" s="49"/>
    </row>
    <row r="93" spans="1:66" ht="15">
      <c r="A93" s="66" t="s">
        <v>300</v>
      </c>
      <c r="B93" s="66" t="s">
        <v>430</v>
      </c>
      <c r="C93" s="67" t="s">
        <v>4509</v>
      </c>
      <c r="D93" s="68">
        <v>3</v>
      </c>
      <c r="E93" s="69" t="s">
        <v>132</v>
      </c>
      <c r="F93" s="70">
        <v>32</v>
      </c>
      <c r="G93" s="67"/>
      <c r="H93" s="71"/>
      <c r="I93" s="72"/>
      <c r="J93" s="72"/>
      <c r="K93" s="35" t="s">
        <v>65</v>
      </c>
      <c r="L93" s="80">
        <v>93</v>
      </c>
      <c r="M93" s="80"/>
      <c r="N93" s="74"/>
      <c r="O93" s="82" t="s">
        <v>528</v>
      </c>
      <c r="P93" s="84">
        <v>44518.62768518519</v>
      </c>
      <c r="Q93" s="82" t="s">
        <v>605</v>
      </c>
      <c r="R93" s="82"/>
      <c r="S93" s="82"/>
      <c r="T93" s="87" t="s">
        <v>995</v>
      </c>
      <c r="U93" s="85" t="str">
        <f>HYPERLINK("https://pbs.twimg.com/media/FEfBkhnVkBUgOV8.jpg")</f>
        <v>https://pbs.twimg.com/media/FEfBkhnVkBUgOV8.jpg</v>
      </c>
      <c r="V93" s="85" t="str">
        <f>HYPERLINK("https://pbs.twimg.com/media/FEfBkhnVkBUgOV8.jpg")</f>
        <v>https://pbs.twimg.com/media/FEfBkhnVkBUgOV8.jpg</v>
      </c>
      <c r="W93" s="84">
        <v>44518.62768518519</v>
      </c>
      <c r="X93" s="90">
        <v>44518</v>
      </c>
      <c r="Y93" s="87" t="s">
        <v>1211</v>
      </c>
      <c r="Z93" s="85" t="str">
        <f>HYPERLINK("https://twitter.com/preetyjr/status/1461349445342093315")</f>
        <v>https://twitter.com/preetyjr/status/1461349445342093315</v>
      </c>
      <c r="AA93" s="82"/>
      <c r="AB93" s="82"/>
      <c r="AC93" s="87" t="s">
        <v>1522</v>
      </c>
      <c r="AD93" s="82"/>
      <c r="AE93" s="82" t="b">
        <v>0</v>
      </c>
      <c r="AF93" s="82">
        <v>15</v>
      </c>
      <c r="AG93" s="87" t="s">
        <v>1815</v>
      </c>
      <c r="AH93" s="82" t="b">
        <v>0</v>
      </c>
      <c r="AI93" s="82" t="s">
        <v>1827</v>
      </c>
      <c r="AJ93" s="82"/>
      <c r="AK93" s="87" t="s">
        <v>1815</v>
      </c>
      <c r="AL93" s="82" t="b">
        <v>0</v>
      </c>
      <c r="AM93" s="82">
        <v>4</v>
      </c>
      <c r="AN93" s="87" t="s">
        <v>1815</v>
      </c>
      <c r="AO93" s="87" t="s">
        <v>1851</v>
      </c>
      <c r="AP93" s="82" t="b">
        <v>0</v>
      </c>
      <c r="AQ93" s="87" t="s">
        <v>1522</v>
      </c>
      <c r="AR93" s="82"/>
      <c r="AS93" s="82">
        <v>0</v>
      </c>
      <c r="AT93" s="82">
        <v>0</v>
      </c>
      <c r="AU93" s="82"/>
      <c r="AV93" s="82"/>
      <c r="AW93" s="82"/>
      <c r="AX93" s="82"/>
      <c r="AY93" s="82"/>
      <c r="AZ93" s="82"/>
      <c r="BA93" s="82"/>
      <c r="BB93" s="82"/>
      <c r="BC93">
        <v>1</v>
      </c>
      <c r="BD93" s="81" t="str">
        <f>REPLACE(INDEX(GroupVertices[Group],MATCH(Edges[[#This Row],[Vertex 1]],GroupVertices[Vertex],0)),1,1,"")</f>
        <v>2</v>
      </c>
      <c r="BE93" s="81" t="str">
        <f>REPLACE(INDEX(GroupVertices[Group],MATCH(Edges[[#This Row],[Vertex 2]],GroupVertices[Vertex],0)),1,1,"")</f>
        <v>2</v>
      </c>
      <c r="BF93" s="49"/>
      <c r="BG93" s="50"/>
      <c r="BH93" s="49"/>
      <c r="BI93" s="50"/>
      <c r="BJ93" s="49"/>
      <c r="BK93" s="50"/>
      <c r="BL93" s="49"/>
      <c r="BM93" s="50"/>
      <c r="BN93" s="49"/>
    </row>
    <row r="94" spans="1:66" ht="15">
      <c r="A94" s="66" t="s">
        <v>300</v>
      </c>
      <c r="B94" s="66" t="s">
        <v>429</v>
      </c>
      <c r="C94" s="67" t="s">
        <v>4509</v>
      </c>
      <c r="D94" s="68">
        <v>3</v>
      </c>
      <c r="E94" s="69" t="s">
        <v>132</v>
      </c>
      <c r="F94" s="70">
        <v>32</v>
      </c>
      <c r="G94" s="67"/>
      <c r="H94" s="71"/>
      <c r="I94" s="72"/>
      <c r="J94" s="72"/>
      <c r="K94" s="35" t="s">
        <v>65</v>
      </c>
      <c r="L94" s="80">
        <v>94</v>
      </c>
      <c r="M94" s="80"/>
      <c r="N94" s="74"/>
      <c r="O94" s="82" t="s">
        <v>528</v>
      </c>
      <c r="P94" s="84">
        <v>44518.62768518519</v>
      </c>
      <c r="Q94" s="82" t="s">
        <v>605</v>
      </c>
      <c r="R94" s="82"/>
      <c r="S94" s="82"/>
      <c r="T94" s="87" t="s">
        <v>995</v>
      </c>
      <c r="U94" s="85" t="str">
        <f>HYPERLINK("https://pbs.twimg.com/media/FEfBkhnVkBUgOV8.jpg")</f>
        <v>https://pbs.twimg.com/media/FEfBkhnVkBUgOV8.jpg</v>
      </c>
      <c r="V94" s="85" t="str">
        <f>HYPERLINK("https://pbs.twimg.com/media/FEfBkhnVkBUgOV8.jpg")</f>
        <v>https://pbs.twimg.com/media/FEfBkhnVkBUgOV8.jpg</v>
      </c>
      <c r="W94" s="84">
        <v>44518.62768518519</v>
      </c>
      <c r="X94" s="90">
        <v>44518</v>
      </c>
      <c r="Y94" s="87" t="s">
        <v>1211</v>
      </c>
      <c r="Z94" s="85" t="str">
        <f>HYPERLINK("https://twitter.com/preetyjr/status/1461349445342093315")</f>
        <v>https://twitter.com/preetyjr/status/1461349445342093315</v>
      </c>
      <c r="AA94" s="82"/>
      <c r="AB94" s="82"/>
      <c r="AC94" s="87" t="s">
        <v>1522</v>
      </c>
      <c r="AD94" s="82"/>
      <c r="AE94" s="82" t="b">
        <v>0</v>
      </c>
      <c r="AF94" s="82">
        <v>15</v>
      </c>
      <c r="AG94" s="87" t="s">
        <v>1815</v>
      </c>
      <c r="AH94" s="82" t="b">
        <v>0</v>
      </c>
      <c r="AI94" s="82" t="s">
        <v>1827</v>
      </c>
      <c r="AJ94" s="82"/>
      <c r="AK94" s="87" t="s">
        <v>1815</v>
      </c>
      <c r="AL94" s="82" t="b">
        <v>0</v>
      </c>
      <c r="AM94" s="82">
        <v>4</v>
      </c>
      <c r="AN94" s="87" t="s">
        <v>1815</v>
      </c>
      <c r="AO94" s="87" t="s">
        <v>1851</v>
      </c>
      <c r="AP94" s="82" t="b">
        <v>0</v>
      </c>
      <c r="AQ94" s="87" t="s">
        <v>1522</v>
      </c>
      <c r="AR94" s="82"/>
      <c r="AS94" s="82">
        <v>0</v>
      </c>
      <c r="AT94" s="82">
        <v>0</v>
      </c>
      <c r="AU94" s="82"/>
      <c r="AV94" s="82"/>
      <c r="AW94" s="82"/>
      <c r="AX94" s="82"/>
      <c r="AY94" s="82"/>
      <c r="AZ94" s="82"/>
      <c r="BA94" s="82"/>
      <c r="BB94" s="82"/>
      <c r="BC94">
        <v>1</v>
      </c>
      <c r="BD94" s="81" t="str">
        <f>REPLACE(INDEX(GroupVertices[Group],MATCH(Edges[[#This Row],[Vertex 1]],GroupVertices[Vertex],0)),1,1,"")</f>
        <v>2</v>
      </c>
      <c r="BE94" s="81" t="str">
        <f>REPLACE(INDEX(GroupVertices[Group],MATCH(Edges[[#This Row],[Vertex 2]],GroupVertices[Vertex],0)),1,1,"")</f>
        <v>2</v>
      </c>
      <c r="BF94" s="49"/>
      <c r="BG94" s="50"/>
      <c r="BH94" s="49"/>
      <c r="BI94" s="50"/>
      <c r="BJ94" s="49"/>
      <c r="BK94" s="50"/>
      <c r="BL94" s="49"/>
      <c r="BM94" s="50"/>
      <c r="BN94" s="49"/>
    </row>
    <row r="95" spans="1:66" ht="15">
      <c r="A95" s="66" t="s">
        <v>300</v>
      </c>
      <c r="B95" s="66" t="s">
        <v>365</v>
      </c>
      <c r="C95" s="67" t="s">
        <v>4509</v>
      </c>
      <c r="D95" s="68">
        <v>3</v>
      </c>
      <c r="E95" s="69" t="s">
        <v>132</v>
      </c>
      <c r="F95" s="70">
        <v>32</v>
      </c>
      <c r="G95" s="67"/>
      <c r="H95" s="71"/>
      <c r="I95" s="72"/>
      <c r="J95" s="72"/>
      <c r="K95" s="35" t="s">
        <v>65</v>
      </c>
      <c r="L95" s="80">
        <v>95</v>
      </c>
      <c r="M95" s="80"/>
      <c r="N95" s="74"/>
      <c r="O95" s="82" t="s">
        <v>528</v>
      </c>
      <c r="P95" s="84">
        <v>44518.62768518519</v>
      </c>
      <c r="Q95" s="82" t="s">
        <v>605</v>
      </c>
      <c r="R95" s="82"/>
      <c r="S95" s="82"/>
      <c r="T95" s="87" t="s">
        <v>995</v>
      </c>
      <c r="U95" s="85" t="str">
        <f>HYPERLINK("https://pbs.twimg.com/media/FEfBkhnVkBUgOV8.jpg")</f>
        <v>https://pbs.twimg.com/media/FEfBkhnVkBUgOV8.jpg</v>
      </c>
      <c r="V95" s="85" t="str">
        <f>HYPERLINK("https://pbs.twimg.com/media/FEfBkhnVkBUgOV8.jpg")</f>
        <v>https://pbs.twimg.com/media/FEfBkhnVkBUgOV8.jpg</v>
      </c>
      <c r="W95" s="84">
        <v>44518.62768518519</v>
      </c>
      <c r="X95" s="90">
        <v>44518</v>
      </c>
      <c r="Y95" s="87" t="s">
        <v>1211</v>
      </c>
      <c r="Z95" s="85" t="str">
        <f>HYPERLINK("https://twitter.com/preetyjr/status/1461349445342093315")</f>
        <v>https://twitter.com/preetyjr/status/1461349445342093315</v>
      </c>
      <c r="AA95" s="82"/>
      <c r="AB95" s="82"/>
      <c r="AC95" s="87" t="s">
        <v>1522</v>
      </c>
      <c r="AD95" s="82"/>
      <c r="AE95" s="82" t="b">
        <v>0</v>
      </c>
      <c r="AF95" s="82">
        <v>15</v>
      </c>
      <c r="AG95" s="87" t="s">
        <v>1815</v>
      </c>
      <c r="AH95" s="82" t="b">
        <v>0</v>
      </c>
      <c r="AI95" s="82" t="s">
        <v>1827</v>
      </c>
      <c r="AJ95" s="82"/>
      <c r="AK95" s="87" t="s">
        <v>1815</v>
      </c>
      <c r="AL95" s="82" t="b">
        <v>0</v>
      </c>
      <c r="AM95" s="82">
        <v>4</v>
      </c>
      <c r="AN95" s="87" t="s">
        <v>1815</v>
      </c>
      <c r="AO95" s="87" t="s">
        <v>1851</v>
      </c>
      <c r="AP95" s="82" t="b">
        <v>0</v>
      </c>
      <c r="AQ95" s="87" t="s">
        <v>1522</v>
      </c>
      <c r="AR95" s="82"/>
      <c r="AS95" s="82">
        <v>0</v>
      </c>
      <c r="AT95" s="82">
        <v>0</v>
      </c>
      <c r="AU95" s="82"/>
      <c r="AV95" s="82"/>
      <c r="AW95" s="82"/>
      <c r="AX95" s="82"/>
      <c r="AY95" s="82"/>
      <c r="AZ95" s="82"/>
      <c r="BA95" s="82"/>
      <c r="BB95" s="82"/>
      <c r="BC95">
        <v>1</v>
      </c>
      <c r="BD95" s="81" t="str">
        <f>REPLACE(INDEX(GroupVertices[Group],MATCH(Edges[[#This Row],[Vertex 1]],GroupVertices[Vertex],0)),1,1,"")</f>
        <v>2</v>
      </c>
      <c r="BE95" s="81" t="str">
        <f>REPLACE(INDEX(GroupVertices[Group],MATCH(Edges[[#This Row],[Vertex 2]],GroupVertices[Vertex],0)),1,1,"")</f>
        <v>2</v>
      </c>
      <c r="BF95" s="49">
        <v>0</v>
      </c>
      <c r="BG95" s="50">
        <v>0</v>
      </c>
      <c r="BH95" s="49">
        <v>0</v>
      </c>
      <c r="BI95" s="50">
        <v>0</v>
      </c>
      <c r="BJ95" s="49">
        <v>0</v>
      </c>
      <c r="BK95" s="50">
        <v>0</v>
      </c>
      <c r="BL95" s="49">
        <v>11</v>
      </c>
      <c r="BM95" s="50">
        <v>100</v>
      </c>
      <c r="BN95" s="49">
        <v>11</v>
      </c>
    </row>
    <row r="96" spans="1:66" ht="15">
      <c r="A96" s="66" t="s">
        <v>301</v>
      </c>
      <c r="B96" s="66" t="s">
        <v>301</v>
      </c>
      <c r="C96" s="67" t="s">
        <v>4509</v>
      </c>
      <c r="D96" s="68">
        <v>3</v>
      </c>
      <c r="E96" s="69" t="s">
        <v>132</v>
      </c>
      <c r="F96" s="70">
        <v>32</v>
      </c>
      <c r="G96" s="67"/>
      <c r="H96" s="71"/>
      <c r="I96" s="72"/>
      <c r="J96" s="72"/>
      <c r="K96" s="35" t="s">
        <v>65</v>
      </c>
      <c r="L96" s="80">
        <v>96</v>
      </c>
      <c r="M96" s="80"/>
      <c r="N96" s="74"/>
      <c r="O96" s="82" t="s">
        <v>214</v>
      </c>
      <c r="P96" s="84">
        <v>44518.62540509259</v>
      </c>
      <c r="Q96" s="82" t="s">
        <v>606</v>
      </c>
      <c r="R96" s="85" t="str">
        <f>HYPERLINK("https://www.who.int/campaigns/world-antimicrobial-awareness-week")</f>
        <v>https://www.who.int/campaigns/world-antimicrobial-awareness-week</v>
      </c>
      <c r="S96" s="82" t="s">
        <v>917</v>
      </c>
      <c r="T96" s="87" t="s">
        <v>996</v>
      </c>
      <c r="U96" s="85" t="str">
        <f>HYPERLINK("https://pbs.twimg.com/media/FEfA0m6UUAsP71R.jpg")</f>
        <v>https://pbs.twimg.com/media/FEfA0m6UUAsP71R.jpg</v>
      </c>
      <c r="V96" s="85" t="str">
        <f>HYPERLINK("https://pbs.twimg.com/media/FEfA0m6UUAsP71R.jpg")</f>
        <v>https://pbs.twimg.com/media/FEfA0m6UUAsP71R.jpg</v>
      </c>
      <c r="W96" s="84">
        <v>44518.62540509259</v>
      </c>
      <c r="X96" s="90">
        <v>44518</v>
      </c>
      <c r="Y96" s="87" t="s">
        <v>1212</v>
      </c>
      <c r="Z96" s="85" t="str">
        <f>HYPERLINK("https://twitter.com/syheartlandsccg/status/1461348615952080901")</f>
        <v>https://twitter.com/syheartlandsccg/status/1461348615952080901</v>
      </c>
      <c r="AA96" s="82"/>
      <c r="AB96" s="82"/>
      <c r="AC96" s="87" t="s">
        <v>1523</v>
      </c>
      <c r="AD96" s="82"/>
      <c r="AE96" s="82" t="b">
        <v>0</v>
      </c>
      <c r="AF96" s="82">
        <v>2</v>
      </c>
      <c r="AG96" s="87" t="s">
        <v>1815</v>
      </c>
      <c r="AH96" s="82" t="b">
        <v>0</v>
      </c>
      <c r="AI96" s="82" t="s">
        <v>1826</v>
      </c>
      <c r="AJ96" s="82"/>
      <c r="AK96" s="87" t="s">
        <v>1815</v>
      </c>
      <c r="AL96" s="82" t="b">
        <v>0</v>
      </c>
      <c r="AM96" s="82">
        <v>0</v>
      </c>
      <c r="AN96" s="87" t="s">
        <v>1815</v>
      </c>
      <c r="AO96" s="87" t="s">
        <v>1854</v>
      </c>
      <c r="AP96" s="82" t="b">
        <v>0</v>
      </c>
      <c r="AQ96" s="87" t="s">
        <v>1523</v>
      </c>
      <c r="AR96" s="82"/>
      <c r="AS96" s="82">
        <v>0</v>
      </c>
      <c r="AT96" s="82">
        <v>0</v>
      </c>
      <c r="AU96" s="82"/>
      <c r="AV96" s="82"/>
      <c r="AW96" s="82"/>
      <c r="AX96" s="82"/>
      <c r="AY96" s="82"/>
      <c r="AZ96" s="82"/>
      <c r="BA96" s="82"/>
      <c r="BB96" s="82"/>
      <c r="BC96">
        <v>1</v>
      </c>
      <c r="BD96" s="81" t="str">
        <f>REPLACE(INDEX(GroupVertices[Group],MATCH(Edges[[#This Row],[Vertex 1]],GroupVertices[Vertex],0)),1,1,"")</f>
        <v>1</v>
      </c>
      <c r="BE96" s="81" t="str">
        <f>REPLACE(INDEX(GroupVertices[Group],MATCH(Edges[[#This Row],[Vertex 2]],GroupVertices[Vertex],0)),1,1,"")</f>
        <v>1</v>
      </c>
      <c r="BF96" s="49">
        <v>0</v>
      </c>
      <c r="BG96" s="50">
        <v>0</v>
      </c>
      <c r="BH96" s="49">
        <v>2</v>
      </c>
      <c r="BI96" s="50">
        <v>6.451612903225806</v>
      </c>
      <c r="BJ96" s="49">
        <v>0</v>
      </c>
      <c r="BK96" s="50">
        <v>0</v>
      </c>
      <c r="BL96" s="49">
        <v>29</v>
      </c>
      <c r="BM96" s="50">
        <v>93.54838709677419</v>
      </c>
      <c r="BN96" s="49">
        <v>31</v>
      </c>
    </row>
    <row r="97" spans="1:66" ht="15">
      <c r="A97" s="66" t="s">
        <v>302</v>
      </c>
      <c r="B97" s="66" t="s">
        <v>302</v>
      </c>
      <c r="C97" s="67" t="s">
        <v>4509</v>
      </c>
      <c r="D97" s="68">
        <v>3</v>
      </c>
      <c r="E97" s="69" t="s">
        <v>132</v>
      </c>
      <c r="F97" s="70">
        <v>32</v>
      </c>
      <c r="G97" s="67"/>
      <c r="H97" s="71"/>
      <c r="I97" s="72"/>
      <c r="J97" s="72"/>
      <c r="K97" s="35" t="s">
        <v>65</v>
      </c>
      <c r="L97" s="80">
        <v>97</v>
      </c>
      <c r="M97" s="80"/>
      <c r="N97" s="74"/>
      <c r="O97" s="82" t="s">
        <v>214</v>
      </c>
      <c r="P97" s="84">
        <v>44518.62501157408</v>
      </c>
      <c r="Q97" s="82" t="s">
        <v>607</v>
      </c>
      <c r="R97" s="82" t="s">
        <v>893</v>
      </c>
      <c r="S97" s="82" t="s">
        <v>918</v>
      </c>
      <c r="T97" s="87" t="s">
        <v>997</v>
      </c>
      <c r="U97" s="85" t="str">
        <f>HYPERLINK("https://pbs.twimg.com/media/FEZrnMoVEAIncf0.jpg")</f>
        <v>https://pbs.twimg.com/media/FEZrnMoVEAIncf0.jpg</v>
      </c>
      <c r="V97" s="85" t="str">
        <f>HYPERLINK("https://pbs.twimg.com/media/FEZrnMoVEAIncf0.jpg")</f>
        <v>https://pbs.twimg.com/media/FEZrnMoVEAIncf0.jpg</v>
      </c>
      <c r="W97" s="84">
        <v>44518.62501157408</v>
      </c>
      <c r="X97" s="90">
        <v>44518</v>
      </c>
      <c r="Y97" s="87" t="s">
        <v>1152</v>
      </c>
      <c r="Z97" s="85" t="str">
        <f>HYPERLINK("https://twitter.com/osuvetprevmed/status/1461348475614887952")</f>
        <v>https://twitter.com/osuvetprevmed/status/1461348475614887952</v>
      </c>
      <c r="AA97" s="82"/>
      <c r="AB97" s="82"/>
      <c r="AC97" s="87" t="s">
        <v>1524</v>
      </c>
      <c r="AD97" s="82"/>
      <c r="AE97" s="82" t="b">
        <v>0</v>
      </c>
      <c r="AF97" s="82">
        <v>3</v>
      </c>
      <c r="AG97" s="87" t="s">
        <v>1815</v>
      </c>
      <c r="AH97" s="82" t="b">
        <v>0</v>
      </c>
      <c r="AI97" s="82" t="s">
        <v>1826</v>
      </c>
      <c r="AJ97" s="82"/>
      <c r="AK97" s="87" t="s">
        <v>1815</v>
      </c>
      <c r="AL97" s="82" t="b">
        <v>0</v>
      </c>
      <c r="AM97" s="82">
        <v>1</v>
      </c>
      <c r="AN97" s="87" t="s">
        <v>1815</v>
      </c>
      <c r="AO97" s="87" t="s">
        <v>1850</v>
      </c>
      <c r="AP97" s="82" t="b">
        <v>0</v>
      </c>
      <c r="AQ97" s="87" t="s">
        <v>1524</v>
      </c>
      <c r="AR97" s="82"/>
      <c r="AS97" s="82">
        <v>0</v>
      </c>
      <c r="AT97" s="82">
        <v>0</v>
      </c>
      <c r="AU97" s="82"/>
      <c r="AV97" s="82"/>
      <c r="AW97" s="82"/>
      <c r="AX97" s="82"/>
      <c r="AY97" s="82"/>
      <c r="AZ97" s="82"/>
      <c r="BA97" s="82"/>
      <c r="BB97" s="82"/>
      <c r="BC97">
        <v>1</v>
      </c>
      <c r="BD97" s="81" t="str">
        <f>REPLACE(INDEX(GroupVertices[Group],MATCH(Edges[[#This Row],[Vertex 1]],GroupVertices[Vertex],0)),1,1,"")</f>
        <v>1</v>
      </c>
      <c r="BE97" s="81" t="str">
        <f>REPLACE(INDEX(GroupVertices[Group],MATCH(Edges[[#This Row],[Vertex 2]],GroupVertices[Vertex],0)),1,1,"")</f>
        <v>1</v>
      </c>
      <c r="BF97" s="49">
        <v>2</v>
      </c>
      <c r="BG97" s="50">
        <v>8.695652173913043</v>
      </c>
      <c r="BH97" s="49">
        <v>0</v>
      </c>
      <c r="BI97" s="50">
        <v>0</v>
      </c>
      <c r="BJ97" s="49">
        <v>0</v>
      </c>
      <c r="BK97" s="50">
        <v>0</v>
      </c>
      <c r="BL97" s="49">
        <v>21</v>
      </c>
      <c r="BM97" s="50">
        <v>91.30434782608695</v>
      </c>
      <c r="BN97" s="49">
        <v>23</v>
      </c>
    </row>
    <row r="98" spans="1:66" ht="15">
      <c r="A98" s="66" t="s">
        <v>303</v>
      </c>
      <c r="B98" s="66" t="s">
        <v>303</v>
      </c>
      <c r="C98" s="67" t="s">
        <v>4509</v>
      </c>
      <c r="D98" s="68">
        <v>3</v>
      </c>
      <c r="E98" s="69" t="s">
        <v>132</v>
      </c>
      <c r="F98" s="70">
        <v>32</v>
      </c>
      <c r="G98" s="67"/>
      <c r="H98" s="71"/>
      <c r="I98" s="72"/>
      <c r="J98" s="72"/>
      <c r="K98" s="35" t="s">
        <v>65</v>
      </c>
      <c r="L98" s="80">
        <v>98</v>
      </c>
      <c r="M98" s="80"/>
      <c r="N98" s="74"/>
      <c r="O98" s="82" t="s">
        <v>214</v>
      </c>
      <c r="P98" s="84">
        <v>44518.62694444445</v>
      </c>
      <c r="Q98" s="82" t="s">
        <v>608</v>
      </c>
      <c r="R98" s="82"/>
      <c r="S98" s="82"/>
      <c r="T98" s="87" t="s">
        <v>955</v>
      </c>
      <c r="U98" s="85" t="str">
        <f>HYPERLINK("https://pbs.twimg.com/media/FEfBVK2VcAYjxCj.jpg")</f>
        <v>https://pbs.twimg.com/media/FEfBVK2VcAYjxCj.jpg</v>
      </c>
      <c r="V98" s="85" t="str">
        <f>HYPERLINK("https://pbs.twimg.com/media/FEfBVK2VcAYjxCj.jpg")</f>
        <v>https://pbs.twimg.com/media/FEfBVK2VcAYjxCj.jpg</v>
      </c>
      <c r="W98" s="84">
        <v>44518.62694444445</v>
      </c>
      <c r="X98" s="90">
        <v>44518</v>
      </c>
      <c r="Y98" s="87" t="s">
        <v>1213</v>
      </c>
      <c r="Z98" s="85" t="str">
        <f>HYPERLINK("https://twitter.com/nhsnottsccg/status/1461349175061217284")</f>
        <v>https://twitter.com/nhsnottsccg/status/1461349175061217284</v>
      </c>
      <c r="AA98" s="82"/>
      <c r="AB98" s="82"/>
      <c r="AC98" s="87" t="s">
        <v>1525</v>
      </c>
      <c r="AD98" s="82"/>
      <c r="AE98" s="82" t="b">
        <v>0</v>
      </c>
      <c r="AF98" s="82">
        <v>6</v>
      </c>
      <c r="AG98" s="87" t="s">
        <v>1815</v>
      </c>
      <c r="AH98" s="82" t="b">
        <v>0</v>
      </c>
      <c r="AI98" s="82" t="s">
        <v>1826</v>
      </c>
      <c r="AJ98" s="82"/>
      <c r="AK98" s="87" t="s">
        <v>1815</v>
      </c>
      <c r="AL98" s="82" t="b">
        <v>0</v>
      </c>
      <c r="AM98" s="82">
        <v>5</v>
      </c>
      <c r="AN98" s="87" t="s">
        <v>1815</v>
      </c>
      <c r="AO98" s="87" t="s">
        <v>1854</v>
      </c>
      <c r="AP98" s="82" t="b">
        <v>0</v>
      </c>
      <c r="AQ98" s="87" t="s">
        <v>1525</v>
      </c>
      <c r="AR98" s="82"/>
      <c r="AS98" s="82">
        <v>0</v>
      </c>
      <c r="AT98" s="82">
        <v>0</v>
      </c>
      <c r="AU98" s="82"/>
      <c r="AV98" s="82"/>
      <c r="AW98" s="82"/>
      <c r="AX98" s="82"/>
      <c r="AY98" s="82"/>
      <c r="AZ98" s="82"/>
      <c r="BA98" s="82"/>
      <c r="BB98" s="82"/>
      <c r="BC98">
        <v>1</v>
      </c>
      <c r="BD98" s="81" t="str">
        <f>REPLACE(INDEX(GroupVertices[Group],MATCH(Edges[[#This Row],[Vertex 1]],GroupVertices[Vertex],0)),1,1,"")</f>
        <v>1</v>
      </c>
      <c r="BE98" s="81" t="str">
        <f>REPLACE(INDEX(GroupVertices[Group],MATCH(Edges[[#This Row],[Vertex 2]],GroupVertices[Vertex],0)),1,1,"")</f>
        <v>1</v>
      </c>
      <c r="BF98" s="49">
        <v>0</v>
      </c>
      <c r="BG98" s="50">
        <v>0</v>
      </c>
      <c r="BH98" s="49">
        <v>2</v>
      </c>
      <c r="BI98" s="50">
        <v>6.0606060606060606</v>
      </c>
      <c r="BJ98" s="49">
        <v>0</v>
      </c>
      <c r="BK98" s="50">
        <v>0</v>
      </c>
      <c r="BL98" s="49">
        <v>31</v>
      </c>
      <c r="BM98" s="50">
        <v>93.93939393939394</v>
      </c>
      <c r="BN98" s="49">
        <v>33</v>
      </c>
    </row>
    <row r="99" spans="1:66" ht="15">
      <c r="A99" s="66" t="s">
        <v>304</v>
      </c>
      <c r="B99" s="66" t="s">
        <v>304</v>
      </c>
      <c r="C99" s="67" t="s">
        <v>4509</v>
      </c>
      <c r="D99" s="68">
        <v>3</v>
      </c>
      <c r="E99" s="69" t="s">
        <v>132</v>
      </c>
      <c r="F99" s="70">
        <v>32</v>
      </c>
      <c r="G99" s="67"/>
      <c r="H99" s="71"/>
      <c r="I99" s="72"/>
      <c r="J99" s="72"/>
      <c r="K99" s="35" t="s">
        <v>65</v>
      </c>
      <c r="L99" s="80">
        <v>99</v>
      </c>
      <c r="M99" s="80"/>
      <c r="N99" s="74"/>
      <c r="O99" s="82" t="s">
        <v>214</v>
      </c>
      <c r="P99" s="84">
        <v>44518.635416666664</v>
      </c>
      <c r="Q99" s="82" t="s">
        <v>609</v>
      </c>
      <c r="R99" s="85" t="str">
        <f>HYPERLINK("https://antibioticguardian.com/")</f>
        <v>https://antibioticguardian.com/</v>
      </c>
      <c r="S99" s="82" t="s">
        <v>902</v>
      </c>
      <c r="T99" s="87" t="s">
        <v>955</v>
      </c>
      <c r="U99" s="85" t="str">
        <f>HYPERLINK("https://pbs.twimg.com/media/FEeYqkYXIAMHBh_.jpg")</f>
        <v>https://pbs.twimg.com/media/FEeYqkYXIAMHBh_.jpg</v>
      </c>
      <c r="V99" s="85" t="str">
        <f>HYPERLINK("https://pbs.twimg.com/media/FEeYqkYXIAMHBh_.jpg")</f>
        <v>https://pbs.twimg.com/media/FEeYqkYXIAMHBh_.jpg</v>
      </c>
      <c r="W99" s="84">
        <v>44518.635416666664</v>
      </c>
      <c r="X99" s="90">
        <v>44518</v>
      </c>
      <c r="Y99" s="87" t="s">
        <v>1214</v>
      </c>
      <c r="Z99" s="85" t="str">
        <f>HYPERLINK("https://twitter.com/nhs_cityhackney/status/1461352244687769614")</f>
        <v>https://twitter.com/nhs_cityhackney/status/1461352244687769614</v>
      </c>
      <c r="AA99" s="82"/>
      <c r="AB99" s="82"/>
      <c r="AC99" s="87" t="s">
        <v>1526</v>
      </c>
      <c r="AD99" s="82"/>
      <c r="AE99" s="82" t="b">
        <v>0</v>
      </c>
      <c r="AF99" s="82">
        <v>1</v>
      </c>
      <c r="AG99" s="87" t="s">
        <v>1815</v>
      </c>
      <c r="AH99" s="82" t="b">
        <v>0</v>
      </c>
      <c r="AI99" s="82" t="s">
        <v>1826</v>
      </c>
      <c r="AJ99" s="82"/>
      <c r="AK99" s="87" t="s">
        <v>1815</v>
      </c>
      <c r="AL99" s="82" t="b">
        <v>0</v>
      </c>
      <c r="AM99" s="82">
        <v>0</v>
      </c>
      <c r="AN99" s="87" t="s">
        <v>1815</v>
      </c>
      <c r="AO99" s="87" t="s">
        <v>1853</v>
      </c>
      <c r="AP99" s="82" t="b">
        <v>0</v>
      </c>
      <c r="AQ99" s="87" t="s">
        <v>1526</v>
      </c>
      <c r="AR99" s="82"/>
      <c r="AS99" s="82">
        <v>0</v>
      </c>
      <c r="AT99" s="82">
        <v>0</v>
      </c>
      <c r="AU99" s="82"/>
      <c r="AV99" s="82"/>
      <c r="AW99" s="82"/>
      <c r="AX99" s="82"/>
      <c r="AY99" s="82"/>
      <c r="AZ99" s="82"/>
      <c r="BA99" s="82"/>
      <c r="BB99" s="82"/>
      <c r="BC99">
        <v>1</v>
      </c>
      <c r="BD99" s="81" t="str">
        <f>REPLACE(INDEX(GroupVertices[Group],MATCH(Edges[[#This Row],[Vertex 1]],GroupVertices[Vertex],0)),1,1,"")</f>
        <v>1</v>
      </c>
      <c r="BE99" s="81" t="str">
        <f>REPLACE(INDEX(GroupVertices[Group],MATCH(Edges[[#This Row],[Vertex 2]],GroupVertices[Vertex],0)),1,1,"")</f>
        <v>1</v>
      </c>
      <c r="BF99" s="49">
        <v>0</v>
      </c>
      <c r="BG99" s="50">
        <v>0</v>
      </c>
      <c r="BH99" s="49">
        <v>2</v>
      </c>
      <c r="BI99" s="50">
        <v>11.11111111111111</v>
      </c>
      <c r="BJ99" s="49">
        <v>0</v>
      </c>
      <c r="BK99" s="50">
        <v>0</v>
      </c>
      <c r="BL99" s="49">
        <v>16</v>
      </c>
      <c r="BM99" s="50">
        <v>88.88888888888889</v>
      </c>
      <c r="BN99" s="49">
        <v>18</v>
      </c>
    </row>
    <row r="100" spans="1:66" ht="15">
      <c r="A100" s="66" t="s">
        <v>305</v>
      </c>
      <c r="B100" s="66" t="s">
        <v>467</v>
      </c>
      <c r="C100" s="67" t="s">
        <v>4509</v>
      </c>
      <c r="D100" s="68">
        <v>3</v>
      </c>
      <c r="E100" s="69" t="s">
        <v>132</v>
      </c>
      <c r="F100" s="70">
        <v>32</v>
      </c>
      <c r="G100" s="67"/>
      <c r="H100" s="71"/>
      <c r="I100" s="72"/>
      <c r="J100" s="72"/>
      <c r="K100" s="35" t="s">
        <v>65</v>
      </c>
      <c r="L100" s="80">
        <v>100</v>
      </c>
      <c r="M100" s="80"/>
      <c r="N100" s="74"/>
      <c r="O100" s="82" t="s">
        <v>528</v>
      </c>
      <c r="P100" s="84">
        <v>44518.63638888889</v>
      </c>
      <c r="Q100" s="82" t="s">
        <v>610</v>
      </c>
      <c r="R100" s="85" t="str">
        <f>HYPERLINK("https://www.youtube.com/watch?v=DtR_6EQaTdQ&amp;feature=youtu.be")</f>
        <v>https://www.youtube.com/watch?v=DtR_6EQaTdQ&amp;feature=youtu.be</v>
      </c>
      <c r="S100" s="82" t="s">
        <v>912</v>
      </c>
      <c r="T100" s="87" t="s">
        <v>998</v>
      </c>
      <c r="U100" s="82"/>
      <c r="V100" s="85" t="str">
        <f>HYPERLINK("https://pbs.twimg.com/profile_images/1333240739678056449/qNis9JbI_normal.jpg")</f>
        <v>https://pbs.twimg.com/profile_images/1333240739678056449/qNis9JbI_normal.jpg</v>
      </c>
      <c r="W100" s="84">
        <v>44518.63638888889</v>
      </c>
      <c r="X100" s="90">
        <v>44518</v>
      </c>
      <c r="Y100" s="87" t="s">
        <v>1215</v>
      </c>
      <c r="Z100" s="85" t="str">
        <f>HYPERLINK("https://twitter.com/ncscientist/status/1461352595839074310")</f>
        <v>https://twitter.com/ncscientist/status/1461352595839074310</v>
      </c>
      <c r="AA100" s="82"/>
      <c r="AB100" s="82"/>
      <c r="AC100" s="87" t="s">
        <v>1527</v>
      </c>
      <c r="AD100" s="82"/>
      <c r="AE100" s="82" t="b">
        <v>0</v>
      </c>
      <c r="AF100" s="82">
        <v>5</v>
      </c>
      <c r="AG100" s="87" t="s">
        <v>1815</v>
      </c>
      <c r="AH100" s="82" t="b">
        <v>0</v>
      </c>
      <c r="AI100" s="82" t="s">
        <v>1829</v>
      </c>
      <c r="AJ100" s="82"/>
      <c r="AK100" s="87" t="s">
        <v>1815</v>
      </c>
      <c r="AL100" s="82" t="b">
        <v>0</v>
      </c>
      <c r="AM100" s="82">
        <v>0</v>
      </c>
      <c r="AN100" s="87" t="s">
        <v>1815</v>
      </c>
      <c r="AO100" s="87" t="s">
        <v>1851</v>
      </c>
      <c r="AP100" s="82" t="b">
        <v>0</v>
      </c>
      <c r="AQ100" s="87" t="s">
        <v>1527</v>
      </c>
      <c r="AR100" s="82"/>
      <c r="AS100" s="82">
        <v>0</v>
      </c>
      <c r="AT100" s="82">
        <v>0</v>
      </c>
      <c r="AU100" s="82"/>
      <c r="AV100" s="82"/>
      <c r="AW100" s="82"/>
      <c r="AX100" s="82"/>
      <c r="AY100" s="82"/>
      <c r="AZ100" s="82"/>
      <c r="BA100" s="82"/>
      <c r="BB100" s="82"/>
      <c r="BC100">
        <v>1</v>
      </c>
      <c r="BD100" s="81" t="str">
        <f>REPLACE(INDEX(GroupVertices[Group],MATCH(Edges[[#This Row],[Vertex 1]],GroupVertices[Vertex],0)),1,1,"")</f>
        <v>22</v>
      </c>
      <c r="BE100" s="81" t="str">
        <f>REPLACE(INDEX(GroupVertices[Group],MATCH(Edges[[#This Row],[Vertex 2]],GroupVertices[Vertex],0)),1,1,"")</f>
        <v>22</v>
      </c>
      <c r="BF100" s="49">
        <v>0</v>
      </c>
      <c r="BG100" s="50">
        <v>0</v>
      </c>
      <c r="BH100" s="49">
        <v>0</v>
      </c>
      <c r="BI100" s="50">
        <v>0</v>
      </c>
      <c r="BJ100" s="49">
        <v>0</v>
      </c>
      <c r="BK100" s="50">
        <v>0</v>
      </c>
      <c r="BL100" s="49">
        <v>25</v>
      </c>
      <c r="BM100" s="50">
        <v>100</v>
      </c>
      <c r="BN100" s="49">
        <v>25</v>
      </c>
    </row>
    <row r="101" spans="1:66" ht="15">
      <c r="A101" s="66" t="s">
        <v>306</v>
      </c>
      <c r="B101" s="66" t="s">
        <v>306</v>
      </c>
      <c r="C101" s="67" t="s">
        <v>4509</v>
      </c>
      <c r="D101" s="68">
        <v>3</v>
      </c>
      <c r="E101" s="69" t="s">
        <v>132</v>
      </c>
      <c r="F101" s="70">
        <v>32</v>
      </c>
      <c r="G101" s="67"/>
      <c r="H101" s="71"/>
      <c r="I101" s="72"/>
      <c r="J101" s="72"/>
      <c r="K101" s="35" t="s">
        <v>65</v>
      </c>
      <c r="L101" s="80">
        <v>101</v>
      </c>
      <c r="M101" s="80"/>
      <c r="N101" s="74"/>
      <c r="O101" s="82" t="s">
        <v>214</v>
      </c>
      <c r="P101" s="84">
        <v>44518.645902777775</v>
      </c>
      <c r="Q101" s="82" t="s">
        <v>611</v>
      </c>
      <c r="R101" s="82"/>
      <c r="S101" s="82"/>
      <c r="T101" s="87" t="s">
        <v>955</v>
      </c>
      <c r="U101" s="85" t="str">
        <f>HYPERLINK("https://pbs.twimg.com/media/FEfHkpCVgBA6y2d.jpg")</f>
        <v>https://pbs.twimg.com/media/FEfHkpCVgBA6y2d.jpg</v>
      </c>
      <c r="V101" s="85" t="str">
        <f>HYPERLINK("https://pbs.twimg.com/media/FEfHkpCVgBA6y2d.jpg")</f>
        <v>https://pbs.twimg.com/media/FEfHkpCVgBA6y2d.jpg</v>
      </c>
      <c r="W101" s="84">
        <v>44518.645902777775</v>
      </c>
      <c r="X101" s="90">
        <v>44518</v>
      </c>
      <c r="Y101" s="87" t="s">
        <v>1216</v>
      </c>
      <c r="Z101" s="85" t="str">
        <f>HYPERLINK("https://twitter.com/teamnuh/status/1461356044009885705")</f>
        <v>https://twitter.com/teamnuh/status/1461356044009885705</v>
      </c>
      <c r="AA101" s="82"/>
      <c r="AB101" s="82"/>
      <c r="AC101" s="87" t="s">
        <v>1528</v>
      </c>
      <c r="AD101" s="82"/>
      <c r="AE101" s="82" t="b">
        <v>0</v>
      </c>
      <c r="AF101" s="82">
        <v>6</v>
      </c>
      <c r="AG101" s="87" t="s">
        <v>1815</v>
      </c>
      <c r="AH101" s="82" t="b">
        <v>0</v>
      </c>
      <c r="AI101" s="82" t="s">
        <v>1826</v>
      </c>
      <c r="AJ101" s="82"/>
      <c r="AK101" s="87" t="s">
        <v>1815</v>
      </c>
      <c r="AL101" s="82" t="b">
        <v>0</v>
      </c>
      <c r="AM101" s="82">
        <v>3</v>
      </c>
      <c r="AN101" s="87" t="s">
        <v>1815</v>
      </c>
      <c r="AO101" s="87" t="s">
        <v>1856</v>
      </c>
      <c r="AP101" s="82" t="b">
        <v>0</v>
      </c>
      <c r="AQ101" s="87" t="s">
        <v>1528</v>
      </c>
      <c r="AR101" s="82"/>
      <c r="AS101" s="82">
        <v>0</v>
      </c>
      <c r="AT101" s="82">
        <v>0</v>
      </c>
      <c r="AU101" s="82"/>
      <c r="AV101" s="82"/>
      <c r="AW101" s="82"/>
      <c r="AX101" s="82"/>
      <c r="AY101" s="82"/>
      <c r="AZ101" s="82"/>
      <c r="BA101" s="82"/>
      <c r="BB101" s="82"/>
      <c r="BC101">
        <v>1</v>
      </c>
      <c r="BD101" s="81" t="str">
        <f>REPLACE(INDEX(GroupVertices[Group],MATCH(Edges[[#This Row],[Vertex 1]],GroupVertices[Vertex],0)),1,1,"")</f>
        <v>1</v>
      </c>
      <c r="BE101" s="81" t="str">
        <f>REPLACE(INDEX(GroupVertices[Group],MATCH(Edges[[#This Row],[Vertex 2]],GroupVertices[Vertex],0)),1,1,"")</f>
        <v>1</v>
      </c>
      <c r="BF101" s="49">
        <v>0</v>
      </c>
      <c r="BG101" s="50">
        <v>0</v>
      </c>
      <c r="BH101" s="49">
        <v>2</v>
      </c>
      <c r="BI101" s="50">
        <v>6.0606060606060606</v>
      </c>
      <c r="BJ101" s="49">
        <v>0</v>
      </c>
      <c r="BK101" s="50">
        <v>0</v>
      </c>
      <c r="BL101" s="49">
        <v>31</v>
      </c>
      <c r="BM101" s="50">
        <v>93.93939393939394</v>
      </c>
      <c r="BN101" s="49">
        <v>33</v>
      </c>
    </row>
    <row r="102" spans="1:66" ht="15">
      <c r="A102" s="66" t="s">
        <v>307</v>
      </c>
      <c r="B102" s="66" t="s">
        <v>307</v>
      </c>
      <c r="C102" s="67" t="s">
        <v>4509</v>
      </c>
      <c r="D102" s="68">
        <v>3</v>
      </c>
      <c r="E102" s="69" t="s">
        <v>132</v>
      </c>
      <c r="F102" s="70">
        <v>32</v>
      </c>
      <c r="G102" s="67"/>
      <c r="H102" s="71"/>
      <c r="I102" s="72"/>
      <c r="J102" s="72"/>
      <c r="K102" s="35" t="s">
        <v>65</v>
      </c>
      <c r="L102" s="80">
        <v>102</v>
      </c>
      <c r="M102" s="80"/>
      <c r="N102" s="74"/>
      <c r="O102" s="82" t="s">
        <v>214</v>
      </c>
      <c r="P102" s="84">
        <v>44518.62694444445</v>
      </c>
      <c r="Q102" s="82" t="s">
        <v>612</v>
      </c>
      <c r="R102" s="82"/>
      <c r="S102" s="82"/>
      <c r="T102" s="87" t="s">
        <v>961</v>
      </c>
      <c r="U102" s="85" t="str">
        <f>HYPERLINK("https://pbs.twimg.com/media/FEfBVH4VcAcI9nU.jpg")</f>
        <v>https://pbs.twimg.com/media/FEfBVH4VcAcI9nU.jpg</v>
      </c>
      <c r="V102" s="85" t="str">
        <f>HYPERLINK("https://pbs.twimg.com/media/FEfBVH4VcAcI9nU.jpg")</f>
        <v>https://pbs.twimg.com/media/FEfBVH4VcAcI9nU.jpg</v>
      </c>
      <c r="W102" s="84">
        <v>44518.62694444445</v>
      </c>
      <c r="X102" s="90">
        <v>44518</v>
      </c>
      <c r="Y102" s="87" t="s">
        <v>1213</v>
      </c>
      <c r="Z102" s="85" t="str">
        <f>HYPERLINK("https://twitter.com/nhsnlag/status/1461349174595633152")</f>
        <v>https://twitter.com/nhsnlag/status/1461349174595633152</v>
      </c>
      <c r="AA102" s="82"/>
      <c r="AB102" s="82"/>
      <c r="AC102" s="87" t="s">
        <v>1529</v>
      </c>
      <c r="AD102" s="82"/>
      <c r="AE102" s="82" t="b">
        <v>0</v>
      </c>
      <c r="AF102" s="82">
        <v>1</v>
      </c>
      <c r="AG102" s="87" t="s">
        <v>1815</v>
      </c>
      <c r="AH102" s="82" t="b">
        <v>0</v>
      </c>
      <c r="AI102" s="82" t="s">
        <v>1826</v>
      </c>
      <c r="AJ102" s="82"/>
      <c r="AK102" s="87" t="s">
        <v>1815</v>
      </c>
      <c r="AL102" s="82" t="b">
        <v>0</v>
      </c>
      <c r="AM102" s="82">
        <v>0</v>
      </c>
      <c r="AN102" s="87" t="s">
        <v>1815</v>
      </c>
      <c r="AO102" s="87" t="s">
        <v>1854</v>
      </c>
      <c r="AP102" s="82" t="b">
        <v>0</v>
      </c>
      <c r="AQ102" s="87" t="s">
        <v>1529</v>
      </c>
      <c r="AR102" s="82"/>
      <c r="AS102" s="82">
        <v>0</v>
      </c>
      <c r="AT102" s="82">
        <v>0</v>
      </c>
      <c r="AU102" s="82"/>
      <c r="AV102" s="82"/>
      <c r="AW102" s="82"/>
      <c r="AX102" s="82"/>
      <c r="AY102" s="82"/>
      <c r="AZ102" s="82"/>
      <c r="BA102" s="82"/>
      <c r="BB102" s="82"/>
      <c r="BC102">
        <v>1</v>
      </c>
      <c r="BD102" s="81" t="str">
        <f>REPLACE(INDEX(GroupVertices[Group],MATCH(Edges[[#This Row],[Vertex 1]],GroupVertices[Vertex],0)),1,1,"")</f>
        <v>1</v>
      </c>
      <c r="BE102" s="81" t="str">
        <f>REPLACE(INDEX(GroupVertices[Group],MATCH(Edges[[#This Row],[Vertex 2]],GroupVertices[Vertex],0)),1,1,"")</f>
        <v>1</v>
      </c>
      <c r="BF102" s="49">
        <v>0</v>
      </c>
      <c r="BG102" s="50">
        <v>0</v>
      </c>
      <c r="BH102" s="49">
        <v>2</v>
      </c>
      <c r="BI102" s="50">
        <v>6.0606060606060606</v>
      </c>
      <c r="BJ102" s="49">
        <v>0</v>
      </c>
      <c r="BK102" s="50">
        <v>0</v>
      </c>
      <c r="BL102" s="49">
        <v>31</v>
      </c>
      <c r="BM102" s="50">
        <v>93.93939393939394</v>
      </c>
      <c r="BN102" s="49">
        <v>33</v>
      </c>
    </row>
    <row r="103" spans="1:66" ht="15">
      <c r="A103" s="66" t="s">
        <v>308</v>
      </c>
      <c r="B103" s="66" t="s">
        <v>308</v>
      </c>
      <c r="C103" s="67" t="s">
        <v>4509</v>
      </c>
      <c r="D103" s="68">
        <v>3</v>
      </c>
      <c r="E103" s="69" t="s">
        <v>132</v>
      </c>
      <c r="F103" s="70">
        <v>32</v>
      </c>
      <c r="G103" s="67"/>
      <c r="H103" s="71"/>
      <c r="I103" s="72"/>
      <c r="J103" s="72"/>
      <c r="K103" s="35" t="s">
        <v>65</v>
      </c>
      <c r="L103" s="80">
        <v>103</v>
      </c>
      <c r="M103" s="80"/>
      <c r="N103" s="74"/>
      <c r="O103" s="82" t="s">
        <v>214</v>
      </c>
      <c r="P103" s="84">
        <v>44518.62681712963</v>
      </c>
      <c r="Q103" s="82" t="s">
        <v>613</v>
      </c>
      <c r="R103" s="82"/>
      <c r="S103" s="82"/>
      <c r="T103" s="87" t="s">
        <v>955</v>
      </c>
      <c r="U103" s="85" t="str">
        <f>HYPERLINK("https://pbs.twimg.com/media/FEfBShQVUAoVixb.jpg")</f>
        <v>https://pbs.twimg.com/media/FEfBShQVUAoVixb.jpg</v>
      </c>
      <c r="V103" s="85" t="str">
        <f>HYPERLINK("https://pbs.twimg.com/media/FEfBShQVUAoVixb.jpg")</f>
        <v>https://pbs.twimg.com/media/FEfBShQVUAoVixb.jpg</v>
      </c>
      <c r="W103" s="84">
        <v>44518.62681712963</v>
      </c>
      <c r="X103" s="90">
        <v>44518</v>
      </c>
      <c r="Y103" s="87" t="s">
        <v>1217</v>
      </c>
      <c r="Z103" s="85" t="str">
        <f>HYPERLINK("https://twitter.com/pagemedical/status/1461349130320502805")</f>
        <v>https://twitter.com/pagemedical/status/1461349130320502805</v>
      </c>
      <c r="AA103" s="82"/>
      <c r="AB103" s="82"/>
      <c r="AC103" s="87" t="s">
        <v>1530</v>
      </c>
      <c r="AD103" s="82"/>
      <c r="AE103" s="82" t="b">
        <v>0</v>
      </c>
      <c r="AF103" s="82">
        <v>4</v>
      </c>
      <c r="AG103" s="87" t="s">
        <v>1815</v>
      </c>
      <c r="AH103" s="82" t="b">
        <v>0</v>
      </c>
      <c r="AI103" s="82" t="s">
        <v>1826</v>
      </c>
      <c r="AJ103" s="82"/>
      <c r="AK103" s="87" t="s">
        <v>1815</v>
      </c>
      <c r="AL103" s="82" t="b">
        <v>0</v>
      </c>
      <c r="AM103" s="82">
        <v>1</v>
      </c>
      <c r="AN103" s="87" t="s">
        <v>1815</v>
      </c>
      <c r="AO103" s="87" t="s">
        <v>1854</v>
      </c>
      <c r="AP103" s="82" t="b">
        <v>0</v>
      </c>
      <c r="AQ103" s="87" t="s">
        <v>1530</v>
      </c>
      <c r="AR103" s="82"/>
      <c r="AS103" s="82">
        <v>0</v>
      </c>
      <c r="AT103" s="82">
        <v>0</v>
      </c>
      <c r="AU103" s="82"/>
      <c r="AV103" s="82"/>
      <c r="AW103" s="82"/>
      <c r="AX103" s="82"/>
      <c r="AY103" s="82"/>
      <c r="AZ103" s="82"/>
      <c r="BA103" s="82"/>
      <c r="BB103" s="82"/>
      <c r="BC103">
        <v>1</v>
      </c>
      <c r="BD103" s="81" t="str">
        <f>REPLACE(INDEX(GroupVertices[Group],MATCH(Edges[[#This Row],[Vertex 1]],GroupVertices[Vertex],0)),1,1,"")</f>
        <v>1</v>
      </c>
      <c r="BE103" s="81" t="str">
        <f>REPLACE(INDEX(GroupVertices[Group],MATCH(Edges[[#This Row],[Vertex 2]],GroupVertices[Vertex],0)),1,1,"")</f>
        <v>1</v>
      </c>
      <c r="BF103" s="49">
        <v>0</v>
      </c>
      <c r="BG103" s="50">
        <v>0</v>
      </c>
      <c r="BH103" s="49">
        <v>2</v>
      </c>
      <c r="BI103" s="50">
        <v>6.25</v>
      </c>
      <c r="BJ103" s="49">
        <v>0</v>
      </c>
      <c r="BK103" s="50">
        <v>0</v>
      </c>
      <c r="BL103" s="49">
        <v>30</v>
      </c>
      <c r="BM103" s="50">
        <v>93.75</v>
      </c>
      <c r="BN103" s="49">
        <v>32</v>
      </c>
    </row>
    <row r="104" spans="1:66" ht="15">
      <c r="A104" s="66" t="s">
        <v>309</v>
      </c>
      <c r="B104" s="66" t="s">
        <v>309</v>
      </c>
      <c r="C104" s="67" t="s">
        <v>4509</v>
      </c>
      <c r="D104" s="68">
        <v>3</v>
      </c>
      <c r="E104" s="69" t="s">
        <v>132</v>
      </c>
      <c r="F104" s="70">
        <v>32</v>
      </c>
      <c r="G104" s="67"/>
      <c r="H104" s="71"/>
      <c r="I104" s="72"/>
      <c r="J104" s="72"/>
      <c r="K104" s="35" t="s">
        <v>65</v>
      </c>
      <c r="L104" s="80">
        <v>104</v>
      </c>
      <c r="M104" s="80"/>
      <c r="N104" s="74"/>
      <c r="O104" s="82" t="s">
        <v>214</v>
      </c>
      <c r="P104" s="84">
        <v>44518.65480324074</v>
      </c>
      <c r="Q104" s="82" t="s">
        <v>614</v>
      </c>
      <c r="R104" s="82"/>
      <c r="S104" s="82"/>
      <c r="T104" s="87" t="s">
        <v>999</v>
      </c>
      <c r="U104" s="85" t="str">
        <f>HYPERLINK("https://pbs.twimg.com/media/FEfKgmZVgAorER_.jpg")</f>
        <v>https://pbs.twimg.com/media/FEfKgmZVgAorER_.jpg</v>
      </c>
      <c r="V104" s="85" t="str">
        <f>HYPERLINK("https://pbs.twimg.com/media/FEfKgmZVgAorER_.jpg")</f>
        <v>https://pbs.twimg.com/media/FEfKgmZVgAorER_.jpg</v>
      </c>
      <c r="W104" s="84">
        <v>44518.65480324074</v>
      </c>
      <c r="X104" s="90">
        <v>44518</v>
      </c>
      <c r="Y104" s="87" t="s">
        <v>1218</v>
      </c>
      <c r="Z104" s="85" t="str">
        <f>HYPERLINK("https://twitter.com/pharmacyuhdb/status/1461359272487383049")</f>
        <v>https://twitter.com/pharmacyuhdb/status/1461359272487383049</v>
      </c>
      <c r="AA104" s="82"/>
      <c r="AB104" s="82"/>
      <c r="AC104" s="87" t="s">
        <v>1531</v>
      </c>
      <c r="AD104" s="82"/>
      <c r="AE104" s="82" t="b">
        <v>0</v>
      </c>
      <c r="AF104" s="82">
        <v>1</v>
      </c>
      <c r="AG104" s="87" t="s">
        <v>1815</v>
      </c>
      <c r="AH104" s="82" t="b">
        <v>0</v>
      </c>
      <c r="AI104" s="82" t="s">
        <v>1826</v>
      </c>
      <c r="AJ104" s="82"/>
      <c r="AK104" s="87" t="s">
        <v>1815</v>
      </c>
      <c r="AL104" s="82" t="b">
        <v>0</v>
      </c>
      <c r="AM104" s="82">
        <v>0</v>
      </c>
      <c r="AN104" s="87" t="s">
        <v>1815</v>
      </c>
      <c r="AO104" s="87" t="s">
        <v>1851</v>
      </c>
      <c r="AP104" s="82" t="b">
        <v>0</v>
      </c>
      <c r="AQ104" s="87" t="s">
        <v>1531</v>
      </c>
      <c r="AR104" s="82"/>
      <c r="AS104" s="82">
        <v>0</v>
      </c>
      <c r="AT104" s="82">
        <v>0</v>
      </c>
      <c r="AU104" s="82"/>
      <c r="AV104" s="82"/>
      <c r="AW104" s="82"/>
      <c r="AX104" s="82"/>
      <c r="AY104" s="82"/>
      <c r="AZ104" s="82"/>
      <c r="BA104" s="82"/>
      <c r="BB104" s="82"/>
      <c r="BC104">
        <v>1</v>
      </c>
      <c r="BD104" s="81" t="str">
        <f>REPLACE(INDEX(GroupVertices[Group],MATCH(Edges[[#This Row],[Vertex 1]],GroupVertices[Vertex],0)),1,1,"")</f>
        <v>1</v>
      </c>
      <c r="BE104" s="81" t="str">
        <f>REPLACE(INDEX(GroupVertices[Group],MATCH(Edges[[#This Row],[Vertex 2]],GroupVertices[Vertex],0)),1,1,"")</f>
        <v>1</v>
      </c>
      <c r="BF104" s="49">
        <v>0</v>
      </c>
      <c r="BG104" s="50">
        <v>0</v>
      </c>
      <c r="BH104" s="49">
        <v>0</v>
      </c>
      <c r="BI104" s="50">
        <v>0</v>
      </c>
      <c r="BJ104" s="49">
        <v>0</v>
      </c>
      <c r="BK104" s="50">
        <v>0</v>
      </c>
      <c r="BL104" s="49">
        <v>20</v>
      </c>
      <c r="BM104" s="50">
        <v>100</v>
      </c>
      <c r="BN104" s="49">
        <v>20</v>
      </c>
    </row>
    <row r="105" spans="1:66" ht="15">
      <c r="A105" s="66" t="s">
        <v>310</v>
      </c>
      <c r="B105" s="66" t="s">
        <v>450</v>
      </c>
      <c r="C105" s="67" t="s">
        <v>4509</v>
      </c>
      <c r="D105" s="68">
        <v>3</v>
      </c>
      <c r="E105" s="69" t="s">
        <v>132</v>
      </c>
      <c r="F105" s="70">
        <v>32</v>
      </c>
      <c r="G105" s="67"/>
      <c r="H105" s="71"/>
      <c r="I105" s="72"/>
      <c r="J105" s="72"/>
      <c r="K105" s="35" t="s">
        <v>65</v>
      </c>
      <c r="L105" s="80">
        <v>105</v>
      </c>
      <c r="M105" s="80"/>
      <c r="N105" s="74"/>
      <c r="O105" s="82" t="s">
        <v>528</v>
      </c>
      <c r="P105" s="84">
        <v>44518.656701388885</v>
      </c>
      <c r="Q105" s="82" t="s">
        <v>615</v>
      </c>
      <c r="R105" s="82"/>
      <c r="S105" s="82"/>
      <c r="T105" s="87" t="s">
        <v>1000</v>
      </c>
      <c r="U105" s="85" t="str">
        <f>HYPERLINK("https://pbs.twimg.com/media/FEfLEWmUYBAQ8Fq.jpg")</f>
        <v>https://pbs.twimg.com/media/FEfLEWmUYBAQ8Fq.jpg</v>
      </c>
      <c r="V105" s="85" t="str">
        <f>HYPERLINK("https://pbs.twimg.com/media/FEfLEWmUYBAQ8Fq.jpg")</f>
        <v>https://pbs.twimg.com/media/FEfLEWmUYBAQ8Fq.jpg</v>
      </c>
      <c r="W105" s="84">
        <v>44518.656701388885</v>
      </c>
      <c r="X105" s="90">
        <v>44518</v>
      </c>
      <c r="Y105" s="87" t="s">
        <v>1219</v>
      </c>
      <c r="Z105" s="85" t="str">
        <f>HYPERLINK("https://twitter.com/pkamranpour/status/1461359959652724747")</f>
        <v>https://twitter.com/pkamranpour/status/1461359959652724747</v>
      </c>
      <c r="AA105" s="82"/>
      <c r="AB105" s="82"/>
      <c r="AC105" s="87" t="s">
        <v>1532</v>
      </c>
      <c r="AD105" s="82"/>
      <c r="AE105" s="82" t="b">
        <v>0</v>
      </c>
      <c r="AF105" s="82">
        <v>7</v>
      </c>
      <c r="AG105" s="87" t="s">
        <v>1815</v>
      </c>
      <c r="AH105" s="82" t="b">
        <v>0</v>
      </c>
      <c r="AI105" s="82" t="s">
        <v>1826</v>
      </c>
      <c r="AJ105" s="82"/>
      <c r="AK105" s="87" t="s">
        <v>1815</v>
      </c>
      <c r="AL105" s="82" t="b">
        <v>0</v>
      </c>
      <c r="AM105" s="82">
        <v>2</v>
      </c>
      <c r="AN105" s="87" t="s">
        <v>1815</v>
      </c>
      <c r="AO105" s="87" t="s">
        <v>1850</v>
      </c>
      <c r="AP105" s="82" t="b">
        <v>0</v>
      </c>
      <c r="AQ105" s="87" t="s">
        <v>1532</v>
      </c>
      <c r="AR105" s="82"/>
      <c r="AS105" s="82">
        <v>0</v>
      </c>
      <c r="AT105" s="82">
        <v>0</v>
      </c>
      <c r="AU105" s="82"/>
      <c r="AV105" s="82"/>
      <c r="AW105" s="82"/>
      <c r="AX105" s="82"/>
      <c r="AY105" s="82"/>
      <c r="AZ105" s="82"/>
      <c r="BA105" s="82"/>
      <c r="BB105" s="82"/>
      <c r="BC105">
        <v>1</v>
      </c>
      <c r="BD105" s="81" t="str">
        <f>REPLACE(INDEX(GroupVertices[Group],MATCH(Edges[[#This Row],[Vertex 1]],GroupVertices[Vertex],0)),1,1,"")</f>
        <v>13</v>
      </c>
      <c r="BE105" s="81" t="str">
        <f>REPLACE(INDEX(GroupVertices[Group],MATCH(Edges[[#This Row],[Vertex 2]],GroupVertices[Vertex],0)),1,1,"")</f>
        <v>13</v>
      </c>
      <c r="BF105" s="49">
        <v>1</v>
      </c>
      <c r="BG105" s="50">
        <v>5.882352941176471</v>
      </c>
      <c r="BH105" s="49">
        <v>0</v>
      </c>
      <c r="BI105" s="50">
        <v>0</v>
      </c>
      <c r="BJ105" s="49">
        <v>0</v>
      </c>
      <c r="BK105" s="50">
        <v>0</v>
      </c>
      <c r="BL105" s="49">
        <v>16</v>
      </c>
      <c r="BM105" s="50">
        <v>94.11764705882354</v>
      </c>
      <c r="BN105" s="49">
        <v>17</v>
      </c>
    </row>
    <row r="106" spans="1:66" ht="15">
      <c r="A106" s="66" t="s">
        <v>311</v>
      </c>
      <c r="B106" s="66" t="s">
        <v>427</v>
      </c>
      <c r="C106" s="67" t="s">
        <v>4509</v>
      </c>
      <c r="D106" s="68">
        <v>3</v>
      </c>
      <c r="E106" s="69" t="s">
        <v>132</v>
      </c>
      <c r="F106" s="70">
        <v>32</v>
      </c>
      <c r="G106" s="67"/>
      <c r="H106" s="71"/>
      <c r="I106" s="72"/>
      <c r="J106" s="72"/>
      <c r="K106" s="35" t="s">
        <v>65</v>
      </c>
      <c r="L106" s="80">
        <v>106</v>
      </c>
      <c r="M106" s="80"/>
      <c r="N106" s="74"/>
      <c r="O106" s="82" t="s">
        <v>528</v>
      </c>
      <c r="P106" s="84">
        <v>44518.63790509259</v>
      </c>
      <c r="Q106" s="82" t="s">
        <v>616</v>
      </c>
      <c r="R106" s="85" t="str">
        <f>HYPERLINK("https://twitter.com/CDCgov/status/1461050274399850501")</f>
        <v>https://twitter.com/CDCgov/status/1461050274399850501</v>
      </c>
      <c r="S106" s="82" t="s">
        <v>914</v>
      </c>
      <c r="T106" s="87" t="s">
        <v>1001</v>
      </c>
      <c r="U106" s="82"/>
      <c r="V106" s="85" t="str">
        <f>HYPERLINK("https://pbs.twimg.com/profile_images/1224429145230278661/tEp8nm69_normal.jpg")</f>
        <v>https://pbs.twimg.com/profile_images/1224429145230278661/tEp8nm69_normal.jpg</v>
      </c>
      <c r="W106" s="84">
        <v>44518.63790509259</v>
      </c>
      <c r="X106" s="90">
        <v>44518</v>
      </c>
      <c r="Y106" s="87" t="s">
        <v>1220</v>
      </c>
      <c r="Z106" s="85" t="str">
        <f>HYPERLINK("https://twitter.com/ohiostate_id/status/1461353148614778886")</f>
        <v>https://twitter.com/ohiostate_id/status/1461353148614778886</v>
      </c>
      <c r="AA106" s="82"/>
      <c r="AB106" s="82"/>
      <c r="AC106" s="87" t="s">
        <v>1533</v>
      </c>
      <c r="AD106" s="82"/>
      <c r="AE106" s="82" t="b">
        <v>0</v>
      </c>
      <c r="AF106" s="82">
        <v>5</v>
      </c>
      <c r="AG106" s="87" t="s">
        <v>1815</v>
      </c>
      <c r="AH106" s="82" t="b">
        <v>1</v>
      </c>
      <c r="AI106" s="82" t="s">
        <v>1826</v>
      </c>
      <c r="AJ106" s="82"/>
      <c r="AK106" s="87" t="s">
        <v>1836</v>
      </c>
      <c r="AL106" s="82" t="b">
        <v>0</v>
      </c>
      <c r="AM106" s="82">
        <v>2</v>
      </c>
      <c r="AN106" s="87" t="s">
        <v>1815</v>
      </c>
      <c r="AO106" s="87" t="s">
        <v>1850</v>
      </c>
      <c r="AP106" s="82" t="b">
        <v>0</v>
      </c>
      <c r="AQ106" s="87" t="s">
        <v>1533</v>
      </c>
      <c r="AR106" s="82"/>
      <c r="AS106" s="82">
        <v>0</v>
      </c>
      <c r="AT106" s="82">
        <v>0</v>
      </c>
      <c r="AU106" s="82"/>
      <c r="AV106" s="82"/>
      <c r="AW106" s="82"/>
      <c r="AX106" s="82"/>
      <c r="AY106" s="82"/>
      <c r="AZ106" s="82"/>
      <c r="BA106" s="82"/>
      <c r="BB106" s="82"/>
      <c r="BC106">
        <v>1</v>
      </c>
      <c r="BD106" s="81" t="str">
        <f>REPLACE(INDEX(GroupVertices[Group],MATCH(Edges[[#This Row],[Vertex 1]],GroupVertices[Vertex],0)),1,1,"")</f>
        <v>5</v>
      </c>
      <c r="BE106" s="81" t="str">
        <f>REPLACE(INDEX(GroupVertices[Group],MATCH(Edges[[#This Row],[Vertex 2]],GroupVertices[Vertex],0)),1,1,"")</f>
        <v>5</v>
      </c>
      <c r="BF106" s="49">
        <v>1</v>
      </c>
      <c r="BG106" s="50">
        <v>4.3478260869565215</v>
      </c>
      <c r="BH106" s="49">
        <v>0</v>
      </c>
      <c r="BI106" s="50">
        <v>0</v>
      </c>
      <c r="BJ106" s="49">
        <v>0</v>
      </c>
      <c r="BK106" s="50">
        <v>0</v>
      </c>
      <c r="BL106" s="49">
        <v>22</v>
      </c>
      <c r="BM106" s="50">
        <v>95.65217391304348</v>
      </c>
      <c r="BN106" s="49">
        <v>23</v>
      </c>
    </row>
    <row r="107" spans="1:66" ht="15">
      <c r="A107" s="66" t="s">
        <v>311</v>
      </c>
      <c r="B107" s="66" t="s">
        <v>311</v>
      </c>
      <c r="C107" s="67" t="s">
        <v>4509</v>
      </c>
      <c r="D107" s="68">
        <v>3</v>
      </c>
      <c r="E107" s="69" t="s">
        <v>132</v>
      </c>
      <c r="F107" s="70">
        <v>32</v>
      </c>
      <c r="G107" s="67"/>
      <c r="H107" s="71"/>
      <c r="I107" s="72"/>
      <c r="J107" s="72"/>
      <c r="K107" s="35" t="s">
        <v>65</v>
      </c>
      <c r="L107" s="80">
        <v>107</v>
      </c>
      <c r="M107" s="80"/>
      <c r="N107" s="74"/>
      <c r="O107" s="82" t="s">
        <v>214</v>
      </c>
      <c r="P107" s="84">
        <v>44518.63261574074</v>
      </c>
      <c r="Q107" s="82" t="s">
        <v>617</v>
      </c>
      <c r="R107" s="85" t="str">
        <f>HYPERLINK("https://www.cdc.gov/drugresistance/covid19.html")</f>
        <v>https://www.cdc.gov/drugresistance/covid19.html</v>
      </c>
      <c r="S107" s="82" t="s">
        <v>903</v>
      </c>
      <c r="T107" s="87" t="s">
        <v>954</v>
      </c>
      <c r="U107" s="85" t="str">
        <f>HYPERLINK("https://pbs.twimg.com/ext_tw_video_thumb/1461350976565043203/pu/img/cUUtzZTKsy1tvhgw.jpg")</f>
        <v>https://pbs.twimg.com/ext_tw_video_thumb/1461350976565043203/pu/img/cUUtzZTKsy1tvhgw.jpg</v>
      </c>
      <c r="V107" s="85" t="str">
        <f>HYPERLINK("https://pbs.twimg.com/ext_tw_video_thumb/1461350976565043203/pu/img/cUUtzZTKsy1tvhgw.jpg")</f>
        <v>https://pbs.twimg.com/ext_tw_video_thumb/1461350976565043203/pu/img/cUUtzZTKsy1tvhgw.jpg</v>
      </c>
      <c r="W107" s="84">
        <v>44518.63261574074</v>
      </c>
      <c r="X107" s="90">
        <v>44518</v>
      </c>
      <c r="Y107" s="87" t="s">
        <v>1221</v>
      </c>
      <c r="Z107" s="85" t="str">
        <f>HYPERLINK("https://twitter.com/ohiostate_id/status/1461351230467309583")</f>
        <v>https://twitter.com/ohiostate_id/status/1461351230467309583</v>
      </c>
      <c r="AA107" s="82"/>
      <c r="AB107" s="82"/>
      <c r="AC107" s="87" t="s">
        <v>1534</v>
      </c>
      <c r="AD107" s="82"/>
      <c r="AE107" s="82" t="b">
        <v>0</v>
      </c>
      <c r="AF107" s="82">
        <v>1</v>
      </c>
      <c r="AG107" s="87" t="s">
        <v>1815</v>
      </c>
      <c r="AH107" s="82" t="b">
        <v>0</v>
      </c>
      <c r="AI107" s="82" t="s">
        <v>1826</v>
      </c>
      <c r="AJ107" s="82"/>
      <c r="AK107" s="87" t="s">
        <v>1815</v>
      </c>
      <c r="AL107" s="82" t="b">
        <v>0</v>
      </c>
      <c r="AM107" s="82">
        <v>3</v>
      </c>
      <c r="AN107" s="87" t="s">
        <v>1815</v>
      </c>
      <c r="AO107" s="87" t="s">
        <v>1850</v>
      </c>
      <c r="AP107" s="82" t="b">
        <v>0</v>
      </c>
      <c r="AQ107" s="87" t="s">
        <v>1534</v>
      </c>
      <c r="AR107" s="82"/>
      <c r="AS107" s="82">
        <v>0</v>
      </c>
      <c r="AT107" s="82">
        <v>0</v>
      </c>
      <c r="AU107" s="82"/>
      <c r="AV107" s="82"/>
      <c r="AW107" s="82"/>
      <c r="AX107" s="82"/>
      <c r="AY107" s="82"/>
      <c r="AZ107" s="82"/>
      <c r="BA107" s="82"/>
      <c r="BB107" s="82"/>
      <c r="BC107">
        <v>1</v>
      </c>
      <c r="BD107" s="81" t="str">
        <f>REPLACE(INDEX(GroupVertices[Group],MATCH(Edges[[#This Row],[Vertex 1]],GroupVertices[Vertex],0)),1,1,"")</f>
        <v>5</v>
      </c>
      <c r="BE107" s="81" t="str">
        <f>REPLACE(INDEX(GroupVertices[Group],MATCH(Edges[[#This Row],[Vertex 2]],GroupVertices[Vertex],0)),1,1,"")</f>
        <v>5</v>
      </c>
      <c r="BF107" s="49">
        <v>0</v>
      </c>
      <c r="BG107" s="50">
        <v>0</v>
      </c>
      <c r="BH107" s="49">
        <v>1</v>
      </c>
      <c r="BI107" s="50">
        <v>3.0303030303030303</v>
      </c>
      <c r="BJ107" s="49">
        <v>0</v>
      </c>
      <c r="BK107" s="50">
        <v>0</v>
      </c>
      <c r="BL107" s="49">
        <v>32</v>
      </c>
      <c r="BM107" s="50">
        <v>96.96969696969697</v>
      </c>
      <c r="BN107" s="49">
        <v>33</v>
      </c>
    </row>
    <row r="108" spans="1:66" ht="15">
      <c r="A108" s="66" t="s">
        <v>312</v>
      </c>
      <c r="B108" s="66" t="s">
        <v>468</v>
      </c>
      <c r="C108" s="67" t="s">
        <v>4509</v>
      </c>
      <c r="D108" s="68">
        <v>3</v>
      </c>
      <c r="E108" s="69" t="s">
        <v>132</v>
      </c>
      <c r="F108" s="70">
        <v>32</v>
      </c>
      <c r="G108" s="67"/>
      <c r="H108" s="71"/>
      <c r="I108" s="72"/>
      <c r="J108" s="72"/>
      <c r="K108" s="35" t="s">
        <v>65</v>
      </c>
      <c r="L108" s="80">
        <v>108</v>
      </c>
      <c r="M108" s="80"/>
      <c r="N108" s="74"/>
      <c r="O108" s="82" t="s">
        <v>528</v>
      </c>
      <c r="P108" s="84">
        <v>44518.638391203705</v>
      </c>
      <c r="Q108" s="82" t="s">
        <v>618</v>
      </c>
      <c r="R108" s="85" t="str">
        <f>HYPERLINK("https://twitter.com/DrKhabbazCDC/status/1461352265109757955")</f>
        <v>https://twitter.com/DrKhabbazCDC/status/1461352265109757955</v>
      </c>
      <c r="S108" s="82" t="s">
        <v>914</v>
      </c>
      <c r="T108" s="87" t="s">
        <v>1002</v>
      </c>
      <c r="U108" s="82"/>
      <c r="V108" s="85" t="str">
        <f>HYPERLINK("https://pbs.twimg.com/profile_images/1448358145575817222/g0OFdmey_normal.jpg")</f>
        <v>https://pbs.twimg.com/profile_images/1448358145575817222/g0OFdmey_normal.jpg</v>
      </c>
      <c r="W108" s="84">
        <v>44518.638391203705</v>
      </c>
      <c r="X108" s="90">
        <v>44518</v>
      </c>
      <c r="Y108" s="87" t="s">
        <v>1222</v>
      </c>
      <c r="Z108" s="85" t="str">
        <f>HYPERLINK("https://twitter.com/smelis73/status/1461353321789231105")</f>
        <v>https://twitter.com/smelis73/status/1461353321789231105</v>
      </c>
      <c r="AA108" s="82"/>
      <c r="AB108" s="82"/>
      <c r="AC108" s="87" t="s">
        <v>1535</v>
      </c>
      <c r="AD108" s="82"/>
      <c r="AE108" s="82" t="b">
        <v>0</v>
      </c>
      <c r="AF108" s="82">
        <v>1</v>
      </c>
      <c r="AG108" s="87" t="s">
        <v>1815</v>
      </c>
      <c r="AH108" s="82" t="b">
        <v>1</v>
      </c>
      <c r="AI108" s="82" t="s">
        <v>1826</v>
      </c>
      <c r="AJ108" s="82"/>
      <c r="AK108" s="87" t="s">
        <v>1725</v>
      </c>
      <c r="AL108" s="82" t="b">
        <v>0</v>
      </c>
      <c r="AM108" s="82">
        <v>0</v>
      </c>
      <c r="AN108" s="87" t="s">
        <v>1815</v>
      </c>
      <c r="AO108" s="87" t="s">
        <v>1850</v>
      </c>
      <c r="AP108" s="82" t="b">
        <v>0</v>
      </c>
      <c r="AQ108" s="87" t="s">
        <v>1535</v>
      </c>
      <c r="AR108" s="82"/>
      <c r="AS108" s="82">
        <v>0</v>
      </c>
      <c r="AT108" s="82">
        <v>0</v>
      </c>
      <c r="AU108" s="82"/>
      <c r="AV108" s="82"/>
      <c r="AW108" s="82"/>
      <c r="AX108" s="82"/>
      <c r="AY108" s="82"/>
      <c r="AZ108" s="82"/>
      <c r="BA108" s="82"/>
      <c r="BB108" s="82"/>
      <c r="BC108">
        <v>1</v>
      </c>
      <c r="BD108" s="81" t="str">
        <f>REPLACE(INDEX(GroupVertices[Group],MATCH(Edges[[#This Row],[Vertex 1]],GroupVertices[Vertex],0)),1,1,"")</f>
        <v>10</v>
      </c>
      <c r="BE108" s="81" t="str">
        <f>REPLACE(INDEX(GroupVertices[Group],MATCH(Edges[[#This Row],[Vertex 2]],GroupVertices[Vertex],0)),1,1,"")</f>
        <v>10</v>
      </c>
      <c r="BF108" s="49"/>
      <c r="BG108" s="50"/>
      <c r="BH108" s="49"/>
      <c r="BI108" s="50"/>
      <c r="BJ108" s="49"/>
      <c r="BK108" s="50"/>
      <c r="BL108" s="49"/>
      <c r="BM108" s="50"/>
      <c r="BN108" s="49"/>
    </row>
    <row r="109" spans="1:66" ht="15">
      <c r="A109" s="66" t="s">
        <v>312</v>
      </c>
      <c r="B109" s="66" t="s">
        <v>469</v>
      </c>
      <c r="C109" s="67" t="s">
        <v>4509</v>
      </c>
      <c r="D109" s="68">
        <v>3</v>
      </c>
      <c r="E109" s="69" t="s">
        <v>132</v>
      </c>
      <c r="F109" s="70">
        <v>32</v>
      </c>
      <c r="G109" s="67"/>
      <c r="H109" s="71"/>
      <c r="I109" s="72"/>
      <c r="J109" s="72"/>
      <c r="K109" s="35" t="s">
        <v>65</v>
      </c>
      <c r="L109" s="80">
        <v>109</v>
      </c>
      <c r="M109" s="80"/>
      <c r="N109" s="74"/>
      <c r="O109" s="82" t="s">
        <v>528</v>
      </c>
      <c r="P109" s="84">
        <v>44518.638391203705</v>
      </c>
      <c r="Q109" s="82" t="s">
        <v>618</v>
      </c>
      <c r="R109" s="85" t="str">
        <f>HYPERLINK("https://twitter.com/DrKhabbazCDC/status/1461352265109757955")</f>
        <v>https://twitter.com/DrKhabbazCDC/status/1461352265109757955</v>
      </c>
      <c r="S109" s="82" t="s">
        <v>914</v>
      </c>
      <c r="T109" s="87" t="s">
        <v>1002</v>
      </c>
      <c r="U109" s="82"/>
      <c r="V109" s="85" t="str">
        <f>HYPERLINK("https://pbs.twimg.com/profile_images/1448358145575817222/g0OFdmey_normal.jpg")</f>
        <v>https://pbs.twimg.com/profile_images/1448358145575817222/g0OFdmey_normal.jpg</v>
      </c>
      <c r="W109" s="84">
        <v>44518.638391203705</v>
      </c>
      <c r="X109" s="90">
        <v>44518</v>
      </c>
      <c r="Y109" s="87" t="s">
        <v>1222</v>
      </c>
      <c r="Z109" s="85" t="str">
        <f>HYPERLINK("https://twitter.com/smelis73/status/1461353321789231105")</f>
        <v>https://twitter.com/smelis73/status/1461353321789231105</v>
      </c>
      <c r="AA109" s="82"/>
      <c r="AB109" s="82"/>
      <c r="AC109" s="87" t="s">
        <v>1535</v>
      </c>
      <c r="AD109" s="82"/>
      <c r="AE109" s="82" t="b">
        <v>0</v>
      </c>
      <c r="AF109" s="82">
        <v>1</v>
      </c>
      <c r="AG109" s="87" t="s">
        <v>1815</v>
      </c>
      <c r="AH109" s="82" t="b">
        <v>1</v>
      </c>
      <c r="AI109" s="82" t="s">
        <v>1826</v>
      </c>
      <c r="AJ109" s="82"/>
      <c r="AK109" s="87" t="s">
        <v>1725</v>
      </c>
      <c r="AL109" s="82" t="b">
        <v>0</v>
      </c>
      <c r="AM109" s="82">
        <v>0</v>
      </c>
      <c r="AN109" s="87" t="s">
        <v>1815</v>
      </c>
      <c r="AO109" s="87" t="s">
        <v>1850</v>
      </c>
      <c r="AP109" s="82" t="b">
        <v>0</v>
      </c>
      <c r="AQ109" s="87" t="s">
        <v>1535</v>
      </c>
      <c r="AR109" s="82"/>
      <c r="AS109" s="82">
        <v>0</v>
      </c>
      <c r="AT109" s="82">
        <v>0</v>
      </c>
      <c r="AU109" s="82"/>
      <c r="AV109" s="82"/>
      <c r="AW109" s="82"/>
      <c r="AX109" s="82"/>
      <c r="AY109" s="82"/>
      <c r="AZ109" s="82"/>
      <c r="BA109" s="82"/>
      <c r="BB109" s="82"/>
      <c r="BC109">
        <v>1</v>
      </c>
      <c r="BD109" s="81" t="str">
        <f>REPLACE(INDEX(GroupVertices[Group],MATCH(Edges[[#This Row],[Vertex 1]],GroupVertices[Vertex],0)),1,1,"")</f>
        <v>10</v>
      </c>
      <c r="BE109" s="81" t="str">
        <f>REPLACE(INDEX(GroupVertices[Group],MATCH(Edges[[#This Row],[Vertex 2]],GroupVertices[Vertex],0)),1,1,"")</f>
        <v>10</v>
      </c>
      <c r="BF109" s="49"/>
      <c r="BG109" s="50"/>
      <c r="BH109" s="49"/>
      <c r="BI109" s="50"/>
      <c r="BJ109" s="49"/>
      <c r="BK109" s="50"/>
      <c r="BL109" s="49"/>
      <c r="BM109" s="50"/>
      <c r="BN109" s="49"/>
    </row>
    <row r="110" spans="1:66" ht="15">
      <c r="A110" s="66" t="s">
        <v>312</v>
      </c>
      <c r="B110" s="66" t="s">
        <v>470</v>
      </c>
      <c r="C110" s="67" t="s">
        <v>4509</v>
      </c>
      <c r="D110" s="68">
        <v>3</v>
      </c>
      <c r="E110" s="69" t="s">
        <v>132</v>
      </c>
      <c r="F110" s="70">
        <v>32</v>
      </c>
      <c r="G110" s="67"/>
      <c r="H110" s="71"/>
      <c r="I110" s="72"/>
      <c r="J110" s="72"/>
      <c r="K110" s="35" t="s">
        <v>65</v>
      </c>
      <c r="L110" s="80">
        <v>110</v>
      </c>
      <c r="M110" s="80"/>
      <c r="N110" s="74"/>
      <c r="O110" s="82" t="s">
        <v>528</v>
      </c>
      <c r="P110" s="84">
        <v>44518.638391203705</v>
      </c>
      <c r="Q110" s="82" t="s">
        <v>618</v>
      </c>
      <c r="R110" s="85" t="str">
        <f>HYPERLINK("https://twitter.com/DrKhabbazCDC/status/1461352265109757955")</f>
        <v>https://twitter.com/DrKhabbazCDC/status/1461352265109757955</v>
      </c>
      <c r="S110" s="82" t="s">
        <v>914</v>
      </c>
      <c r="T110" s="87" t="s">
        <v>1002</v>
      </c>
      <c r="U110" s="82"/>
      <c r="V110" s="85" t="str">
        <f>HYPERLINK("https://pbs.twimg.com/profile_images/1448358145575817222/g0OFdmey_normal.jpg")</f>
        <v>https://pbs.twimg.com/profile_images/1448358145575817222/g0OFdmey_normal.jpg</v>
      </c>
      <c r="W110" s="84">
        <v>44518.638391203705</v>
      </c>
      <c r="X110" s="90">
        <v>44518</v>
      </c>
      <c r="Y110" s="87" t="s">
        <v>1222</v>
      </c>
      <c r="Z110" s="85" t="str">
        <f>HYPERLINK("https://twitter.com/smelis73/status/1461353321789231105")</f>
        <v>https://twitter.com/smelis73/status/1461353321789231105</v>
      </c>
      <c r="AA110" s="82"/>
      <c r="AB110" s="82"/>
      <c r="AC110" s="87" t="s">
        <v>1535</v>
      </c>
      <c r="AD110" s="82"/>
      <c r="AE110" s="82" t="b">
        <v>0</v>
      </c>
      <c r="AF110" s="82">
        <v>1</v>
      </c>
      <c r="AG110" s="87" t="s">
        <v>1815</v>
      </c>
      <c r="AH110" s="82" t="b">
        <v>1</v>
      </c>
      <c r="AI110" s="82" t="s">
        <v>1826</v>
      </c>
      <c r="AJ110" s="82"/>
      <c r="AK110" s="87" t="s">
        <v>1725</v>
      </c>
      <c r="AL110" s="82" t="b">
        <v>0</v>
      </c>
      <c r="AM110" s="82">
        <v>0</v>
      </c>
      <c r="AN110" s="87" t="s">
        <v>1815</v>
      </c>
      <c r="AO110" s="87" t="s">
        <v>1850</v>
      </c>
      <c r="AP110" s="82" t="b">
        <v>0</v>
      </c>
      <c r="AQ110" s="87" t="s">
        <v>1535</v>
      </c>
      <c r="AR110" s="82"/>
      <c r="AS110" s="82">
        <v>0</v>
      </c>
      <c r="AT110" s="82">
        <v>0</v>
      </c>
      <c r="AU110" s="82"/>
      <c r="AV110" s="82"/>
      <c r="AW110" s="82"/>
      <c r="AX110" s="82"/>
      <c r="AY110" s="82"/>
      <c r="AZ110" s="82"/>
      <c r="BA110" s="82"/>
      <c r="BB110" s="82"/>
      <c r="BC110">
        <v>1</v>
      </c>
      <c r="BD110" s="81" t="str">
        <f>REPLACE(INDEX(GroupVertices[Group],MATCH(Edges[[#This Row],[Vertex 1]],GroupVertices[Vertex],0)),1,1,"")</f>
        <v>10</v>
      </c>
      <c r="BE110" s="81" t="str">
        <f>REPLACE(INDEX(GroupVertices[Group],MATCH(Edges[[#This Row],[Vertex 2]],GroupVertices[Vertex],0)),1,1,"")</f>
        <v>10</v>
      </c>
      <c r="BF110" s="49"/>
      <c r="BG110" s="50"/>
      <c r="BH110" s="49"/>
      <c r="BI110" s="50"/>
      <c r="BJ110" s="49"/>
      <c r="BK110" s="50"/>
      <c r="BL110" s="49"/>
      <c r="BM110" s="50"/>
      <c r="BN110" s="49"/>
    </row>
    <row r="111" spans="1:66" ht="15">
      <c r="A111" s="66" t="s">
        <v>312</v>
      </c>
      <c r="B111" s="66" t="s">
        <v>471</v>
      </c>
      <c r="C111" s="67" t="s">
        <v>4509</v>
      </c>
      <c r="D111" s="68">
        <v>3</v>
      </c>
      <c r="E111" s="69" t="s">
        <v>132</v>
      </c>
      <c r="F111" s="70">
        <v>32</v>
      </c>
      <c r="G111" s="67"/>
      <c r="H111" s="71"/>
      <c r="I111" s="72"/>
      <c r="J111" s="72"/>
      <c r="K111" s="35" t="s">
        <v>65</v>
      </c>
      <c r="L111" s="80">
        <v>111</v>
      </c>
      <c r="M111" s="80"/>
      <c r="N111" s="74"/>
      <c r="O111" s="82" t="s">
        <v>528</v>
      </c>
      <c r="P111" s="84">
        <v>44518.638391203705</v>
      </c>
      <c r="Q111" s="82" t="s">
        <v>618</v>
      </c>
      <c r="R111" s="85" t="str">
        <f>HYPERLINK("https://twitter.com/DrKhabbazCDC/status/1461352265109757955")</f>
        <v>https://twitter.com/DrKhabbazCDC/status/1461352265109757955</v>
      </c>
      <c r="S111" s="82" t="s">
        <v>914</v>
      </c>
      <c r="T111" s="87" t="s">
        <v>1002</v>
      </c>
      <c r="U111" s="82"/>
      <c r="V111" s="85" t="str">
        <f>HYPERLINK("https://pbs.twimg.com/profile_images/1448358145575817222/g0OFdmey_normal.jpg")</f>
        <v>https://pbs.twimg.com/profile_images/1448358145575817222/g0OFdmey_normal.jpg</v>
      </c>
      <c r="W111" s="84">
        <v>44518.638391203705</v>
      </c>
      <c r="X111" s="90">
        <v>44518</v>
      </c>
      <c r="Y111" s="87" t="s">
        <v>1222</v>
      </c>
      <c r="Z111" s="85" t="str">
        <f>HYPERLINK("https://twitter.com/smelis73/status/1461353321789231105")</f>
        <v>https://twitter.com/smelis73/status/1461353321789231105</v>
      </c>
      <c r="AA111" s="82"/>
      <c r="AB111" s="82"/>
      <c r="AC111" s="87" t="s">
        <v>1535</v>
      </c>
      <c r="AD111" s="82"/>
      <c r="AE111" s="82" t="b">
        <v>0</v>
      </c>
      <c r="AF111" s="82">
        <v>1</v>
      </c>
      <c r="AG111" s="87" t="s">
        <v>1815</v>
      </c>
      <c r="AH111" s="82" t="b">
        <v>1</v>
      </c>
      <c r="AI111" s="82" t="s">
        <v>1826</v>
      </c>
      <c r="AJ111" s="82"/>
      <c r="AK111" s="87" t="s">
        <v>1725</v>
      </c>
      <c r="AL111" s="82" t="b">
        <v>0</v>
      </c>
      <c r="AM111" s="82">
        <v>0</v>
      </c>
      <c r="AN111" s="87" t="s">
        <v>1815</v>
      </c>
      <c r="AO111" s="87" t="s">
        <v>1850</v>
      </c>
      <c r="AP111" s="82" t="b">
        <v>0</v>
      </c>
      <c r="AQ111" s="87" t="s">
        <v>1535</v>
      </c>
      <c r="AR111" s="82"/>
      <c r="AS111" s="82">
        <v>0</v>
      </c>
      <c r="AT111" s="82">
        <v>0</v>
      </c>
      <c r="AU111" s="82"/>
      <c r="AV111" s="82"/>
      <c r="AW111" s="82"/>
      <c r="AX111" s="82"/>
      <c r="AY111" s="82"/>
      <c r="AZ111" s="82"/>
      <c r="BA111" s="82"/>
      <c r="BB111" s="82"/>
      <c r="BC111">
        <v>1</v>
      </c>
      <c r="BD111" s="81" t="str">
        <f>REPLACE(INDEX(GroupVertices[Group],MATCH(Edges[[#This Row],[Vertex 1]],GroupVertices[Vertex],0)),1,1,"")</f>
        <v>10</v>
      </c>
      <c r="BE111" s="81" t="str">
        <f>REPLACE(INDEX(GroupVertices[Group],MATCH(Edges[[#This Row],[Vertex 2]],GroupVertices[Vertex],0)),1,1,"")</f>
        <v>10</v>
      </c>
      <c r="BF111" s="49"/>
      <c r="BG111" s="50"/>
      <c r="BH111" s="49"/>
      <c r="BI111" s="50"/>
      <c r="BJ111" s="49"/>
      <c r="BK111" s="50"/>
      <c r="BL111" s="49"/>
      <c r="BM111" s="50"/>
      <c r="BN111" s="49"/>
    </row>
    <row r="112" spans="1:66" ht="15">
      <c r="A112" s="66" t="s">
        <v>312</v>
      </c>
      <c r="B112" s="66" t="s">
        <v>472</v>
      </c>
      <c r="C112" s="67" t="s">
        <v>4509</v>
      </c>
      <c r="D112" s="68">
        <v>3</v>
      </c>
      <c r="E112" s="69" t="s">
        <v>132</v>
      </c>
      <c r="F112" s="70">
        <v>32</v>
      </c>
      <c r="G112" s="67"/>
      <c r="H112" s="71"/>
      <c r="I112" s="72"/>
      <c r="J112" s="72"/>
      <c r="K112" s="35" t="s">
        <v>65</v>
      </c>
      <c r="L112" s="80">
        <v>112</v>
      </c>
      <c r="M112" s="80"/>
      <c r="N112" s="74"/>
      <c r="O112" s="82" t="s">
        <v>528</v>
      </c>
      <c r="P112" s="84">
        <v>44518.638391203705</v>
      </c>
      <c r="Q112" s="82" t="s">
        <v>618</v>
      </c>
      <c r="R112" s="85" t="str">
        <f>HYPERLINK("https://twitter.com/DrKhabbazCDC/status/1461352265109757955")</f>
        <v>https://twitter.com/DrKhabbazCDC/status/1461352265109757955</v>
      </c>
      <c r="S112" s="82" t="s">
        <v>914</v>
      </c>
      <c r="T112" s="87" t="s">
        <v>1002</v>
      </c>
      <c r="U112" s="82"/>
      <c r="V112" s="85" t="str">
        <f>HYPERLINK("https://pbs.twimg.com/profile_images/1448358145575817222/g0OFdmey_normal.jpg")</f>
        <v>https://pbs.twimg.com/profile_images/1448358145575817222/g0OFdmey_normal.jpg</v>
      </c>
      <c r="W112" s="84">
        <v>44518.638391203705</v>
      </c>
      <c r="X112" s="90">
        <v>44518</v>
      </c>
      <c r="Y112" s="87" t="s">
        <v>1222</v>
      </c>
      <c r="Z112" s="85" t="str">
        <f>HYPERLINK("https://twitter.com/smelis73/status/1461353321789231105")</f>
        <v>https://twitter.com/smelis73/status/1461353321789231105</v>
      </c>
      <c r="AA112" s="82"/>
      <c r="AB112" s="82"/>
      <c r="AC112" s="87" t="s">
        <v>1535</v>
      </c>
      <c r="AD112" s="82"/>
      <c r="AE112" s="82" t="b">
        <v>0</v>
      </c>
      <c r="AF112" s="82">
        <v>1</v>
      </c>
      <c r="AG112" s="87" t="s">
        <v>1815</v>
      </c>
      <c r="AH112" s="82" t="b">
        <v>1</v>
      </c>
      <c r="AI112" s="82" t="s">
        <v>1826</v>
      </c>
      <c r="AJ112" s="82"/>
      <c r="AK112" s="87" t="s">
        <v>1725</v>
      </c>
      <c r="AL112" s="82" t="b">
        <v>0</v>
      </c>
      <c r="AM112" s="82">
        <v>0</v>
      </c>
      <c r="AN112" s="87" t="s">
        <v>1815</v>
      </c>
      <c r="AO112" s="87" t="s">
        <v>1850</v>
      </c>
      <c r="AP112" s="82" t="b">
        <v>0</v>
      </c>
      <c r="AQ112" s="87" t="s">
        <v>1535</v>
      </c>
      <c r="AR112" s="82"/>
      <c r="AS112" s="82">
        <v>0</v>
      </c>
      <c r="AT112" s="82">
        <v>0</v>
      </c>
      <c r="AU112" s="82"/>
      <c r="AV112" s="82"/>
      <c r="AW112" s="82"/>
      <c r="AX112" s="82"/>
      <c r="AY112" s="82"/>
      <c r="AZ112" s="82"/>
      <c r="BA112" s="82"/>
      <c r="BB112" s="82"/>
      <c r="BC112">
        <v>1</v>
      </c>
      <c r="BD112" s="81" t="str">
        <f>REPLACE(INDEX(GroupVertices[Group],MATCH(Edges[[#This Row],[Vertex 1]],GroupVertices[Vertex],0)),1,1,"")</f>
        <v>10</v>
      </c>
      <c r="BE112" s="81" t="str">
        <f>REPLACE(INDEX(GroupVertices[Group],MATCH(Edges[[#This Row],[Vertex 2]],GroupVertices[Vertex],0)),1,1,"")</f>
        <v>10</v>
      </c>
      <c r="BF112" s="49">
        <v>1</v>
      </c>
      <c r="BG112" s="50">
        <v>3.4482758620689653</v>
      </c>
      <c r="BH112" s="49">
        <v>3</v>
      </c>
      <c r="BI112" s="50">
        <v>10.344827586206897</v>
      </c>
      <c r="BJ112" s="49">
        <v>0</v>
      </c>
      <c r="BK112" s="50">
        <v>0</v>
      </c>
      <c r="BL112" s="49">
        <v>25</v>
      </c>
      <c r="BM112" s="50">
        <v>86.20689655172414</v>
      </c>
      <c r="BN112" s="49">
        <v>29</v>
      </c>
    </row>
    <row r="113" spans="1:66" ht="15">
      <c r="A113" s="66" t="s">
        <v>313</v>
      </c>
      <c r="B113" s="66" t="s">
        <v>313</v>
      </c>
      <c r="C113" s="67" t="s">
        <v>4509</v>
      </c>
      <c r="D113" s="68">
        <v>3</v>
      </c>
      <c r="E113" s="69" t="s">
        <v>132</v>
      </c>
      <c r="F113" s="70">
        <v>32</v>
      </c>
      <c r="G113" s="67"/>
      <c r="H113" s="71"/>
      <c r="I113" s="72"/>
      <c r="J113" s="72"/>
      <c r="K113" s="35" t="s">
        <v>65</v>
      </c>
      <c r="L113" s="80">
        <v>113</v>
      </c>
      <c r="M113" s="80"/>
      <c r="N113" s="74"/>
      <c r="O113" s="82" t="s">
        <v>214</v>
      </c>
      <c r="P113" s="84">
        <v>44518.625706018516</v>
      </c>
      <c r="Q113" s="82" t="s">
        <v>619</v>
      </c>
      <c r="R113" s="85" t="str">
        <f>HYPERLINK("https://www.cdc.gov/antibiotic-use/week/get-involved.html")</f>
        <v>https://www.cdc.gov/antibiotic-use/week/get-involved.html</v>
      </c>
      <c r="S113" s="82" t="s">
        <v>903</v>
      </c>
      <c r="T113" s="87" t="s">
        <v>1003</v>
      </c>
      <c r="U113" s="85" t="str">
        <f>HYPERLINK("https://pbs.twimg.com/media/FEfA66rUUAgxJQW.jpg")</f>
        <v>https://pbs.twimg.com/media/FEfA66rUUAgxJQW.jpg</v>
      </c>
      <c r="V113" s="85" t="str">
        <f>HYPERLINK("https://pbs.twimg.com/media/FEfA66rUUAgxJQW.jpg")</f>
        <v>https://pbs.twimg.com/media/FEfA66rUUAgxJQW.jpg</v>
      </c>
      <c r="W113" s="84">
        <v>44518.625706018516</v>
      </c>
      <c r="X113" s="90">
        <v>44518</v>
      </c>
      <c r="Y113" s="87" t="s">
        <v>1223</v>
      </c>
      <c r="Z113" s="85" t="str">
        <f>HYPERLINK("https://twitter.com/t2bio/status/1461348724257353732")</f>
        <v>https://twitter.com/t2bio/status/1461348724257353732</v>
      </c>
      <c r="AA113" s="82"/>
      <c r="AB113" s="82"/>
      <c r="AC113" s="87" t="s">
        <v>1536</v>
      </c>
      <c r="AD113" s="82"/>
      <c r="AE113" s="82" t="b">
        <v>0</v>
      </c>
      <c r="AF113" s="82">
        <v>10</v>
      </c>
      <c r="AG113" s="87" t="s">
        <v>1815</v>
      </c>
      <c r="AH113" s="82" t="b">
        <v>0</v>
      </c>
      <c r="AI113" s="82" t="s">
        <v>1826</v>
      </c>
      <c r="AJ113" s="82"/>
      <c r="AK113" s="87" t="s">
        <v>1815</v>
      </c>
      <c r="AL113" s="82" t="b">
        <v>0</v>
      </c>
      <c r="AM113" s="82">
        <v>2</v>
      </c>
      <c r="AN113" s="87" t="s">
        <v>1815</v>
      </c>
      <c r="AO113" s="87" t="s">
        <v>1854</v>
      </c>
      <c r="AP113" s="82" t="b">
        <v>0</v>
      </c>
      <c r="AQ113" s="87" t="s">
        <v>1536</v>
      </c>
      <c r="AR113" s="82"/>
      <c r="AS113" s="82">
        <v>0</v>
      </c>
      <c r="AT113" s="82">
        <v>0</v>
      </c>
      <c r="AU113" s="82"/>
      <c r="AV113" s="82"/>
      <c r="AW113" s="82"/>
      <c r="AX113" s="82"/>
      <c r="AY113" s="82"/>
      <c r="AZ113" s="82"/>
      <c r="BA113" s="82"/>
      <c r="BB113" s="82"/>
      <c r="BC113">
        <v>1</v>
      </c>
      <c r="BD113" s="81" t="str">
        <f>REPLACE(INDEX(GroupVertices[Group],MATCH(Edges[[#This Row],[Vertex 1]],GroupVertices[Vertex],0)),1,1,"")</f>
        <v>1</v>
      </c>
      <c r="BE113" s="81" t="str">
        <f>REPLACE(INDEX(GroupVertices[Group],MATCH(Edges[[#This Row],[Vertex 2]],GroupVertices[Vertex],0)),1,1,"")</f>
        <v>1</v>
      </c>
      <c r="BF113" s="49">
        <v>1</v>
      </c>
      <c r="BG113" s="50">
        <v>3.125</v>
      </c>
      <c r="BH113" s="49">
        <v>0</v>
      </c>
      <c r="BI113" s="50">
        <v>0</v>
      </c>
      <c r="BJ113" s="49">
        <v>0</v>
      </c>
      <c r="BK113" s="50">
        <v>0</v>
      </c>
      <c r="BL113" s="49">
        <v>31</v>
      </c>
      <c r="BM113" s="50">
        <v>96.875</v>
      </c>
      <c r="BN113" s="49">
        <v>32</v>
      </c>
    </row>
    <row r="114" spans="1:66" ht="15">
      <c r="A114" s="66" t="s">
        <v>314</v>
      </c>
      <c r="B114" s="66" t="s">
        <v>473</v>
      </c>
      <c r="C114" s="67" t="s">
        <v>4509</v>
      </c>
      <c r="D114" s="68">
        <v>3</v>
      </c>
      <c r="E114" s="69" t="s">
        <v>132</v>
      </c>
      <c r="F114" s="70">
        <v>32</v>
      </c>
      <c r="G114" s="67"/>
      <c r="H114" s="71"/>
      <c r="I114" s="72"/>
      <c r="J114" s="72"/>
      <c r="K114" s="35" t="s">
        <v>65</v>
      </c>
      <c r="L114" s="80">
        <v>114</v>
      </c>
      <c r="M114" s="80"/>
      <c r="N114" s="74"/>
      <c r="O114" s="82" t="s">
        <v>528</v>
      </c>
      <c r="P114" s="84">
        <v>44518.6562962963</v>
      </c>
      <c r="Q114" s="82" t="s">
        <v>620</v>
      </c>
      <c r="R114" s="85" t="str">
        <f>HYPERLINK("https://www2.hse.ie/under-the-weather/")</f>
        <v>https://www2.hse.ie/under-the-weather/</v>
      </c>
      <c r="S114" s="82" t="s">
        <v>919</v>
      </c>
      <c r="T114" s="87" t="s">
        <v>1004</v>
      </c>
      <c r="U114" s="82"/>
      <c r="V114" s="85" t="str">
        <f>HYPERLINK("https://pbs.twimg.com/profile_images/1263068466338312192/Ol19uFie_normal.jpg")</f>
        <v>https://pbs.twimg.com/profile_images/1263068466338312192/Ol19uFie_normal.jpg</v>
      </c>
      <c r="W114" s="84">
        <v>44518.6562962963</v>
      </c>
      <c r="X114" s="90">
        <v>44518</v>
      </c>
      <c r="Y114" s="87" t="s">
        <v>1224</v>
      </c>
      <c r="Z114" s="85" t="str">
        <f>HYPERLINK("https://twitter.com/rcsi_irl/status/1461359810918563857")</f>
        <v>https://twitter.com/rcsi_irl/status/1461359810918563857</v>
      </c>
      <c r="AA114" s="82"/>
      <c r="AB114" s="82"/>
      <c r="AC114" s="87" t="s">
        <v>1537</v>
      </c>
      <c r="AD114" s="87" t="s">
        <v>1538</v>
      </c>
      <c r="AE114" s="82" t="b">
        <v>0</v>
      </c>
      <c r="AF114" s="82">
        <v>3</v>
      </c>
      <c r="AG114" s="87" t="s">
        <v>1817</v>
      </c>
      <c r="AH114" s="82" t="b">
        <v>0</v>
      </c>
      <c r="AI114" s="82" t="s">
        <v>1826</v>
      </c>
      <c r="AJ114" s="82"/>
      <c r="AK114" s="87" t="s">
        <v>1815</v>
      </c>
      <c r="AL114" s="82" t="b">
        <v>0</v>
      </c>
      <c r="AM114" s="82">
        <v>5</v>
      </c>
      <c r="AN114" s="87" t="s">
        <v>1815</v>
      </c>
      <c r="AO114" s="87" t="s">
        <v>1850</v>
      </c>
      <c r="AP114" s="82" t="b">
        <v>0</v>
      </c>
      <c r="AQ114" s="87" t="s">
        <v>1538</v>
      </c>
      <c r="AR114" s="82"/>
      <c r="AS114" s="82">
        <v>0</v>
      </c>
      <c r="AT114" s="82">
        <v>0</v>
      </c>
      <c r="AU114" s="82"/>
      <c r="AV114" s="82"/>
      <c r="AW114" s="82"/>
      <c r="AX114" s="82"/>
      <c r="AY114" s="82"/>
      <c r="AZ114" s="82"/>
      <c r="BA114" s="82"/>
      <c r="BB114" s="82"/>
      <c r="BC114">
        <v>1</v>
      </c>
      <c r="BD114" s="81" t="str">
        <f>REPLACE(INDEX(GroupVertices[Group],MATCH(Edges[[#This Row],[Vertex 1]],GroupVertices[Vertex],0)),1,1,"")</f>
        <v>3</v>
      </c>
      <c r="BE114" s="81" t="str">
        <f>REPLACE(INDEX(GroupVertices[Group],MATCH(Edges[[#This Row],[Vertex 2]],GroupVertices[Vertex],0)),1,1,"")</f>
        <v>3</v>
      </c>
      <c r="BF114" s="49"/>
      <c r="BG114" s="50"/>
      <c r="BH114" s="49"/>
      <c r="BI114" s="50"/>
      <c r="BJ114" s="49"/>
      <c r="BK114" s="50"/>
      <c r="BL114" s="49"/>
      <c r="BM114" s="50"/>
      <c r="BN114" s="49"/>
    </row>
    <row r="115" spans="1:66" ht="15">
      <c r="A115" s="66" t="s">
        <v>314</v>
      </c>
      <c r="B115" s="66" t="s">
        <v>458</v>
      </c>
      <c r="C115" s="67" t="s">
        <v>4509</v>
      </c>
      <c r="D115" s="68">
        <v>3</v>
      </c>
      <c r="E115" s="69" t="s">
        <v>132</v>
      </c>
      <c r="F115" s="70">
        <v>32</v>
      </c>
      <c r="G115" s="67"/>
      <c r="H115" s="71"/>
      <c r="I115" s="72"/>
      <c r="J115" s="72"/>
      <c r="K115" s="35" t="s">
        <v>65</v>
      </c>
      <c r="L115" s="80">
        <v>115</v>
      </c>
      <c r="M115" s="80"/>
      <c r="N115" s="74"/>
      <c r="O115" s="82" t="s">
        <v>528</v>
      </c>
      <c r="P115" s="84">
        <v>44518.6562962963</v>
      </c>
      <c r="Q115" s="82" t="s">
        <v>620</v>
      </c>
      <c r="R115" s="85" t="str">
        <f>HYPERLINK("https://www2.hse.ie/under-the-weather/")</f>
        <v>https://www2.hse.ie/under-the-weather/</v>
      </c>
      <c r="S115" s="82" t="s">
        <v>919</v>
      </c>
      <c r="T115" s="87" t="s">
        <v>1004</v>
      </c>
      <c r="U115" s="82"/>
      <c r="V115" s="85" t="str">
        <f>HYPERLINK("https://pbs.twimg.com/profile_images/1263068466338312192/Ol19uFie_normal.jpg")</f>
        <v>https://pbs.twimg.com/profile_images/1263068466338312192/Ol19uFie_normal.jpg</v>
      </c>
      <c r="W115" s="84">
        <v>44518.6562962963</v>
      </c>
      <c r="X115" s="90">
        <v>44518</v>
      </c>
      <c r="Y115" s="87" t="s">
        <v>1224</v>
      </c>
      <c r="Z115" s="85" t="str">
        <f>HYPERLINK("https://twitter.com/rcsi_irl/status/1461359810918563857")</f>
        <v>https://twitter.com/rcsi_irl/status/1461359810918563857</v>
      </c>
      <c r="AA115" s="82"/>
      <c r="AB115" s="82"/>
      <c r="AC115" s="87" t="s">
        <v>1537</v>
      </c>
      <c r="AD115" s="87" t="s">
        <v>1538</v>
      </c>
      <c r="AE115" s="82" t="b">
        <v>0</v>
      </c>
      <c r="AF115" s="82">
        <v>3</v>
      </c>
      <c r="AG115" s="87" t="s">
        <v>1817</v>
      </c>
      <c r="AH115" s="82" t="b">
        <v>0</v>
      </c>
      <c r="AI115" s="82" t="s">
        <v>1826</v>
      </c>
      <c r="AJ115" s="82"/>
      <c r="AK115" s="87" t="s">
        <v>1815</v>
      </c>
      <c r="AL115" s="82" t="b">
        <v>0</v>
      </c>
      <c r="AM115" s="82">
        <v>5</v>
      </c>
      <c r="AN115" s="87" t="s">
        <v>1815</v>
      </c>
      <c r="AO115" s="87" t="s">
        <v>1850</v>
      </c>
      <c r="AP115" s="82" t="b">
        <v>0</v>
      </c>
      <c r="AQ115" s="87" t="s">
        <v>1538</v>
      </c>
      <c r="AR115" s="82"/>
      <c r="AS115" s="82">
        <v>0</v>
      </c>
      <c r="AT115" s="82">
        <v>0</v>
      </c>
      <c r="AU115" s="82"/>
      <c r="AV115" s="82"/>
      <c r="AW115" s="82"/>
      <c r="AX115" s="82"/>
      <c r="AY115" s="82"/>
      <c r="AZ115" s="82"/>
      <c r="BA115" s="82"/>
      <c r="BB115" s="82"/>
      <c r="BC115">
        <v>1</v>
      </c>
      <c r="BD115" s="81" t="str">
        <f>REPLACE(INDEX(GroupVertices[Group],MATCH(Edges[[#This Row],[Vertex 1]],GroupVertices[Vertex],0)),1,1,"")</f>
        <v>3</v>
      </c>
      <c r="BE115" s="81" t="str">
        <f>REPLACE(INDEX(GroupVertices[Group],MATCH(Edges[[#This Row],[Vertex 2]],GroupVertices[Vertex],0)),1,1,"")</f>
        <v>3</v>
      </c>
      <c r="BF115" s="49"/>
      <c r="BG115" s="50"/>
      <c r="BH115" s="49"/>
      <c r="BI115" s="50"/>
      <c r="BJ115" s="49"/>
      <c r="BK115" s="50"/>
      <c r="BL115" s="49"/>
      <c r="BM115" s="50"/>
      <c r="BN115" s="49"/>
    </row>
    <row r="116" spans="1:66" ht="15">
      <c r="A116" s="66" t="s">
        <v>314</v>
      </c>
      <c r="B116" s="66" t="s">
        <v>474</v>
      </c>
      <c r="C116" s="67" t="s">
        <v>4509</v>
      </c>
      <c r="D116" s="68">
        <v>3</v>
      </c>
      <c r="E116" s="69" t="s">
        <v>132</v>
      </c>
      <c r="F116" s="70">
        <v>32</v>
      </c>
      <c r="G116" s="67"/>
      <c r="H116" s="71"/>
      <c r="I116" s="72"/>
      <c r="J116" s="72"/>
      <c r="K116" s="35" t="s">
        <v>65</v>
      </c>
      <c r="L116" s="80">
        <v>116</v>
      </c>
      <c r="M116" s="80"/>
      <c r="N116" s="74"/>
      <c r="O116" s="82" t="s">
        <v>528</v>
      </c>
      <c r="P116" s="84">
        <v>44518.6562962963</v>
      </c>
      <c r="Q116" s="82" t="s">
        <v>620</v>
      </c>
      <c r="R116" s="85" t="str">
        <f>HYPERLINK("https://www2.hse.ie/under-the-weather/")</f>
        <v>https://www2.hse.ie/under-the-weather/</v>
      </c>
      <c r="S116" s="82" t="s">
        <v>919</v>
      </c>
      <c r="T116" s="87" t="s">
        <v>1004</v>
      </c>
      <c r="U116" s="82"/>
      <c r="V116" s="85" t="str">
        <f>HYPERLINK("https://pbs.twimg.com/profile_images/1263068466338312192/Ol19uFie_normal.jpg")</f>
        <v>https://pbs.twimg.com/profile_images/1263068466338312192/Ol19uFie_normal.jpg</v>
      </c>
      <c r="W116" s="84">
        <v>44518.6562962963</v>
      </c>
      <c r="X116" s="90">
        <v>44518</v>
      </c>
      <c r="Y116" s="87" t="s">
        <v>1224</v>
      </c>
      <c r="Z116" s="85" t="str">
        <f>HYPERLINK("https://twitter.com/rcsi_irl/status/1461359810918563857")</f>
        <v>https://twitter.com/rcsi_irl/status/1461359810918563857</v>
      </c>
      <c r="AA116" s="82"/>
      <c r="AB116" s="82"/>
      <c r="AC116" s="87" t="s">
        <v>1537</v>
      </c>
      <c r="AD116" s="87" t="s">
        <v>1538</v>
      </c>
      <c r="AE116" s="82" t="b">
        <v>0</v>
      </c>
      <c r="AF116" s="82">
        <v>3</v>
      </c>
      <c r="AG116" s="87" t="s">
        <v>1817</v>
      </c>
      <c r="AH116" s="82" t="b">
        <v>0</v>
      </c>
      <c r="AI116" s="82" t="s">
        <v>1826</v>
      </c>
      <c r="AJ116" s="82"/>
      <c r="AK116" s="87" t="s">
        <v>1815</v>
      </c>
      <c r="AL116" s="82" t="b">
        <v>0</v>
      </c>
      <c r="AM116" s="82">
        <v>5</v>
      </c>
      <c r="AN116" s="87" t="s">
        <v>1815</v>
      </c>
      <c r="AO116" s="87" t="s">
        <v>1850</v>
      </c>
      <c r="AP116" s="82" t="b">
        <v>0</v>
      </c>
      <c r="AQ116" s="87" t="s">
        <v>1538</v>
      </c>
      <c r="AR116" s="82"/>
      <c r="AS116" s="82">
        <v>0</v>
      </c>
      <c r="AT116" s="82">
        <v>0</v>
      </c>
      <c r="AU116" s="82"/>
      <c r="AV116" s="82"/>
      <c r="AW116" s="82"/>
      <c r="AX116" s="82"/>
      <c r="AY116" s="82"/>
      <c r="AZ116" s="82"/>
      <c r="BA116" s="82"/>
      <c r="BB116" s="82"/>
      <c r="BC116">
        <v>1</v>
      </c>
      <c r="BD116" s="81" t="str">
        <f>REPLACE(INDEX(GroupVertices[Group],MATCH(Edges[[#This Row],[Vertex 1]],GroupVertices[Vertex],0)),1,1,"")</f>
        <v>3</v>
      </c>
      <c r="BE116" s="81" t="str">
        <f>REPLACE(INDEX(GroupVertices[Group],MATCH(Edges[[#This Row],[Vertex 2]],GroupVertices[Vertex],0)),1,1,"")</f>
        <v>3</v>
      </c>
      <c r="BF116" s="49"/>
      <c r="BG116" s="50"/>
      <c r="BH116" s="49"/>
      <c r="BI116" s="50"/>
      <c r="BJ116" s="49"/>
      <c r="BK116" s="50"/>
      <c r="BL116" s="49"/>
      <c r="BM116" s="50"/>
      <c r="BN116" s="49"/>
    </row>
    <row r="117" spans="1:66" ht="15">
      <c r="A117" s="66" t="s">
        <v>314</v>
      </c>
      <c r="B117" s="66" t="s">
        <v>475</v>
      </c>
      <c r="C117" s="67" t="s">
        <v>4509</v>
      </c>
      <c r="D117" s="68">
        <v>3</v>
      </c>
      <c r="E117" s="69" t="s">
        <v>132</v>
      </c>
      <c r="F117" s="70">
        <v>32</v>
      </c>
      <c r="G117" s="67"/>
      <c r="H117" s="71"/>
      <c r="I117" s="72"/>
      <c r="J117" s="72"/>
      <c r="K117" s="35" t="s">
        <v>65</v>
      </c>
      <c r="L117" s="80">
        <v>117</v>
      </c>
      <c r="M117" s="80"/>
      <c r="N117" s="74"/>
      <c r="O117" s="82" t="s">
        <v>528</v>
      </c>
      <c r="P117" s="84">
        <v>44518.6562962963</v>
      </c>
      <c r="Q117" s="82" t="s">
        <v>620</v>
      </c>
      <c r="R117" s="85" t="str">
        <f>HYPERLINK("https://www2.hse.ie/under-the-weather/")</f>
        <v>https://www2.hse.ie/under-the-weather/</v>
      </c>
      <c r="S117" s="82" t="s">
        <v>919</v>
      </c>
      <c r="T117" s="87" t="s">
        <v>1004</v>
      </c>
      <c r="U117" s="82"/>
      <c r="V117" s="85" t="str">
        <f>HYPERLINK("https://pbs.twimg.com/profile_images/1263068466338312192/Ol19uFie_normal.jpg")</f>
        <v>https://pbs.twimg.com/profile_images/1263068466338312192/Ol19uFie_normal.jpg</v>
      </c>
      <c r="W117" s="84">
        <v>44518.6562962963</v>
      </c>
      <c r="X117" s="90">
        <v>44518</v>
      </c>
      <c r="Y117" s="87" t="s">
        <v>1224</v>
      </c>
      <c r="Z117" s="85" t="str">
        <f>HYPERLINK("https://twitter.com/rcsi_irl/status/1461359810918563857")</f>
        <v>https://twitter.com/rcsi_irl/status/1461359810918563857</v>
      </c>
      <c r="AA117" s="82"/>
      <c r="AB117" s="82"/>
      <c r="AC117" s="87" t="s">
        <v>1537</v>
      </c>
      <c r="AD117" s="87" t="s">
        <v>1538</v>
      </c>
      <c r="AE117" s="82" t="b">
        <v>0</v>
      </c>
      <c r="AF117" s="82">
        <v>3</v>
      </c>
      <c r="AG117" s="87" t="s">
        <v>1817</v>
      </c>
      <c r="AH117" s="82" t="b">
        <v>0</v>
      </c>
      <c r="AI117" s="82" t="s">
        <v>1826</v>
      </c>
      <c r="AJ117" s="82"/>
      <c r="AK117" s="87" t="s">
        <v>1815</v>
      </c>
      <c r="AL117" s="82" t="b">
        <v>0</v>
      </c>
      <c r="AM117" s="82">
        <v>5</v>
      </c>
      <c r="AN117" s="87" t="s">
        <v>1815</v>
      </c>
      <c r="AO117" s="87" t="s">
        <v>1850</v>
      </c>
      <c r="AP117" s="82" t="b">
        <v>0</v>
      </c>
      <c r="AQ117" s="87" t="s">
        <v>1538</v>
      </c>
      <c r="AR117" s="82"/>
      <c r="AS117" s="82">
        <v>0</v>
      </c>
      <c r="AT117" s="82">
        <v>0</v>
      </c>
      <c r="AU117" s="82"/>
      <c r="AV117" s="82"/>
      <c r="AW117" s="82"/>
      <c r="AX117" s="82"/>
      <c r="AY117" s="82"/>
      <c r="AZ117" s="82"/>
      <c r="BA117" s="82"/>
      <c r="BB117" s="82"/>
      <c r="BC117">
        <v>1</v>
      </c>
      <c r="BD117" s="81" t="str">
        <f>REPLACE(INDEX(GroupVertices[Group],MATCH(Edges[[#This Row],[Vertex 1]],GroupVertices[Vertex],0)),1,1,"")</f>
        <v>3</v>
      </c>
      <c r="BE117" s="81" t="str">
        <f>REPLACE(INDEX(GroupVertices[Group],MATCH(Edges[[#This Row],[Vertex 2]],GroupVertices[Vertex],0)),1,1,"")</f>
        <v>3</v>
      </c>
      <c r="BF117" s="49"/>
      <c r="BG117" s="50"/>
      <c r="BH117" s="49"/>
      <c r="BI117" s="50"/>
      <c r="BJ117" s="49"/>
      <c r="BK117" s="50"/>
      <c r="BL117" s="49"/>
      <c r="BM117" s="50"/>
      <c r="BN117" s="49"/>
    </row>
    <row r="118" spans="1:66" ht="15">
      <c r="A118" s="66" t="s">
        <v>314</v>
      </c>
      <c r="B118" s="66" t="s">
        <v>476</v>
      </c>
      <c r="C118" s="67" t="s">
        <v>4509</v>
      </c>
      <c r="D118" s="68">
        <v>3</v>
      </c>
      <c r="E118" s="69" t="s">
        <v>132</v>
      </c>
      <c r="F118" s="70">
        <v>32</v>
      </c>
      <c r="G118" s="67"/>
      <c r="H118" s="71"/>
      <c r="I118" s="72"/>
      <c r="J118" s="72"/>
      <c r="K118" s="35" t="s">
        <v>65</v>
      </c>
      <c r="L118" s="80">
        <v>118</v>
      </c>
      <c r="M118" s="80"/>
      <c r="N118" s="74"/>
      <c r="O118" s="82" t="s">
        <v>529</v>
      </c>
      <c r="P118" s="84">
        <v>44518.6562962963</v>
      </c>
      <c r="Q118" s="82" t="s">
        <v>620</v>
      </c>
      <c r="R118" s="85" t="str">
        <f>HYPERLINK("https://www2.hse.ie/under-the-weather/")</f>
        <v>https://www2.hse.ie/under-the-weather/</v>
      </c>
      <c r="S118" s="82" t="s">
        <v>919</v>
      </c>
      <c r="T118" s="87" t="s">
        <v>1004</v>
      </c>
      <c r="U118" s="82"/>
      <c r="V118" s="85" t="str">
        <f>HYPERLINK("https://pbs.twimg.com/profile_images/1263068466338312192/Ol19uFie_normal.jpg")</f>
        <v>https://pbs.twimg.com/profile_images/1263068466338312192/Ol19uFie_normal.jpg</v>
      </c>
      <c r="W118" s="84">
        <v>44518.6562962963</v>
      </c>
      <c r="X118" s="90">
        <v>44518</v>
      </c>
      <c r="Y118" s="87" t="s">
        <v>1224</v>
      </c>
      <c r="Z118" s="85" t="str">
        <f>HYPERLINK("https://twitter.com/rcsi_irl/status/1461359810918563857")</f>
        <v>https://twitter.com/rcsi_irl/status/1461359810918563857</v>
      </c>
      <c r="AA118" s="82"/>
      <c r="AB118" s="82"/>
      <c r="AC118" s="87" t="s">
        <v>1537</v>
      </c>
      <c r="AD118" s="87" t="s">
        <v>1538</v>
      </c>
      <c r="AE118" s="82" t="b">
        <v>0</v>
      </c>
      <c r="AF118" s="82">
        <v>3</v>
      </c>
      <c r="AG118" s="87" t="s">
        <v>1817</v>
      </c>
      <c r="AH118" s="82" t="b">
        <v>0</v>
      </c>
      <c r="AI118" s="82" t="s">
        <v>1826</v>
      </c>
      <c r="AJ118" s="82"/>
      <c r="AK118" s="87" t="s">
        <v>1815</v>
      </c>
      <c r="AL118" s="82" t="b">
        <v>0</v>
      </c>
      <c r="AM118" s="82">
        <v>5</v>
      </c>
      <c r="AN118" s="87" t="s">
        <v>1815</v>
      </c>
      <c r="AO118" s="87" t="s">
        <v>1850</v>
      </c>
      <c r="AP118" s="82" t="b">
        <v>0</v>
      </c>
      <c r="AQ118" s="87" t="s">
        <v>1538</v>
      </c>
      <c r="AR118" s="82"/>
      <c r="AS118" s="82">
        <v>0</v>
      </c>
      <c r="AT118" s="82">
        <v>0</v>
      </c>
      <c r="AU118" s="82"/>
      <c r="AV118" s="82"/>
      <c r="AW118" s="82"/>
      <c r="AX118" s="82"/>
      <c r="AY118" s="82"/>
      <c r="AZ118" s="82"/>
      <c r="BA118" s="82"/>
      <c r="BB118" s="82"/>
      <c r="BC118">
        <v>1</v>
      </c>
      <c r="BD118" s="81" t="str">
        <f>REPLACE(INDEX(GroupVertices[Group],MATCH(Edges[[#This Row],[Vertex 1]],GroupVertices[Vertex],0)),1,1,"")</f>
        <v>3</v>
      </c>
      <c r="BE118" s="81" t="str">
        <f>REPLACE(INDEX(GroupVertices[Group],MATCH(Edges[[#This Row],[Vertex 2]],GroupVertices[Vertex],0)),1,1,"")</f>
        <v>3</v>
      </c>
      <c r="BF118" s="49">
        <v>0</v>
      </c>
      <c r="BG118" s="50">
        <v>0</v>
      </c>
      <c r="BH118" s="49">
        <v>0</v>
      </c>
      <c r="BI118" s="50">
        <v>0</v>
      </c>
      <c r="BJ118" s="49">
        <v>0</v>
      </c>
      <c r="BK118" s="50">
        <v>0</v>
      </c>
      <c r="BL118" s="49">
        <v>23</v>
      </c>
      <c r="BM118" s="50">
        <v>100</v>
      </c>
      <c r="BN118" s="49">
        <v>23</v>
      </c>
    </row>
    <row r="119" spans="1:66" ht="15">
      <c r="A119" s="66" t="s">
        <v>314</v>
      </c>
      <c r="B119" s="66" t="s">
        <v>476</v>
      </c>
      <c r="C119" s="67" t="s">
        <v>4509</v>
      </c>
      <c r="D119" s="68">
        <v>3</v>
      </c>
      <c r="E119" s="69" t="s">
        <v>132</v>
      </c>
      <c r="F119" s="70">
        <v>32</v>
      </c>
      <c r="G119" s="67"/>
      <c r="H119" s="71"/>
      <c r="I119" s="72"/>
      <c r="J119" s="72"/>
      <c r="K119" s="35" t="s">
        <v>65</v>
      </c>
      <c r="L119" s="80">
        <v>119</v>
      </c>
      <c r="M119" s="80"/>
      <c r="N119" s="74"/>
      <c r="O119" s="82" t="s">
        <v>528</v>
      </c>
      <c r="P119" s="84">
        <v>44518.655</v>
      </c>
      <c r="Q119" s="82" t="s">
        <v>621</v>
      </c>
      <c r="R119" s="82"/>
      <c r="S119" s="82"/>
      <c r="T119" s="87" t="s">
        <v>1005</v>
      </c>
      <c r="U119" s="85" t="str">
        <f>HYPERLINK("https://pbs.twimg.com/media/FEfIJU7UUAMUmyM.jpg")</f>
        <v>https://pbs.twimg.com/media/FEfIJU7UUAMUmyM.jpg</v>
      </c>
      <c r="V119" s="85" t="str">
        <f>HYPERLINK("https://pbs.twimg.com/media/FEfIJU7UUAMUmyM.jpg")</f>
        <v>https://pbs.twimg.com/media/FEfIJU7UUAMUmyM.jpg</v>
      </c>
      <c r="W119" s="84">
        <v>44518.655</v>
      </c>
      <c r="X119" s="90">
        <v>44518</v>
      </c>
      <c r="Y119" s="87" t="s">
        <v>1225</v>
      </c>
      <c r="Z119" s="85" t="str">
        <f>HYPERLINK("https://twitter.com/rcsi_irl/status/1461359340384706571")</f>
        <v>https://twitter.com/rcsi_irl/status/1461359340384706571</v>
      </c>
      <c r="AA119" s="82"/>
      <c r="AB119" s="82"/>
      <c r="AC119" s="87" t="s">
        <v>1538</v>
      </c>
      <c r="AD119" s="82"/>
      <c r="AE119" s="82" t="b">
        <v>0</v>
      </c>
      <c r="AF119" s="82">
        <v>28</v>
      </c>
      <c r="AG119" s="87" t="s">
        <v>1815</v>
      </c>
      <c r="AH119" s="82" t="b">
        <v>0</v>
      </c>
      <c r="AI119" s="82" t="s">
        <v>1826</v>
      </c>
      <c r="AJ119" s="82"/>
      <c r="AK119" s="87" t="s">
        <v>1815</v>
      </c>
      <c r="AL119" s="82" t="b">
        <v>0</v>
      </c>
      <c r="AM119" s="82">
        <v>9</v>
      </c>
      <c r="AN119" s="87" t="s">
        <v>1815</v>
      </c>
      <c r="AO119" s="87" t="s">
        <v>1850</v>
      </c>
      <c r="AP119" s="82" t="b">
        <v>0</v>
      </c>
      <c r="AQ119" s="87" t="s">
        <v>1538</v>
      </c>
      <c r="AR119" s="82"/>
      <c r="AS119" s="82">
        <v>0</v>
      </c>
      <c r="AT119" s="82">
        <v>0</v>
      </c>
      <c r="AU119" s="82"/>
      <c r="AV119" s="82"/>
      <c r="AW119" s="82"/>
      <c r="AX119" s="82"/>
      <c r="AY119" s="82"/>
      <c r="AZ119" s="82"/>
      <c r="BA119" s="82"/>
      <c r="BB119" s="82"/>
      <c r="BC119">
        <v>1</v>
      </c>
      <c r="BD119" s="81" t="str">
        <f>REPLACE(INDEX(GroupVertices[Group],MATCH(Edges[[#This Row],[Vertex 1]],GroupVertices[Vertex],0)),1,1,"")</f>
        <v>3</v>
      </c>
      <c r="BE119" s="81" t="str">
        <f>REPLACE(INDEX(GroupVertices[Group],MATCH(Edges[[#This Row],[Vertex 2]],GroupVertices[Vertex],0)),1,1,"")</f>
        <v>3</v>
      </c>
      <c r="BF119" s="49">
        <v>0</v>
      </c>
      <c r="BG119" s="50">
        <v>0</v>
      </c>
      <c r="BH119" s="49">
        <v>2</v>
      </c>
      <c r="BI119" s="50">
        <v>10.526315789473685</v>
      </c>
      <c r="BJ119" s="49">
        <v>0</v>
      </c>
      <c r="BK119" s="50">
        <v>0</v>
      </c>
      <c r="BL119" s="49">
        <v>17</v>
      </c>
      <c r="BM119" s="50">
        <v>89.47368421052632</v>
      </c>
      <c r="BN119" s="49">
        <v>19</v>
      </c>
    </row>
    <row r="120" spans="1:66" ht="15">
      <c r="A120" s="66" t="s">
        <v>314</v>
      </c>
      <c r="B120" s="66" t="s">
        <v>420</v>
      </c>
      <c r="C120" s="67" t="s">
        <v>4509</v>
      </c>
      <c r="D120" s="68">
        <v>3</v>
      </c>
      <c r="E120" s="69" t="s">
        <v>132</v>
      </c>
      <c r="F120" s="70">
        <v>32</v>
      </c>
      <c r="G120" s="67"/>
      <c r="H120" s="71"/>
      <c r="I120" s="72"/>
      <c r="J120" s="72"/>
      <c r="K120" s="35" t="s">
        <v>65</v>
      </c>
      <c r="L120" s="80">
        <v>120</v>
      </c>
      <c r="M120" s="80"/>
      <c r="N120" s="74"/>
      <c r="O120" s="82" t="s">
        <v>528</v>
      </c>
      <c r="P120" s="84">
        <v>44518.6562962963</v>
      </c>
      <c r="Q120" s="82" t="s">
        <v>620</v>
      </c>
      <c r="R120" s="85" t="str">
        <f>HYPERLINK("https://www2.hse.ie/under-the-weather/")</f>
        <v>https://www2.hse.ie/under-the-weather/</v>
      </c>
      <c r="S120" s="82" t="s">
        <v>919</v>
      </c>
      <c r="T120" s="87" t="s">
        <v>1004</v>
      </c>
      <c r="U120" s="82"/>
      <c r="V120" s="85" t="str">
        <f>HYPERLINK("https://pbs.twimg.com/profile_images/1263068466338312192/Ol19uFie_normal.jpg")</f>
        <v>https://pbs.twimg.com/profile_images/1263068466338312192/Ol19uFie_normal.jpg</v>
      </c>
      <c r="W120" s="84">
        <v>44518.6562962963</v>
      </c>
      <c r="X120" s="90">
        <v>44518</v>
      </c>
      <c r="Y120" s="87" t="s">
        <v>1224</v>
      </c>
      <c r="Z120" s="85" t="str">
        <f>HYPERLINK("https://twitter.com/rcsi_irl/status/1461359810918563857")</f>
        <v>https://twitter.com/rcsi_irl/status/1461359810918563857</v>
      </c>
      <c r="AA120" s="82"/>
      <c r="AB120" s="82"/>
      <c r="AC120" s="87" t="s">
        <v>1537</v>
      </c>
      <c r="AD120" s="87" t="s">
        <v>1538</v>
      </c>
      <c r="AE120" s="82" t="b">
        <v>0</v>
      </c>
      <c r="AF120" s="82">
        <v>3</v>
      </c>
      <c r="AG120" s="87" t="s">
        <v>1817</v>
      </c>
      <c r="AH120" s="82" t="b">
        <v>0</v>
      </c>
      <c r="AI120" s="82" t="s">
        <v>1826</v>
      </c>
      <c r="AJ120" s="82"/>
      <c r="AK120" s="87" t="s">
        <v>1815</v>
      </c>
      <c r="AL120" s="82" t="b">
        <v>0</v>
      </c>
      <c r="AM120" s="82">
        <v>5</v>
      </c>
      <c r="AN120" s="87" t="s">
        <v>1815</v>
      </c>
      <c r="AO120" s="87" t="s">
        <v>1850</v>
      </c>
      <c r="AP120" s="82" t="b">
        <v>0</v>
      </c>
      <c r="AQ120" s="87" t="s">
        <v>1538</v>
      </c>
      <c r="AR120" s="82"/>
      <c r="AS120" s="82">
        <v>0</v>
      </c>
      <c r="AT120" s="82">
        <v>0</v>
      </c>
      <c r="AU120" s="82"/>
      <c r="AV120" s="82"/>
      <c r="AW120" s="82"/>
      <c r="AX120" s="82"/>
      <c r="AY120" s="82"/>
      <c r="AZ120" s="82"/>
      <c r="BA120" s="82"/>
      <c r="BB120" s="82"/>
      <c r="BC120">
        <v>1</v>
      </c>
      <c r="BD120" s="81" t="str">
        <f>REPLACE(INDEX(GroupVertices[Group],MATCH(Edges[[#This Row],[Vertex 1]],GroupVertices[Vertex],0)),1,1,"")</f>
        <v>3</v>
      </c>
      <c r="BE120" s="81" t="str">
        <f>REPLACE(INDEX(GroupVertices[Group],MATCH(Edges[[#This Row],[Vertex 2]],GroupVertices[Vertex],0)),1,1,"")</f>
        <v>3</v>
      </c>
      <c r="BF120" s="49"/>
      <c r="BG120" s="50"/>
      <c r="BH120" s="49"/>
      <c r="BI120" s="50"/>
      <c r="BJ120" s="49"/>
      <c r="BK120" s="50"/>
      <c r="BL120" s="49"/>
      <c r="BM120" s="50"/>
      <c r="BN120" s="49"/>
    </row>
    <row r="121" spans="1:66" ht="15">
      <c r="A121" s="66" t="s">
        <v>315</v>
      </c>
      <c r="B121" s="66" t="s">
        <v>315</v>
      </c>
      <c r="C121" s="67" t="s">
        <v>4509</v>
      </c>
      <c r="D121" s="68">
        <v>3</v>
      </c>
      <c r="E121" s="69" t="s">
        <v>132</v>
      </c>
      <c r="F121" s="70">
        <v>32</v>
      </c>
      <c r="G121" s="67"/>
      <c r="H121" s="71"/>
      <c r="I121" s="72"/>
      <c r="J121" s="72"/>
      <c r="K121" s="35" t="s">
        <v>65</v>
      </c>
      <c r="L121" s="80">
        <v>121</v>
      </c>
      <c r="M121" s="80"/>
      <c r="N121" s="74"/>
      <c r="O121" s="82" t="s">
        <v>214</v>
      </c>
      <c r="P121" s="84">
        <v>44518.628125</v>
      </c>
      <c r="Q121" s="82" t="s">
        <v>622</v>
      </c>
      <c r="R121" s="85" t="str">
        <f>HYPERLINK("https://vimeo.com/432102095?ref=tw-share")</f>
        <v>https://vimeo.com/432102095?ref=tw-share</v>
      </c>
      <c r="S121" s="82" t="s">
        <v>920</v>
      </c>
      <c r="T121" s="87" t="s">
        <v>1006</v>
      </c>
      <c r="U121" s="82"/>
      <c r="V121" s="85" t="str">
        <f>HYPERLINK("https://pbs.twimg.com/profile_images/1461084316042211335/TW4N_mM2_normal.jpg")</f>
        <v>https://pbs.twimg.com/profile_images/1461084316042211335/TW4N_mM2_normal.jpg</v>
      </c>
      <c r="W121" s="84">
        <v>44518.628125</v>
      </c>
      <c r="X121" s="90">
        <v>44518</v>
      </c>
      <c r="Y121" s="87" t="s">
        <v>1226</v>
      </c>
      <c r="Z121" s="85" t="str">
        <f>HYPERLINK("https://twitter.com/reddy_suganya/status/1461349603341574149")</f>
        <v>https://twitter.com/reddy_suganya/status/1461349603341574149</v>
      </c>
      <c r="AA121" s="82"/>
      <c r="AB121" s="82"/>
      <c r="AC121" s="87" t="s">
        <v>1539</v>
      </c>
      <c r="AD121" s="82"/>
      <c r="AE121" s="82" t="b">
        <v>0</v>
      </c>
      <c r="AF121" s="82">
        <v>0</v>
      </c>
      <c r="AG121" s="87" t="s">
        <v>1815</v>
      </c>
      <c r="AH121" s="82" t="b">
        <v>0</v>
      </c>
      <c r="AI121" s="82" t="s">
        <v>1826</v>
      </c>
      <c r="AJ121" s="82"/>
      <c r="AK121" s="87" t="s">
        <v>1815</v>
      </c>
      <c r="AL121" s="82" t="b">
        <v>0</v>
      </c>
      <c r="AM121" s="82">
        <v>0</v>
      </c>
      <c r="AN121" s="87" t="s">
        <v>1815</v>
      </c>
      <c r="AO121" s="87" t="s">
        <v>1851</v>
      </c>
      <c r="AP121" s="82" t="b">
        <v>0</v>
      </c>
      <c r="AQ121" s="87" t="s">
        <v>1539</v>
      </c>
      <c r="AR121" s="82"/>
      <c r="AS121" s="82">
        <v>0</v>
      </c>
      <c r="AT121" s="82">
        <v>0</v>
      </c>
      <c r="AU121" s="82"/>
      <c r="AV121" s="82"/>
      <c r="AW121" s="82"/>
      <c r="AX121" s="82"/>
      <c r="AY121" s="82"/>
      <c r="AZ121" s="82"/>
      <c r="BA121" s="82"/>
      <c r="BB121" s="82"/>
      <c r="BC121">
        <v>1</v>
      </c>
      <c r="BD121" s="81" t="str">
        <f>REPLACE(INDEX(GroupVertices[Group],MATCH(Edges[[#This Row],[Vertex 1]],GroupVertices[Vertex],0)),1,1,"")</f>
        <v>1</v>
      </c>
      <c r="BE121" s="81" t="str">
        <f>REPLACE(INDEX(GroupVertices[Group],MATCH(Edges[[#This Row],[Vertex 2]],GroupVertices[Vertex],0)),1,1,"")</f>
        <v>1</v>
      </c>
      <c r="BF121" s="49">
        <v>0</v>
      </c>
      <c r="BG121" s="50">
        <v>0</v>
      </c>
      <c r="BH121" s="49">
        <v>1</v>
      </c>
      <c r="BI121" s="50">
        <v>3.8461538461538463</v>
      </c>
      <c r="BJ121" s="49">
        <v>0</v>
      </c>
      <c r="BK121" s="50">
        <v>0</v>
      </c>
      <c r="BL121" s="49">
        <v>25</v>
      </c>
      <c r="BM121" s="50">
        <v>96.15384615384616</v>
      </c>
      <c r="BN121" s="49">
        <v>26</v>
      </c>
    </row>
    <row r="122" spans="1:66" ht="15">
      <c r="A122" s="66" t="s">
        <v>316</v>
      </c>
      <c r="B122" s="66" t="s">
        <v>316</v>
      </c>
      <c r="C122" s="67" t="s">
        <v>4509</v>
      </c>
      <c r="D122" s="68">
        <v>3</v>
      </c>
      <c r="E122" s="69" t="s">
        <v>132</v>
      </c>
      <c r="F122" s="70">
        <v>32</v>
      </c>
      <c r="G122" s="67"/>
      <c r="H122" s="71"/>
      <c r="I122" s="72"/>
      <c r="J122" s="72"/>
      <c r="K122" s="35" t="s">
        <v>65</v>
      </c>
      <c r="L122" s="80">
        <v>122</v>
      </c>
      <c r="M122" s="80"/>
      <c r="N122" s="74"/>
      <c r="O122" s="82" t="s">
        <v>214</v>
      </c>
      <c r="P122" s="84">
        <v>44518.62619212963</v>
      </c>
      <c r="Q122" s="82" t="s">
        <v>623</v>
      </c>
      <c r="R122" s="85" t="str">
        <f>HYPERLINK("https://www.frimleyhealthandcare.org.uk/news/posts/2021/november/keep-antibiotics-working/?utm_source=Twitter&amp;utm_medium=social&amp;utm_campaign=Orlo")</f>
        <v>https://www.frimleyhealthandcare.org.uk/news/posts/2021/november/keep-antibiotics-working/?utm_source=Twitter&amp;utm_medium=social&amp;utm_campaign=Orlo</v>
      </c>
      <c r="S122" s="82" t="s">
        <v>921</v>
      </c>
      <c r="T122" s="87" t="s">
        <v>1007</v>
      </c>
      <c r="U122" s="85" t="str">
        <f>HYPERLINK("https://pbs.twimg.com/media/FEfBFN7UUA4A2ng.jpg")</f>
        <v>https://pbs.twimg.com/media/FEfBFN7UUA4A2ng.jpg</v>
      </c>
      <c r="V122" s="85" t="str">
        <f>HYPERLINK("https://pbs.twimg.com/media/FEfBFN7UUA4A2ng.jpg")</f>
        <v>https://pbs.twimg.com/media/FEfBFN7UUA4A2ng.jpg</v>
      </c>
      <c r="W122" s="84">
        <v>44518.62619212963</v>
      </c>
      <c r="X122" s="90">
        <v>44518</v>
      </c>
      <c r="Y122" s="87" t="s">
        <v>1227</v>
      </c>
      <c r="Z122" s="85" t="str">
        <f>HYPERLINK("https://twitter.com/nhseastberksccg/status/1461348902225862668")</f>
        <v>https://twitter.com/nhseastberksccg/status/1461348902225862668</v>
      </c>
      <c r="AA122" s="82"/>
      <c r="AB122" s="82"/>
      <c r="AC122" s="87" t="s">
        <v>1540</v>
      </c>
      <c r="AD122" s="82"/>
      <c r="AE122" s="82" t="b">
        <v>0</v>
      </c>
      <c r="AF122" s="82">
        <v>2</v>
      </c>
      <c r="AG122" s="87" t="s">
        <v>1815</v>
      </c>
      <c r="AH122" s="82" t="b">
        <v>0</v>
      </c>
      <c r="AI122" s="82" t="s">
        <v>1826</v>
      </c>
      <c r="AJ122" s="82"/>
      <c r="AK122" s="87" t="s">
        <v>1815</v>
      </c>
      <c r="AL122" s="82" t="b">
        <v>0</v>
      </c>
      <c r="AM122" s="82">
        <v>2</v>
      </c>
      <c r="AN122" s="87" t="s">
        <v>1815</v>
      </c>
      <c r="AO122" s="87" t="s">
        <v>1857</v>
      </c>
      <c r="AP122" s="82" t="b">
        <v>0</v>
      </c>
      <c r="AQ122" s="87" t="s">
        <v>1540</v>
      </c>
      <c r="AR122" s="82"/>
      <c r="AS122" s="82">
        <v>0</v>
      </c>
      <c r="AT122" s="82">
        <v>0</v>
      </c>
      <c r="AU122" s="82"/>
      <c r="AV122" s="82"/>
      <c r="AW122" s="82"/>
      <c r="AX122" s="82"/>
      <c r="AY122" s="82"/>
      <c r="AZ122" s="82"/>
      <c r="BA122" s="82"/>
      <c r="BB122" s="82"/>
      <c r="BC122">
        <v>1</v>
      </c>
      <c r="BD122" s="81" t="str">
        <f>REPLACE(INDEX(GroupVertices[Group],MATCH(Edges[[#This Row],[Vertex 1]],GroupVertices[Vertex],0)),1,1,"")</f>
        <v>1</v>
      </c>
      <c r="BE122" s="81" t="str">
        <f>REPLACE(INDEX(GroupVertices[Group],MATCH(Edges[[#This Row],[Vertex 2]],GroupVertices[Vertex],0)),1,1,"")</f>
        <v>1</v>
      </c>
      <c r="BF122" s="49">
        <v>1</v>
      </c>
      <c r="BG122" s="50">
        <v>3.125</v>
      </c>
      <c r="BH122" s="49">
        <v>0</v>
      </c>
      <c r="BI122" s="50">
        <v>0</v>
      </c>
      <c r="BJ122" s="49">
        <v>0</v>
      </c>
      <c r="BK122" s="50">
        <v>0</v>
      </c>
      <c r="BL122" s="49">
        <v>31</v>
      </c>
      <c r="BM122" s="50">
        <v>96.875</v>
      </c>
      <c r="BN122" s="49">
        <v>32</v>
      </c>
    </row>
    <row r="123" spans="1:66" ht="15">
      <c r="A123" s="66" t="s">
        <v>317</v>
      </c>
      <c r="B123" s="66" t="s">
        <v>317</v>
      </c>
      <c r="C123" s="67" t="s">
        <v>4509</v>
      </c>
      <c r="D123" s="68">
        <v>3</v>
      </c>
      <c r="E123" s="69" t="s">
        <v>132</v>
      </c>
      <c r="F123" s="70">
        <v>32</v>
      </c>
      <c r="G123" s="67"/>
      <c r="H123" s="71"/>
      <c r="I123" s="72"/>
      <c r="J123" s="72"/>
      <c r="K123" s="35" t="s">
        <v>65</v>
      </c>
      <c r="L123" s="80">
        <v>123</v>
      </c>
      <c r="M123" s="80"/>
      <c r="N123" s="74"/>
      <c r="O123" s="82" t="s">
        <v>214</v>
      </c>
      <c r="P123" s="84">
        <v>44518.62842592593</v>
      </c>
      <c r="Q123" s="82" t="s">
        <v>624</v>
      </c>
      <c r="R123" s="85" t="str">
        <f>HYPERLINK("https://youtu.be/7PhmyNBWGik")</f>
        <v>https://youtu.be/7PhmyNBWGik</v>
      </c>
      <c r="S123" s="82" t="s">
        <v>901</v>
      </c>
      <c r="T123" s="87" t="s">
        <v>948</v>
      </c>
      <c r="U123" s="82"/>
      <c r="V123" s="85" t="str">
        <f>HYPERLINK("https://pbs.twimg.com/profile_images/1023912757429772288/6_GabIIh_normal.jpg")</f>
        <v>https://pbs.twimg.com/profile_images/1023912757429772288/6_GabIIh_normal.jpg</v>
      </c>
      <c r="W123" s="84">
        <v>44518.62842592593</v>
      </c>
      <c r="X123" s="90">
        <v>44518</v>
      </c>
      <c r="Y123" s="87" t="s">
        <v>1228</v>
      </c>
      <c r="Z123" s="85" t="str">
        <f>HYPERLINK("https://twitter.com/staffsccgs/status/1461349712292810773")</f>
        <v>https://twitter.com/staffsccgs/status/1461349712292810773</v>
      </c>
      <c r="AA123" s="82"/>
      <c r="AB123" s="82"/>
      <c r="AC123" s="87" t="s">
        <v>1541</v>
      </c>
      <c r="AD123" s="82"/>
      <c r="AE123" s="82" t="b">
        <v>0</v>
      </c>
      <c r="AF123" s="82">
        <v>0</v>
      </c>
      <c r="AG123" s="87" t="s">
        <v>1815</v>
      </c>
      <c r="AH123" s="82" t="b">
        <v>0</v>
      </c>
      <c r="AI123" s="82" t="s">
        <v>1826</v>
      </c>
      <c r="AJ123" s="82"/>
      <c r="AK123" s="87" t="s">
        <v>1815</v>
      </c>
      <c r="AL123" s="82" t="b">
        <v>0</v>
      </c>
      <c r="AM123" s="82">
        <v>0</v>
      </c>
      <c r="AN123" s="87" t="s">
        <v>1815</v>
      </c>
      <c r="AO123" s="87" t="s">
        <v>1850</v>
      </c>
      <c r="AP123" s="82" t="b">
        <v>0</v>
      </c>
      <c r="AQ123" s="87" t="s">
        <v>1541</v>
      </c>
      <c r="AR123" s="82"/>
      <c r="AS123" s="82">
        <v>0</v>
      </c>
      <c r="AT123" s="82">
        <v>0</v>
      </c>
      <c r="AU123" s="82"/>
      <c r="AV123" s="82"/>
      <c r="AW123" s="82"/>
      <c r="AX123" s="82"/>
      <c r="AY123" s="82"/>
      <c r="AZ123" s="82"/>
      <c r="BA123" s="82"/>
      <c r="BB123" s="82"/>
      <c r="BC123">
        <v>1</v>
      </c>
      <c r="BD123" s="81" t="str">
        <f>REPLACE(INDEX(GroupVertices[Group],MATCH(Edges[[#This Row],[Vertex 1]],GroupVertices[Vertex],0)),1,1,"")</f>
        <v>1</v>
      </c>
      <c r="BE123" s="81" t="str">
        <f>REPLACE(INDEX(GroupVertices[Group],MATCH(Edges[[#This Row],[Vertex 2]],GroupVertices[Vertex],0)),1,1,"")</f>
        <v>1</v>
      </c>
      <c r="BF123" s="49">
        <v>0</v>
      </c>
      <c r="BG123" s="50">
        <v>0</v>
      </c>
      <c r="BH123" s="49">
        <v>2</v>
      </c>
      <c r="BI123" s="50">
        <v>8.695652173913043</v>
      </c>
      <c r="BJ123" s="49">
        <v>0</v>
      </c>
      <c r="BK123" s="50">
        <v>0</v>
      </c>
      <c r="BL123" s="49">
        <v>21</v>
      </c>
      <c r="BM123" s="50">
        <v>91.30434782608695</v>
      </c>
      <c r="BN123" s="49">
        <v>23</v>
      </c>
    </row>
    <row r="124" spans="1:66" ht="15">
      <c r="A124" s="66" t="s">
        <v>318</v>
      </c>
      <c r="B124" s="66" t="s">
        <v>318</v>
      </c>
      <c r="C124" s="67" t="s">
        <v>4512</v>
      </c>
      <c r="D124" s="68">
        <v>4.2727272727272725</v>
      </c>
      <c r="E124" s="69" t="s">
        <v>136</v>
      </c>
      <c r="F124" s="70">
        <v>30.594594594594593</v>
      </c>
      <c r="G124" s="67"/>
      <c r="H124" s="71"/>
      <c r="I124" s="72"/>
      <c r="J124" s="72"/>
      <c r="K124" s="35" t="s">
        <v>65</v>
      </c>
      <c r="L124" s="80">
        <v>124</v>
      </c>
      <c r="M124" s="80"/>
      <c r="N124" s="74"/>
      <c r="O124" s="82" t="s">
        <v>214</v>
      </c>
      <c r="P124" s="84">
        <v>44518.65398148148</v>
      </c>
      <c r="Q124" s="82" t="s">
        <v>625</v>
      </c>
      <c r="R124" s="82"/>
      <c r="S124" s="82"/>
      <c r="T124" s="87" t="s">
        <v>966</v>
      </c>
      <c r="U124" s="85" t="str">
        <f>HYPERLINK("https://pbs.twimg.com/media/FEfKOhUVIBgtxai.jpg")</f>
        <v>https://pbs.twimg.com/media/FEfKOhUVIBgtxai.jpg</v>
      </c>
      <c r="V124" s="85" t="str">
        <f>HYPERLINK("https://pbs.twimg.com/media/FEfKOhUVIBgtxai.jpg")</f>
        <v>https://pbs.twimg.com/media/FEfKOhUVIBgtxai.jpg</v>
      </c>
      <c r="W124" s="84">
        <v>44518.65398148148</v>
      </c>
      <c r="X124" s="90">
        <v>44518</v>
      </c>
      <c r="Y124" s="87" t="s">
        <v>1229</v>
      </c>
      <c r="Z124" s="85" t="str">
        <f>HYPERLINK("https://twitter.com/tanveer32915182/status/1461358974398205954")</f>
        <v>https://twitter.com/tanveer32915182/status/1461358974398205954</v>
      </c>
      <c r="AA124" s="82"/>
      <c r="AB124" s="82"/>
      <c r="AC124" s="87" t="s">
        <v>1542</v>
      </c>
      <c r="AD124" s="82"/>
      <c r="AE124" s="82" t="b">
        <v>0</v>
      </c>
      <c r="AF124" s="82">
        <v>2</v>
      </c>
      <c r="AG124" s="87" t="s">
        <v>1815</v>
      </c>
      <c r="AH124" s="82" t="b">
        <v>0</v>
      </c>
      <c r="AI124" s="82" t="s">
        <v>1826</v>
      </c>
      <c r="AJ124" s="82"/>
      <c r="AK124" s="87" t="s">
        <v>1815</v>
      </c>
      <c r="AL124" s="82" t="b">
        <v>0</v>
      </c>
      <c r="AM124" s="82">
        <v>2</v>
      </c>
      <c r="AN124" s="87" t="s">
        <v>1815</v>
      </c>
      <c r="AO124" s="87" t="s">
        <v>1852</v>
      </c>
      <c r="AP124" s="82" t="b">
        <v>0</v>
      </c>
      <c r="AQ124" s="87" t="s">
        <v>1542</v>
      </c>
      <c r="AR124" s="82"/>
      <c r="AS124" s="82">
        <v>0</v>
      </c>
      <c r="AT124" s="82">
        <v>0</v>
      </c>
      <c r="AU124" s="82"/>
      <c r="AV124" s="82"/>
      <c r="AW124" s="82"/>
      <c r="AX124" s="82"/>
      <c r="AY124" s="82"/>
      <c r="AZ124" s="82"/>
      <c r="BA124" s="82"/>
      <c r="BB124" s="82"/>
      <c r="BC124">
        <v>3</v>
      </c>
      <c r="BD124" s="81" t="str">
        <f>REPLACE(INDEX(GroupVertices[Group],MATCH(Edges[[#This Row],[Vertex 1]],GroupVertices[Vertex],0)),1,1,"")</f>
        <v>1</v>
      </c>
      <c r="BE124" s="81" t="str">
        <f>REPLACE(INDEX(GroupVertices[Group],MATCH(Edges[[#This Row],[Vertex 2]],GroupVertices[Vertex],0)),1,1,"")</f>
        <v>1</v>
      </c>
      <c r="BF124" s="49">
        <v>0</v>
      </c>
      <c r="BG124" s="50">
        <v>0</v>
      </c>
      <c r="BH124" s="49">
        <v>4</v>
      </c>
      <c r="BI124" s="50">
        <v>14.285714285714286</v>
      </c>
      <c r="BJ124" s="49">
        <v>0</v>
      </c>
      <c r="BK124" s="50">
        <v>0</v>
      </c>
      <c r="BL124" s="49">
        <v>24</v>
      </c>
      <c r="BM124" s="50">
        <v>85.71428571428571</v>
      </c>
      <c r="BN124" s="49">
        <v>28</v>
      </c>
    </row>
    <row r="125" spans="1:66" ht="15">
      <c r="A125" s="66" t="s">
        <v>318</v>
      </c>
      <c r="B125" s="66" t="s">
        <v>318</v>
      </c>
      <c r="C125" s="67" t="s">
        <v>4512</v>
      </c>
      <c r="D125" s="68">
        <v>4.2727272727272725</v>
      </c>
      <c r="E125" s="69" t="s">
        <v>136</v>
      </c>
      <c r="F125" s="70">
        <v>30.594594594594593</v>
      </c>
      <c r="G125" s="67"/>
      <c r="H125" s="71"/>
      <c r="I125" s="72"/>
      <c r="J125" s="72"/>
      <c r="K125" s="35" t="s">
        <v>65</v>
      </c>
      <c r="L125" s="80">
        <v>125</v>
      </c>
      <c r="M125" s="80"/>
      <c r="N125" s="74"/>
      <c r="O125" s="82" t="s">
        <v>214</v>
      </c>
      <c r="P125" s="84">
        <v>44518.65130787037</v>
      </c>
      <c r="Q125" s="82" t="s">
        <v>626</v>
      </c>
      <c r="R125" s="82"/>
      <c r="S125" s="82"/>
      <c r="T125" s="87" t="s">
        <v>966</v>
      </c>
      <c r="U125" s="85" t="str">
        <f>HYPERLINK("https://pbs.twimg.com/media/FEfJWYUVEAASG3E.jpg")</f>
        <v>https://pbs.twimg.com/media/FEfJWYUVEAASG3E.jpg</v>
      </c>
      <c r="V125" s="85" t="str">
        <f>HYPERLINK("https://pbs.twimg.com/media/FEfJWYUVEAASG3E.jpg")</f>
        <v>https://pbs.twimg.com/media/FEfJWYUVEAASG3E.jpg</v>
      </c>
      <c r="W125" s="84">
        <v>44518.65130787037</v>
      </c>
      <c r="X125" s="90">
        <v>44518</v>
      </c>
      <c r="Y125" s="87" t="s">
        <v>1230</v>
      </c>
      <c r="Z125" s="85" t="str">
        <f>HYPERLINK("https://twitter.com/tanveer32915182/status/1461358003685265415")</f>
        <v>https://twitter.com/tanveer32915182/status/1461358003685265415</v>
      </c>
      <c r="AA125" s="82"/>
      <c r="AB125" s="82"/>
      <c r="AC125" s="87" t="s">
        <v>1543</v>
      </c>
      <c r="AD125" s="82"/>
      <c r="AE125" s="82" t="b">
        <v>0</v>
      </c>
      <c r="AF125" s="82">
        <v>5</v>
      </c>
      <c r="AG125" s="87" t="s">
        <v>1815</v>
      </c>
      <c r="AH125" s="82" t="b">
        <v>0</v>
      </c>
      <c r="AI125" s="82" t="s">
        <v>1826</v>
      </c>
      <c r="AJ125" s="82"/>
      <c r="AK125" s="87" t="s">
        <v>1815</v>
      </c>
      <c r="AL125" s="82" t="b">
        <v>0</v>
      </c>
      <c r="AM125" s="82">
        <v>5</v>
      </c>
      <c r="AN125" s="87" t="s">
        <v>1815</v>
      </c>
      <c r="AO125" s="87" t="s">
        <v>1852</v>
      </c>
      <c r="AP125" s="82" t="b">
        <v>0</v>
      </c>
      <c r="AQ125" s="87" t="s">
        <v>1543</v>
      </c>
      <c r="AR125" s="82"/>
      <c r="AS125" s="82">
        <v>0</v>
      </c>
      <c r="AT125" s="82">
        <v>0</v>
      </c>
      <c r="AU125" s="82"/>
      <c r="AV125" s="82"/>
      <c r="AW125" s="82"/>
      <c r="AX125" s="82"/>
      <c r="AY125" s="82"/>
      <c r="AZ125" s="82"/>
      <c r="BA125" s="82"/>
      <c r="BB125" s="82"/>
      <c r="BC125">
        <v>3</v>
      </c>
      <c r="BD125" s="81" t="str">
        <f>REPLACE(INDEX(GroupVertices[Group],MATCH(Edges[[#This Row],[Vertex 1]],GroupVertices[Vertex],0)),1,1,"")</f>
        <v>1</v>
      </c>
      <c r="BE125" s="81" t="str">
        <f>REPLACE(INDEX(GroupVertices[Group],MATCH(Edges[[#This Row],[Vertex 2]],GroupVertices[Vertex],0)),1,1,"")</f>
        <v>1</v>
      </c>
      <c r="BF125" s="49">
        <v>0</v>
      </c>
      <c r="BG125" s="50">
        <v>0</v>
      </c>
      <c r="BH125" s="49">
        <v>4</v>
      </c>
      <c r="BI125" s="50">
        <v>14.285714285714286</v>
      </c>
      <c r="BJ125" s="49">
        <v>0</v>
      </c>
      <c r="BK125" s="50">
        <v>0</v>
      </c>
      <c r="BL125" s="49">
        <v>24</v>
      </c>
      <c r="BM125" s="50">
        <v>85.71428571428571</v>
      </c>
      <c r="BN125" s="49">
        <v>28</v>
      </c>
    </row>
    <row r="126" spans="1:66" ht="15">
      <c r="A126" s="66" t="s">
        <v>318</v>
      </c>
      <c r="B126" s="66" t="s">
        <v>318</v>
      </c>
      <c r="C126" s="67" t="s">
        <v>4512</v>
      </c>
      <c r="D126" s="68">
        <v>4.2727272727272725</v>
      </c>
      <c r="E126" s="69" t="s">
        <v>136</v>
      </c>
      <c r="F126" s="70">
        <v>30.594594594594593</v>
      </c>
      <c r="G126" s="67"/>
      <c r="H126" s="71"/>
      <c r="I126" s="72"/>
      <c r="J126" s="72"/>
      <c r="K126" s="35" t="s">
        <v>65</v>
      </c>
      <c r="L126" s="80">
        <v>126</v>
      </c>
      <c r="M126" s="80"/>
      <c r="N126" s="74"/>
      <c r="O126" s="82" t="s">
        <v>214</v>
      </c>
      <c r="P126" s="84">
        <v>44518.65016203704</v>
      </c>
      <c r="Q126" s="82" t="s">
        <v>627</v>
      </c>
      <c r="R126" s="82"/>
      <c r="S126" s="82"/>
      <c r="T126" s="87" t="s">
        <v>966</v>
      </c>
      <c r="U126" s="85" t="str">
        <f>HYPERLINK("https://pbs.twimg.com/media/FEfI-woUUAgo1eI.jpg")</f>
        <v>https://pbs.twimg.com/media/FEfI-woUUAgo1eI.jpg</v>
      </c>
      <c r="V126" s="85" t="str">
        <f>HYPERLINK("https://pbs.twimg.com/media/FEfI-woUUAgo1eI.jpg")</f>
        <v>https://pbs.twimg.com/media/FEfI-woUUAgo1eI.jpg</v>
      </c>
      <c r="W126" s="84">
        <v>44518.65016203704</v>
      </c>
      <c r="X126" s="90">
        <v>44518</v>
      </c>
      <c r="Y126" s="87" t="s">
        <v>1231</v>
      </c>
      <c r="Z126" s="85" t="str">
        <f>HYPERLINK("https://twitter.com/tanveer32915182/status/1461357587706748928")</f>
        <v>https://twitter.com/tanveer32915182/status/1461357587706748928</v>
      </c>
      <c r="AA126" s="82"/>
      <c r="AB126" s="82"/>
      <c r="AC126" s="87" t="s">
        <v>1544</v>
      </c>
      <c r="AD126" s="82"/>
      <c r="AE126" s="82" t="b">
        <v>0</v>
      </c>
      <c r="AF126" s="82">
        <v>1</v>
      </c>
      <c r="AG126" s="87" t="s">
        <v>1815</v>
      </c>
      <c r="AH126" s="82" t="b">
        <v>0</v>
      </c>
      <c r="AI126" s="82" t="s">
        <v>1826</v>
      </c>
      <c r="AJ126" s="82"/>
      <c r="AK126" s="87" t="s">
        <v>1815</v>
      </c>
      <c r="AL126" s="82" t="b">
        <v>0</v>
      </c>
      <c r="AM126" s="82">
        <v>0</v>
      </c>
      <c r="AN126" s="87" t="s">
        <v>1815</v>
      </c>
      <c r="AO126" s="87" t="s">
        <v>1852</v>
      </c>
      <c r="AP126" s="82" t="b">
        <v>0</v>
      </c>
      <c r="AQ126" s="87" t="s">
        <v>1544</v>
      </c>
      <c r="AR126" s="82"/>
      <c r="AS126" s="82">
        <v>0</v>
      </c>
      <c r="AT126" s="82">
        <v>0</v>
      </c>
      <c r="AU126" s="82"/>
      <c r="AV126" s="82"/>
      <c r="AW126" s="82"/>
      <c r="AX126" s="82"/>
      <c r="AY126" s="82"/>
      <c r="AZ126" s="82"/>
      <c r="BA126" s="82"/>
      <c r="BB126" s="82"/>
      <c r="BC126">
        <v>3</v>
      </c>
      <c r="BD126" s="81" t="str">
        <f>REPLACE(INDEX(GroupVertices[Group],MATCH(Edges[[#This Row],[Vertex 1]],GroupVertices[Vertex],0)),1,1,"")</f>
        <v>1</v>
      </c>
      <c r="BE126" s="81" t="str">
        <f>REPLACE(INDEX(GroupVertices[Group],MATCH(Edges[[#This Row],[Vertex 2]],GroupVertices[Vertex],0)),1,1,"")</f>
        <v>1</v>
      </c>
      <c r="BF126" s="49">
        <v>0</v>
      </c>
      <c r="BG126" s="50">
        <v>0</v>
      </c>
      <c r="BH126" s="49">
        <v>4</v>
      </c>
      <c r="BI126" s="50">
        <v>14.285714285714286</v>
      </c>
      <c r="BJ126" s="49">
        <v>0</v>
      </c>
      <c r="BK126" s="50">
        <v>0</v>
      </c>
      <c r="BL126" s="49">
        <v>24</v>
      </c>
      <c r="BM126" s="50">
        <v>85.71428571428571</v>
      </c>
      <c r="BN126" s="49">
        <v>28</v>
      </c>
    </row>
    <row r="127" spans="1:66" ht="15">
      <c r="A127" s="66" t="s">
        <v>319</v>
      </c>
      <c r="B127" s="66" t="s">
        <v>427</v>
      </c>
      <c r="C127" s="67" t="s">
        <v>4509</v>
      </c>
      <c r="D127" s="68">
        <v>3</v>
      </c>
      <c r="E127" s="69" t="s">
        <v>132</v>
      </c>
      <c r="F127" s="70">
        <v>32</v>
      </c>
      <c r="G127" s="67"/>
      <c r="H127" s="71"/>
      <c r="I127" s="72"/>
      <c r="J127" s="72"/>
      <c r="K127" s="35" t="s">
        <v>65</v>
      </c>
      <c r="L127" s="80">
        <v>127</v>
      </c>
      <c r="M127" s="80"/>
      <c r="N127" s="74"/>
      <c r="O127" s="82" t="s">
        <v>528</v>
      </c>
      <c r="P127" s="84">
        <v>44518.625289351854</v>
      </c>
      <c r="Q127" s="82" t="s">
        <v>628</v>
      </c>
      <c r="R127" s="85" t="str">
        <f>HYPERLINK("https://www.cdc.gov/drugresistance/covid19.html")</f>
        <v>https://www.cdc.gov/drugresistance/covid19.html</v>
      </c>
      <c r="S127" s="82" t="s">
        <v>903</v>
      </c>
      <c r="T127" s="87" t="s">
        <v>1008</v>
      </c>
      <c r="U127" s="85" t="str">
        <f>HYPERLINK("https://pbs.twimg.com/media/FEfAyTQVkBEvLpl.jpg")</f>
        <v>https://pbs.twimg.com/media/FEfAyTQVkBEvLpl.jpg</v>
      </c>
      <c r="V127" s="85" t="str">
        <f>HYPERLINK("https://pbs.twimg.com/media/FEfAyTQVkBEvLpl.jpg")</f>
        <v>https://pbs.twimg.com/media/FEfAyTQVkBEvLpl.jpg</v>
      </c>
      <c r="W127" s="84">
        <v>44518.625289351854</v>
      </c>
      <c r="X127" s="90">
        <v>44518</v>
      </c>
      <c r="Y127" s="87" t="s">
        <v>1232</v>
      </c>
      <c r="Z127" s="85" t="str">
        <f>HYPERLINK("https://twitter.com/nfidvaccines/status/1461348576848535568")</f>
        <v>https://twitter.com/nfidvaccines/status/1461348576848535568</v>
      </c>
      <c r="AA127" s="82"/>
      <c r="AB127" s="82"/>
      <c r="AC127" s="87" t="s">
        <v>1545</v>
      </c>
      <c r="AD127" s="82"/>
      <c r="AE127" s="82" t="b">
        <v>0</v>
      </c>
      <c r="AF127" s="82">
        <v>1</v>
      </c>
      <c r="AG127" s="87" t="s">
        <v>1815</v>
      </c>
      <c r="AH127" s="82" t="b">
        <v>0</v>
      </c>
      <c r="AI127" s="82" t="s">
        <v>1826</v>
      </c>
      <c r="AJ127" s="82"/>
      <c r="AK127" s="87" t="s">
        <v>1815</v>
      </c>
      <c r="AL127" s="82" t="b">
        <v>0</v>
      </c>
      <c r="AM127" s="82">
        <v>0</v>
      </c>
      <c r="AN127" s="87" t="s">
        <v>1815</v>
      </c>
      <c r="AO127" s="87" t="s">
        <v>1854</v>
      </c>
      <c r="AP127" s="82" t="b">
        <v>0</v>
      </c>
      <c r="AQ127" s="87" t="s">
        <v>1545</v>
      </c>
      <c r="AR127" s="82"/>
      <c r="AS127" s="82">
        <v>0</v>
      </c>
      <c r="AT127" s="82">
        <v>0</v>
      </c>
      <c r="AU127" s="82"/>
      <c r="AV127" s="82"/>
      <c r="AW127" s="82"/>
      <c r="AX127" s="82"/>
      <c r="AY127" s="82"/>
      <c r="AZ127" s="82"/>
      <c r="BA127" s="82"/>
      <c r="BB127" s="82"/>
      <c r="BC127">
        <v>1</v>
      </c>
      <c r="BD127" s="81" t="str">
        <f>REPLACE(INDEX(GroupVertices[Group],MATCH(Edges[[#This Row],[Vertex 1]],GroupVertices[Vertex],0)),1,1,"")</f>
        <v>5</v>
      </c>
      <c r="BE127" s="81" t="str">
        <f>REPLACE(INDEX(GroupVertices[Group],MATCH(Edges[[#This Row],[Vertex 2]],GroupVertices[Vertex],0)),1,1,"")</f>
        <v>5</v>
      </c>
      <c r="BF127" s="49">
        <v>0</v>
      </c>
      <c r="BG127" s="50">
        <v>0</v>
      </c>
      <c r="BH127" s="49">
        <v>1</v>
      </c>
      <c r="BI127" s="50">
        <v>3.3333333333333335</v>
      </c>
      <c r="BJ127" s="49">
        <v>0</v>
      </c>
      <c r="BK127" s="50">
        <v>0</v>
      </c>
      <c r="BL127" s="49">
        <v>29</v>
      </c>
      <c r="BM127" s="50">
        <v>96.66666666666667</v>
      </c>
      <c r="BN127" s="49">
        <v>30</v>
      </c>
    </row>
    <row r="128" spans="1:66" ht="15">
      <c r="A128" s="66" t="s">
        <v>320</v>
      </c>
      <c r="B128" s="66" t="s">
        <v>320</v>
      </c>
      <c r="C128" s="67" t="s">
        <v>4509</v>
      </c>
      <c r="D128" s="68">
        <v>3</v>
      </c>
      <c r="E128" s="69" t="s">
        <v>132</v>
      </c>
      <c r="F128" s="70">
        <v>32</v>
      </c>
      <c r="G128" s="67"/>
      <c r="H128" s="71"/>
      <c r="I128" s="72"/>
      <c r="J128" s="72"/>
      <c r="K128" s="35" t="s">
        <v>65</v>
      </c>
      <c r="L128" s="80">
        <v>128</v>
      </c>
      <c r="M128" s="80"/>
      <c r="N128" s="74"/>
      <c r="O128" s="82" t="s">
        <v>214</v>
      </c>
      <c r="P128" s="84">
        <v>44518.63626157407</v>
      </c>
      <c r="Q128" s="82" t="s">
        <v>629</v>
      </c>
      <c r="R128" s="82"/>
      <c r="S128" s="82"/>
      <c r="T128" s="87" t="s">
        <v>1009</v>
      </c>
      <c r="U128" s="85" t="str">
        <f>HYPERLINK("https://pbs.twimg.com/media/FEfEZcIVQAMwBKa.jpg")</f>
        <v>https://pbs.twimg.com/media/FEfEZcIVQAMwBKa.jpg</v>
      </c>
      <c r="V128" s="85" t="str">
        <f>HYPERLINK("https://pbs.twimg.com/media/FEfEZcIVQAMwBKa.jpg")</f>
        <v>https://pbs.twimg.com/media/FEfEZcIVQAMwBKa.jpg</v>
      </c>
      <c r="W128" s="84">
        <v>44518.63626157407</v>
      </c>
      <c r="X128" s="90">
        <v>44518</v>
      </c>
      <c r="Y128" s="87" t="s">
        <v>1233</v>
      </c>
      <c r="Z128" s="85" t="str">
        <f>HYPERLINK("https://twitter.com/sunderlandccg/status/1461352551844958215")</f>
        <v>https://twitter.com/sunderlandccg/status/1461352551844958215</v>
      </c>
      <c r="AA128" s="82"/>
      <c r="AB128" s="82"/>
      <c r="AC128" s="87" t="s">
        <v>1546</v>
      </c>
      <c r="AD128" s="82"/>
      <c r="AE128" s="82" t="b">
        <v>0</v>
      </c>
      <c r="AF128" s="82">
        <v>2</v>
      </c>
      <c r="AG128" s="87" t="s">
        <v>1815</v>
      </c>
      <c r="AH128" s="82" t="b">
        <v>0</v>
      </c>
      <c r="AI128" s="82" t="s">
        <v>1826</v>
      </c>
      <c r="AJ128" s="82"/>
      <c r="AK128" s="87" t="s">
        <v>1815</v>
      </c>
      <c r="AL128" s="82" t="b">
        <v>0</v>
      </c>
      <c r="AM128" s="82">
        <v>1</v>
      </c>
      <c r="AN128" s="87" t="s">
        <v>1815</v>
      </c>
      <c r="AO128" s="87" t="s">
        <v>1850</v>
      </c>
      <c r="AP128" s="82" t="b">
        <v>0</v>
      </c>
      <c r="AQ128" s="87" t="s">
        <v>1546</v>
      </c>
      <c r="AR128" s="82"/>
      <c r="AS128" s="82">
        <v>0</v>
      </c>
      <c r="AT128" s="82">
        <v>0</v>
      </c>
      <c r="AU128" s="82"/>
      <c r="AV128" s="82"/>
      <c r="AW128" s="82"/>
      <c r="AX128" s="82"/>
      <c r="AY128" s="82"/>
      <c r="AZ128" s="82"/>
      <c r="BA128" s="82"/>
      <c r="BB128" s="82"/>
      <c r="BC128">
        <v>1</v>
      </c>
      <c r="BD128" s="81" t="str">
        <f>REPLACE(INDEX(GroupVertices[Group],MATCH(Edges[[#This Row],[Vertex 1]],GroupVertices[Vertex],0)),1,1,"")</f>
        <v>1</v>
      </c>
      <c r="BE128" s="81" t="str">
        <f>REPLACE(INDEX(GroupVertices[Group],MATCH(Edges[[#This Row],[Vertex 2]],GroupVertices[Vertex],0)),1,1,"")</f>
        <v>1</v>
      </c>
      <c r="BF128" s="49">
        <v>0</v>
      </c>
      <c r="BG128" s="50">
        <v>0</v>
      </c>
      <c r="BH128" s="49">
        <v>0</v>
      </c>
      <c r="BI128" s="50">
        <v>0</v>
      </c>
      <c r="BJ128" s="49">
        <v>0</v>
      </c>
      <c r="BK128" s="50">
        <v>0</v>
      </c>
      <c r="BL128" s="49">
        <v>26</v>
      </c>
      <c r="BM128" s="50">
        <v>100</v>
      </c>
      <c r="BN128" s="49">
        <v>26</v>
      </c>
    </row>
    <row r="129" spans="1:66" ht="15">
      <c r="A129" s="66" t="s">
        <v>321</v>
      </c>
      <c r="B129" s="66" t="s">
        <v>321</v>
      </c>
      <c r="C129" s="67" t="s">
        <v>4509</v>
      </c>
      <c r="D129" s="68">
        <v>3</v>
      </c>
      <c r="E129" s="69" t="s">
        <v>132</v>
      </c>
      <c r="F129" s="70">
        <v>32</v>
      </c>
      <c r="G129" s="67"/>
      <c r="H129" s="71"/>
      <c r="I129" s="72"/>
      <c r="J129" s="72"/>
      <c r="K129" s="35" t="s">
        <v>65</v>
      </c>
      <c r="L129" s="80">
        <v>129</v>
      </c>
      <c r="M129" s="80"/>
      <c r="N129" s="74"/>
      <c r="O129" s="82" t="s">
        <v>214</v>
      </c>
      <c r="P129" s="84">
        <v>44518.65534722222</v>
      </c>
      <c r="Q129" s="82" t="s">
        <v>630</v>
      </c>
      <c r="R129" s="85" t="str">
        <f>HYPERLINK("https://twitter.com/CDCgov/status/1461333432701800454")</f>
        <v>https://twitter.com/CDCgov/status/1461333432701800454</v>
      </c>
      <c r="S129" s="82" t="s">
        <v>914</v>
      </c>
      <c r="T129" s="87" t="s">
        <v>1010</v>
      </c>
      <c r="U129" s="82"/>
      <c r="V129" s="85" t="str">
        <f>HYPERLINK("https://pbs.twimg.com/profile_images/1464137331594641411/bDOurxIL_normal.jpg")</f>
        <v>https://pbs.twimg.com/profile_images/1464137331594641411/bDOurxIL_normal.jpg</v>
      </c>
      <c r="W129" s="84">
        <v>44518.65534722222</v>
      </c>
      <c r="X129" s="90">
        <v>44518</v>
      </c>
      <c r="Y129" s="87" t="s">
        <v>1234</v>
      </c>
      <c r="Z129" s="85" t="str">
        <f>HYPERLINK("https://twitter.com/rph_iram_malik/status/1461359469535772678")</f>
        <v>https://twitter.com/rph_iram_malik/status/1461359469535772678</v>
      </c>
      <c r="AA129" s="82"/>
      <c r="AB129" s="82"/>
      <c r="AC129" s="87" t="s">
        <v>1547</v>
      </c>
      <c r="AD129" s="82"/>
      <c r="AE129" s="82" t="b">
        <v>0</v>
      </c>
      <c r="AF129" s="82">
        <v>1</v>
      </c>
      <c r="AG129" s="87" t="s">
        <v>1815</v>
      </c>
      <c r="AH129" s="82" t="b">
        <v>1</v>
      </c>
      <c r="AI129" s="82" t="s">
        <v>1827</v>
      </c>
      <c r="AJ129" s="82"/>
      <c r="AK129" s="87" t="s">
        <v>1837</v>
      </c>
      <c r="AL129" s="82" t="b">
        <v>0</v>
      </c>
      <c r="AM129" s="82">
        <v>0</v>
      </c>
      <c r="AN129" s="87" t="s">
        <v>1815</v>
      </c>
      <c r="AO129" s="87" t="s">
        <v>1852</v>
      </c>
      <c r="AP129" s="82" t="b">
        <v>0</v>
      </c>
      <c r="AQ129" s="87" t="s">
        <v>1547</v>
      </c>
      <c r="AR129" s="82"/>
      <c r="AS129" s="82">
        <v>0</v>
      </c>
      <c r="AT129" s="82">
        <v>0</v>
      </c>
      <c r="AU129" s="82"/>
      <c r="AV129" s="82"/>
      <c r="AW129" s="82"/>
      <c r="AX129" s="82"/>
      <c r="AY129" s="82"/>
      <c r="AZ129" s="82"/>
      <c r="BA129" s="82"/>
      <c r="BB129" s="82"/>
      <c r="BC129">
        <v>1</v>
      </c>
      <c r="BD129" s="81" t="str">
        <f>REPLACE(INDEX(GroupVertices[Group],MATCH(Edges[[#This Row],[Vertex 1]],GroupVertices[Vertex],0)),1,1,"")</f>
        <v>1</v>
      </c>
      <c r="BE129" s="81" t="str">
        <f>REPLACE(INDEX(GroupVertices[Group],MATCH(Edges[[#This Row],[Vertex 2]],GroupVertices[Vertex],0)),1,1,"")</f>
        <v>1</v>
      </c>
      <c r="BF129" s="49">
        <v>0</v>
      </c>
      <c r="BG129" s="50">
        <v>0</v>
      </c>
      <c r="BH129" s="49">
        <v>0</v>
      </c>
      <c r="BI129" s="50">
        <v>0</v>
      </c>
      <c r="BJ129" s="49">
        <v>0</v>
      </c>
      <c r="BK129" s="50">
        <v>0</v>
      </c>
      <c r="BL129" s="49">
        <v>2</v>
      </c>
      <c r="BM129" s="50">
        <v>100</v>
      </c>
      <c r="BN129" s="49">
        <v>2</v>
      </c>
    </row>
    <row r="130" spans="1:66" ht="15">
      <c r="A130" s="66" t="s">
        <v>322</v>
      </c>
      <c r="B130" s="66" t="s">
        <v>322</v>
      </c>
      <c r="C130" s="67" t="s">
        <v>4509</v>
      </c>
      <c r="D130" s="68">
        <v>3</v>
      </c>
      <c r="E130" s="69" t="s">
        <v>132</v>
      </c>
      <c r="F130" s="70">
        <v>32</v>
      </c>
      <c r="G130" s="67"/>
      <c r="H130" s="71"/>
      <c r="I130" s="72"/>
      <c r="J130" s="72"/>
      <c r="K130" s="35" t="s">
        <v>65</v>
      </c>
      <c r="L130" s="80">
        <v>130</v>
      </c>
      <c r="M130" s="80"/>
      <c r="N130" s="74"/>
      <c r="O130" s="82" t="s">
        <v>214</v>
      </c>
      <c r="P130" s="84">
        <v>44518.62569444445</v>
      </c>
      <c r="Q130" s="82" t="s">
        <v>631</v>
      </c>
      <c r="R130" s="82"/>
      <c r="S130" s="82"/>
      <c r="T130" s="87" t="s">
        <v>955</v>
      </c>
      <c r="U130" s="85" t="str">
        <f>HYPERLINK("https://pbs.twimg.com/media/FEasc-lXoAsqQ8H.jpg")</f>
        <v>https://pbs.twimg.com/media/FEasc-lXoAsqQ8H.jpg</v>
      </c>
      <c r="V130" s="85" t="str">
        <f>HYPERLINK("https://pbs.twimg.com/media/FEasc-lXoAsqQ8H.jpg")</f>
        <v>https://pbs.twimg.com/media/FEasc-lXoAsqQ8H.jpg</v>
      </c>
      <c r="W130" s="84">
        <v>44518.62569444445</v>
      </c>
      <c r="X130" s="90">
        <v>44518</v>
      </c>
      <c r="Y130" s="87" t="s">
        <v>1235</v>
      </c>
      <c r="Z130" s="85" t="str">
        <f>HYPERLINK("https://twitter.com/phwalsall/status/1461348721996681227")</f>
        <v>https://twitter.com/phwalsall/status/1461348721996681227</v>
      </c>
      <c r="AA130" s="82"/>
      <c r="AB130" s="82"/>
      <c r="AC130" s="87" t="s">
        <v>1548</v>
      </c>
      <c r="AD130" s="82"/>
      <c r="AE130" s="82" t="b">
        <v>0</v>
      </c>
      <c r="AF130" s="82">
        <v>0</v>
      </c>
      <c r="AG130" s="87" t="s">
        <v>1815</v>
      </c>
      <c r="AH130" s="82" t="b">
        <v>0</v>
      </c>
      <c r="AI130" s="82" t="s">
        <v>1826</v>
      </c>
      <c r="AJ130" s="82"/>
      <c r="AK130" s="87" t="s">
        <v>1815</v>
      </c>
      <c r="AL130" s="82" t="b">
        <v>0</v>
      </c>
      <c r="AM130" s="82">
        <v>0</v>
      </c>
      <c r="AN130" s="87" t="s">
        <v>1815</v>
      </c>
      <c r="AO130" s="87" t="s">
        <v>1850</v>
      </c>
      <c r="AP130" s="82" t="b">
        <v>0</v>
      </c>
      <c r="AQ130" s="87" t="s">
        <v>1548</v>
      </c>
      <c r="AR130" s="82"/>
      <c r="AS130" s="82">
        <v>0</v>
      </c>
      <c r="AT130" s="82">
        <v>0</v>
      </c>
      <c r="AU130" s="82"/>
      <c r="AV130" s="82"/>
      <c r="AW130" s="82"/>
      <c r="AX130" s="82"/>
      <c r="AY130" s="82"/>
      <c r="AZ130" s="82"/>
      <c r="BA130" s="82"/>
      <c r="BB130" s="82"/>
      <c r="BC130">
        <v>1</v>
      </c>
      <c r="BD130" s="81" t="str">
        <f>REPLACE(INDEX(GroupVertices[Group],MATCH(Edges[[#This Row],[Vertex 1]],GroupVertices[Vertex],0)),1,1,"")</f>
        <v>1</v>
      </c>
      <c r="BE130" s="81" t="str">
        <f>REPLACE(INDEX(GroupVertices[Group],MATCH(Edges[[#This Row],[Vertex 2]],GroupVertices[Vertex],0)),1,1,"")</f>
        <v>1</v>
      </c>
      <c r="BF130" s="49">
        <v>0</v>
      </c>
      <c r="BG130" s="50">
        <v>0</v>
      </c>
      <c r="BH130" s="49">
        <v>2</v>
      </c>
      <c r="BI130" s="50">
        <v>6.0606060606060606</v>
      </c>
      <c r="BJ130" s="49">
        <v>0</v>
      </c>
      <c r="BK130" s="50">
        <v>0</v>
      </c>
      <c r="BL130" s="49">
        <v>31</v>
      </c>
      <c r="BM130" s="50">
        <v>93.93939393939394</v>
      </c>
      <c r="BN130" s="49">
        <v>33</v>
      </c>
    </row>
    <row r="131" spans="1:66" ht="15">
      <c r="A131" s="66" t="s">
        <v>323</v>
      </c>
      <c r="B131" s="66" t="s">
        <v>323</v>
      </c>
      <c r="C131" s="67" t="s">
        <v>4509</v>
      </c>
      <c r="D131" s="68">
        <v>3</v>
      </c>
      <c r="E131" s="69" t="s">
        <v>132</v>
      </c>
      <c r="F131" s="70">
        <v>32</v>
      </c>
      <c r="G131" s="67"/>
      <c r="H131" s="71"/>
      <c r="I131" s="72"/>
      <c r="J131" s="72"/>
      <c r="K131" s="35" t="s">
        <v>65</v>
      </c>
      <c r="L131" s="80">
        <v>131</v>
      </c>
      <c r="M131" s="80"/>
      <c r="N131" s="74"/>
      <c r="O131" s="82" t="s">
        <v>214</v>
      </c>
      <c r="P131" s="84">
        <v>44518.6275</v>
      </c>
      <c r="Q131" s="82" t="s">
        <v>632</v>
      </c>
      <c r="R131" s="85" t="str">
        <f>HYPERLINK("https://www.cdc.gov/drugresistance/covid19.html")</f>
        <v>https://www.cdc.gov/drugresistance/covid19.html</v>
      </c>
      <c r="S131" s="82" t="s">
        <v>903</v>
      </c>
      <c r="T131" s="87" t="s">
        <v>954</v>
      </c>
      <c r="U131" s="85" t="str">
        <f>HYPERLINK("https://pbs.twimg.com/media/FEfBgt3VQAMuGMr.jpg")</f>
        <v>https://pbs.twimg.com/media/FEfBgt3VQAMuGMr.jpg</v>
      </c>
      <c r="V131" s="85" t="str">
        <f>HYPERLINK("https://pbs.twimg.com/media/FEfBgt3VQAMuGMr.jpg")</f>
        <v>https://pbs.twimg.com/media/FEfBgt3VQAMuGMr.jpg</v>
      </c>
      <c r="W131" s="84">
        <v>44518.6275</v>
      </c>
      <c r="X131" s="90">
        <v>44518</v>
      </c>
      <c r="Y131" s="87" t="s">
        <v>1236</v>
      </c>
      <c r="Z131" s="85" t="str">
        <f>HYPERLINK("https://twitter.com/sbudeptofmed/status/1461349376668798976")</f>
        <v>https://twitter.com/sbudeptofmed/status/1461349376668798976</v>
      </c>
      <c r="AA131" s="82"/>
      <c r="AB131" s="82"/>
      <c r="AC131" s="87" t="s">
        <v>1549</v>
      </c>
      <c r="AD131" s="82"/>
      <c r="AE131" s="82" t="b">
        <v>0</v>
      </c>
      <c r="AF131" s="82">
        <v>0</v>
      </c>
      <c r="AG131" s="87" t="s">
        <v>1815</v>
      </c>
      <c r="AH131" s="82" t="b">
        <v>0</v>
      </c>
      <c r="AI131" s="82" t="s">
        <v>1826</v>
      </c>
      <c r="AJ131" s="82"/>
      <c r="AK131" s="87" t="s">
        <v>1815</v>
      </c>
      <c r="AL131" s="82" t="b">
        <v>0</v>
      </c>
      <c r="AM131" s="82">
        <v>0</v>
      </c>
      <c r="AN131" s="87" t="s">
        <v>1815</v>
      </c>
      <c r="AO131" s="87" t="s">
        <v>1851</v>
      </c>
      <c r="AP131" s="82" t="b">
        <v>0</v>
      </c>
      <c r="AQ131" s="87" t="s">
        <v>1549</v>
      </c>
      <c r="AR131" s="82"/>
      <c r="AS131" s="82">
        <v>0</v>
      </c>
      <c r="AT131" s="82">
        <v>0</v>
      </c>
      <c r="AU131" s="82" t="s">
        <v>1872</v>
      </c>
      <c r="AV131" s="82" t="s">
        <v>1876</v>
      </c>
      <c r="AW131" s="82" t="s">
        <v>1879</v>
      </c>
      <c r="AX131" s="82" t="s">
        <v>1882</v>
      </c>
      <c r="AY131" s="91" t="s">
        <v>1886</v>
      </c>
      <c r="AZ131" s="82" t="s">
        <v>1890</v>
      </c>
      <c r="BA131" s="82" t="s">
        <v>1893</v>
      </c>
      <c r="BB131" s="85" t="str">
        <f>HYPERLINK("https://api.twitter.com/1.1/geo/id/8241555e75571517.json")</f>
        <v>https://api.twitter.com/1.1/geo/id/8241555e75571517.json</v>
      </c>
      <c r="BC131">
        <v>1</v>
      </c>
      <c r="BD131" s="81" t="str">
        <f>REPLACE(INDEX(GroupVertices[Group],MATCH(Edges[[#This Row],[Vertex 1]],GroupVertices[Vertex],0)),1,1,"")</f>
        <v>1</v>
      </c>
      <c r="BE131" s="81" t="str">
        <f>REPLACE(INDEX(GroupVertices[Group],MATCH(Edges[[#This Row],[Vertex 2]],GroupVertices[Vertex],0)),1,1,"")</f>
        <v>1</v>
      </c>
      <c r="BF131" s="49">
        <v>0</v>
      </c>
      <c r="BG131" s="50">
        <v>0</v>
      </c>
      <c r="BH131" s="49">
        <v>1</v>
      </c>
      <c r="BI131" s="50">
        <v>3.0303030303030303</v>
      </c>
      <c r="BJ131" s="49">
        <v>0</v>
      </c>
      <c r="BK131" s="50">
        <v>0</v>
      </c>
      <c r="BL131" s="49">
        <v>32</v>
      </c>
      <c r="BM131" s="50">
        <v>96.96969696969697</v>
      </c>
      <c r="BN131" s="49">
        <v>33</v>
      </c>
    </row>
    <row r="132" spans="1:66" ht="15">
      <c r="A132" s="66" t="s">
        <v>324</v>
      </c>
      <c r="B132" s="66" t="s">
        <v>477</v>
      </c>
      <c r="C132" s="67" t="s">
        <v>4509</v>
      </c>
      <c r="D132" s="68">
        <v>3</v>
      </c>
      <c r="E132" s="69" t="s">
        <v>132</v>
      </c>
      <c r="F132" s="70">
        <v>32</v>
      </c>
      <c r="G132" s="67"/>
      <c r="H132" s="71"/>
      <c r="I132" s="72"/>
      <c r="J132" s="72"/>
      <c r="K132" s="35" t="s">
        <v>65</v>
      </c>
      <c r="L132" s="80">
        <v>132</v>
      </c>
      <c r="M132" s="80"/>
      <c r="N132" s="74"/>
      <c r="O132" s="82" t="s">
        <v>528</v>
      </c>
      <c r="P132" s="84">
        <v>44518.631319444445</v>
      </c>
      <c r="Q132" s="82" t="s">
        <v>633</v>
      </c>
      <c r="R132" s="85" t="str">
        <f>HYPERLINK("https://www.bradspellberg.com/shorter-is-better")</f>
        <v>https://www.bradspellberg.com/shorter-is-better</v>
      </c>
      <c r="S132" s="82" t="s">
        <v>922</v>
      </c>
      <c r="T132" s="87" t="s">
        <v>1011</v>
      </c>
      <c r="U132" s="85" t="str">
        <f>HYPERLINK("https://pbs.twimg.com/media/FEfClgjVkAkzpMi.jpg")</f>
        <v>https://pbs.twimg.com/media/FEfClgjVkAkzpMi.jpg</v>
      </c>
      <c r="V132" s="85" t="str">
        <f>HYPERLINK("https://pbs.twimg.com/media/FEfClgjVkAkzpMi.jpg")</f>
        <v>https://pbs.twimg.com/media/FEfClgjVkAkzpMi.jpg</v>
      </c>
      <c r="W132" s="84">
        <v>44518.631319444445</v>
      </c>
      <c r="X132" s="90">
        <v>44518</v>
      </c>
      <c r="Y132" s="87" t="s">
        <v>1237</v>
      </c>
      <c r="Z132" s="85" t="str">
        <f>HYPERLINK("https://twitter.com/sefh_/status/1461350759484706824")</f>
        <v>https://twitter.com/sefh_/status/1461350759484706824</v>
      </c>
      <c r="AA132" s="82"/>
      <c r="AB132" s="82"/>
      <c r="AC132" s="87" t="s">
        <v>1550</v>
      </c>
      <c r="AD132" s="87" t="s">
        <v>1810</v>
      </c>
      <c r="AE132" s="82" t="b">
        <v>0</v>
      </c>
      <c r="AF132" s="82">
        <v>5</v>
      </c>
      <c r="AG132" s="87" t="s">
        <v>1818</v>
      </c>
      <c r="AH132" s="82" t="b">
        <v>0</v>
      </c>
      <c r="AI132" s="82" t="s">
        <v>1830</v>
      </c>
      <c r="AJ132" s="82"/>
      <c r="AK132" s="87" t="s">
        <v>1815</v>
      </c>
      <c r="AL132" s="82" t="b">
        <v>0</v>
      </c>
      <c r="AM132" s="82">
        <v>1</v>
      </c>
      <c r="AN132" s="87" t="s">
        <v>1815</v>
      </c>
      <c r="AO132" s="87" t="s">
        <v>1850</v>
      </c>
      <c r="AP132" s="82" t="b">
        <v>0</v>
      </c>
      <c r="AQ132" s="87" t="s">
        <v>1810</v>
      </c>
      <c r="AR132" s="82"/>
      <c r="AS132" s="82">
        <v>0</v>
      </c>
      <c r="AT132" s="82">
        <v>0</v>
      </c>
      <c r="AU132" s="82"/>
      <c r="AV132" s="82"/>
      <c r="AW132" s="82"/>
      <c r="AX132" s="82"/>
      <c r="AY132" s="82"/>
      <c r="AZ132" s="82"/>
      <c r="BA132" s="82"/>
      <c r="BB132" s="82"/>
      <c r="BC132">
        <v>1</v>
      </c>
      <c r="BD132" s="81" t="str">
        <f>REPLACE(INDEX(GroupVertices[Group],MATCH(Edges[[#This Row],[Vertex 1]],GroupVertices[Vertex],0)),1,1,"")</f>
        <v>3</v>
      </c>
      <c r="BE132" s="81" t="str">
        <f>REPLACE(INDEX(GroupVertices[Group],MATCH(Edges[[#This Row],[Vertex 2]],GroupVertices[Vertex],0)),1,1,"")</f>
        <v>3</v>
      </c>
      <c r="BF132" s="49"/>
      <c r="BG132" s="50"/>
      <c r="BH132" s="49"/>
      <c r="BI132" s="50"/>
      <c r="BJ132" s="49"/>
      <c r="BK132" s="50"/>
      <c r="BL132" s="49"/>
      <c r="BM132" s="50"/>
      <c r="BN132" s="49"/>
    </row>
    <row r="133" spans="1:66" ht="15">
      <c r="A133" s="66" t="s">
        <v>324</v>
      </c>
      <c r="B133" s="66" t="s">
        <v>478</v>
      </c>
      <c r="C133" s="67" t="s">
        <v>4509</v>
      </c>
      <c r="D133" s="68">
        <v>3</v>
      </c>
      <c r="E133" s="69" t="s">
        <v>132</v>
      </c>
      <c r="F133" s="70">
        <v>32</v>
      </c>
      <c r="G133" s="67"/>
      <c r="H133" s="71"/>
      <c r="I133" s="72"/>
      <c r="J133" s="72"/>
      <c r="K133" s="35" t="s">
        <v>65</v>
      </c>
      <c r="L133" s="80">
        <v>133</v>
      </c>
      <c r="M133" s="80"/>
      <c r="N133" s="74"/>
      <c r="O133" s="82" t="s">
        <v>528</v>
      </c>
      <c r="P133" s="84">
        <v>44518.631319444445</v>
      </c>
      <c r="Q133" s="82" t="s">
        <v>633</v>
      </c>
      <c r="R133" s="85" t="str">
        <f>HYPERLINK("https://www.bradspellberg.com/shorter-is-better")</f>
        <v>https://www.bradspellberg.com/shorter-is-better</v>
      </c>
      <c r="S133" s="82" t="s">
        <v>922</v>
      </c>
      <c r="T133" s="87" t="s">
        <v>1011</v>
      </c>
      <c r="U133" s="85" t="str">
        <f>HYPERLINK("https://pbs.twimg.com/media/FEfClgjVkAkzpMi.jpg")</f>
        <v>https://pbs.twimg.com/media/FEfClgjVkAkzpMi.jpg</v>
      </c>
      <c r="V133" s="85" t="str">
        <f>HYPERLINK("https://pbs.twimg.com/media/FEfClgjVkAkzpMi.jpg")</f>
        <v>https://pbs.twimg.com/media/FEfClgjVkAkzpMi.jpg</v>
      </c>
      <c r="W133" s="84">
        <v>44518.631319444445</v>
      </c>
      <c r="X133" s="90">
        <v>44518</v>
      </c>
      <c r="Y133" s="87" t="s">
        <v>1237</v>
      </c>
      <c r="Z133" s="85" t="str">
        <f>HYPERLINK("https://twitter.com/sefh_/status/1461350759484706824")</f>
        <v>https://twitter.com/sefh_/status/1461350759484706824</v>
      </c>
      <c r="AA133" s="82"/>
      <c r="AB133" s="82"/>
      <c r="AC133" s="87" t="s">
        <v>1550</v>
      </c>
      <c r="AD133" s="87" t="s">
        <v>1810</v>
      </c>
      <c r="AE133" s="82" t="b">
        <v>0</v>
      </c>
      <c r="AF133" s="82">
        <v>5</v>
      </c>
      <c r="AG133" s="87" t="s">
        <v>1818</v>
      </c>
      <c r="AH133" s="82" t="b">
        <v>0</v>
      </c>
      <c r="AI133" s="82" t="s">
        <v>1830</v>
      </c>
      <c r="AJ133" s="82"/>
      <c r="AK133" s="87" t="s">
        <v>1815</v>
      </c>
      <c r="AL133" s="82" t="b">
        <v>0</v>
      </c>
      <c r="AM133" s="82">
        <v>1</v>
      </c>
      <c r="AN133" s="87" t="s">
        <v>1815</v>
      </c>
      <c r="AO133" s="87" t="s">
        <v>1850</v>
      </c>
      <c r="AP133" s="82" t="b">
        <v>0</v>
      </c>
      <c r="AQ133" s="87" t="s">
        <v>1810</v>
      </c>
      <c r="AR133" s="82"/>
      <c r="AS133" s="82">
        <v>0</v>
      </c>
      <c r="AT133" s="82">
        <v>0</v>
      </c>
      <c r="AU133" s="82"/>
      <c r="AV133" s="82"/>
      <c r="AW133" s="82"/>
      <c r="AX133" s="82"/>
      <c r="AY133" s="82"/>
      <c r="AZ133" s="82"/>
      <c r="BA133" s="82"/>
      <c r="BB133" s="82"/>
      <c r="BC133">
        <v>1</v>
      </c>
      <c r="BD133" s="81" t="str">
        <f>REPLACE(INDEX(GroupVertices[Group],MATCH(Edges[[#This Row],[Vertex 1]],GroupVertices[Vertex],0)),1,1,"")</f>
        <v>3</v>
      </c>
      <c r="BE133" s="81" t="str">
        <f>REPLACE(INDEX(GroupVertices[Group],MATCH(Edges[[#This Row],[Vertex 2]],GroupVertices[Vertex],0)),1,1,"")</f>
        <v>3</v>
      </c>
      <c r="BF133" s="49"/>
      <c r="BG133" s="50"/>
      <c r="BH133" s="49"/>
      <c r="BI133" s="50"/>
      <c r="BJ133" s="49"/>
      <c r="BK133" s="50"/>
      <c r="BL133" s="49"/>
      <c r="BM133" s="50"/>
      <c r="BN133" s="49"/>
    </row>
    <row r="134" spans="1:66" ht="15">
      <c r="A134" s="66" t="s">
        <v>324</v>
      </c>
      <c r="B134" s="66" t="s">
        <v>479</v>
      </c>
      <c r="C134" s="67" t="s">
        <v>4509</v>
      </c>
      <c r="D134" s="68">
        <v>3</v>
      </c>
      <c r="E134" s="69" t="s">
        <v>132</v>
      </c>
      <c r="F134" s="70">
        <v>32</v>
      </c>
      <c r="G134" s="67"/>
      <c r="H134" s="71"/>
      <c r="I134" s="72"/>
      <c r="J134" s="72"/>
      <c r="K134" s="35" t="s">
        <v>65</v>
      </c>
      <c r="L134" s="80">
        <v>134</v>
      </c>
      <c r="M134" s="80"/>
      <c r="N134" s="74"/>
      <c r="O134" s="82" t="s">
        <v>528</v>
      </c>
      <c r="P134" s="84">
        <v>44518.631319444445</v>
      </c>
      <c r="Q134" s="82" t="s">
        <v>633</v>
      </c>
      <c r="R134" s="85" t="str">
        <f>HYPERLINK("https://www.bradspellberg.com/shorter-is-better")</f>
        <v>https://www.bradspellberg.com/shorter-is-better</v>
      </c>
      <c r="S134" s="82" t="s">
        <v>922</v>
      </c>
      <c r="T134" s="87" t="s">
        <v>1011</v>
      </c>
      <c r="U134" s="85" t="str">
        <f>HYPERLINK("https://pbs.twimg.com/media/FEfClgjVkAkzpMi.jpg")</f>
        <v>https://pbs.twimg.com/media/FEfClgjVkAkzpMi.jpg</v>
      </c>
      <c r="V134" s="85" t="str">
        <f>HYPERLINK("https://pbs.twimg.com/media/FEfClgjVkAkzpMi.jpg")</f>
        <v>https://pbs.twimg.com/media/FEfClgjVkAkzpMi.jpg</v>
      </c>
      <c r="W134" s="84">
        <v>44518.631319444445</v>
      </c>
      <c r="X134" s="90">
        <v>44518</v>
      </c>
      <c r="Y134" s="87" t="s">
        <v>1237</v>
      </c>
      <c r="Z134" s="85" t="str">
        <f>HYPERLINK("https://twitter.com/sefh_/status/1461350759484706824")</f>
        <v>https://twitter.com/sefh_/status/1461350759484706824</v>
      </c>
      <c r="AA134" s="82"/>
      <c r="AB134" s="82"/>
      <c r="AC134" s="87" t="s">
        <v>1550</v>
      </c>
      <c r="AD134" s="87" t="s">
        <v>1810</v>
      </c>
      <c r="AE134" s="82" t="b">
        <v>0</v>
      </c>
      <c r="AF134" s="82">
        <v>5</v>
      </c>
      <c r="AG134" s="87" t="s">
        <v>1818</v>
      </c>
      <c r="AH134" s="82" t="b">
        <v>0</v>
      </c>
      <c r="AI134" s="82" t="s">
        <v>1830</v>
      </c>
      <c r="AJ134" s="82"/>
      <c r="AK134" s="87" t="s">
        <v>1815</v>
      </c>
      <c r="AL134" s="82" t="b">
        <v>0</v>
      </c>
      <c r="AM134" s="82">
        <v>1</v>
      </c>
      <c r="AN134" s="87" t="s">
        <v>1815</v>
      </c>
      <c r="AO134" s="87" t="s">
        <v>1850</v>
      </c>
      <c r="AP134" s="82" t="b">
        <v>0</v>
      </c>
      <c r="AQ134" s="87" t="s">
        <v>1810</v>
      </c>
      <c r="AR134" s="82"/>
      <c r="AS134" s="82">
        <v>0</v>
      </c>
      <c r="AT134" s="82">
        <v>0</v>
      </c>
      <c r="AU134" s="82"/>
      <c r="AV134" s="82"/>
      <c r="AW134" s="82"/>
      <c r="AX134" s="82"/>
      <c r="AY134" s="82"/>
      <c r="AZ134" s="82"/>
      <c r="BA134" s="82"/>
      <c r="BB134" s="82"/>
      <c r="BC134">
        <v>1</v>
      </c>
      <c r="BD134" s="81" t="str">
        <f>REPLACE(INDEX(GroupVertices[Group],MATCH(Edges[[#This Row],[Vertex 1]],GroupVertices[Vertex],0)),1,1,"")</f>
        <v>3</v>
      </c>
      <c r="BE134" s="81" t="str">
        <f>REPLACE(INDEX(GroupVertices[Group],MATCH(Edges[[#This Row],[Vertex 2]],GroupVertices[Vertex],0)),1,1,"")</f>
        <v>3</v>
      </c>
      <c r="BF134" s="49"/>
      <c r="BG134" s="50"/>
      <c r="BH134" s="49"/>
      <c r="BI134" s="50"/>
      <c r="BJ134" s="49"/>
      <c r="BK134" s="50"/>
      <c r="BL134" s="49"/>
      <c r="BM134" s="50"/>
      <c r="BN134" s="49"/>
    </row>
    <row r="135" spans="1:66" ht="15">
      <c r="A135" s="66" t="s">
        <v>324</v>
      </c>
      <c r="B135" s="66" t="s">
        <v>480</v>
      </c>
      <c r="C135" s="67" t="s">
        <v>4509</v>
      </c>
      <c r="D135" s="68">
        <v>3</v>
      </c>
      <c r="E135" s="69" t="s">
        <v>132</v>
      </c>
      <c r="F135" s="70">
        <v>32</v>
      </c>
      <c r="G135" s="67"/>
      <c r="H135" s="71"/>
      <c r="I135" s="72"/>
      <c r="J135" s="72"/>
      <c r="K135" s="35" t="s">
        <v>65</v>
      </c>
      <c r="L135" s="80">
        <v>135</v>
      </c>
      <c r="M135" s="80"/>
      <c r="N135" s="74"/>
      <c r="O135" s="82" t="s">
        <v>529</v>
      </c>
      <c r="P135" s="84">
        <v>44518.631319444445</v>
      </c>
      <c r="Q135" s="82" t="s">
        <v>633</v>
      </c>
      <c r="R135" s="85" t="str">
        <f>HYPERLINK("https://www.bradspellberg.com/shorter-is-better")</f>
        <v>https://www.bradspellberg.com/shorter-is-better</v>
      </c>
      <c r="S135" s="82" t="s">
        <v>922</v>
      </c>
      <c r="T135" s="87" t="s">
        <v>1011</v>
      </c>
      <c r="U135" s="85" t="str">
        <f>HYPERLINK("https://pbs.twimg.com/media/FEfClgjVkAkzpMi.jpg")</f>
        <v>https://pbs.twimg.com/media/FEfClgjVkAkzpMi.jpg</v>
      </c>
      <c r="V135" s="85" t="str">
        <f>HYPERLINK("https://pbs.twimg.com/media/FEfClgjVkAkzpMi.jpg")</f>
        <v>https://pbs.twimg.com/media/FEfClgjVkAkzpMi.jpg</v>
      </c>
      <c r="W135" s="84">
        <v>44518.631319444445</v>
      </c>
      <c r="X135" s="90">
        <v>44518</v>
      </c>
      <c r="Y135" s="87" t="s">
        <v>1237</v>
      </c>
      <c r="Z135" s="85" t="str">
        <f>HYPERLINK("https://twitter.com/sefh_/status/1461350759484706824")</f>
        <v>https://twitter.com/sefh_/status/1461350759484706824</v>
      </c>
      <c r="AA135" s="82"/>
      <c r="AB135" s="82"/>
      <c r="AC135" s="87" t="s">
        <v>1550</v>
      </c>
      <c r="AD135" s="87" t="s">
        <v>1810</v>
      </c>
      <c r="AE135" s="82" t="b">
        <v>0</v>
      </c>
      <c r="AF135" s="82">
        <v>5</v>
      </c>
      <c r="AG135" s="87" t="s">
        <v>1818</v>
      </c>
      <c r="AH135" s="82" t="b">
        <v>0</v>
      </c>
      <c r="AI135" s="82" t="s">
        <v>1830</v>
      </c>
      <c r="AJ135" s="82"/>
      <c r="AK135" s="87" t="s">
        <v>1815</v>
      </c>
      <c r="AL135" s="82" t="b">
        <v>0</v>
      </c>
      <c r="AM135" s="82">
        <v>1</v>
      </c>
      <c r="AN135" s="87" t="s">
        <v>1815</v>
      </c>
      <c r="AO135" s="87" t="s">
        <v>1850</v>
      </c>
      <c r="AP135" s="82" t="b">
        <v>0</v>
      </c>
      <c r="AQ135" s="87" t="s">
        <v>1810</v>
      </c>
      <c r="AR135" s="82"/>
      <c r="AS135" s="82">
        <v>0</v>
      </c>
      <c r="AT135" s="82">
        <v>0</v>
      </c>
      <c r="AU135" s="82"/>
      <c r="AV135" s="82"/>
      <c r="AW135" s="82"/>
      <c r="AX135" s="82"/>
      <c r="AY135" s="82"/>
      <c r="AZ135" s="82"/>
      <c r="BA135" s="82"/>
      <c r="BB135" s="82"/>
      <c r="BC135">
        <v>1</v>
      </c>
      <c r="BD135" s="81" t="str">
        <f>REPLACE(INDEX(GroupVertices[Group],MATCH(Edges[[#This Row],[Vertex 1]],GroupVertices[Vertex],0)),1,1,"")</f>
        <v>3</v>
      </c>
      <c r="BE135" s="81" t="str">
        <f>REPLACE(INDEX(GroupVertices[Group],MATCH(Edges[[#This Row],[Vertex 2]],GroupVertices[Vertex],0)),1,1,"")</f>
        <v>3</v>
      </c>
      <c r="BF135" s="49"/>
      <c r="BG135" s="50"/>
      <c r="BH135" s="49"/>
      <c r="BI135" s="50"/>
      <c r="BJ135" s="49"/>
      <c r="BK135" s="50"/>
      <c r="BL135" s="49"/>
      <c r="BM135" s="50"/>
      <c r="BN135" s="49"/>
    </row>
    <row r="136" spans="1:66" ht="15">
      <c r="A136" s="66" t="s">
        <v>324</v>
      </c>
      <c r="B136" s="66" t="s">
        <v>481</v>
      </c>
      <c r="C136" s="67" t="s">
        <v>4509</v>
      </c>
      <c r="D136" s="68">
        <v>3</v>
      </c>
      <c r="E136" s="69" t="s">
        <v>132</v>
      </c>
      <c r="F136" s="70">
        <v>32</v>
      </c>
      <c r="G136" s="67"/>
      <c r="H136" s="71"/>
      <c r="I136" s="72"/>
      <c r="J136" s="72"/>
      <c r="K136" s="35" t="s">
        <v>65</v>
      </c>
      <c r="L136" s="80">
        <v>136</v>
      </c>
      <c r="M136" s="80"/>
      <c r="N136" s="74"/>
      <c r="O136" s="82" t="s">
        <v>528</v>
      </c>
      <c r="P136" s="84">
        <v>44518.631319444445</v>
      </c>
      <c r="Q136" s="82" t="s">
        <v>633</v>
      </c>
      <c r="R136" s="85" t="str">
        <f>HYPERLINK("https://www.bradspellberg.com/shorter-is-better")</f>
        <v>https://www.bradspellberg.com/shorter-is-better</v>
      </c>
      <c r="S136" s="82" t="s">
        <v>922</v>
      </c>
      <c r="T136" s="87" t="s">
        <v>1011</v>
      </c>
      <c r="U136" s="85" t="str">
        <f>HYPERLINK("https://pbs.twimg.com/media/FEfClgjVkAkzpMi.jpg")</f>
        <v>https://pbs.twimg.com/media/FEfClgjVkAkzpMi.jpg</v>
      </c>
      <c r="V136" s="85" t="str">
        <f>HYPERLINK("https://pbs.twimg.com/media/FEfClgjVkAkzpMi.jpg")</f>
        <v>https://pbs.twimg.com/media/FEfClgjVkAkzpMi.jpg</v>
      </c>
      <c r="W136" s="84">
        <v>44518.631319444445</v>
      </c>
      <c r="X136" s="90">
        <v>44518</v>
      </c>
      <c r="Y136" s="87" t="s">
        <v>1237</v>
      </c>
      <c r="Z136" s="85" t="str">
        <f>HYPERLINK("https://twitter.com/sefh_/status/1461350759484706824")</f>
        <v>https://twitter.com/sefh_/status/1461350759484706824</v>
      </c>
      <c r="AA136" s="82"/>
      <c r="AB136" s="82"/>
      <c r="AC136" s="87" t="s">
        <v>1550</v>
      </c>
      <c r="AD136" s="87" t="s">
        <v>1810</v>
      </c>
      <c r="AE136" s="82" t="b">
        <v>0</v>
      </c>
      <c r="AF136" s="82">
        <v>5</v>
      </c>
      <c r="AG136" s="87" t="s">
        <v>1818</v>
      </c>
      <c r="AH136" s="82" t="b">
        <v>0</v>
      </c>
      <c r="AI136" s="82" t="s">
        <v>1830</v>
      </c>
      <c r="AJ136" s="82"/>
      <c r="AK136" s="87" t="s">
        <v>1815</v>
      </c>
      <c r="AL136" s="82" t="b">
        <v>0</v>
      </c>
      <c r="AM136" s="82">
        <v>1</v>
      </c>
      <c r="AN136" s="87" t="s">
        <v>1815</v>
      </c>
      <c r="AO136" s="87" t="s">
        <v>1850</v>
      </c>
      <c r="AP136" s="82" t="b">
        <v>0</v>
      </c>
      <c r="AQ136" s="87" t="s">
        <v>1810</v>
      </c>
      <c r="AR136" s="82"/>
      <c r="AS136" s="82">
        <v>0</v>
      </c>
      <c r="AT136" s="82">
        <v>0</v>
      </c>
      <c r="AU136" s="82"/>
      <c r="AV136" s="82"/>
      <c r="AW136" s="82"/>
      <c r="AX136" s="82"/>
      <c r="AY136" s="82"/>
      <c r="AZ136" s="82"/>
      <c r="BA136" s="82"/>
      <c r="BB136" s="82"/>
      <c r="BC136">
        <v>1</v>
      </c>
      <c r="BD136" s="81" t="str">
        <f>REPLACE(INDEX(GroupVertices[Group],MATCH(Edges[[#This Row],[Vertex 1]],GroupVertices[Vertex],0)),1,1,"")</f>
        <v>3</v>
      </c>
      <c r="BE136" s="81" t="str">
        <f>REPLACE(INDEX(GroupVertices[Group],MATCH(Edges[[#This Row],[Vertex 2]],GroupVertices[Vertex],0)),1,1,"")</f>
        <v>3</v>
      </c>
      <c r="BF136" s="49">
        <v>0</v>
      </c>
      <c r="BG136" s="50">
        <v>0</v>
      </c>
      <c r="BH136" s="49">
        <v>0</v>
      </c>
      <c r="BI136" s="50">
        <v>0</v>
      </c>
      <c r="BJ136" s="49">
        <v>0</v>
      </c>
      <c r="BK136" s="50">
        <v>0</v>
      </c>
      <c r="BL136" s="49">
        <v>31</v>
      </c>
      <c r="BM136" s="50">
        <v>100</v>
      </c>
      <c r="BN136" s="49">
        <v>31</v>
      </c>
    </row>
    <row r="137" spans="1:66" ht="15">
      <c r="A137" s="66" t="s">
        <v>324</v>
      </c>
      <c r="B137" s="66" t="s">
        <v>420</v>
      </c>
      <c r="C137" s="67" t="s">
        <v>4509</v>
      </c>
      <c r="D137" s="68">
        <v>3</v>
      </c>
      <c r="E137" s="69" t="s">
        <v>132</v>
      </c>
      <c r="F137" s="70">
        <v>32</v>
      </c>
      <c r="G137" s="67"/>
      <c r="H137" s="71"/>
      <c r="I137" s="72"/>
      <c r="J137" s="72"/>
      <c r="K137" s="35" t="s">
        <v>65</v>
      </c>
      <c r="L137" s="80">
        <v>137</v>
      </c>
      <c r="M137" s="80"/>
      <c r="N137" s="74"/>
      <c r="O137" s="82" t="s">
        <v>528</v>
      </c>
      <c r="P137" s="84">
        <v>44518.631319444445</v>
      </c>
      <c r="Q137" s="82" t="s">
        <v>633</v>
      </c>
      <c r="R137" s="85" t="str">
        <f>HYPERLINK("https://www.bradspellberg.com/shorter-is-better")</f>
        <v>https://www.bradspellberg.com/shorter-is-better</v>
      </c>
      <c r="S137" s="82" t="s">
        <v>922</v>
      </c>
      <c r="T137" s="87" t="s">
        <v>1011</v>
      </c>
      <c r="U137" s="85" t="str">
        <f>HYPERLINK("https://pbs.twimg.com/media/FEfClgjVkAkzpMi.jpg")</f>
        <v>https://pbs.twimg.com/media/FEfClgjVkAkzpMi.jpg</v>
      </c>
      <c r="V137" s="85" t="str">
        <f>HYPERLINK("https://pbs.twimg.com/media/FEfClgjVkAkzpMi.jpg")</f>
        <v>https://pbs.twimg.com/media/FEfClgjVkAkzpMi.jpg</v>
      </c>
      <c r="W137" s="84">
        <v>44518.631319444445</v>
      </c>
      <c r="X137" s="90">
        <v>44518</v>
      </c>
      <c r="Y137" s="87" t="s">
        <v>1237</v>
      </c>
      <c r="Z137" s="85" t="str">
        <f>HYPERLINK("https://twitter.com/sefh_/status/1461350759484706824")</f>
        <v>https://twitter.com/sefh_/status/1461350759484706824</v>
      </c>
      <c r="AA137" s="82"/>
      <c r="AB137" s="82"/>
      <c r="AC137" s="87" t="s">
        <v>1550</v>
      </c>
      <c r="AD137" s="87" t="s">
        <v>1810</v>
      </c>
      <c r="AE137" s="82" t="b">
        <v>0</v>
      </c>
      <c r="AF137" s="82">
        <v>5</v>
      </c>
      <c r="AG137" s="87" t="s">
        <v>1818</v>
      </c>
      <c r="AH137" s="82" t="b">
        <v>0</v>
      </c>
      <c r="AI137" s="82" t="s">
        <v>1830</v>
      </c>
      <c r="AJ137" s="82"/>
      <c r="AK137" s="87" t="s">
        <v>1815</v>
      </c>
      <c r="AL137" s="82" t="b">
        <v>0</v>
      </c>
      <c r="AM137" s="82">
        <v>1</v>
      </c>
      <c r="AN137" s="87" t="s">
        <v>1815</v>
      </c>
      <c r="AO137" s="87" t="s">
        <v>1850</v>
      </c>
      <c r="AP137" s="82" t="b">
        <v>0</v>
      </c>
      <c r="AQ137" s="87" t="s">
        <v>1810</v>
      </c>
      <c r="AR137" s="82"/>
      <c r="AS137" s="82">
        <v>0</v>
      </c>
      <c r="AT137" s="82">
        <v>0</v>
      </c>
      <c r="AU137" s="82"/>
      <c r="AV137" s="82"/>
      <c r="AW137" s="82"/>
      <c r="AX137" s="82"/>
      <c r="AY137" s="82"/>
      <c r="AZ137" s="82"/>
      <c r="BA137" s="82"/>
      <c r="BB137" s="82"/>
      <c r="BC137">
        <v>1</v>
      </c>
      <c r="BD137" s="81" t="str">
        <f>REPLACE(INDEX(GroupVertices[Group],MATCH(Edges[[#This Row],[Vertex 1]],GroupVertices[Vertex],0)),1,1,"")</f>
        <v>3</v>
      </c>
      <c r="BE137" s="81" t="str">
        <f>REPLACE(INDEX(GroupVertices[Group],MATCH(Edges[[#This Row],[Vertex 2]],GroupVertices[Vertex],0)),1,1,"")</f>
        <v>3</v>
      </c>
      <c r="BF137" s="49"/>
      <c r="BG137" s="50"/>
      <c r="BH137" s="49"/>
      <c r="BI137" s="50"/>
      <c r="BJ137" s="49"/>
      <c r="BK137" s="50"/>
      <c r="BL137" s="49"/>
      <c r="BM137" s="50"/>
      <c r="BN137" s="49"/>
    </row>
    <row r="138" spans="1:66" ht="15">
      <c r="A138" s="66" t="s">
        <v>325</v>
      </c>
      <c r="B138" s="66" t="s">
        <v>325</v>
      </c>
      <c r="C138" s="67" t="s">
        <v>4510</v>
      </c>
      <c r="D138" s="68">
        <v>3.6363636363636362</v>
      </c>
      <c r="E138" s="69" t="s">
        <v>136</v>
      </c>
      <c r="F138" s="70">
        <v>31.2972972972973</v>
      </c>
      <c r="G138" s="67"/>
      <c r="H138" s="71"/>
      <c r="I138" s="72"/>
      <c r="J138" s="72"/>
      <c r="K138" s="35" t="s">
        <v>65</v>
      </c>
      <c r="L138" s="80">
        <v>138</v>
      </c>
      <c r="M138" s="80"/>
      <c r="N138" s="74"/>
      <c r="O138" s="82" t="s">
        <v>214</v>
      </c>
      <c r="P138" s="84">
        <v>44518.63533564815</v>
      </c>
      <c r="Q138" s="82" t="s">
        <v>634</v>
      </c>
      <c r="R138" s="85" t="str">
        <f>HYPERLINK("https://www.pewtrusts.org/en/research-and-analysis/data-visualizations/2020/antibiotic-resistant-bacteria-is-a-growing-threat?utm_campaign=saveantibiotics&amp;utm_source=twitter&amp;utm_medium=social")</f>
        <v>https://www.pewtrusts.org/en/research-and-analysis/data-visualizations/2020/antibiotic-resistant-bacteria-is-a-growing-threat?utm_campaign=saveantibiotics&amp;utm_source=twitter&amp;utm_medium=social</v>
      </c>
      <c r="S138" s="82" t="s">
        <v>906</v>
      </c>
      <c r="T138" s="87" t="s">
        <v>1012</v>
      </c>
      <c r="U138" s="82"/>
      <c r="V138" s="85" t="str">
        <f>HYPERLINK("https://pbs.twimg.com/profile_images/459039161656152065/and9GDBX_normal.jpeg")</f>
        <v>https://pbs.twimg.com/profile_images/459039161656152065/and9GDBX_normal.jpeg</v>
      </c>
      <c r="W138" s="84">
        <v>44518.63533564815</v>
      </c>
      <c r="X138" s="90">
        <v>44518</v>
      </c>
      <c r="Y138" s="87" t="s">
        <v>1238</v>
      </c>
      <c r="Z138" s="85" t="str">
        <f>HYPERLINK("https://twitter.com/saveantibiotics/status/1461352215902244875")</f>
        <v>https://twitter.com/saveantibiotics/status/1461352215902244875</v>
      </c>
      <c r="AA138" s="82"/>
      <c r="AB138" s="82"/>
      <c r="AC138" s="87" t="s">
        <v>1551</v>
      </c>
      <c r="AD138" s="87" t="s">
        <v>1811</v>
      </c>
      <c r="AE138" s="82" t="b">
        <v>0</v>
      </c>
      <c r="AF138" s="82">
        <v>9</v>
      </c>
      <c r="AG138" s="87" t="s">
        <v>1819</v>
      </c>
      <c r="AH138" s="82" t="b">
        <v>0</v>
      </c>
      <c r="AI138" s="82" t="s">
        <v>1826</v>
      </c>
      <c r="AJ138" s="82"/>
      <c r="AK138" s="87" t="s">
        <v>1815</v>
      </c>
      <c r="AL138" s="82" t="b">
        <v>0</v>
      </c>
      <c r="AM138" s="82">
        <v>4</v>
      </c>
      <c r="AN138" s="87" t="s">
        <v>1815</v>
      </c>
      <c r="AO138" s="87" t="s">
        <v>1850</v>
      </c>
      <c r="AP138" s="82" t="b">
        <v>0</v>
      </c>
      <c r="AQ138" s="87" t="s">
        <v>1811</v>
      </c>
      <c r="AR138" s="82"/>
      <c r="AS138" s="82">
        <v>0</v>
      </c>
      <c r="AT138" s="82">
        <v>0</v>
      </c>
      <c r="AU138" s="82"/>
      <c r="AV138" s="82"/>
      <c r="AW138" s="82"/>
      <c r="AX138" s="82"/>
      <c r="AY138" s="82"/>
      <c r="AZ138" s="82"/>
      <c r="BA138" s="82"/>
      <c r="BB138" s="82"/>
      <c r="BC138">
        <v>2</v>
      </c>
      <c r="BD138" s="81" t="str">
        <f>REPLACE(INDEX(GroupVertices[Group],MATCH(Edges[[#This Row],[Vertex 1]],GroupVertices[Vertex],0)),1,1,"")</f>
        <v>5</v>
      </c>
      <c r="BE138" s="81" t="str">
        <f>REPLACE(INDEX(GroupVertices[Group],MATCH(Edges[[#This Row],[Vertex 2]],GroupVertices[Vertex],0)),1,1,"")</f>
        <v>5</v>
      </c>
      <c r="BF138" s="49">
        <v>1</v>
      </c>
      <c r="BG138" s="50">
        <v>5</v>
      </c>
      <c r="BH138" s="49">
        <v>3</v>
      </c>
      <c r="BI138" s="50">
        <v>15</v>
      </c>
      <c r="BJ138" s="49">
        <v>0</v>
      </c>
      <c r="BK138" s="50">
        <v>0</v>
      </c>
      <c r="BL138" s="49">
        <v>16</v>
      </c>
      <c r="BM138" s="50">
        <v>80</v>
      </c>
      <c r="BN138" s="49">
        <v>20</v>
      </c>
    </row>
    <row r="139" spans="1:66" ht="15">
      <c r="A139" s="66" t="s">
        <v>325</v>
      </c>
      <c r="B139" s="66" t="s">
        <v>325</v>
      </c>
      <c r="C139" s="67" t="s">
        <v>4510</v>
      </c>
      <c r="D139" s="68">
        <v>3.6363636363636362</v>
      </c>
      <c r="E139" s="69" t="s">
        <v>136</v>
      </c>
      <c r="F139" s="70">
        <v>31.2972972972973</v>
      </c>
      <c r="G139" s="67"/>
      <c r="H139" s="71"/>
      <c r="I139" s="72"/>
      <c r="J139" s="72"/>
      <c r="K139" s="35" t="s">
        <v>65</v>
      </c>
      <c r="L139" s="80">
        <v>139</v>
      </c>
      <c r="M139" s="80"/>
      <c r="N139" s="74"/>
      <c r="O139" s="82" t="s">
        <v>214</v>
      </c>
      <c r="P139" s="84">
        <v>44518.663310185184</v>
      </c>
      <c r="Q139" s="82" t="s">
        <v>635</v>
      </c>
      <c r="R139" s="85" t="str">
        <f>HYPERLINK("https://www.pewtrusts.org/en/research-and-analysis/articles/2020/04/15/the-invaluable-role-of-antibiotics-in-a-pandemic-and-beyond?utm_campaign=saveantibiotics&amp;utm_source=twitter&amp;utm_medium=social")</f>
        <v>https://www.pewtrusts.org/en/research-and-analysis/articles/2020/04/15/the-invaluable-role-of-antibiotics-in-a-pandemic-and-beyond?utm_campaign=saveantibiotics&amp;utm_source=twitter&amp;utm_medium=social</v>
      </c>
      <c r="S139" s="82" t="s">
        <v>906</v>
      </c>
      <c r="T139" s="87" t="s">
        <v>1013</v>
      </c>
      <c r="U139" s="82"/>
      <c r="V139" s="85" t="str">
        <f>HYPERLINK("https://pbs.twimg.com/profile_images/459039161656152065/and9GDBX_normal.jpeg")</f>
        <v>https://pbs.twimg.com/profile_images/459039161656152065/and9GDBX_normal.jpeg</v>
      </c>
      <c r="W139" s="84">
        <v>44518.663310185184</v>
      </c>
      <c r="X139" s="90">
        <v>44518</v>
      </c>
      <c r="Y139" s="87" t="s">
        <v>1239</v>
      </c>
      <c r="Z139" s="85" t="str">
        <f>HYPERLINK("https://twitter.com/saveantibiotics/status/1461362355246223363")</f>
        <v>https://twitter.com/saveantibiotics/status/1461362355246223363</v>
      </c>
      <c r="AA139" s="82"/>
      <c r="AB139" s="82"/>
      <c r="AC139" s="87" t="s">
        <v>1552</v>
      </c>
      <c r="AD139" s="87" t="s">
        <v>1812</v>
      </c>
      <c r="AE139" s="82" t="b">
        <v>0</v>
      </c>
      <c r="AF139" s="82">
        <v>2</v>
      </c>
      <c r="AG139" s="87" t="s">
        <v>1819</v>
      </c>
      <c r="AH139" s="82" t="b">
        <v>0</v>
      </c>
      <c r="AI139" s="82" t="s">
        <v>1826</v>
      </c>
      <c r="AJ139" s="82"/>
      <c r="AK139" s="87" t="s">
        <v>1815</v>
      </c>
      <c r="AL139" s="82" t="b">
        <v>0</v>
      </c>
      <c r="AM139" s="82">
        <v>1</v>
      </c>
      <c r="AN139" s="87" t="s">
        <v>1815</v>
      </c>
      <c r="AO139" s="87" t="s">
        <v>1850</v>
      </c>
      <c r="AP139" s="82" t="b">
        <v>0</v>
      </c>
      <c r="AQ139" s="87" t="s">
        <v>1812</v>
      </c>
      <c r="AR139" s="82"/>
      <c r="AS139" s="82">
        <v>0</v>
      </c>
      <c r="AT139" s="82">
        <v>0</v>
      </c>
      <c r="AU139" s="82"/>
      <c r="AV139" s="82"/>
      <c r="AW139" s="82"/>
      <c r="AX139" s="82"/>
      <c r="AY139" s="82"/>
      <c r="AZ139" s="82"/>
      <c r="BA139" s="82"/>
      <c r="BB139" s="82"/>
      <c r="BC139">
        <v>2</v>
      </c>
      <c r="BD139" s="81" t="str">
        <f>REPLACE(INDEX(GroupVertices[Group],MATCH(Edges[[#This Row],[Vertex 1]],GroupVertices[Vertex],0)),1,1,"")</f>
        <v>5</v>
      </c>
      <c r="BE139" s="81" t="str">
        <f>REPLACE(INDEX(GroupVertices[Group],MATCH(Edges[[#This Row],[Vertex 2]],GroupVertices[Vertex],0)),1,1,"")</f>
        <v>5</v>
      </c>
      <c r="BF139" s="49">
        <v>1</v>
      </c>
      <c r="BG139" s="50">
        <v>3.8461538461538463</v>
      </c>
      <c r="BH139" s="49">
        <v>1</v>
      </c>
      <c r="BI139" s="50">
        <v>3.8461538461538463</v>
      </c>
      <c r="BJ139" s="49">
        <v>0</v>
      </c>
      <c r="BK139" s="50">
        <v>0</v>
      </c>
      <c r="BL139" s="49">
        <v>24</v>
      </c>
      <c r="BM139" s="50">
        <v>92.3076923076923</v>
      </c>
      <c r="BN139" s="49">
        <v>26</v>
      </c>
    </row>
    <row r="140" spans="1:66" ht="15">
      <c r="A140" s="66" t="s">
        <v>325</v>
      </c>
      <c r="B140" s="66" t="s">
        <v>427</v>
      </c>
      <c r="C140" s="67" t="s">
        <v>4509</v>
      </c>
      <c r="D140" s="68">
        <v>3</v>
      </c>
      <c r="E140" s="69" t="s">
        <v>132</v>
      </c>
      <c r="F140" s="70">
        <v>32</v>
      </c>
      <c r="G140" s="67"/>
      <c r="H140" s="71"/>
      <c r="I140" s="72"/>
      <c r="J140" s="72"/>
      <c r="K140" s="35" t="s">
        <v>65</v>
      </c>
      <c r="L140" s="80">
        <v>140</v>
      </c>
      <c r="M140" s="80"/>
      <c r="N140" s="74"/>
      <c r="O140" s="82" t="s">
        <v>528</v>
      </c>
      <c r="P140" s="84">
        <v>44518.62533564815</v>
      </c>
      <c r="Q140" s="82" t="s">
        <v>636</v>
      </c>
      <c r="R140" s="85" t="str">
        <f>HYPERLINK("https://www.cdc.gov/drugresistance/covid19.html")</f>
        <v>https://www.cdc.gov/drugresistance/covid19.html</v>
      </c>
      <c r="S140" s="82" t="s">
        <v>903</v>
      </c>
      <c r="T140" s="87" t="s">
        <v>956</v>
      </c>
      <c r="U140" s="85" t="str">
        <f>HYPERLINK("https://pbs.twimg.com/media/FEfAGtWUcBM1Bc1.jpg")</f>
        <v>https://pbs.twimg.com/media/FEfAGtWUcBM1Bc1.jpg</v>
      </c>
      <c r="V140" s="85" t="str">
        <f>HYPERLINK("https://pbs.twimg.com/media/FEfAGtWUcBM1Bc1.jpg")</f>
        <v>https://pbs.twimg.com/media/FEfAGtWUcBM1Bc1.jpg</v>
      </c>
      <c r="W140" s="84">
        <v>44518.62533564815</v>
      </c>
      <c r="X140" s="90">
        <v>44518</v>
      </c>
      <c r="Y140" s="87" t="s">
        <v>1240</v>
      </c>
      <c r="Z140" s="85" t="str">
        <f>HYPERLINK("https://twitter.com/saveantibiotics/status/1461348590412963854")</f>
        <v>https://twitter.com/saveantibiotics/status/1461348590412963854</v>
      </c>
      <c r="AA140" s="82"/>
      <c r="AB140" s="82"/>
      <c r="AC140" s="87" t="s">
        <v>1553</v>
      </c>
      <c r="AD140" s="82"/>
      <c r="AE140" s="82" t="b">
        <v>0</v>
      </c>
      <c r="AF140" s="82">
        <v>22</v>
      </c>
      <c r="AG140" s="87" t="s">
        <v>1815</v>
      </c>
      <c r="AH140" s="82" t="b">
        <v>0</v>
      </c>
      <c r="AI140" s="82" t="s">
        <v>1826</v>
      </c>
      <c r="AJ140" s="82"/>
      <c r="AK140" s="87" t="s">
        <v>1815</v>
      </c>
      <c r="AL140" s="82" t="b">
        <v>0</v>
      </c>
      <c r="AM140" s="82">
        <v>8</v>
      </c>
      <c r="AN140" s="87" t="s">
        <v>1815</v>
      </c>
      <c r="AO140" s="87" t="s">
        <v>1850</v>
      </c>
      <c r="AP140" s="82" t="b">
        <v>0</v>
      </c>
      <c r="AQ140" s="87" t="s">
        <v>1553</v>
      </c>
      <c r="AR140" s="82"/>
      <c r="AS140" s="82">
        <v>0</v>
      </c>
      <c r="AT140" s="82">
        <v>0</v>
      </c>
      <c r="AU140" s="82"/>
      <c r="AV140" s="82"/>
      <c r="AW140" s="82"/>
      <c r="AX140" s="82"/>
      <c r="AY140" s="82"/>
      <c r="AZ140" s="82"/>
      <c r="BA140" s="82"/>
      <c r="BB140" s="82"/>
      <c r="BC140">
        <v>1</v>
      </c>
      <c r="BD140" s="81" t="str">
        <f>REPLACE(INDEX(GroupVertices[Group],MATCH(Edges[[#This Row],[Vertex 1]],GroupVertices[Vertex],0)),1,1,"")</f>
        <v>5</v>
      </c>
      <c r="BE140" s="81" t="str">
        <f>REPLACE(INDEX(GroupVertices[Group],MATCH(Edges[[#This Row],[Vertex 2]],GroupVertices[Vertex],0)),1,1,"")</f>
        <v>5</v>
      </c>
      <c r="BF140" s="49">
        <v>0</v>
      </c>
      <c r="BG140" s="50">
        <v>0</v>
      </c>
      <c r="BH140" s="49">
        <v>1</v>
      </c>
      <c r="BI140" s="50">
        <v>3.225806451612903</v>
      </c>
      <c r="BJ140" s="49">
        <v>0</v>
      </c>
      <c r="BK140" s="50">
        <v>0</v>
      </c>
      <c r="BL140" s="49">
        <v>30</v>
      </c>
      <c r="BM140" s="50">
        <v>96.7741935483871</v>
      </c>
      <c r="BN140" s="49">
        <v>31</v>
      </c>
    </row>
    <row r="141" spans="1:66" ht="15">
      <c r="A141" s="66" t="s">
        <v>326</v>
      </c>
      <c r="B141" s="66" t="s">
        <v>326</v>
      </c>
      <c r="C141" s="67" t="s">
        <v>4509</v>
      </c>
      <c r="D141" s="68">
        <v>3</v>
      </c>
      <c r="E141" s="69" t="s">
        <v>132</v>
      </c>
      <c r="F141" s="70">
        <v>32</v>
      </c>
      <c r="G141" s="67"/>
      <c r="H141" s="71"/>
      <c r="I141" s="72"/>
      <c r="J141" s="72"/>
      <c r="K141" s="35" t="s">
        <v>65</v>
      </c>
      <c r="L141" s="80">
        <v>141</v>
      </c>
      <c r="M141" s="80"/>
      <c r="N141" s="74"/>
      <c r="O141" s="82" t="s">
        <v>214</v>
      </c>
      <c r="P141" s="84">
        <v>44518.626759259256</v>
      </c>
      <c r="Q141" s="82" t="s">
        <v>637</v>
      </c>
      <c r="R141" s="85" t="str">
        <f>HYPERLINK("https://www.who.int/campaigns/world-antimicrobial-awareness-week")</f>
        <v>https://www.who.int/campaigns/world-antimicrobial-awareness-week</v>
      </c>
      <c r="S141" s="82" t="s">
        <v>917</v>
      </c>
      <c r="T141" s="87" t="s">
        <v>996</v>
      </c>
      <c r="U141" s="85" t="str">
        <f>HYPERLINK("https://pbs.twimg.com/media/FEfBRKTUUAs8RTj.jpg")</f>
        <v>https://pbs.twimg.com/media/FEfBRKTUUAs8RTj.jpg</v>
      </c>
      <c r="V141" s="85" t="str">
        <f>HYPERLINK("https://pbs.twimg.com/media/FEfBRKTUUAs8RTj.jpg")</f>
        <v>https://pbs.twimg.com/media/FEfBRKTUUAs8RTj.jpg</v>
      </c>
      <c r="W141" s="84">
        <v>44518.626759259256</v>
      </c>
      <c r="X141" s="90">
        <v>44518</v>
      </c>
      <c r="Y141" s="87" t="s">
        <v>1241</v>
      </c>
      <c r="Z141" s="85" t="str">
        <f>HYPERLINK("https://twitter.com/surreyheartland/status/1461349107373510661")</f>
        <v>https://twitter.com/surreyheartland/status/1461349107373510661</v>
      </c>
      <c r="AA141" s="82"/>
      <c r="AB141" s="82"/>
      <c r="AC141" s="87" t="s">
        <v>1554</v>
      </c>
      <c r="AD141" s="82"/>
      <c r="AE141" s="82" t="b">
        <v>0</v>
      </c>
      <c r="AF141" s="82">
        <v>3</v>
      </c>
      <c r="AG141" s="87" t="s">
        <v>1815</v>
      </c>
      <c r="AH141" s="82" t="b">
        <v>0</v>
      </c>
      <c r="AI141" s="82" t="s">
        <v>1826</v>
      </c>
      <c r="AJ141" s="82"/>
      <c r="AK141" s="87" t="s">
        <v>1815</v>
      </c>
      <c r="AL141" s="82" t="b">
        <v>0</v>
      </c>
      <c r="AM141" s="82">
        <v>0</v>
      </c>
      <c r="AN141" s="87" t="s">
        <v>1815</v>
      </c>
      <c r="AO141" s="87" t="s">
        <v>1854</v>
      </c>
      <c r="AP141" s="82" t="b">
        <v>0</v>
      </c>
      <c r="AQ141" s="87" t="s">
        <v>1554</v>
      </c>
      <c r="AR141" s="82"/>
      <c r="AS141" s="82">
        <v>0</v>
      </c>
      <c r="AT141" s="82">
        <v>0</v>
      </c>
      <c r="AU141" s="82"/>
      <c r="AV141" s="82"/>
      <c r="AW141" s="82"/>
      <c r="AX141" s="82"/>
      <c r="AY141" s="82"/>
      <c r="AZ141" s="82"/>
      <c r="BA141" s="82"/>
      <c r="BB141" s="82"/>
      <c r="BC141">
        <v>1</v>
      </c>
      <c r="BD141" s="81" t="str">
        <f>REPLACE(INDEX(GroupVertices[Group],MATCH(Edges[[#This Row],[Vertex 1]],GroupVertices[Vertex],0)),1,1,"")</f>
        <v>1</v>
      </c>
      <c r="BE141" s="81" t="str">
        <f>REPLACE(INDEX(GroupVertices[Group],MATCH(Edges[[#This Row],[Vertex 2]],GroupVertices[Vertex],0)),1,1,"")</f>
        <v>1</v>
      </c>
      <c r="BF141" s="49">
        <v>0</v>
      </c>
      <c r="BG141" s="50">
        <v>0</v>
      </c>
      <c r="BH141" s="49">
        <v>2</v>
      </c>
      <c r="BI141" s="50">
        <v>6.451612903225806</v>
      </c>
      <c r="BJ141" s="49">
        <v>0</v>
      </c>
      <c r="BK141" s="50">
        <v>0</v>
      </c>
      <c r="BL141" s="49">
        <v>29</v>
      </c>
      <c r="BM141" s="50">
        <v>93.54838709677419</v>
      </c>
      <c r="BN141" s="49">
        <v>31</v>
      </c>
    </row>
    <row r="142" spans="1:66" ht="15">
      <c r="A142" s="66" t="s">
        <v>327</v>
      </c>
      <c r="B142" s="66" t="s">
        <v>327</v>
      </c>
      <c r="C142" s="67" t="s">
        <v>4509</v>
      </c>
      <c r="D142" s="68">
        <v>3</v>
      </c>
      <c r="E142" s="69" t="s">
        <v>132</v>
      </c>
      <c r="F142" s="70">
        <v>32</v>
      </c>
      <c r="G142" s="67"/>
      <c r="H142" s="71"/>
      <c r="I142" s="72"/>
      <c r="J142" s="72"/>
      <c r="K142" s="35" t="s">
        <v>65</v>
      </c>
      <c r="L142" s="80">
        <v>142</v>
      </c>
      <c r="M142" s="80"/>
      <c r="N142" s="74"/>
      <c r="O142" s="82" t="s">
        <v>214</v>
      </c>
      <c r="P142" s="84">
        <v>44518.62701388889</v>
      </c>
      <c r="Q142" s="82" t="s">
        <v>638</v>
      </c>
      <c r="R142" s="82"/>
      <c r="S142" s="82"/>
      <c r="T142" s="87" t="s">
        <v>1014</v>
      </c>
      <c r="U142" s="85" t="str">
        <f>HYPERLINK("https://pbs.twimg.com/media/FEfBWnBVIAc7qr-.png")</f>
        <v>https://pbs.twimg.com/media/FEfBWnBVIAc7qr-.png</v>
      </c>
      <c r="V142" s="85" t="str">
        <f>HYPERLINK("https://pbs.twimg.com/media/FEfBWnBVIAc7qr-.png")</f>
        <v>https://pbs.twimg.com/media/FEfBWnBVIAc7qr-.png</v>
      </c>
      <c r="W142" s="84">
        <v>44518.62701388889</v>
      </c>
      <c r="X142" s="90">
        <v>44518</v>
      </c>
      <c r="Y142" s="87" t="s">
        <v>1242</v>
      </c>
      <c r="Z142" s="85" t="str">
        <f>HYPERLINK("https://twitter.com/phlpublichealth/status/1461349200122171405")</f>
        <v>https://twitter.com/phlpublichealth/status/1461349200122171405</v>
      </c>
      <c r="AA142" s="82"/>
      <c r="AB142" s="82"/>
      <c r="AC142" s="87" t="s">
        <v>1555</v>
      </c>
      <c r="AD142" s="82"/>
      <c r="AE142" s="82" t="b">
        <v>0</v>
      </c>
      <c r="AF142" s="82">
        <v>3</v>
      </c>
      <c r="AG142" s="87" t="s">
        <v>1815</v>
      </c>
      <c r="AH142" s="82" t="b">
        <v>0</v>
      </c>
      <c r="AI142" s="82" t="s">
        <v>1826</v>
      </c>
      <c r="AJ142" s="82"/>
      <c r="AK142" s="87" t="s">
        <v>1815</v>
      </c>
      <c r="AL142" s="82" t="b">
        <v>0</v>
      </c>
      <c r="AM142" s="82">
        <v>3</v>
      </c>
      <c r="AN142" s="87" t="s">
        <v>1815</v>
      </c>
      <c r="AO142" s="87" t="s">
        <v>1854</v>
      </c>
      <c r="AP142" s="82" t="b">
        <v>0</v>
      </c>
      <c r="AQ142" s="87" t="s">
        <v>1555</v>
      </c>
      <c r="AR142" s="82"/>
      <c r="AS142" s="82">
        <v>0</v>
      </c>
      <c r="AT142" s="82">
        <v>0</v>
      </c>
      <c r="AU142" s="82"/>
      <c r="AV142" s="82"/>
      <c r="AW142" s="82"/>
      <c r="AX142" s="82"/>
      <c r="AY142" s="82"/>
      <c r="AZ142" s="82"/>
      <c r="BA142" s="82"/>
      <c r="BB142" s="82"/>
      <c r="BC142">
        <v>1</v>
      </c>
      <c r="BD142" s="81" t="str">
        <f>REPLACE(INDEX(GroupVertices[Group],MATCH(Edges[[#This Row],[Vertex 1]],GroupVertices[Vertex],0)),1,1,"")</f>
        <v>1</v>
      </c>
      <c r="BE142" s="81" t="str">
        <f>REPLACE(INDEX(GroupVertices[Group],MATCH(Edges[[#This Row],[Vertex 2]],GroupVertices[Vertex],0)),1,1,"")</f>
        <v>1</v>
      </c>
      <c r="BF142" s="49">
        <v>1</v>
      </c>
      <c r="BG142" s="50">
        <v>4.545454545454546</v>
      </c>
      <c r="BH142" s="49">
        <v>0</v>
      </c>
      <c r="BI142" s="50">
        <v>0</v>
      </c>
      <c r="BJ142" s="49">
        <v>0</v>
      </c>
      <c r="BK142" s="50">
        <v>0</v>
      </c>
      <c r="BL142" s="49">
        <v>21</v>
      </c>
      <c r="BM142" s="50">
        <v>95.45454545454545</v>
      </c>
      <c r="BN142" s="49">
        <v>22</v>
      </c>
    </row>
    <row r="143" spans="1:66" ht="15">
      <c r="A143" s="66" t="s">
        <v>328</v>
      </c>
      <c r="B143" s="66" t="s">
        <v>328</v>
      </c>
      <c r="C143" s="67" t="s">
        <v>4509</v>
      </c>
      <c r="D143" s="68">
        <v>3</v>
      </c>
      <c r="E143" s="69" t="s">
        <v>132</v>
      </c>
      <c r="F143" s="70">
        <v>32</v>
      </c>
      <c r="G143" s="67"/>
      <c r="H143" s="71"/>
      <c r="I143" s="72"/>
      <c r="J143" s="72"/>
      <c r="K143" s="35" t="s">
        <v>65</v>
      </c>
      <c r="L143" s="80">
        <v>143</v>
      </c>
      <c r="M143" s="80"/>
      <c r="N143" s="74"/>
      <c r="O143" s="82" t="s">
        <v>214</v>
      </c>
      <c r="P143" s="84">
        <v>44518.625972222224</v>
      </c>
      <c r="Q143" s="82" t="s">
        <v>639</v>
      </c>
      <c r="R143" s="82"/>
      <c r="S143" s="82"/>
      <c r="T143" s="87" t="s">
        <v>1015</v>
      </c>
      <c r="U143" s="85" t="str">
        <f>HYPERLINK("https://pbs.twimg.com/media/FEfBAtkVcAYrBY9.jpg")</f>
        <v>https://pbs.twimg.com/media/FEfBAtkVcAYrBY9.jpg</v>
      </c>
      <c r="V143" s="85" t="str">
        <f>HYPERLINK("https://pbs.twimg.com/media/FEfBAtkVcAYrBY9.jpg")</f>
        <v>https://pbs.twimg.com/media/FEfBAtkVcAYrBY9.jpg</v>
      </c>
      <c r="W143" s="84">
        <v>44518.625972222224</v>
      </c>
      <c r="X143" s="90">
        <v>44518</v>
      </c>
      <c r="Y143" s="87" t="s">
        <v>1243</v>
      </c>
      <c r="Z143" s="85" t="str">
        <f>HYPERLINK("https://twitter.com/mountsinaisci/status/1461348824220266513")</f>
        <v>https://twitter.com/mountsinaisci/status/1461348824220266513</v>
      </c>
      <c r="AA143" s="82"/>
      <c r="AB143" s="82"/>
      <c r="AC143" s="87" t="s">
        <v>1556</v>
      </c>
      <c r="AD143" s="82"/>
      <c r="AE143" s="82" t="b">
        <v>0</v>
      </c>
      <c r="AF143" s="82">
        <v>4</v>
      </c>
      <c r="AG143" s="87" t="s">
        <v>1815</v>
      </c>
      <c r="AH143" s="82" t="b">
        <v>0</v>
      </c>
      <c r="AI143" s="82" t="s">
        <v>1826</v>
      </c>
      <c r="AJ143" s="82"/>
      <c r="AK143" s="87" t="s">
        <v>1815</v>
      </c>
      <c r="AL143" s="82" t="b">
        <v>0</v>
      </c>
      <c r="AM143" s="82">
        <v>1</v>
      </c>
      <c r="AN143" s="87" t="s">
        <v>1815</v>
      </c>
      <c r="AO143" s="87" t="s">
        <v>1854</v>
      </c>
      <c r="AP143" s="82" t="b">
        <v>0</v>
      </c>
      <c r="AQ143" s="87" t="s">
        <v>1556</v>
      </c>
      <c r="AR143" s="82"/>
      <c r="AS143" s="82">
        <v>0</v>
      </c>
      <c r="AT143" s="82">
        <v>0</v>
      </c>
      <c r="AU143" s="82"/>
      <c r="AV143" s="82"/>
      <c r="AW143" s="82"/>
      <c r="AX143" s="82"/>
      <c r="AY143" s="82"/>
      <c r="AZ143" s="82"/>
      <c r="BA143" s="82"/>
      <c r="BB143" s="82"/>
      <c r="BC143">
        <v>1</v>
      </c>
      <c r="BD143" s="81" t="str">
        <f>REPLACE(INDEX(GroupVertices[Group],MATCH(Edges[[#This Row],[Vertex 1]],GroupVertices[Vertex],0)),1,1,"")</f>
        <v>1</v>
      </c>
      <c r="BE143" s="81" t="str">
        <f>REPLACE(INDEX(GroupVertices[Group],MATCH(Edges[[#This Row],[Vertex 2]],GroupVertices[Vertex],0)),1,1,"")</f>
        <v>1</v>
      </c>
      <c r="BF143" s="49">
        <v>1</v>
      </c>
      <c r="BG143" s="50">
        <v>2.7777777777777777</v>
      </c>
      <c r="BH143" s="49">
        <v>2</v>
      </c>
      <c r="BI143" s="50">
        <v>5.555555555555555</v>
      </c>
      <c r="BJ143" s="49">
        <v>0</v>
      </c>
      <c r="BK143" s="50">
        <v>0</v>
      </c>
      <c r="BL143" s="49">
        <v>33</v>
      </c>
      <c r="BM143" s="50">
        <v>91.66666666666667</v>
      </c>
      <c r="BN143" s="49">
        <v>36</v>
      </c>
    </row>
    <row r="144" spans="1:66" ht="15">
      <c r="A144" s="66" t="s">
        <v>329</v>
      </c>
      <c r="B144" s="66" t="s">
        <v>329</v>
      </c>
      <c r="C144" s="67" t="s">
        <v>4509</v>
      </c>
      <c r="D144" s="68">
        <v>3</v>
      </c>
      <c r="E144" s="69" t="s">
        <v>132</v>
      </c>
      <c r="F144" s="70">
        <v>32</v>
      </c>
      <c r="G144" s="67"/>
      <c r="H144" s="71"/>
      <c r="I144" s="72"/>
      <c r="J144" s="72"/>
      <c r="K144" s="35" t="s">
        <v>65</v>
      </c>
      <c r="L144" s="80">
        <v>144</v>
      </c>
      <c r="M144" s="80"/>
      <c r="N144" s="74"/>
      <c r="O144" s="82" t="s">
        <v>214</v>
      </c>
      <c r="P144" s="84">
        <v>44518.62552083333</v>
      </c>
      <c r="Q144" s="82" t="s">
        <v>640</v>
      </c>
      <c r="R144" s="85" t="str">
        <f>HYPERLINK("https://www.cdc.gov/drugresistance/covid19.html")</f>
        <v>https://www.cdc.gov/drugresistance/covid19.html</v>
      </c>
      <c r="S144" s="82" t="s">
        <v>903</v>
      </c>
      <c r="T144" s="87" t="s">
        <v>954</v>
      </c>
      <c r="U144" s="82"/>
      <c r="V144" s="85" t="str">
        <f>HYPERLINK("https://pbs.twimg.com/profile_images/1102989510659452928/LtmJ9UF3_normal.png")</f>
        <v>https://pbs.twimg.com/profile_images/1102989510659452928/LtmJ9UF3_normal.png</v>
      </c>
      <c r="W144" s="84">
        <v>44518.62552083333</v>
      </c>
      <c r="X144" s="90">
        <v>44518</v>
      </c>
      <c r="Y144" s="87" t="s">
        <v>1244</v>
      </c>
      <c r="Z144" s="85" t="str">
        <f>HYPERLINK("https://twitter.com/rwjbhpharmacy/status/1461348657530163216")</f>
        <v>https://twitter.com/rwjbhpharmacy/status/1461348657530163216</v>
      </c>
      <c r="AA144" s="82"/>
      <c r="AB144" s="82"/>
      <c r="AC144" s="87" t="s">
        <v>1557</v>
      </c>
      <c r="AD144" s="82"/>
      <c r="AE144" s="82" t="b">
        <v>0</v>
      </c>
      <c r="AF144" s="82">
        <v>5</v>
      </c>
      <c r="AG144" s="87" t="s">
        <v>1815</v>
      </c>
      <c r="AH144" s="82" t="b">
        <v>0</v>
      </c>
      <c r="AI144" s="82" t="s">
        <v>1826</v>
      </c>
      <c r="AJ144" s="82"/>
      <c r="AK144" s="87" t="s">
        <v>1815</v>
      </c>
      <c r="AL144" s="82" t="b">
        <v>0</v>
      </c>
      <c r="AM144" s="82">
        <v>0</v>
      </c>
      <c r="AN144" s="87" t="s">
        <v>1815</v>
      </c>
      <c r="AO144" s="87" t="s">
        <v>1854</v>
      </c>
      <c r="AP144" s="82" t="b">
        <v>0</v>
      </c>
      <c r="AQ144" s="87" t="s">
        <v>1557</v>
      </c>
      <c r="AR144" s="82"/>
      <c r="AS144" s="82">
        <v>0</v>
      </c>
      <c r="AT144" s="82">
        <v>0</v>
      </c>
      <c r="AU144" s="82"/>
      <c r="AV144" s="82"/>
      <c r="AW144" s="82"/>
      <c r="AX144" s="82"/>
      <c r="AY144" s="82"/>
      <c r="AZ144" s="82"/>
      <c r="BA144" s="82"/>
      <c r="BB144" s="82"/>
      <c r="BC144">
        <v>1</v>
      </c>
      <c r="BD144" s="81" t="str">
        <f>REPLACE(INDEX(GroupVertices[Group],MATCH(Edges[[#This Row],[Vertex 1]],GroupVertices[Vertex],0)),1,1,"")</f>
        <v>1</v>
      </c>
      <c r="BE144" s="81" t="str">
        <f>REPLACE(INDEX(GroupVertices[Group],MATCH(Edges[[#This Row],[Vertex 2]],GroupVertices[Vertex],0)),1,1,"")</f>
        <v>1</v>
      </c>
      <c r="BF144" s="49">
        <v>0</v>
      </c>
      <c r="BG144" s="50">
        <v>0</v>
      </c>
      <c r="BH144" s="49">
        <v>1</v>
      </c>
      <c r="BI144" s="50">
        <v>3.0303030303030303</v>
      </c>
      <c r="BJ144" s="49">
        <v>0</v>
      </c>
      <c r="BK144" s="50">
        <v>0</v>
      </c>
      <c r="BL144" s="49">
        <v>32</v>
      </c>
      <c r="BM144" s="50">
        <v>96.96969696969697</v>
      </c>
      <c r="BN144" s="49">
        <v>33</v>
      </c>
    </row>
    <row r="145" spans="1:66" ht="15">
      <c r="A145" s="66" t="s">
        <v>330</v>
      </c>
      <c r="B145" s="66" t="s">
        <v>330</v>
      </c>
      <c r="C145" s="67" t="s">
        <v>4510</v>
      </c>
      <c r="D145" s="68">
        <v>3.6363636363636362</v>
      </c>
      <c r="E145" s="69" t="s">
        <v>136</v>
      </c>
      <c r="F145" s="70">
        <v>31.2972972972973</v>
      </c>
      <c r="G145" s="67"/>
      <c r="H145" s="71"/>
      <c r="I145" s="72"/>
      <c r="J145" s="72"/>
      <c r="K145" s="35" t="s">
        <v>65</v>
      </c>
      <c r="L145" s="80">
        <v>145</v>
      </c>
      <c r="M145" s="80"/>
      <c r="N145" s="74"/>
      <c r="O145" s="82" t="s">
        <v>214</v>
      </c>
      <c r="P145" s="84">
        <v>44518.62533564815</v>
      </c>
      <c r="Q145" s="82" t="s">
        <v>641</v>
      </c>
      <c r="R145" s="82"/>
      <c r="S145" s="82"/>
      <c r="T145" s="87" t="s">
        <v>955</v>
      </c>
      <c r="U145" s="85" t="str">
        <f>HYPERLINK("https://pbs.twimg.com/media/FEfAy4RUUAEGfdy.jpg")</f>
        <v>https://pbs.twimg.com/media/FEfAy4RUUAEGfdy.jpg</v>
      </c>
      <c r="V145" s="85" t="str">
        <f>HYPERLINK("https://pbs.twimg.com/media/FEfAy4RUUAEGfdy.jpg")</f>
        <v>https://pbs.twimg.com/media/FEfAy4RUUAEGfdy.jpg</v>
      </c>
      <c r="W145" s="84">
        <v>44518.62533564815</v>
      </c>
      <c r="X145" s="90">
        <v>44518</v>
      </c>
      <c r="Y145" s="87" t="s">
        <v>1240</v>
      </c>
      <c r="Z145" s="85" t="str">
        <f>HYPERLINK("https://twitter.com/nottmhospitals/status/1461348590920429582")</f>
        <v>https://twitter.com/nottmhospitals/status/1461348590920429582</v>
      </c>
      <c r="AA145" s="82"/>
      <c r="AB145" s="82"/>
      <c r="AC145" s="87" t="s">
        <v>1558</v>
      </c>
      <c r="AD145" s="82"/>
      <c r="AE145" s="82" t="b">
        <v>0</v>
      </c>
      <c r="AF145" s="82">
        <v>6</v>
      </c>
      <c r="AG145" s="87" t="s">
        <v>1815</v>
      </c>
      <c r="AH145" s="82" t="b">
        <v>0</v>
      </c>
      <c r="AI145" s="82" t="s">
        <v>1826</v>
      </c>
      <c r="AJ145" s="82"/>
      <c r="AK145" s="87" t="s">
        <v>1815</v>
      </c>
      <c r="AL145" s="82" t="b">
        <v>0</v>
      </c>
      <c r="AM145" s="82">
        <v>2</v>
      </c>
      <c r="AN145" s="87" t="s">
        <v>1815</v>
      </c>
      <c r="AO145" s="87" t="s">
        <v>1856</v>
      </c>
      <c r="AP145" s="82" t="b">
        <v>0</v>
      </c>
      <c r="AQ145" s="87" t="s">
        <v>1558</v>
      </c>
      <c r="AR145" s="82"/>
      <c r="AS145" s="82">
        <v>0</v>
      </c>
      <c r="AT145" s="82">
        <v>0</v>
      </c>
      <c r="AU145" s="82"/>
      <c r="AV145" s="82"/>
      <c r="AW145" s="82"/>
      <c r="AX145" s="82"/>
      <c r="AY145" s="82"/>
      <c r="AZ145" s="82"/>
      <c r="BA145" s="82"/>
      <c r="BB145" s="82"/>
      <c r="BC145">
        <v>2</v>
      </c>
      <c r="BD145" s="81" t="str">
        <f>REPLACE(INDEX(GroupVertices[Group],MATCH(Edges[[#This Row],[Vertex 1]],GroupVertices[Vertex],0)),1,1,"")</f>
        <v>1</v>
      </c>
      <c r="BE145" s="81" t="str">
        <f>REPLACE(INDEX(GroupVertices[Group],MATCH(Edges[[#This Row],[Vertex 2]],GroupVertices[Vertex],0)),1,1,"")</f>
        <v>1</v>
      </c>
      <c r="BF145" s="49">
        <v>0</v>
      </c>
      <c r="BG145" s="50">
        <v>0</v>
      </c>
      <c r="BH145" s="49">
        <v>2</v>
      </c>
      <c r="BI145" s="50">
        <v>6.0606060606060606</v>
      </c>
      <c r="BJ145" s="49">
        <v>0</v>
      </c>
      <c r="BK145" s="50">
        <v>0</v>
      </c>
      <c r="BL145" s="49">
        <v>31</v>
      </c>
      <c r="BM145" s="50">
        <v>93.93939393939394</v>
      </c>
      <c r="BN145" s="49">
        <v>33</v>
      </c>
    </row>
    <row r="146" spans="1:66" ht="15">
      <c r="A146" s="66" t="s">
        <v>330</v>
      </c>
      <c r="B146" s="66" t="s">
        <v>330</v>
      </c>
      <c r="C146" s="67" t="s">
        <v>4510</v>
      </c>
      <c r="D146" s="68">
        <v>3.6363636363636362</v>
      </c>
      <c r="E146" s="69" t="s">
        <v>136</v>
      </c>
      <c r="F146" s="70">
        <v>31.2972972972973</v>
      </c>
      <c r="G146" s="67"/>
      <c r="H146" s="71"/>
      <c r="I146" s="72"/>
      <c r="J146" s="72"/>
      <c r="K146" s="35" t="s">
        <v>65</v>
      </c>
      <c r="L146" s="80">
        <v>146</v>
      </c>
      <c r="M146" s="80"/>
      <c r="N146" s="74"/>
      <c r="O146" s="82" t="s">
        <v>214</v>
      </c>
      <c r="P146" s="84">
        <v>44518.62532407408</v>
      </c>
      <c r="Q146" s="82" t="s">
        <v>642</v>
      </c>
      <c r="R146" s="82"/>
      <c r="S146" s="82"/>
      <c r="T146" s="87" t="s">
        <v>955</v>
      </c>
      <c r="U146" s="85" t="str">
        <f>HYPERLINK("https://pbs.twimg.com/media/FEfAy2-UYBINMhq.jpg")</f>
        <v>https://pbs.twimg.com/media/FEfAy2-UYBINMhq.jpg</v>
      </c>
      <c r="V146" s="85" t="str">
        <f>HYPERLINK("https://pbs.twimg.com/media/FEfAy2-UYBINMhq.jpg")</f>
        <v>https://pbs.twimg.com/media/FEfAy2-UYBINMhq.jpg</v>
      </c>
      <c r="W146" s="84">
        <v>44518.62532407408</v>
      </c>
      <c r="X146" s="90">
        <v>44518</v>
      </c>
      <c r="Y146" s="87" t="s">
        <v>1245</v>
      </c>
      <c r="Z146" s="85" t="str">
        <f>HYPERLINK("https://twitter.com/nottmhospitals/status/1461348588311617541")</f>
        <v>https://twitter.com/nottmhospitals/status/1461348588311617541</v>
      </c>
      <c r="AA146" s="82"/>
      <c r="AB146" s="82"/>
      <c r="AC146" s="87" t="s">
        <v>1559</v>
      </c>
      <c r="AD146" s="82"/>
      <c r="AE146" s="82" t="b">
        <v>0</v>
      </c>
      <c r="AF146" s="82">
        <v>4</v>
      </c>
      <c r="AG146" s="87" t="s">
        <v>1815</v>
      </c>
      <c r="AH146" s="82" t="b">
        <v>0</v>
      </c>
      <c r="AI146" s="82" t="s">
        <v>1826</v>
      </c>
      <c r="AJ146" s="82"/>
      <c r="AK146" s="87" t="s">
        <v>1815</v>
      </c>
      <c r="AL146" s="82" t="b">
        <v>0</v>
      </c>
      <c r="AM146" s="82">
        <v>1</v>
      </c>
      <c r="AN146" s="87" t="s">
        <v>1815</v>
      </c>
      <c r="AO146" s="87" t="s">
        <v>1856</v>
      </c>
      <c r="AP146" s="82" t="b">
        <v>0</v>
      </c>
      <c r="AQ146" s="87" t="s">
        <v>1559</v>
      </c>
      <c r="AR146" s="82"/>
      <c r="AS146" s="82">
        <v>0</v>
      </c>
      <c r="AT146" s="82">
        <v>0</v>
      </c>
      <c r="AU146" s="82"/>
      <c r="AV146" s="82"/>
      <c r="AW146" s="82"/>
      <c r="AX146" s="82"/>
      <c r="AY146" s="82"/>
      <c r="AZ146" s="82"/>
      <c r="BA146" s="82"/>
      <c r="BB146" s="82"/>
      <c r="BC146">
        <v>2</v>
      </c>
      <c r="BD146" s="81" t="str">
        <f>REPLACE(INDEX(GroupVertices[Group],MATCH(Edges[[#This Row],[Vertex 1]],GroupVertices[Vertex],0)),1,1,"")</f>
        <v>1</v>
      </c>
      <c r="BE146" s="81" t="str">
        <f>REPLACE(INDEX(GroupVertices[Group],MATCH(Edges[[#This Row],[Vertex 2]],GroupVertices[Vertex],0)),1,1,"")</f>
        <v>1</v>
      </c>
      <c r="BF146" s="49">
        <v>0</v>
      </c>
      <c r="BG146" s="50">
        <v>0</v>
      </c>
      <c r="BH146" s="49">
        <v>2</v>
      </c>
      <c r="BI146" s="50">
        <v>6.0606060606060606</v>
      </c>
      <c r="BJ146" s="49">
        <v>0</v>
      </c>
      <c r="BK146" s="50">
        <v>0</v>
      </c>
      <c r="BL146" s="49">
        <v>31</v>
      </c>
      <c r="BM146" s="50">
        <v>93.93939393939394</v>
      </c>
      <c r="BN146" s="49">
        <v>33</v>
      </c>
    </row>
    <row r="147" spans="1:66" ht="15">
      <c r="A147" s="66" t="s">
        <v>331</v>
      </c>
      <c r="B147" s="66" t="s">
        <v>331</v>
      </c>
      <c r="C147" s="67" t="s">
        <v>4514</v>
      </c>
      <c r="D147" s="68">
        <v>6.818181818181818</v>
      </c>
      <c r="E147" s="69" t="s">
        <v>136</v>
      </c>
      <c r="F147" s="70">
        <v>27.783783783783782</v>
      </c>
      <c r="G147" s="67"/>
      <c r="H147" s="71"/>
      <c r="I147" s="72"/>
      <c r="J147" s="72"/>
      <c r="K147" s="35" t="s">
        <v>65</v>
      </c>
      <c r="L147" s="80">
        <v>147</v>
      </c>
      <c r="M147" s="80"/>
      <c r="N147" s="74"/>
      <c r="O147" s="82" t="s">
        <v>214</v>
      </c>
      <c r="P147" s="84">
        <v>44518.63518518519</v>
      </c>
      <c r="Q147" s="82" t="s">
        <v>643</v>
      </c>
      <c r="R147" s="82"/>
      <c r="S147" s="82"/>
      <c r="T147" s="87" t="s">
        <v>1016</v>
      </c>
      <c r="U147" s="85" t="str">
        <f>HYPERLINK("https://pbs.twimg.com/media/FEfD6tgVEAcPr0z.png")</f>
        <v>https://pbs.twimg.com/media/FEfD6tgVEAcPr0z.png</v>
      </c>
      <c r="V147" s="85" t="str">
        <f>HYPERLINK("https://pbs.twimg.com/media/FEfD6tgVEAcPr0z.png")</f>
        <v>https://pbs.twimg.com/media/FEfD6tgVEAcPr0z.png</v>
      </c>
      <c r="W147" s="84">
        <v>44518.63518518519</v>
      </c>
      <c r="X147" s="90">
        <v>44518</v>
      </c>
      <c r="Y147" s="87" t="s">
        <v>1246</v>
      </c>
      <c r="Z147" s="85" t="str">
        <f>HYPERLINK("https://twitter.com/myhtams/status/1461352162710065161")</f>
        <v>https://twitter.com/myhtams/status/1461352162710065161</v>
      </c>
      <c r="AA147" s="82"/>
      <c r="AB147" s="82"/>
      <c r="AC147" s="87" t="s">
        <v>1560</v>
      </c>
      <c r="AD147" s="87" t="s">
        <v>1566</v>
      </c>
      <c r="AE147" s="82" t="b">
        <v>0</v>
      </c>
      <c r="AF147" s="82">
        <v>4</v>
      </c>
      <c r="AG147" s="87" t="s">
        <v>1820</v>
      </c>
      <c r="AH147" s="82" t="b">
        <v>0</v>
      </c>
      <c r="AI147" s="82" t="s">
        <v>1826</v>
      </c>
      <c r="AJ147" s="82"/>
      <c r="AK147" s="87" t="s">
        <v>1815</v>
      </c>
      <c r="AL147" s="82" t="b">
        <v>0</v>
      </c>
      <c r="AM147" s="82">
        <v>2</v>
      </c>
      <c r="AN147" s="87" t="s">
        <v>1815</v>
      </c>
      <c r="AO147" s="87" t="s">
        <v>1850</v>
      </c>
      <c r="AP147" s="82" t="b">
        <v>0</v>
      </c>
      <c r="AQ147" s="87" t="s">
        <v>1566</v>
      </c>
      <c r="AR147" s="82"/>
      <c r="AS147" s="82">
        <v>0</v>
      </c>
      <c r="AT147" s="82">
        <v>0</v>
      </c>
      <c r="AU147" s="82"/>
      <c r="AV147" s="82"/>
      <c r="AW147" s="82"/>
      <c r="AX147" s="82"/>
      <c r="AY147" s="82"/>
      <c r="AZ147" s="82"/>
      <c r="BA147" s="82"/>
      <c r="BB147" s="82"/>
      <c r="BC147">
        <v>7</v>
      </c>
      <c r="BD147" s="81" t="str">
        <f>REPLACE(INDEX(GroupVertices[Group],MATCH(Edges[[#This Row],[Vertex 1]],GroupVertices[Vertex],0)),1,1,"")</f>
        <v>1</v>
      </c>
      <c r="BE147" s="81" t="str">
        <f>REPLACE(INDEX(GroupVertices[Group],MATCH(Edges[[#This Row],[Vertex 2]],GroupVertices[Vertex],0)),1,1,"")</f>
        <v>1</v>
      </c>
      <c r="BF147" s="49">
        <v>0</v>
      </c>
      <c r="BG147" s="50">
        <v>0</v>
      </c>
      <c r="BH147" s="49">
        <v>0</v>
      </c>
      <c r="BI147" s="50">
        <v>0</v>
      </c>
      <c r="BJ147" s="49">
        <v>0</v>
      </c>
      <c r="BK147" s="50">
        <v>0</v>
      </c>
      <c r="BL147" s="49">
        <v>19</v>
      </c>
      <c r="BM147" s="50">
        <v>100</v>
      </c>
      <c r="BN147" s="49">
        <v>19</v>
      </c>
    </row>
    <row r="148" spans="1:66" ht="15">
      <c r="A148" s="66" t="s">
        <v>331</v>
      </c>
      <c r="B148" s="66" t="s">
        <v>331</v>
      </c>
      <c r="C148" s="67" t="s">
        <v>4514</v>
      </c>
      <c r="D148" s="68">
        <v>6.818181818181818</v>
      </c>
      <c r="E148" s="69" t="s">
        <v>136</v>
      </c>
      <c r="F148" s="70">
        <v>27.783783783783782</v>
      </c>
      <c r="G148" s="67"/>
      <c r="H148" s="71"/>
      <c r="I148" s="72"/>
      <c r="J148" s="72"/>
      <c r="K148" s="35" t="s">
        <v>65</v>
      </c>
      <c r="L148" s="80">
        <v>148</v>
      </c>
      <c r="M148" s="80"/>
      <c r="N148" s="74"/>
      <c r="O148" s="82" t="s">
        <v>214</v>
      </c>
      <c r="P148" s="84">
        <v>44518.63275462963</v>
      </c>
      <c r="Q148" s="82" t="s">
        <v>644</v>
      </c>
      <c r="R148" s="82"/>
      <c r="S148" s="82"/>
      <c r="T148" s="87" t="s">
        <v>1017</v>
      </c>
      <c r="U148" s="85" t="str">
        <f>HYPERLINK("https://pbs.twimg.com/media/FEfDJcLUcAESC8x.png")</f>
        <v>https://pbs.twimg.com/media/FEfDJcLUcAESC8x.png</v>
      </c>
      <c r="V148" s="85" t="str">
        <f>HYPERLINK("https://pbs.twimg.com/media/FEfDJcLUcAESC8x.png")</f>
        <v>https://pbs.twimg.com/media/FEfDJcLUcAESC8x.png</v>
      </c>
      <c r="W148" s="84">
        <v>44518.63275462963</v>
      </c>
      <c r="X148" s="90">
        <v>44518</v>
      </c>
      <c r="Y148" s="87" t="s">
        <v>1247</v>
      </c>
      <c r="Z148" s="85" t="str">
        <f>HYPERLINK("https://twitter.com/myhtams/status/1461351279616086024")</f>
        <v>https://twitter.com/myhtams/status/1461351279616086024</v>
      </c>
      <c r="AA148" s="82"/>
      <c r="AB148" s="82"/>
      <c r="AC148" s="87" t="s">
        <v>1561</v>
      </c>
      <c r="AD148" s="87" t="s">
        <v>1566</v>
      </c>
      <c r="AE148" s="82" t="b">
        <v>0</v>
      </c>
      <c r="AF148" s="82">
        <v>0</v>
      </c>
      <c r="AG148" s="87" t="s">
        <v>1820</v>
      </c>
      <c r="AH148" s="82" t="b">
        <v>0</v>
      </c>
      <c r="AI148" s="82" t="s">
        <v>1826</v>
      </c>
      <c r="AJ148" s="82"/>
      <c r="AK148" s="87" t="s">
        <v>1815</v>
      </c>
      <c r="AL148" s="82" t="b">
        <v>0</v>
      </c>
      <c r="AM148" s="82">
        <v>0</v>
      </c>
      <c r="AN148" s="87" t="s">
        <v>1815</v>
      </c>
      <c r="AO148" s="87" t="s">
        <v>1850</v>
      </c>
      <c r="AP148" s="82" t="b">
        <v>0</v>
      </c>
      <c r="AQ148" s="87" t="s">
        <v>1566</v>
      </c>
      <c r="AR148" s="82"/>
      <c r="AS148" s="82">
        <v>0</v>
      </c>
      <c r="AT148" s="82">
        <v>0</v>
      </c>
      <c r="AU148" s="82"/>
      <c r="AV148" s="82"/>
      <c r="AW148" s="82"/>
      <c r="AX148" s="82"/>
      <c r="AY148" s="82"/>
      <c r="AZ148" s="82"/>
      <c r="BA148" s="82"/>
      <c r="BB148" s="82"/>
      <c r="BC148">
        <v>7</v>
      </c>
      <c r="BD148" s="81" t="str">
        <f>REPLACE(INDEX(GroupVertices[Group],MATCH(Edges[[#This Row],[Vertex 1]],GroupVertices[Vertex],0)),1,1,"")</f>
        <v>1</v>
      </c>
      <c r="BE148" s="81" t="str">
        <f>REPLACE(INDEX(GroupVertices[Group],MATCH(Edges[[#This Row],[Vertex 2]],GroupVertices[Vertex],0)),1,1,"")</f>
        <v>1</v>
      </c>
      <c r="BF148" s="49">
        <v>1</v>
      </c>
      <c r="BG148" s="50">
        <v>4.761904761904762</v>
      </c>
      <c r="BH148" s="49">
        <v>0</v>
      </c>
      <c r="BI148" s="50">
        <v>0</v>
      </c>
      <c r="BJ148" s="49">
        <v>0</v>
      </c>
      <c r="BK148" s="50">
        <v>0</v>
      </c>
      <c r="BL148" s="49">
        <v>20</v>
      </c>
      <c r="BM148" s="50">
        <v>95.23809523809524</v>
      </c>
      <c r="BN148" s="49">
        <v>21</v>
      </c>
    </row>
    <row r="149" spans="1:66" ht="15">
      <c r="A149" s="66" t="s">
        <v>331</v>
      </c>
      <c r="B149" s="66" t="s">
        <v>331</v>
      </c>
      <c r="C149" s="67" t="s">
        <v>4514</v>
      </c>
      <c r="D149" s="68">
        <v>6.818181818181818</v>
      </c>
      <c r="E149" s="69" t="s">
        <v>136</v>
      </c>
      <c r="F149" s="70">
        <v>27.783783783783782</v>
      </c>
      <c r="G149" s="67"/>
      <c r="H149" s="71"/>
      <c r="I149" s="72"/>
      <c r="J149" s="72"/>
      <c r="K149" s="35" t="s">
        <v>65</v>
      </c>
      <c r="L149" s="80">
        <v>149</v>
      </c>
      <c r="M149" s="80"/>
      <c r="N149" s="74"/>
      <c r="O149" s="82" t="s">
        <v>214</v>
      </c>
      <c r="P149" s="84">
        <v>44518.625497685185</v>
      </c>
      <c r="Q149" s="82" t="s">
        <v>645</v>
      </c>
      <c r="R149" s="82"/>
      <c r="S149" s="82"/>
      <c r="T149" s="87" t="s">
        <v>955</v>
      </c>
      <c r="U149" s="85" t="str">
        <f>HYPERLINK("https://pbs.twimg.com/media/FEfA2JyVEA0-yNQ.jpg")</f>
        <v>https://pbs.twimg.com/media/FEfA2JyVEA0-yNQ.jpg</v>
      </c>
      <c r="V149" s="85" t="str">
        <f>HYPERLINK("https://pbs.twimg.com/media/FEfA2JyVEA0-yNQ.jpg")</f>
        <v>https://pbs.twimg.com/media/FEfA2JyVEA0-yNQ.jpg</v>
      </c>
      <c r="W149" s="84">
        <v>44518.625497685185</v>
      </c>
      <c r="X149" s="90">
        <v>44518</v>
      </c>
      <c r="Y149" s="87" t="s">
        <v>1248</v>
      </c>
      <c r="Z149" s="85" t="str">
        <f>HYPERLINK("https://twitter.com/myhtams/status/1461348649590345741")</f>
        <v>https://twitter.com/myhtams/status/1461348649590345741</v>
      </c>
      <c r="AA149" s="82"/>
      <c r="AB149" s="82"/>
      <c r="AC149" s="87" t="s">
        <v>1562</v>
      </c>
      <c r="AD149" s="82"/>
      <c r="AE149" s="82" t="b">
        <v>0</v>
      </c>
      <c r="AF149" s="82">
        <v>0</v>
      </c>
      <c r="AG149" s="87" t="s">
        <v>1815</v>
      </c>
      <c r="AH149" s="82" t="b">
        <v>0</v>
      </c>
      <c r="AI149" s="82" t="s">
        <v>1826</v>
      </c>
      <c r="AJ149" s="82"/>
      <c r="AK149" s="87" t="s">
        <v>1815</v>
      </c>
      <c r="AL149" s="82" t="b">
        <v>0</v>
      </c>
      <c r="AM149" s="82">
        <v>0</v>
      </c>
      <c r="AN149" s="87" t="s">
        <v>1815</v>
      </c>
      <c r="AO149" s="87" t="s">
        <v>1850</v>
      </c>
      <c r="AP149" s="82" t="b">
        <v>0</v>
      </c>
      <c r="AQ149" s="87" t="s">
        <v>1562</v>
      </c>
      <c r="AR149" s="82"/>
      <c r="AS149" s="82">
        <v>0</v>
      </c>
      <c r="AT149" s="82">
        <v>0</v>
      </c>
      <c r="AU149" s="82"/>
      <c r="AV149" s="82"/>
      <c r="AW149" s="82"/>
      <c r="AX149" s="82"/>
      <c r="AY149" s="82"/>
      <c r="AZ149" s="82"/>
      <c r="BA149" s="82"/>
      <c r="BB149" s="82"/>
      <c r="BC149">
        <v>7</v>
      </c>
      <c r="BD149" s="81" t="str">
        <f>REPLACE(INDEX(GroupVertices[Group],MATCH(Edges[[#This Row],[Vertex 1]],GroupVertices[Vertex],0)),1,1,"")</f>
        <v>1</v>
      </c>
      <c r="BE149" s="81" t="str">
        <f>REPLACE(INDEX(GroupVertices[Group],MATCH(Edges[[#This Row],[Vertex 2]],GroupVertices[Vertex],0)),1,1,"")</f>
        <v>1</v>
      </c>
      <c r="BF149" s="49">
        <v>0</v>
      </c>
      <c r="BG149" s="50">
        <v>0</v>
      </c>
      <c r="BH149" s="49">
        <v>2</v>
      </c>
      <c r="BI149" s="50">
        <v>6.0606060606060606</v>
      </c>
      <c r="BJ149" s="49">
        <v>0</v>
      </c>
      <c r="BK149" s="50">
        <v>0</v>
      </c>
      <c r="BL149" s="49">
        <v>31</v>
      </c>
      <c r="BM149" s="50">
        <v>93.93939393939394</v>
      </c>
      <c r="BN149" s="49">
        <v>33</v>
      </c>
    </row>
    <row r="150" spans="1:66" ht="15">
      <c r="A150" s="66" t="s">
        <v>331</v>
      </c>
      <c r="B150" s="66" t="s">
        <v>331</v>
      </c>
      <c r="C150" s="67" t="s">
        <v>4514</v>
      </c>
      <c r="D150" s="68">
        <v>6.818181818181818</v>
      </c>
      <c r="E150" s="69" t="s">
        <v>136</v>
      </c>
      <c r="F150" s="70">
        <v>27.783783783783782</v>
      </c>
      <c r="G150" s="67"/>
      <c r="H150" s="71"/>
      <c r="I150" s="72"/>
      <c r="J150" s="72"/>
      <c r="K150" s="35" t="s">
        <v>65</v>
      </c>
      <c r="L150" s="80">
        <v>150</v>
      </c>
      <c r="M150" s="80"/>
      <c r="N150" s="74"/>
      <c r="O150" s="82" t="s">
        <v>214</v>
      </c>
      <c r="P150" s="84">
        <v>44518.62725694444</v>
      </c>
      <c r="Q150" s="82" t="s">
        <v>646</v>
      </c>
      <c r="R150" s="82"/>
      <c r="S150" s="82"/>
      <c r="T150" s="87" t="s">
        <v>1016</v>
      </c>
      <c r="U150" s="85" t="str">
        <f>HYPERLINK("https://pbs.twimg.com/media/FEfBL3-VkBM4vO7.png")</f>
        <v>https://pbs.twimg.com/media/FEfBL3-VkBM4vO7.png</v>
      </c>
      <c r="V150" s="85" t="str">
        <f>HYPERLINK("https://pbs.twimg.com/media/FEfBL3-VkBM4vO7.png")</f>
        <v>https://pbs.twimg.com/media/FEfBL3-VkBM4vO7.png</v>
      </c>
      <c r="W150" s="84">
        <v>44518.62725694444</v>
      </c>
      <c r="X150" s="90">
        <v>44518</v>
      </c>
      <c r="Y150" s="87" t="s">
        <v>1249</v>
      </c>
      <c r="Z150" s="85" t="str">
        <f>HYPERLINK("https://twitter.com/myhtams/status/1461349289033015304")</f>
        <v>https://twitter.com/myhtams/status/1461349289033015304</v>
      </c>
      <c r="AA150" s="82"/>
      <c r="AB150" s="82"/>
      <c r="AC150" s="87" t="s">
        <v>1563</v>
      </c>
      <c r="AD150" s="87" t="s">
        <v>1562</v>
      </c>
      <c r="AE150" s="82" t="b">
        <v>0</v>
      </c>
      <c r="AF150" s="82">
        <v>2</v>
      </c>
      <c r="AG150" s="87" t="s">
        <v>1820</v>
      </c>
      <c r="AH150" s="82" t="b">
        <v>0</v>
      </c>
      <c r="AI150" s="82" t="s">
        <v>1826</v>
      </c>
      <c r="AJ150" s="82"/>
      <c r="AK150" s="87" t="s">
        <v>1815</v>
      </c>
      <c r="AL150" s="82" t="b">
        <v>0</v>
      </c>
      <c r="AM150" s="82">
        <v>0</v>
      </c>
      <c r="AN150" s="87" t="s">
        <v>1815</v>
      </c>
      <c r="AO150" s="87" t="s">
        <v>1850</v>
      </c>
      <c r="AP150" s="82" t="b">
        <v>0</v>
      </c>
      <c r="AQ150" s="87" t="s">
        <v>1562</v>
      </c>
      <c r="AR150" s="82"/>
      <c r="AS150" s="82">
        <v>0</v>
      </c>
      <c r="AT150" s="82">
        <v>0</v>
      </c>
      <c r="AU150" s="82"/>
      <c r="AV150" s="82"/>
      <c r="AW150" s="82"/>
      <c r="AX150" s="82"/>
      <c r="AY150" s="82"/>
      <c r="AZ150" s="82"/>
      <c r="BA150" s="82"/>
      <c r="BB150" s="82"/>
      <c r="BC150">
        <v>7</v>
      </c>
      <c r="BD150" s="81" t="str">
        <f>REPLACE(INDEX(GroupVertices[Group],MATCH(Edges[[#This Row],[Vertex 1]],GroupVertices[Vertex],0)),1,1,"")</f>
        <v>1</v>
      </c>
      <c r="BE150" s="81" t="str">
        <f>REPLACE(INDEX(GroupVertices[Group],MATCH(Edges[[#This Row],[Vertex 2]],GroupVertices[Vertex],0)),1,1,"")</f>
        <v>1</v>
      </c>
      <c r="BF150" s="49">
        <v>0</v>
      </c>
      <c r="BG150" s="50">
        <v>0</v>
      </c>
      <c r="BH150" s="49">
        <v>0</v>
      </c>
      <c r="BI150" s="50">
        <v>0</v>
      </c>
      <c r="BJ150" s="49">
        <v>0</v>
      </c>
      <c r="BK150" s="50">
        <v>0</v>
      </c>
      <c r="BL150" s="49">
        <v>19</v>
      </c>
      <c r="BM150" s="50">
        <v>100</v>
      </c>
      <c r="BN150" s="49">
        <v>19</v>
      </c>
    </row>
    <row r="151" spans="1:66" ht="15">
      <c r="A151" s="66" t="s">
        <v>331</v>
      </c>
      <c r="B151" s="66" t="s">
        <v>331</v>
      </c>
      <c r="C151" s="67" t="s">
        <v>4514</v>
      </c>
      <c r="D151" s="68">
        <v>6.818181818181818</v>
      </c>
      <c r="E151" s="69" t="s">
        <v>136</v>
      </c>
      <c r="F151" s="70">
        <v>27.783783783783782</v>
      </c>
      <c r="G151" s="67"/>
      <c r="H151" s="71"/>
      <c r="I151" s="72"/>
      <c r="J151" s="72"/>
      <c r="K151" s="35" t="s">
        <v>65</v>
      </c>
      <c r="L151" s="80">
        <v>151</v>
      </c>
      <c r="M151" s="80"/>
      <c r="N151" s="74"/>
      <c r="O151" s="82" t="s">
        <v>214</v>
      </c>
      <c r="P151" s="84">
        <v>44518.629479166666</v>
      </c>
      <c r="Q151" s="82" t="s">
        <v>647</v>
      </c>
      <c r="R151" s="82"/>
      <c r="S151" s="82"/>
      <c r="T151" s="87" t="s">
        <v>1016</v>
      </c>
      <c r="U151" s="85" t="str">
        <f>HYPERLINK("https://pbs.twimg.com/media/FEfCEf3VkAcI-jh.png")</f>
        <v>https://pbs.twimg.com/media/FEfCEf3VkAcI-jh.png</v>
      </c>
      <c r="V151" s="85" t="str">
        <f>HYPERLINK("https://pbs.twimg.com/media/FEfCEf3VkAcI-jh.png")</f>
        <v>https://pbs.twimg.com/media/FEfCEf3VkAcI-jh.png</v>
      </c>
      <c r="W151" s="84">
        <v>44518.629479166666</v>
      </c>
      <c r="X151" s="90">
        <v>44518</v>
      </c>
      <c r="Y151" s="87" t="s">
        <v>1250</v>
      </c>
      <c r="Z151" s="85" t="str">
        <f>HYPERLINK("https://twitter.com/myhtams/status/1461350092154101780")</f>
        <v>https://twitter.com/myhtams/status/1461350092154101780</v>
      </c>
      <c r="AA151" s="82"/>
      <c r="AB151" s="82"/>
      <c r="AC151" s="87" t="s">
        <v>1564</v>
      </c>
      <c r="AD151" s="87" t="s">
        <v>1563</v>
      </c>
      <c r="AE151" s="82" t="b">
        <v>0</v>
      </c>
      <c r="AF151" s="82">
        <v>1</v>
      </c>
      <c r="AG151" s="87" t="s">
        <v>1820</v>
      </c>
      <c r="AH151" s="82" t="b">
        <v>0</v>
      </c>
      <c r="AI151" s="82" t="s">
        <v>1826</v>
      </c>
      <c r="AJ151" s="82"/>
      <c r="AK151" s="87" t="s">
        <v>1815</v>
      </c>
      <c r="AL151" s="82" t="b">
        <v>0</v>
      </c>
      <c r="AM151" s="82">
        <v>0</v>
      </c>
      <c r="AN151" s="87" t="s">
        <v>1815</v>
      </c>
      <c r="AO151" s="87" t="s">
        <v>1850</v>
      </c>
      <c r="AP151" s="82" t="b">
        <v>0</v>
      </c>
      <c r="AQ151" s="87" t="s">
        <v>1563</v>
      </c>
      <c r="AR151" s="82"/>
      <c r="AS151" s="82">
        <v>0</v>
      </c>
      <c r="AT151" s="82">
        <v>0</v>
      </c>
      <c r="AU151" s="82"/>
      <c r="AV151" s="82"/>
      <c r="AW151" s="82"/>
      <c r="AX151" s="82"/>
      <c r="AY151" s="82"/>
      <c r="AZ151" s="82"/>
      <c r="BA151" s="82"/>
      <c r="BB151" s="82"/>
      <c r="BC151">
        <v>7</v>
      </c>
      <c r="BD151" s="81" t="str">
        <f>REPLACE(INDEX(GroupVertices[Group],MATCH(Edges[[#This Row],[Vertex 1]],GroupVertices[Vertex],0)),1,1,"")</f>
        <v>1</v>
      </c>
      <c r="BE151" s="81" t="str">
        <f>REPLACE(INDEX(GroupVertices[Group],MATCH(Edges[[#This Row],[Vertex 2]],GroupVertices[Vertex],0)),1,1,"")</f>
        <v>1</v>
      </c>
      <c r="BF151" s="49">
        <v>0</v>
      </c>
      <c r="BG151" s="50">
        <v>0</v>
      </c>
      <c r="BH151" s="49">
        <v>0</v>
      </c>
      <c r="BI151" s="50">
        <v>0</v>
      </c>
      <c r="BJ151" s="49">
        <v>0</v>
      </c>
      <c r="BK151" s="50">
        <v>0</v>
      </c>
      <c r="BL151" s="49">
        <v>18</v>
      </c>
      <c r="BM151" s="50">
        <v>100</v>
      </c>
      <c r="BN151" s="49">
        <v>18</v>
      </c>
    </row>
    <row r="152" spans="1:66" ht="15">
      <c r="A152" s="66" t="s">
        <v>331</v>
      </c>
      <c r="B152" s="66" t="s">
        <v>331</v>
      </c>
      <c r="C152" s="67" t="s">
        <v>4514</v>
      </c>
      <c r="D152" s="68">
        <v>6.818181818181818</v>
      </c>
      <c r="E152" s="69" t="s">
        <v>136</v>
      </c>
      <c r="F152" s="70">
        <v>27.783783783783782</v>
      </c>
      <c r="G152" s="67"/>
      <c r="H152" s="71"/>
      <c r="I152" s="72"/>
      <c r="J152" s="72"/>
      <c r="K152" s="35" t="s">
        <v>65</v>
      </c>
      <c r="L152" s="80">
        <v>152</v>
      </c>
      <c r="M152" s="80"/>
      <c r="N152" s="74"/>
      <c r="O152" s="82" t="s">
        <v>214</v>
      </c>
      <c r="P152" s="84">
        <v>44518.63554398148</v>
      </c>
      <c r="Q152" s="82" t="s">
        <v>648</v>
      </c>
      <c r="R152" s="82"/>
      <c r="S152" s="82"/>
      <c r="T152" s="87" t="s">
        <v>1016</v>
      </c>
      <c r="U152" s="85" t="str">
        <f>HYPERLINK("https://pbs.twimg.com/media/FEfEHB3UUBE62zP.png")</f>
        <v>https://pbs.twimg.com/media/FEfEHB3UUBE62zP.png</v>
      </c>
      <c r="V152" s="85" t="str">
        <f>HYPERLINK("https://pbs.twimg.com/media/FEfEHB3UUBE62zP.png")</f>
        <v>https://pbs.twimg.com/media/FEfEHB3UUBE62zP.png</v>
      </c>
      <c r="W152" s="84">
        <v>44518.63554398148</v>
      </c>
      <c r="X152" s="90">
        <v>44518</v>
      </c>
      <c r="Y152" s="87" t="s">
        <v>1251</v>
      </c>
      <c r="Z152" s="85" t="str">
        <f>HYPERLINK("https://twitter.com/myhtams/status/1461352289239633921")</f>
        <v>https://twitter.com/myhtams/status/1461352289239633921</v>
      </c>
      <c r="AA152" s="82"/>
      <c r="AB152" s="82"/>
      <c r="AC152" s="87" t="s">
        <v>1565</v>
      </c>
      <c r="AD152" s="87" t="s">
        <v>1560</v>
      </c>
      <c r="AE152" s="82" t="b">
        <v>0</v>
      </c>
      <c r="AF152" s="82">
        <v>3</v>
      </c>
      <c r="AG152" s="87" t="s">
        <v>1820</v>
      </c>
      <c r="AH152" s="82" t="b">
        <v>0</v>
      </c>
      <c r="AI152" s="82" t="s">
        <v>1826</v>
      </c>
      <c r="AJ152" s="82"/>
      <c r="AK152" s="87" t="s">
        <v>1815</v>
      </c>
      <c r="AL152" s="82" t="b">
        <v>0</v>
      </c>
      <c r="AM152" s="82">
        <v>1</v>
      </c>
      <c r="AN152" s="87" t="s">
        <v>1815</v>
      </c>
      <c r="AO152" s="87" t="s">
        <v>1850</v>
      </c>
      <c r="AP152" s="82" t="b">
        <v>0</v>
      </c>
      <c r="AQ152" s="87" t="s">
        <v>1560</v>
      </c>
      <c r="AR152" s="82"/>
      <c r="AS152" s="82">
        <v>0</v>
      </c>
      <c r="AT152" s="82">
        <v>0</v>
      </c>
      <c r="AU152" s="82"/>
      <c r="AV152" s="82"/>
      <c r="AW152" s="82"/>
      <c r="AX152" s="82"/>
      <c r="AY152" s="82"/>
      <c r="AZ152" s="82"/>
      <c r="BA152" s="82"/>
      <c r="BB152" s="82"/>
      <c r="BC152">
        <v>7</v>
      </c>
      <c r="BD152" s="81" t="str">
        <f>REPLACE(INDEX(GroupVertices[Group],MATCH(Edges[[#This Row],[Vertex 1]],GroupVertices[Vertex],0)),1,1,"")</f>
        <v>1</v>
      </c>
      <c r="BE152" s="81" t="str">
        <f>REPLACE(INDEX(GroupVertices[Group],MATCH(Edges[[#This Row],[Vertex 2]],GroupVertices[Vertex],0)),1,1,"")</f>
        <v>1</v>
      </c>
      <c r="BF152" s="49">
        <v>0</v>
      </c>
      <c r="BG152" s="50">
        <v>0</v>
      </c>
      <c r="BH152" s="49">
        <v>0</v>
      </c>
      <c r="BI152" s="50">
        <v>0</v>
      </c>
      <c r="BJ152" s="49">
        <v>0</v>
      </c>
      <c r="BK152" s="50">
        <v>0</v>
      </c>
      <c r="BL152" s="49">
        <v>19</v>
      </c>
      <c r="BM152" s="50">
        <v>100</v>
      </c>
      <c r="BN152" s="49">
        <v>19</v>
      </c>
    </row>
    <row r="153" spans="1:66" ht="15">
      <c r="A153" s="66" t="s">
        <v>331</v>
      </c>
      <c r="B153" s="66" t="s">
        <v>331</v>
      </c>
      <c r="C153" s="67" t="s">
        <v>4514</v>
      </c>
      <c r="D153" s="68">
        <v>6.818181818181818</v>
      </c>
      <c r="E153" s="69" t="s">
        <v>136</v>
      </c>
      <c r="F153" s="70">
        <v>27.783783783783782</v>
      </c>
      <c r="G153" s="67"/>
      <c r="H153" s="71"/>
      <c r="I153" s="72"/>
      <c r="J153" s="72"/>
      <c r="K153" s="35" t="s">
        <v>65</v>
      </c>
      <c r="L153" s="80">
        <v>153</v>
      </c>
      <c r="M153" s="80"/>
      <c r="N153" s="74"/>
      <c r="O153" s="82" t="s">
        <v>214</v>
      </c>
      <c r="P153" s="84">
        <v>44518.631736111114</v>
      </c>
      <c r="Q153" s="82" t="s">
        <v>649</v>
      </c>
      <c r="R153" s="82"/>
      <c r="S153" s="82"/>
      <c r="T153" s="87" t="s">
        <v>1016</v>
      </c>
      <c r="U153" s="85" t="str">
        <f>HYPERLINK("https://pbs.twimg.com/media/FEfC1GCVEAAVuu6.png")</f>
        <v>https://pbs.twimg.com/media/FEfC1GCVEAAVuu6.png</v>
      </c>
      <c r="V153" s="85" t="str">
        <f>HYPERLINK("https://pbs.twimg.com/media/FEfC1GCVEAAVuu6.png")</f>
        <v>https://pbs.twimg.com/media/FEfC1GCVEAAVuu6.png</v>
      </c>
      <c r="W153" s="84">
        <v>44518.631736111114</v>
      </c>
      <c r="X153" s="90">
        <v>44518</v>
      </c>
      <c r="Y153" s="87" t="s">
        <v>1252</v>
      </c>
      <c r="Z153" s="85" t="str">
        <f>HYPERLINK("https://twitter.com/myhtams/status/1461350909439471621")</f>
        <v>https://twitter.com/myhtams/status/1461350909439471621</v>
      </c>
      <c r="AA153" s="82"/>
      <c r="AB153" s="82"/>
      <c r="AC153" s="87" t="s">
        <v>1566</v>
      </c>
      <c r="AD153" s="87" t="s">
        <v>1564</v>
      </c>
      <c r="AE153" s="82" t="b">
        <v>0</v>
      </c>
      <c r="AF153" s="82">
        <v>3</v>
      </c>
      <c r="AG153" s="87" t="s">
        <v>1820</v>
      </c>
      <c r="AH153" s="82" t="b">
        <v>0</v>
      </c>
      <c r="AI153" s="82" t="s">
        <v>1826</v>
      </c>
      <c r="AJ153" s="82"/>
      <c r="AK153" s="87" t="s">
        <v>1815</v>
      </c>
      <c r="AL153" s="82" t="b">
        <v>0</v>
      </c>
      <c r="AM153" s="82">
        <v>0</v>
      </c>
      <c r="AN153" s="87" t="s">
        <v>1815</v>
      </c>
      <c r="AO153" s="87" t="s">
        <v>1850</v>
      </c>
      <c r="AP153" s="82" t="b">
        <v>0</v>
      </c>
      <c r="AQ153" s="87" t="s">
        <v>1564</v>
      </c>
      <c r="AR153" s="82"/>
      <c r="AS153" s="82">
        <v>0</v>
      </c>
      <c r="AT153" s="82">
        <v>0</v>
      </c>
      <c r="AU153" s="82"/>
      <c r="AV153" s="82"/>
      <c r="AW153" s="82"/>
      <c r="AX153" s="82"/>
      <c r="AY153" s="82"/>
      <c r="AZ153" s="82"/>
      <c r="BA153" s="82"/>
      <c r="BB153" s="82"/>
      <c r="BC153">
        <v>7</v>
      </c>
      <c r="BD153" s="81" t="str">
        <f>REPLACE(INDEX(GroupVertices[Group],MATCH(Edges[[#This Row],[Vertex 1]],GroupVertices[Vertex],0)),1,1,"")</f>
        <v>1</v>
      </c>
      <c r="BE153" s="81" t="str">
        <f>REPLACE(INDEX(GroupVertices[Group],MATCH(Edges[[#This Row],[Vertex 2]],GroupVertices[Vertex],0)),1,1,"")</f>
        <v>1</v>
      </c>
      <c r="BF153" s="49">
        <v>0</v>
      </c>
      <c r="BG153" s="50">
        <v>0</v>
      </c>
      <c r="BH153" s="49">
        <v>0</v>
      </c>
      <c r="BI153" s="50">
        <v>0</v>
      </c>
      <c r="BJ153" s="49">
        <v>0</v>
      </c>
      <c r="BK153" s="50">
        <v>0</v>
      </c>
      <c r="BL153" s="49">
        <v>17</v>
      </c>
      <c r="BM153" s="50">
        <v>100</v>
      </c>
      <c r="BN153" s="49">
        <v>17</v>
      </c>
    </row>
    <row r="154" spans="1:66" ht="15">
      <c r="A154" s="66" t="s">
        <v>332</v>
      </c>
      <c r="B154" s="66" t="s">
        <v>332</v>
      </c>
      <c r="C154" s="67" t="s">
        <v>4509</v>
      </c>
      <c r="D154" s="68">
        <v>3</v>
      </c>
      <c r="E154" s="69" t="s">
        <v>132</v>
      </c>
      <c r="F154" s="70">
        <v>32</v>
      </c>
      <c r="G154" s="67"/>
      <c r="H154" s="71"/>
      <c r="I154" s="72"/>
      <c r="J154" s="72"/>
      <c r="K154" s="35" t="s">
        <v>65</v>
      </c>
      <c r="L154" s="80">
        <v>154</v>
      </c>
      <c r="M154" s="80"/>
      <c r="N154" s="74"/>
      <c r="O154" s="82" t="s">
        <v>214</v>
      </c>
      <c r="P154" s="84">
        <v>44518.64357638889</v>
      </c>
      <c r="Q154" s="82" t="s">
        <v>650</v>
      </c>
      <c r="R154" s="82"/>
      <c r="S154" s="82"/>
      <c r="T154" s="87" t="s">
        <v>966</v>
      </c>
      <c r="U154" s="82"/>
      <c r="V154" s="85" t="str">
        <f>HYPERLINK("https://pbs.twimg.com/profile_images/1458365707188686853/xle3QBvN_normal.jpg")</f>
        <v>https://pbs.twimg.com/profile_images/1458365707188686853/xle3QBvN_normal.jpg</v>
      </c>
      <c r="W154" s="84">
        <v>44518.64357638889</v>
      </c>
      <c r="X154" s="90">
        <v>44518</v>
      </c>
      <c r="Y154" s="87" t="s">
        <v>1253</v>
      </c>
      <c r="Z154" s="85" t="str">
        <f>HYPERLINK("https://twitter.com/naveidiftikhar/status/1461355201567158274")</f>
        <v>https://twitter.com/naveidiftikhar/status/1461355201567158274</v>
      </c>
      <c r="AA154" s="82"/>
      <c r="AB154" s="82"/>
      <c r="AC154" s="87" t="s">
        <v>1567</v>
      </c>
      <c r="AD154" s="82"/>
      <c r="AE154" s="82" t="b">
        <v>0</v>
      </c>
      <c r="AF154" s="82">
        <v>0</v>
      </c>
      <c r="AG154" s="87" t="s">
        <v>1815</v>
      </c>
      <c r="AH154" s="82" t="b">
        <v>0</v>
      </c>
      <c r="AI154" s="82" t="s">
        <v>1826</v>
      </c>
      <c r="AJ154" s="82"/>
      <c r="AK154" s="87" t="s">
        <v>1815</v>
      </c>
      <c r="AL154" s="82" t="b">
        <v>0</v>
      </c>
      <c r="AM154" s="82">
        <v>0</v>
      </c>
      <c r="AN154" s="87" t="s">
        <v>1815</v>
      </c>
      <c r="AO154" s="87" t="s">
        <v>1852</v>
      </c>
      <c r="AP154" s="82" t="b">
        <v>0</v>
      </c>
      <c r="AQ154" s="87" t="s">
        <v>1567</v>
      </c>
      <c r="AR154" s="82"/>
      <c r="AS154" s="82">
        <v>0</v>
      </c>
      <c r="AT154" s="82">
        <v>0</v>
      </c>
      <c r="AU154" s="82"/>
      <c r="AV154" s="82"/>
      <c r="AW154" s="82"/>
      <c r="AX154" s="82"/>
      <c r="AY154" s="82"/>
      <c r="AZ154" s="82"/>
      <c r="BA154" s="82"/>
      <c r="BB154" s="82"/>
      <c r="BC154">
        <v>1</v>
      </c>
      <c r="BD154" s="81" t="str">
        <f>REPLACE(INDEX(GroupVertices[Group],MATCH(Edges[[#This Row],[Vertex 1]],GroupVertices[Vertex],0)),1,1,"")</f>
        <v>1</v>
      </c>
      <c r="BE154" s="81" t="str">
        <f>REPLACE(INDEX(GroupVertices[Group],MATCH(Edges[[#This Row],[Vertex 2]],GroupVertices[Vertex],0)),1,1,"")</f>
        <v>1</v>
      </c>
      <c r="BF154" s="49">
        <v>0</v>
      </c>
      <c r="BG154" s="50">
        <v>0</v>
      </c>
      <c r="BH154" s="49">
        <v>4</v>
      </c>
      <c r="BI154" s="50">
        <v>14.285714285714286</v>
      </c>
      <c r="BJ154" s="49">
        <v>0</v>
      </c>
      <c r="BK154" s="50">
        <v>0</v>
      </c>
      <c r="BL154" s="49">
        <v>24</v>
      </c>
      <c r="BM154" s="50">
        <v>85.71428571428571</v>
      </c>
      <c r="BN154" s="49">
        <v>28</v>
      </c>
    </row>
    <row r="155" spans="1:66" ht="15">
      <c r="A155" s="66" t="s">
        <v>333</v>
      </c>
      <c r="B155" s="66" t="s">
        <v>333</v>
      </c>
      <c r="C155" s="67" t="s">
        <v>4515</v>
      </c>
      <c r="D155" s="68">
        <v>4.909090909090909</v>
      </c>
      <c r="E155" s="69" t="s">
        <v>136</v>
      </c>
      <c r="F155" s="70">
        <v>29.89189189189189</v>
      </c>
      <c r="G155" s="67"/>
      <c r="H155" s="71"/>
      <c r="I155" s="72"/>
      <c r="J155" s="72"/>
      <c r="K155" s="35" t="s">
        <v>65</v>
      </c>
      <c r="L155" s="80">
        <v>155</v>
      </c>
      <c r="M155" s="80"/>
      <c r="N155" s="74"/>
      <c r="O155" s="82" t="s">
        <v>214</v>
      </c>
      <c r="P155" s="84">
        <v>44518.65478009259</v>
      </c>
      <c r="Q155" s="82" t="s">
        <v>651</v>
      </c>
      <c r="R155" s="85" t="str">
        <f>HYPERLINK("https://www.spcr.nihr.ac.uk/projects/understanding-medical-and-non-medical-antibiotic-prescribing-for-respiratory-tract-infections-in-primary-care-out-of-hours-services-a-qualitative-analysis")</f>
        <v>https://www.spcr.nihr.ac.uk/projects/understanding-medical-and-non-medical-antibiotic-prescribing-for-respiratory-tract-infections-in-primary-care-out-of-hours-services-a-qualitative-analysis</v>
      </c>
      <c r="S155" s="82" t="s">
        <v>905</v>
      </c>
      <c r="T155" s="87" t="s">
        <v>1018</v>
      </c>
      <c r="U155" s="82"/>
      <c r="V155" s="85" t="str">
        <f>HYPERLINK("https://pbs.twimg.com/profile_images/1138360280524701696/_5XbDhIY_normal.png")</f>
        <v>https://pbs.twimg.com/profile_images/1138360280524701696/_5XbDhIY_normal.png</v>
      </c>
      <c r="W155" s="84">
        <v>44518.65478009259</v>
      </c>
      <c r="X155" s="90">
        <v>44518</v>
      </c>
      <c r="Y155" s="87" t="s">
        <v>1254</v>
      </c>
      <c r="Z155" s="85" t="str">
        <f>HYPERLINK("https://twitter.com/nihrspcr/status/1461359260936273923")</f>
        <v>https://twitter.com/nihrspcr/status/1461359260936273923</v>
      </c>
      <c r="AA155" s="82"/>
      <c r="AB155" s="82"/>
      <c r="AC155" s="87" t="s">
        <v>1568</v>
      </c>
      <c r="AD155" s="82"/>
      <c r="AE155" s="82" t="b">
        <v>0</v>
      </c>
      <c r="AF155" s="82">
        <v>2</v>
      </c>
      <c r="AG155" s="87" t="s">
        <v>1815</v>
      </c>
      <c r="AH155" s="82" t="b">
        <v>0</v>
      </c>
      <c r="AI155" s="82" t="s">
        <v>1826</v>
      </c>
      <c r="AJ155" s="82"/>
      <c r="AK155" s="87" t="s">
        <v>1815</v>
      </c>
      <c r="AL155" s="82" t="b">
        <v>0</v>
      </c>
      <c r="AM155" s="82">
        <v>1</v>
      </c>
      <c r="AN155" s="87" t="s">
        <v>1815</v>
      </c>
      <c r="AO155" s="87" t="s">
        <v>1850</v>
      </c>
      <c r="AP155" s="82" t="b">
        <v>0</v>
      </c>
      <c r="AQ155" s="87" t="s">
        <v>1568</v>
      </c>
      <c r="AR155" s="82"/>
      <c r="AS155" s="82">
        <v>0</v>
      </c>
      <c r="AT155" s="82">
        <v>0</v>
      </c>
      <c r="AU155" s="82"/>
      <c r="AV155" s="82"/>
      <c r="AW155" s="82"/>
      <c r="AX155" s="82"/>
      <c r="AY155" s="82"/>
      <c r="AZ155" s="82"/>
      <c r="BA155" s="82"/>
      <c r="BB155" s="82"/>
      <c r="BC155">
        <v>4</v>
      </c>
      <c r="BD155" s="81" t="str">
        <f>REPLACE(INDEX(GroupVertices[Group],MATCH(Edges[[#This Row],[Vertex 1]],GroupVertices[Vertex],0)),1,1,"")</f>
        <v>1</v>
      </c>
      <c r="BE155" s="81" t="str">
        <f>REPLACE(INDEX(GroupVertices[Group],MATCH(Edges[[#This Row],[Vertex 2]],GroupVertices[Vertex],0)),1,1,"")</f>
        <v>1</v>
      </c>
      <c r="BF155" s="49">
        <v>2</v>
      </c>
      <c r="BG155" s="50">
        <v>6.896551724137931</v>
      </c>
      <c r="BH155" s="49">
        <v>0</v>
      </c>
      <c r="BI155" s="50">
        <v>0</v>
      </c>
      <c r="BJ155" s="49">
        <v>0</v>
      </c>
      <c r="BK155" s="50">
        <v>0</v>
      </c>
      <c r="BL155" s="49">
        <v>27</v>
      </c>
      <c r="BM155" s="50">
        <v>93.10344827586206</v>
      </c>
      <c r="BN155" s="49">
        <v>29</v>
      </c>
    </row>
    <row r="156" spans="1:66" ht="15">
      <c r="A156" s="66" t="s">
        <v>333</v>
      </c>
      <c r="B156" s="66" t="s">
        <v>333</v>
      </c>
      <c r="C156" s="67" t="s">
        <v>4515</v>
      </c>
      <c r="D156" s="68">
        <v>4.909090909090909</v>
      </c>
      <c r="E156" s="69" t="s">
        <v>136</v>
      </c>
      <c r="F156" s="70">
        <v>29.89189189189189</v>
      </c>
      <c r="G156" s="67"/>
      <c r="H156" s="71"/>
      <c r="I156" s="72"/>
      <c r="J156" s="72"/>
      <c r="K156" s="35" t="s">
        <v>65</v>
      </c>
      <c r="L156" s="80">
        <v>156</v>
      </c>
      <c r="M156" s="80"/>
      <c r="N156" s="74"/>
      <c r="O156" s="82" t="s">
        <v>214</v>
      </c>
      <c r="P156" s="84">
        <v>44518.66011574074</v>
      </c>
      <c r="Q156" s="82" t="s">
        <v>652</v>
      </c>
      <c r="R156" s="85" t="str">
        <f>HYPERLINK("https://www.spcr.nihr.ac.uk/projects/patient-reported-outcome-measures-for-acne-mixed-methods-validation-study")</f>
        <v>https://www.spcr.nihr.ac.uk/projects/patient-reported-outcome-measures-for-acne-mixed-methods-validation-study</v>
      </c>
      <c r="S156" s="82" t="s">
        <v>905</v>
      </c>
      <c r="T156" s="87" t="s">
        <v>1018</v>
      </c>
      <c r="U156" s="82"/>
      <c r="V156" s="85" t="str">
        <f>HYPERLINK("https://pbs.twimg.com/profile_images/1138360280524701696/_5XbDhIY_normal.png")</f>
        <v>https://pbs.twimg.com/profile_images/1138360280524701696/_5XbDhIY_normal.png</v>
      </c>
      <c r="W156" s="84">
        <v>44518.66011574074</v>
      </c>
      <c r="X156" s="90">
        <v>44518</v>
      </c>
      <c r="Y156" s="87" t="s">
        <v>1255</v>
      </c>
      <c r="Z156" s="85" t="str">
        <f>HYPERLINK("https://twitter.com/nihrspcr/status/1461361197354156047")</f>
        <v>https://twitter.com/nihrspcr/status/1461361197354156047</v>
      </c>
      <c r="AA156" s="82"/>
      <c r="AB156" s="82"/>
      <c r="AC156" s="87" t="s">
        <v>1569</v>
      </c>
      <c r="AD156" s="82"/>
      <c r="AE156" s="82" t="b">
        <v>0</v>
      </c>
      <c r="AF156" s="82">
        <v>0</v>
      </c>
      <c r="AG156" s="87" t="s">
        <v>1815</v>
      </c>
      <c r="AH156" s="82" t="b">
        <v>0</v>
      </c>
      <c r="AI156" s="82" t="s">
        <v>1826</v>
      </c>
      <c r="AJ156" s="82"/>
      <c r="AK156" s="87" t="s">
        <v>1815</v>
      </c>
      <c r="AL156" s="82" t="b">
        <v>0</v>
      </c>
      <c r="AM156" s="82">
        <v>1</v>
      </c>
      <c r="AN156" s="87" t="s">
        <v>1815</v>
      </c>
      <c r="AO156" s="87" t="s">
        <v>1850</v>
      </c>
      <c r="AP156" s="82" t="b">
        <v>0</v>
      </c>
      <c r="AQ156" s="87" t="s">
        <v>1569</v>
      </c>
      <c r="AR156" s="82"/>
      <c r="AS156" s="82">
        <v>0</v>
      </c>
      <c r="AT156" s="82">
        <v>0</v>
      </c>
      <c r="AU156" s="82"/>
      <c r="AV156" s="82"/>
      <c r="AW156" s="82"/>
      <c r="AX156" s="82"/>
      <c r="AY156" s="82"/>
      <c r="AZ156" s="82"/>
      <c r="BA156" s="82"/>
      <c r="BB156" s="82"/>
      <c r="BC156">
        <v>4</v>
      </c>
      <c r="BD156" s="81" t="str">
        <f>REPLACE(INDEX(GroupVertices[Group],MATCH(Edges[[#This Row],[Vertex 1]],GroupVertices[Vertex],0)),1,1,"")</f>
        <v>1</v>
      </c>
      <c r="BE156" s="81" t="str">
        <f>REPLACE(INDEX(GroupVertices[Group],MATCH(Edges[[#This Row],[Vertex 2]],GroupVertices[Vertex],0)),1,1,"")</f>
        <v>1</v>
      </c>
      <c r="BF156" s="49">
        <v>2</v>
      </c>
      <c r="BG156" s="50">
        <v>6.666666666666667</v>
      </c>
      <c r="BH156" s="49">
        <v>0</v>
      </c>
      <c r="BI156" s="50">
        <v>0</v>
      </c>
      <c r="BJ156" s="49">
        <v>0</v>
      </c>
      <c r="BK156" s="50">
        <v>0</v>
      </c>
      <c r="BL156" s="49">
        <v>28</v>
      </c>
      <c r="BM156" s="50">
        <v>93.33333333333333</v>
      </c>
      <c r="BN156" s="49">
        <v>30</v>
      </c>
    </row>
    <row r="157" spans="1:66" ht="15">
      <c r="A157" s="66" t="s">
        <v>333</v>
      </c>
      <c r="B157" s="66" t="s">
        <v>333</v>
      </c>
      <c r="C157" s="67" t="s">
        <v>4515</v>
      </c>
      <c r="D157" s="68">
        <v>4.909090909090909</v>
      </c>
      <c r="E157" s="69" t="s">
        <v>136</v>
      </c>
      <c r="F157" s="70">
        <v>29.89189189189189</v>
      </c>
      <c r="G157" s="67"/>
      <c r="H157" s="71"/>
      <c r="I157" s="72"/>
      <c r="J157" s="72"/>
      <c r="K157" s="35" t="s">
        <v>65</v>
      </c>
      <c r="L157" s="80">
        <v>157</v>
      </c>
      <c r="M157" s="80"/>
      <c r="N157" s="74"/>
      <c r="O157" s="82" t="s">
        <v>214</v>
      </c>
      <c r="P157" s="84">
        <v>44518.650671296295</v>
      </c>
      <c r="Q157" s="82" t="s">
        <v>653</v>
      </c>
      <c r="R157" s="85" t="str">
        <f>HYPERLINK("https://www.spcr.nihr.ac.uk/projects/atafuti")</f>
        <v>https://www.spcr.nihr.ac.uk/projects/atafuti</v>
      </c>
      <c r="S157" s="82" t="s">
        <v>905</v>
      </c>
      <c r="T157" s="87" t="s">
        <v>1018</v>
      </c>
      <c r="U157" s="82"/>
      <c r="V157" s="85" t="str">
        <f>HYPERLINK("https://pbs.twimg.com/profile_images/1138360280524701696/_5XbDhIY_normal.png")</f>
        <v>https://pbs.twimg.com/profile_images/1138360280524701696/_5XbDhIY_normal.png</v>
      </c>
      <c r="W157" s="84">
        <v>44518.650671296295</v>
      </c>
      <c r="X157" s="90">
        <v>44518</v>
      </c>
      <c r="Y157" s="87" t="s">
        <v>1256</v>
      </c>
      <c r="Z157" s="85" t="str">
        <f>HYPERLINK("https://twitter.com/nihrspcr/status/1461357771941507083")</f>
        <v>https://twitter.com/nihrspcr/status/1461357771941507083</v>
      </c>
      <c r="AA157" s="82"/>
      <c r="AB157" s="82"/>
      <c r="AC157" s="87" t="s">
        <v>1570</v>
      </c>
      <c r="AD157" s="82"/>
      <c r="AE157" s="82" t="b">
        <v>0</v>
      </c>
      <c r="AF157" s="82">
        <v>2</v>
      </c>
      <c r="AG157" s="87" t="s">
        <v>1815</v>
      </c>
      <c r="AH157" s="82" t="b">
        <v>0</v>
      </c>
      <c r="AI157" s="82" t="s">
        <v>1826</v>
      </c>
      <c r="AJ157" s="82"/>
      <c r="AK157" s="87" t="s">
        <v>1815</v>
      </c>
      <c r="AL157" s="82" t="b">
        <v>0</v>
      </c>
      <c r="AM157" s="82">
        <v>2</v>
      </c>
      <c r="AN157" s="87" t="s">
        <v>1815</v>
      </c>
      <c r="AO157" s="87" t="s">
        <v>1850</v>
      </c>
      <c r="AP157" s="82" t="b">
        <v>0</v>
      </c>
      <c r="AQ157" s="87" t="s">
        <v>1570</v>
      </c>
      <c r="AR157" s="82"/>
      <c r="AS157" s="82">
        <v>0</v>
      </c>
      <c r="AT157" s="82">
        <v>0</v>
      </c>
      <c r="AU157" s="82"/>
      <c r="AV157" s="82"/>
      <c r="AW157" s="82"/>
      <c r="AX157" s="82"/>
      <c r="AY157" s="82"/>
      <c r="AZ157" s="82"/>
      <c r="BA157" s="82"/>
      <c r="BB157" s="82"/>
      <c r="BC157">
        <v>4</v>
      </c>
      <c r="BD157" s="81" t="str">
        <f>REPLACE(INDEX(GroupVertices[Group],MATCH(Edges[[#This Row],[Vertex 1]],GroupVertices[Vertex],0)),1,1,"")</f>
        <v>1</v>
      </c>
      <c r="BE157" s="81" t="str">
        <f>REPLACE(INDEX(GroupVertices[Group],MATCH(Edges[[#This Row],[Vertex 2]],GroupVertices[Vertex],0)),1,1,"")</f>
        <v>1</v>
      </c>
      <c r="BF157" s="49">
        <v>2</v>
      </c>
      <c r="BG157" s="50">
        <v>6.896551724137931</v>
      </c>
      <c r="BH157" s="49">
        <v>0</v>
      </c>
      <c r="BI157" s="50">
        <v>0</v>
      </c>
      <c r="BJ157" s="49">
        <v>0</v>
      </c>
      <c r="BK157" s="50">
        <v>0</v>
      </c>
      <c r="BL157" s="49">
        <v>27</v>
      </c>
      <c r="BM157" s="50">
        <v>93.10344827586206</v>
      </c>
      <c r="BN157" s="49">
        <v>29</v>
      </c>
    </row>
    <row r="158" spans="1:66" ht="15">
      <c r="A158" s="66" t="s">
        <v>333</v>
      </c>
      <c r="B158" s="66" t="s">
        <v>333</v>
      </c>
      <c r="C158" s="67" t="s">
        <v>4515</v>
      </c>
      <c r="D158" s="68">
        <v>4.909090909090909</v>
      </c>
      <c r="E158" s="69" t="s">
        <v>136</v>
      </c>
      <c r="F158" s="70">
        <v>29.89189189189189</v>
      </c>
      <c r="G158" s="67"/>
      <c r="H158" s="71"/>
      <c r="I158" s="72"/>
      <c r="J158" s="72"/>
      <c r="K158" s="35" t="s">
        <v>65</v>
      </c>
      <c r="L158" s="80">
        <v>158</v>
      </c>
      <c r="M158" s="80"/>
      <c r="N158" s="74"/>
      <c r="O158" s="82" t="s">
        <v>214</v>
      </c>
      <c r="P158" s="84">
        <v>44518.65825231482</v>
      </c>
      <c r="Q158" s="82" t="s">
        <v>654</v>
      </c>
      <c r="R158" s="85" t="str">
        <f>HYPERLINK("https://www.spcr.nihr.ac.uk/projects/parents2019-perceptions-of-antibiotic-use-and-antibiotic-resistance-pause-a-qualitative-interview-study")</f>
        <v>https://www.spcr.nihr.ac.uk/projects/parents2019-perceptions-of-antibiotic-use-and-antibiotic-resistance-pause-a-qualitative-interview-study</v>
      </c>
      <c r="S158" s="82" t="s">
        <v>905</v>
      </c>
      <c r="T158" s="87" t="s">
        <v>1018</v>
      </c>
      <c r="U158" s="82"/>
      <c r="V158" s="85" t="str">
        <f>HYPERLINK("https://pbs.twimg.com/profile_images/1138360280524701696/_5XbDhIY_normal.png")</f>
        <v>https://pbs.twimg.com/profile_images/1138360280524701696/_5XbDhIY_normal.png</v>
      </c>
      <c r="W158" s="84">
        <v>44518.65825231482</v>
      </c>
      <c r="X158" s="90">
        <v>44518</v>
      </c>
      <c r="Y158" s="87" t="s">
        <v>1257</v>
      </c>
      <c r="Z158" s="85" t="str">
        <f>HYPERLINK("https://twitter.com/nihrspcr/status/1461360520770961415")</f>
        <v>https://twitter.com/nihrspcr/status/1461360520770961415</v>
      </c>
      <c r="AA158" s="82"/>
      <c r="AB158" s="82"/>
      <c r="AC158" s="87" t="s">
        <v>1571</v>
      </c>
      <c r="AD158" s="82"/>
      <c r="AE158" s="82" t="b">
        <v>0</v>
      </c>
      <c r="AF158" s="82">
        <v>1</v>
      </c>
      <c r="AG158" s="87" t="s">
        <v>1815</v>
      </c>
      <c r="AH158" s="82" t="b">
        <v>0</v>
      </c>
      <c r="AI158" s="82" t="s">
        <v>1826</v>
      </c>
      <c r="AJ158" s="82"/>
      <c r="AK158" s="87" t="s">
        <v>1815</v>
      </c>
      <c r="AL158" s="82" t="b">
        <v>0</v>
      </c>
      <c r="AM158" s="82">
        <v>1</v>
      </c>
      <c r="AN158" s="87" t="s">
        <v>1815</v>
      </c>
      <c r="AO158" s="87" t="s">
        <v>1850</v>
      </c>
      <c r="AP158" s="82" t="b">
        <v>0</v>
      </c>
      <c r="AQ158" s="87" t="s">
        <v>1571</v>
      </c>
      <c r="AR158" s="82"/>
      <c r="AS158" s="82">
        <v>0</v>
      </c>
      <c r="AT158" s="82">
        <v>0</v>
      </c>
      <c r="AU158" s="82"/>
      <c r="AV158" s="82"/>
      <c r="AW158" s="82"/>
      <c r="AX158" s="82"/>
      <c r="AY158" s="82"/>
      <c r="AZ158" s="82"/>
      <c r="BA158" s="82"/>
      <c r="BB158" s="82"/>
      <c r="BC158">
        <v>4</v>
      </c>
      <c r="BD158" s="81" t="str">
        <f>REPLACE(INDEX(GroupVertices[Group],MATCH(Edges[[#This Row],[Vertex 1]],GroupVertices[Vertex],0)),1,1,"")</f>
        <v>1</v>
      </c>
      <c r="BE158" s="81" t="str">
        <f>REPLACE(INDEX(GroupVertices[Group],MATCH(Edges[[#This Row],[Vertex 2]],GroupVertices[Vertex],0)),1,1,"")</f>
        <v>1</v>
      </c>
      <c r="BF158" s="49">
        <v>2</v>
      </c>
      <c r="BG158" s="50">
        <v>6.896551724137931</v>
      </c>
      <c r="BH158" s="49">
        <v>0</v>
      </c>
      <c r="BI158" s="50">
        <v>0</v>
      </c>
      <c r="BJ158" s="49">
        <v>0</v>
      </c>
      <c r="BK158" s="50">
        <v>0</v>
      </c>
      <c r="BL158" s="49">
        <v>27</v>
      </c>
      <c r="BM158" s="50">
        <v>93.10344827586206</v>
      </c>
      <c r="BN158" s="49">
        <v>29</v>
      </c>
    </row>
    <row r="159" spans="1:66" ht="15">
      <c r="A159" s="66" t="s">
        <v>334</v>
      </c>
      <c r="B159" s="66" t="s">
        <v>334</v>
      </c>
      <c r="C159" s="67" t="s">
        <v>4510</v>
      </c>
      <c r="D159" s="68">
        <v>3.6363636363636362</v>
      </c>
      <c r="E159" s="69" t="s">
        <v>136</v>
      </c>
      <c r="F159" s="70">
        <v>31.2972972972973</v>
      </c>
      <c r="G159" s="67"/>
      <c r="H159" s="71"/>
      <c r="I159" s="72"/>
      <c r="J159" s="72"/>
      <c r="K159" s="35" t="s">
        <v>65</v>
      </c>
      <c r="L159" s="80">
        <v>159</v>
      </c>
      <c r="M159" s="80"/>
      <c r="N159" s="74"/>
      <c r="O159" s="82" t="s">
        <v>214</v>
      </c>
      <c r="P159" s="84">
        <v>44518.6255787037</v>
      </c>
      <c r="Q159" s="82" t="s">
        <v>655</v>
      </c>
      <c r="R159" s="85" t="str">
        <f>HYPERLINK("https://www.cdc.gov/drugresistance/covid19.html")</f>
        <v>https://www.cdc.gov/drugresistance/covid19.html</v>
      </c>
      <c r="S159" s="82" t="s">
        <v>903</v>
      </c>
      <c r="T159" s="87" t="s">
        <v>956</v>
      </c>
      <c r="U159" s="82"/>
      <c r="V159" s="85" t="str">
        <f>HYPERLINK("https://pbs.twimg.com/profile_images/1460477255797424133/HBM71LxD_normal.png")</f>
        <v>https://pbs.twimg.com/profile_images/1460477255797424133/HBM71LxD_normal.png</v>
      </c>
      <c r="W159" s="84">
        <v>44518.6255787037</v>
      </c>
      <c r="X159" s="90">
        <v>44518</v>
      </c>
      <c r="Y159" s="87" t="s">
        <v>1258</v>
      </c>
      <c r="Z159" s="85" t="str">
        <f>HYPERLINK("https://twitter.com/shea_epi/status/1461348679877488653")</f>
        <v>https://twitter.com/shea_epi/status/1461348679877488653</v>
      </c>
      <c r="AA159" s="82"/>
      <c r="AB159" s="82"/>
      <c r="AC159" s="87" t="s">
        <v>1572</v>
      </c>
      <c r="AD159" s="82"/>
      <c r="AE159" s="82" t="b">
        <v>0</v>
      </c>
      <c r="AF159" s="82">
        <v>7</v>
      </c>
      <c r="AG159" s="87" t="s">
        <v>1815</v>
      </c>
      <c r="AH159" s="82" t="b">
        <v>0</v>
      </c>
      <c r="AI159" s="82" t="s">
        <v>1826</v>
      </c>
      <c r="AJ159" s="82"/>
      <c r="AK159" s="87" t="s">
        <v>1815</v>
      </c>
      <c r="AL159" s="82" t="b">
        <v>0</v>
      </c>
      <c r="AM159" s="82">
        <v>3</v>
      </c>
      <c r="AN159" s="87" t="s">
        <v>1815</v>
      </c>
      <c r="AO159" s="87" t="s">
        <v>1858</v>
      </c>
      <c r="AP159" s="82" t="b">
        <v>0</v>
      </c>
      <c r="AQ159" s="87" t="s">
        <v>1572</v>
      </c>
      <c r="AR159" s="82"/>
      <c r="AS159" s="82">
        <v>0</v>
      </c>
      <c r="AT159" s="82">
        <v>0</v>
      </c>
      <c r="AU159" s="82"/>
      <c r="AV159" s="82"/>
      <c r="AW159" s="82"/>
      <c r="AX159" s="82"/>
      <c r="AY159" s="82"/>
      <c r="AZ159" s="82"/>
      <c r="BA159" s="82"/>
      <c r="BB159" s="82"/>
      <c r="BC159">
        <v>2</v>
      </c>
      <c r="BD159" s="81" t="str">
        <f>REPLACE(INDEX(GroupVertices[Group],MATCH(Edges[[#This Row],[Vertex 1]],GroupVertices[Vertex],0)),1,1,"")</f>
        <v>1</v>
      </c>
      <c r="BE159" s="81" t="str">
        <f>REPLACE(INDEX(GroupVertices[Group],MATCH(Edges[[#This Row],[Vertex 2]],GroupVertices[Vertex],0)),1,1,"")</f>
        <v>1</v>
      </c>
      <c r="BF159" s="49">
        <v>0</v>
      </c>
      <c r="BG159" s="50">
        <v>0</v>
      </c>
      <c r="BH159" s="49">
        <v>1</v>
      </c>
      <c r="BI159" s="50">
        <v>3.0303030303030303</v>
      </c>
      <c r="BJ159" s="49">
        <v>0</v>
      </c>
      <c r="BK159" s="50">
        <v>0</v>
      </c>
      <c r="BL159" s="49">
        <v>32</v>
      </c>
      <c r="BM159" s="50">
        <v>96.96969696969697</v>
      </c>
      <c r="BN159" s="49">
        <v>33</v>
      </c>
    </row>
    <row r="160" spans="1:66" ht="15">
      <c r="A160" s="66" t="s">
        <v>334</v>
      </c>
      <c r="B160" s="66" t="s">
        <v>334</v>
      </c>
      <c r="C160" s="67" t="s">
        <v>4510</v>
      </c>
      <c r="D160" s="68">
        <v>3.6363636363636362</v>
      </c>
      <c r="E160" s="69" t="s">
        <v>136</v>
      </c>
      <c r="F160" s="70">
        <v>31.2972972972973</v>
      </c>
      <c r="G160" s="67"/>
      <c r="H160" s="71"/>
      <c r="I160" s="72"/>
      <c r="J160" s="72"/>
      <c r="K160" s="35" t="s">
        <v>65</v>
      </c>
      <c r="L160" s="80">
        <v>160</v>
      </c>
      <c r="M160" s="80"/>
      <c r="N160" s="74"/>
      <c r="O160" s="82" t="s">
        <v>214</v>
      </c>
      <c r="P160" s="84">
        <v>44518.646875</v>
      </c>
      <c r="Q160" s="82" t="s">
        <v>656</v>
      </c>
      <c r="R160" s="85" t="str">
        <f>HYPERLINK("https://www.cdc.gov/antibiotic-use/q-a.html")</f>
        <v>https://www.cdc.gov/antibiotic-use/q-a.html</v>
      </c>
      <c r="S160" s="82" t="s">
        <v>903</v>
      </c>
      <c r="T160" s="87" t="s">
        <v>1019</v>
      </c>
      <c r="U160" s="82"/>
      <c r="V160" s="85" t="str">
        <f>HYPERLINK("https://pbs.twimg.com/profile_images/1460477255797424133/HBM71LxD_normal.png")</f>
        <v>https://pbs.twimg.com/profile_images/1460477255797424133/HBM71LxD_normal.png</v>
      </c>
      <c r="W160" s="84">
        <v>44518.646875</v>
      </c>
      <c r="X160" s="90">
        <v>44518</v>
      </c>
      <c r="Y160" s="87" t="s">
        <v>1259</v>
      </c>
      <c r="Z160" s="85" t="str">
        <f>HYPERLINK("https://twitter.com/shea_epi/status/1461356397157761049")</f>
        <v>https://twitter.com/shea_epi/status/1461356397157761049</v>
      </c>
      <c r="AA160" s="82"/>
      <c r="AB160" s="82"/>
      <c r="AC160" s="87" t="s">
        <v>1573</v>
      </c>
      <c r="AD160" s="82"/>
      <c r="AE160" s="82" t="b">
        <v>0</v>
      </c>
      <c r="AF160" s="82">
        <v>15</v>
      </c>
      <c r="AG160" s="87" t="s">
        <v>1815</v>
      </c>
      <c r="AH160" s="82" t="b">
        <v>0</v>
      </c>
      <c r="AI160" s="82" t="s">
        <v>1826</v>
      </c>
      <c r="AJ160" s="82"/>
      <c r="AK160" s="87" t="s">
        <v>1815</v>
      </c>
      <c r="AL160" s="82" t="b">
        <v>0</v>
      </c>
      <c r="AM160" s="82">
        <v>3</v>
      </c>
      <c r="AN160" s="87" t="s">
        <v>1815</v>
      </c>
      <c r="AO160" s="87" t="s">
        <v>1858</v>
      </c>
      <c r="AP160" s="82" t="b">
        <v>0</v>
      </c>
      <c r="AQ160" s="87" t="s">
        <v>1573</v>
      </c>
      <c r="AR160" s="82"/>
      <c r="AS160" s="82">
        <v>0</v>
      </c>
      <c r="AT160" s="82">
        <v>0</v>
      </c>
      <c r="AU160" s="82"/>
      <c r="AV160" s="82"/>
      <c r="AW160" s="82"/>
      <c r="AX160" s="82"/>
      <c r="AY160" s="82"/>
      <c r="AZ160" s="82"/>
      <c r="BA160" s="82"/>
      <c r="BB160" s="82"/>
      <c r="BC160">
        <v>2</v>
      </c>
      <c r="BD160" s="81" t="str">
        <f>REPLACE(INDEX(GroupVertices[Group],MATCH(Edges[[#This Row],[Vertex 1]],GroupVertices[Vertex],0)),1,1,"")</f>
        <v>1</v>
      </c>
      <c r="BE160" s="81" t="str">
        <f>REPLACE(INDEX(GroupVertices[Group],MATCH(Edges[[#This Row],[Vertex 2]],GroupVertices[Vertex],0)),1,1,"")</f>
        <v>1</v>
      </c>
      <c r="BF160" s="49">
        <v>1</v>
      </c>
      <c r="BG160" s="50">
        <v>4.3478260869565215</v>
      </c>
      <c r="BH160" s="49">
        <v>0</v>
      </c>
      <c r="BI160" s="50">
        <v>0</v>
      </c>
      <c r="BJ160" s="49">
        <v>0</v>
      </c>
      <c r="BK160" s="50">
        <v>0</v>
      </c>
      <c r="BL160" s="49">
        <v>22</v>
      </c>
      <c r="BM160" s="50">
        <v>95.65217391304348</v>
      </c>
      <c r="BN160" s="49">
        <v>23</v>
      </c>
    </row>
    <row r="161" spans="1:66" ht="15">
      <c r="A161" s="66" t="s">
        <v>335</v>
      </c>
      <c r="B161" s="66" t="s">
        <v>335</v>
      </c>
      <c r="C161" s="67" t="s">
        <v>4509</v>
      </c>
      <c r="D161" s="68">
        <v>3</v>
      </c>
      <c r="E161" s="69" t="s">
        <v>132</v>
      </c>
      <c r="F161" s="70">
        <v>32</v>
      </c>
      <c r="G161" s="67"/>
      <c r="H161" s="71"/>
      <c r="I161" s="72"/>
      <c r="J161" s="72"/>
      <c r="K161" s="35" t="s">
        <v>65</v>
      </c>
      <c r="L161" s="80">
        <v>161</v>
      </c>
      <c r="M161" s="80"/>
      <c r="N161" s="74"/>
      <c r="O161" s="82" t="s">
        <v>214</v>
      </c>
      <c r="P161" s="84">
        <v>44518.631944444445</v>
      </c>
      <c r="Q161" s="82" t="s">
        <v>657</v>
      </c>
      <c r="R161" s="85" t="str">
        <f>HYPERLINK("https://www.cdc.gov/drugresistance/covid19.html")</f>
        <v>https://www.cdc.gov/drugresistance/covid19.html</v>
      </c>
      <c r="S161" s="82" t="s">
        <v>903</v>
      </c>
      <c r="T161" s="87" t="s">
        <v>956</v>
      </c>
      <c r="U161" s="85" t="str">
        <f>HYPERLINK("https://pbs.twimg.com/media/FEWKiLfXoAEnOpL.jpg")</f>
        <v>https://pbs.twimg.com/media/FEWKiLfXoAEnOpL.jpg</v>
      </c>
      <c r="V161" s="85" t="str">
        <f>HYPERLINK("https://pbs.twimg.com/media/FEWKiLfXoAEnOpL.jpg")</f>
        <v>https://pbs.twimg.com/media/FEWKiLfXoAEnOpL.jpg</v>
      </c>
      <c r="W161" s="84">
        <v>44518.631944444445</v>
      </c>
      <c r="X161" s="90">
        <v>44518</v>
      </c>
      <c r="Y161" s="87" t="s">
        <v>1260</v>
      </c>
      <c r="Z161" s="85" t="str">
        <f>HYPERLINK("https://twitter.com/mnhealth/status/1461350986082144256")</f>
        <v>https://twitter.com/mnhealth/status/1461350986082144256</v>
      </c>
      <c r="AA161" s="82"/>
      <c r="AB161" s="82"/>
      <c r="AC161" s="87" t="s">
        <v>1574</v>
      </c>
      <c r="AD161" s="82"/>
      <c r="AE161" s="82" t="b">
        <v>0</v>
      </c>
      <c r="AF161" s="82">
        <v>3</v>
      </c>
      <c r="AG161" s="87" t="s">
        <v>1815</v>
      </c>
      <c r="AH161" s="82" t="b">
        <v>0</v>
      </c>
      <c r="AI161" s="82" t="s">
        <v>1826</v>
      </c>
      <c r="AJ161" s="82"/>
      <c r="AK161" s="87" t="s">
        <v>1815</v>
      </c>
      <c r="AL161" s="82" t="b">
        <v>0</v>
      </c>
      <c r="AM161" s="82">
        <v>1</v>
      </c>
      <c r="AN161" s="87" t="s">
        <v>1815</v>
      </c>
      <c r="AO161" s="87" t="s">
        <v>1850</v>
      </c>
      <c r="AP161" s="82" t="b">
        <v>0</v>
      </c>
      <c r="AQ161" s="87" t="s">
        <v>1574</v>
      </c>
      <c r="AR161" s="82"/>
      <c r="AS161" s="82">
        <v>0</v>
      </c>
      <c r="AT161" s="82">
        <v>0</v>
      </c>
      <c r="AU161" s="82"/>
      <c r="AV161" s="82"/>
      <c r="AW161" s="82"/>
      <c r="AX161" s="82"/>
      <c r="AY161" s="82"/>
      <c r="AZ161" s="82"/>
      <c r="BA161" s="82"/>
      <c r="BB161" s="82"/>
      <c r="BC161">
        <v>1</v>
      </c>
      <c r="BD161" s="81" t="str">
        <f>REPLACE(INDEX(GroupVertices[Group],MATCH(Edges[[#This Row],[Vertex 1]],GroupVertices[Vertex],0)),1,1,"")</f>
        <v>1</v>
      </c>
      <c r="BE161" s="81" t="str">
        <f>REPLACE(INDEX(GroupVertices[Group],MATCH(Edges[[#This Row],[Vertex 2]],GroupVertices[Vertex],0)),1,1,"")</f>
        <v>1</v>
      </c>
      <c r="BF161" s="49">
        <v>0</v>
      </c>
      <c r="BG161" s="50">
        <v>0</v>
      </c>
      <c r="BH161" s="49">
        <v>1</v>
      </c>
      <c r="BI161" s="50">
        <v>3.0303030303030303</v>
      </c>
      <c r="BJ161" s="49">
        <v>0</v>
      </c>
      <c r="BK161" s="50">
        <v>0</v>
      </c>
      <c r="BL161" s="49">
        <v>32</v>
      </c>
      <c r="BM161" s="50">
        <v>96.96969696969697</v>
      </c>
      <c r="BN161" s="49">
        <v>33</v>
      </c>
    </row>
    <row r="162" spans="1:66" ht="15">
      <c r="A162" s="66" t="s">
        <v>336</v>
      </c>
      <c r="B162" s="66" t="s">
        <v>336</v>
      </c>
      <c r="C162" s="67" t="s">
        <v>4509</v>
      </c>
      <c r="D162" s="68">
        <v>3</v>
      </c>
      <c r="E162" s="69" t="s">
        <v>132</v>
      </c>
      <c r="F162" s="70">
        <v>32</v>
      </c>
      <c r="G162" s="67"/>
      <c r="H162" s="71"/>
      <c r="I162" s="72"/>
      <c r="J162" s="72"/>
      <c r="K162" s="35" t="s">
        <v>65</v>
      </c>
      <c r="L162" s="80">
        <v>162</v>
      </c>
      <c r="M162" s="80"/>
      <c r="N162" s="74"/>
      <c r="O162" s="82" t="s">
        <v>214</v>
      </c>
      <c r="P162" s="84">
        <v>44518.66332175926</v>
      </c>
      <c r="Q162" s="82" t="s">
        <v>658</v>
      </c>
      <c r="R162" s="82"/>
      <c r="S162" s="82"/>
      <c r="T162" s="87" t="s">
        <v>949</v>
      </c>
      <c r="U162" s="82"/>
      <c r="V162" s="85" t="str">
        <f>HYPERLINK("https://pbs.twimg.com/profile_images/1304066766650384387/fTglEZTq_normal.jpg")</f>
        <v>https://pbs.twimg.com/profile_images/1304066766650384387/fTglEZTq_normal.jpg</v>
      </c>
      <c r="W162" s="84">
        <v>44518.66332175926</v>
      </c>
      <c r="X162" s="90">
        <v>44518</v>
      </c>
      <c r="Y162" s="87" t="s">
        <v>1261</v>
      </c>
      <c r="Z162" s="85" t="str">
        <f>HYPERLINK("https://twitter.com/muzzamilrao21/status/1461362359453184006")</f>
        <v>https://twitter.com/muzzamilrao21/status/1461362359453184006</v>
      </c>
      <c r="AA162" s="82"/>
      <c r="AB162" s="82"/>
      <c r="AC162" s="87" t="s">
        <v>1575</v>
      </c>
      <c r="AD162" s="82"/>
      <c r="AE162" s="82" t="b">
        <v>0</v>
      </c>
      <c r="AF162" s="82">
        <v>6</v>
      </c>
      <c r="AG162" s="87" t="s">
        <v>1815</v>
      </c>
      <c r="AH162" s="82" t="b">
        <v>0</v>
      </c>
      <c r="AI162" s="82" t="s">
        <v>1826</v>
      </c>
      <c r="AJ162" s="82"/>
      <c r="AK162" s="87" t="s">
        <v>1815</v>
      </c>
      <c r="AL162" s="82" t="b">
        <v>0</v>
      </c>
      <c r="AM162" s="82">
        <v>6</v>
      </c>
      <c r="AN162" s="87" t="s">
        <v>1815</v>
      </c>
      <c r="AO162" s="87" t="s">
        <v>1851</v>
      </c>
      <c r="AP162" s="82" t="b">
        <v>0</v>
      </c>
      <c r="AQ162" s="87" t="s">
        <v>1575</v>
      </c>
      <c r="AR162" s="82"/>
      <c r="AS162" s="82">
        <v>0</v>
      </c>
      <c r="AT162" s="82">
        <v>0</v>
      </c>
      <c r="AU162" s="82"/>
      <c r="AV162" s="82"/>
      <c r="AW162" s="82"/>
      <c r="AX162" s="82"/>
      <c r="AY162" s="82"/>
      <c r="AZ162" s="82"/>
      <c r="BA162" s="82"/>
      <c r="BB162" s="82"/>
      <c r="BC162">
        <v>1</v>
      </c>
      <c r="BD162" s="81" t="str">
        <f>REPLACE(INDEX(GroupVertices[Group],MATCH(Edges[[#This Row],[Vertex 1]],GroupVertices[Vertex],0)),1,1,"")</f>
        <v>1</v>
      </c>
      <c r="BE162" s="81" t="str">
        <f>REPLACE(INDEX(GroupVertices[Group],MATCH(Edges[[#This Row],[Vertex 2]],GroupVertices[Vertex],0)),1,1,"")</f>
        <v>1</v>
      </c>
      <c r="BF162" s="49">
        <v>0</v>
      </c>
      <c r="BG162" s="50">
        <v>0</v>
      </c>
      <c r="BH162" s="49">
        <v>4</v>
      </c>
      <c r="BI162" s="50">
        <v>14.285714285714286</v>
      </c>
      <c r="BJ162" s="49">
        <v>0</v>
      </c>
      <c r="BK162" s="50">
        <v>0</v>
      </c>
      <c r="BL162" s="49">
        <v>24</v>
      </c>
      <c r="BM162" s="50">
        <v>85.71428571428571</v>
      </c>
      <c r="BN162" s="49">
        <v>28</v>
      </c>
    </row>
    <row r="163" spans="1:66" ht="15">
      <c r="A163" s="66" t="s">
        <v>337</v>
      </c>
      <c r="B163" s="66" t="s">
        <v>337</v>
      </c>
      <c r="C163" s="67" t="s">
        <v>4509</v>
      </c>
      <c r="D163" s="68">
        <v>3</v>
      </c>
      <c r="E163" s="69" t="s">
        <v>132</v>
      </c>
      <c r="F163" s="70">
        <v>32</v>
      </c>
      <c r="G163" s="67"/>
      <c r="H163" s="71"/>
      <c r="I163" s="72"/>
      <c r="J163" s="72"/>
      <c r="K163" s="35" t="s">
        <v>65</v>
      </c>
      <c r="L163" s="80">
        <v>163</v>
      </c>
      <c r="M163" s="80"/>
      <c r="N163" s="74"/>
      <c r="O163" s="82" t="s">
        <v>214</v>
      </c>
      <c r="P163" s="84">
        <v>44518.62616898148</v>
      </c>
      <c r="Q163" s="82" t="s">
        <v>659</v>
      </c>
      <c r="R163" s="82"/>
      <c r="S163" s="82"/>
      <c r="T163" s="87" t="s">
        <v>955</v>
      </c>
      <c r="U163" s="85" t="str">
        <f>HYPERLINK("https://pbs.twimg.com/media/FEfBEuuVkAwHyOH.jpg")</f>
        <v>https://pbs.twimg.com/media/FEfBEuuVkAwHyOH.jpg</v>
      </c>
      <c r="V163" s="85" t="str">
        <f>HYPERLINK("https://pbs.twimg.com/media/FEfBEuuVkAwHyOH.jpg")</f>
        <v>https://pbs.twimg.com/media/FEfBEuuVkAwHyOH.jpg</v>
      </c>
      <c r="W163" s="84">
        <v>44518.62616898148</v>
      </c>
      <c r="X163" s="90">
        <v>44518</v>
      </c>
      <c r="Y163" s="87" t="s">
        <v>1262</v>
      </c>
      <c r="Z163" s="85" t="str">
        <f>HYPERLINK("https://twitter.com/notts_ics/status/1461348892893614096")</f>
        <v>https://twitter.com/notts_ics/status/1461348892893614096</v>
      </c>
      <c r="AA163" s="82"/>
      <c r="AB163" s="82"/>
      <c r="AC163" s="87" t="s">
        <v>1576</v>
      </c>
      <c r="AD163" s="82"/>
      <c r="AE163" s="82" t="b">
        <v>0</v>
      </c>
      <c r="AF163" s="82">
        <v>1</v>
      </c>
      <c r="AG163" s="87" t="s">
        <v>1815</v>
      </c>
      <c r="AH163" s="82" t="b">
        <v>0</v>
      </c>
      <c r="AI163" s="82" t="s">
        <v>1826</v>
      </c>
      <c r="AJ163" s="82"/>
      <c r="AK163" s="87" t="s">
        <v>1815</v>
      </c>
      <c r="AL163" s="82" t="b">
        <v>0</v>
      </c>
      <c r="AM163" s="82">
        <v>0</v>
      </c>
      <c r="AN163" s="87" t="s">
        <v>1815</v>
      </c>
      <c r="AO163" s="87" t="s">
        <v>1854</v>
      </c>
      <c r="AP163" s="82" t="b">
        <v>0</v>
      </c>
      <c r="AQ163" s="87" t="s">
        <v>1576</v>
      </c>
      <c r="AR163" s="82"/>
      <c r="AS163" s="82">
        <v>0</v>
      </c>
      <c r="AT163" s="82">
        <v>0</v>
      </c>
      <c r="AU163" s="82"/>
      <c r="AV163" s="82"/>
      <c r="AW163" s="82"/>
      <c r="AX163" s="82"/>
      <c r="AY163" s="82"/>
      <c r="AZ163" s="82"/>
      <c r="BA163" s="82"/>
      <c r="BB163" s="82"/>
      <c r="BC163">
        <v>1</v>
      </c>
      <c r="BD163" s="81" t="str">
        <f>REPLACE(INDEX(GroupVertices[Group],MATCH(Edges[[#This Row],[Vertex 1]],GroupVertices[Vertex],0)),1,1,"")</f>
        <v>1</v>
      </c>
      <c r="BE163" s="81" t="str">
        <f>REPLACE(INDEX(GroupVertices[Group],MATCH(Edges[[#This Row],[Vertex 2]],GroupVertices[Vertex],0)),1,1,"")</f>
        <v>1</v>
      </c>
      <c r="BF163" s="49">
        <v>0</v>
      </c>
      <c r="BG163" s="50">
        <v>0</v>
      </c>
      <c r="BH163" s="49">
        <v>2</v>
      </c>
      <c r="BI163" s="50">
        <v>6.0606060606060606</v>
      </c>
      <c r="BJ163" s="49">
        <v>0</v>
      </c>
      <c r="BK163" s="50">
        <v>0</v>
      </c>
      <c r="BL163" s="49">
        <v>31</v>
      </c>
      <c r="BM163" s="50">
        <v>93.93939393939394</v>
      </c>
      <c r="BN163" s="49">
        <v>33</v>
      </c>
    </row>
    <row r="164" spans="1:66" ht="15">
      <c r="A164" s="66" t="s">
        <v>338</v>
      </c>
      <c r="B164" s="66" t="s">
        <v>338</v>
      </c>
      <c r="C164" s="67" t="s">
        <v>4509</v>
      </c>
      <c r="D164" s="68">
        <v>3</v>
      </c>
      <c r="E164" s="69" t="s">
        <v>132</v>
      </c>
      <c r="F164" s="70">
        <v>32</v>
      </c>
      <c r="G164" s="67"/>
      <c r="H164" s="71"/>
      <c r="I164" s="72"/>
      <c r="J164" s="72"/>
      <c r="K164" s="35" t="s">
        <v>65</v>
      </c>
      <c r="L164" s="80">
        <v>164</v>
      </c>
      <c r="M164" s="80"/>
      <c r="N164" s="74"/>
      <c r="O164" s="82" t="s">
        <v>214</v>
      </c>
      <c r="P164" s="84">
        <v>44518.631944444445</v>
      </c>
      <c r="Q164" s="82" t="s">
        <v>660</v>
      </c>
      <c r="R164" s="82"/>
      <c r="S164" s="82"/>
      <c r="T164" s="87" t="s">
        <v>955</v>
      </c>
      <c r="U164" s="85" t="str">
        <f>HYPERLINK("https://pbs.twimg.com/media/FEABkHOXoAESAbR.jpg")</f>
        <v>https://pbs.twimg.com/media/FEABkHOXoAESAbR.jpg</v>
      </c>
      <c r="V164" s="85" t="str">
        <f>HYPERLINK("https://pbs.twimg.com/media/FEABkHOXoAESAbR.jpg")</f>
        <v>https://pbs.twimg.com/media/FEABkHOXoAESAbR.jpg</v>
      </c>
      <c r="W164" s="84">
        <v>44518.631944444445</v>
      </c>
      <c r="X164" s="90">
        <v>44518</v>
      </c>
      <c r="Y164" s="87" t="s">
        <v>1260</v>
      </c>
      <c r="Z164" s="85" t="str">
        <f>HYPERLINK("https://twitter.com/nhsinbcwb/status/1461350985788448768")</f>
        <v>https://twitter.com/nhsinbcwb/status/1461350985788448768</v>
      </c>
      <c r="AA164" s="82"/>
      <c r="AB164" s="82"/>
      <c r="AC164" s="87" t="s">
        <v>1577</v>
      </c>
      <c r="AD164" s="82"/>
      <c r="AE164" s="82" t="b">
        <v>0</v>
      </c>
      <c r="AF164" s="82">
        <v>9</v>
      </c>
      <c r="AG164" s="87" t="s">
        <v>1815</v>
      </c>
      <c r="AH164" s="82" t="b">
        <v>0</v>
      </c>
      <c r="AI164" s="82" t="s">
        <v>1826</v>
      </c>
      <c r="AJ164" s="82"/>
      <c r="AK164" s="87" t="s">
        <v>1815</v>
      </c>
      <c r="AL164" s="82" t="b">
        <v>0</v>
      </c>
      <c r="AM164" s="82">
        <v>3</v>
      </c>
      <c r="AN164" s="87" t="s">
        <v>1815</v>
      </c>
      <c r="AO164" s="87" t="s">
        <v>1853</v>
      </c>
      <c r="AP164" s="82" t="b">
        <v>0</v>
      </c>
      <c r="AQ164" s="87" t="s">
        <v>1577</v>
      </c>
      <c r="AR164" s="82"/>
      <c r="AS164" s="82">
        <v>0</v>
      </c>
      <c r="AT164" s="82">
        <v>0</v>
      </c>
      <c r="AU164" s="82"/>
      <c r="AV164" s="82"/>
      <c r="AW164" s="82"/>
      <c r="AX164" s="82"/>
      <c r="AY164" s="82"/>
      <c r="AZ164" s="82"/>
      <c r="BA164" s="82"/>
      <c r="BB164" s="82"/>
      <c r="BC164">
        <v>1</v>
      </c>
      <c r="BD164" s="81" t="str">
        <f>REPLACE(INDEX(GroupVertices[Group],MATCH(Edges[[#This Row],[Vertex 1]],GroupVertices[Vertex],0)),1,1,"")</f>
        <v>1</v>
      </c>
      <c r="BE164" s="81" t="str">
        <f>REPLACE(INDEX(GroupVertices[Group],MATCH(Edges[[#This Row],[Vertex 2]],GroupVertices[Vertex],0)),1,1,"")</f>
        <v>1</v>
      </c>
      <c r="BF164" s="49">
        <v>0</v>
      </c>
      <c r="BG164" s="50">
        <v>0</v>
      </c>
      <c r="BH164" s="49">
        <v>2</v>
      </c>
      <c r="BI164" s="50">
        <v>6.0606060606060606</v>
      </c>
      <c r="BJ164" s="49">
        <v>0</v>
      </c>
      <c r="BK164" s="50">
        <v>0</v>
      </c>
      <c r="BL164" s="49">
        <v>31</v>
      </c>
      <c r="BM164" s="50">
        <v>93.93939393939394</v>
      </c>
      <c r="BN164" s="49">
        <v>33</v>
      </c>
    </row>
    <row r="165" spans="1:66" ht="15">
      <c r="A165" s="66" t="s">
        <v>339</v>
      </c>
      <c r="B165" s="66" t="s">
        <v>339</v>
      </c>
      <c r="C165" s="67" t="s">
        <v>4510</v>
      </c>
      <c r="D165" s="68">
        <v>3.6363636363636362</v>
      </c>
      <c r="E165" s="69" t="s">
        <v>136</v>
      </c>
      <c r="F165" s="70">
        <v>31.2972972972973</v>
      </c>
      <c r="G165" s="67"/>
      <c r="H165" s="71"/>
      <c r="I165" s="72"/>
      <c r="J165" s="72"/>
      <c r="K165" s="35" t="s">
        <v>65</v>
      </c>
      <c r="L165" s="80">
        <v>165</v>
      </c>
      <c r="M165" s="80"/>
      <c r="N165" s="74"/>
      <c r="O165" s="82" t="s">
        <v>214</v>
      </c>
      <c r="P165" s="84">
        <v>44518.62517361111</v>
      </c>
      <c r="Q165" s="82" t="s">
        <v>661</v>
      </c>
      <c r="R165" s="82"/>
      <c r="S165" s="82"/>
      <c r="T165" s="87" t="s">
        <v>961</v>
      </c>
      <c r="U165" s="85" t="str">
        <f>HYPERLINK("https://pbs.twimg.com/media/FEe5ml6VEAYA2Dq.jpg")</f>
        <v>https://pbs.twimg.com/media/FEe5ml6VEAYA2Dq.jpg</v>
      </c>
      <c r="V165" s="85" t="str">
        <f>HYPERLINK("https://pbs.twimg.com/media/FEe5ml6VEAYA2Dq.jpg")</f>
        <v>https://pbs.twimg.com/media/FEe5ml6VEAYA2Dq.jpg</v>
      </c>
      <c r="W165" s="84">
        <v>44518.62517361111</v>
      </c>
      <c r="X165" s="90">
        <v>44518</v>
      </c>
      <c r="Y165" s="87" t="s">
        <v>1263</v>
      </c>
      <c r="Z165" s="85" t="str">
        <f>HYPERLINK("https://twitter.com/nhswyrd/status/1461348533039087617")</f>
        <v>https://twitter.com/nhswyrd/status/1461348533039087617</v>
      </c>
      <c r="AA165" s="82"/>
      <c r="AB165" s="82"/>
      <c r="AC165" s="87" t="s">
        <v>1578</v>
      </c>
      <c r="AD165" s="82"/>
      <c r="AE165" s="82" t="b">
        <v>0</v>
      </c>
      <c r="AF165" s="82">
        <v>4</v>
      </c>
      <c r="AG165" s="87" t="s">
        <v>1815</v>
      </c>
      <c r="AH165" s="82" t="b">
        <v>0</v>
      </c>
      <c r="AI165" s="82" t="s">
        <v>1826</v>
      </c>
      <c r="AJ165" s="82"/>
      <c r="AK165" s="87" t="s">
        <v>1815</v>
      </c>
      <c r="AL165" s="82" t="b">
        <v>0</v>
      </c>
      <c r="AM165" s="82">
        <v>2</v>
      </c>
      <c r="AN165" s="87" t="s">
        <v>1815</v>
      </c>
      <c r="AO165" s="87" t="s">
        <v>1850</v>
      </c>
      <c r="AP165" s="82" t="b">
        <v>0</v>
      </c>
      <c r="AQ165" s="87" t="s">
        <v>1578</v>
      </c>
      <c r="AR165" s="82"/>
      <c r="AS165" s="82">
        <v>0</v>
      </c>
      <c r="AT165" s="82">
        <v>0</v>
      </c>
      <c r="AU165" s="82"/>
      <c r="AV165" s="82"/>
      <c r="AW165" s="82"/>
      <c r="AX165" s="82"/>
      <c r="AY165" s="82"/>
      <c r="AZ165" s="82"/>
      <c r="BA165" s="82"/>
      <c r="BB165" s="82"/>
      <c r="BC165">
        <v>2</v>
      </c>
      <c r="BD165" s="81" t="str">
        <f>REPLACE(INDEX(GroupVertices[Group],MATCH(Edges[[#This Row],[Vertex 1]],GroupVertices[Vertex],0)),1,1,"")</f>
        <v>1</v>
      </c>
      <c r="BE165" s="81" t="str">
        <f>REPLACE(INDEX(GroupVertices[Group],MATCH(Edges[[#This Row],[Vertex 2]],GroupVertices[Vertex],0)),1,1,"")</f>
        <v>1</v>
      </c>
      <c r="BF165" s="49">
        <v>0</v>
      </c>
      <c r="BG165" s="50">
        <v>0</v>
      </c>
      <c r="BH165" s="49">
        <v>2</v>
      </c>
      <c r="BI165" s="50">
        <v>6.0606060606060606</v>
      </c>
      <c r="BJ165" s="49">
        <v>0</v>
      </c>
      <c r="BK165" s="50">
        <v>0</v>
      </c>
      <c r="BL165" s="49">
        <v>31</v>
      </c>
      <c r="BM165" s="50">
        <v>93.93939393939394</v>
      </c>
      <c r="BN165" s="49">
        <v>33</v>
      </c>
    </row>
    <row r="166" spans="1:66" ht="15">
      <c r="A166" s="66" t="s">
        <v>339</v>
      </c>
      <c r="B166" s="66" t="s">
        <v>339</v>
      </c>
      <c r="C166" s="67" t="s">
        <v>4510</v>
      </c>
      <c r="D166" s="68">
        <v>3.6363636363636362</v>
      </c>
      <c r="E166" s="69" t="s">
        <v>136</v>
      </c>
      <c r="F166" s="70">
        <v>31.2972972972973</v>
      </c>
      <c r="G166" s="67"/>
      <c r="H166" s="71"/>
      <c r="I166" s="72"/>
      <c r="J166" s="72"/>
      <c r="K166" s="35" t="s">
        <v>65</v>
      </c>
      <c r="L166" s="80">
        <v>166</v>
      </c>
      <c r="M166" s="80"/>
      <c r="N166" s="74"/>
      <c r="O166" s="82" t="s">
        <v>214</v>
      </c>
      <c r="P166" s="84">
        <v>44518.65626157408</v>
      </c>
      <c r="Q166" s="82" t="s">
        <v>662</v>
      </c>
      <c r="R166" s="85" t="str">
        <f>HYPERLINK("https://www.westyorksrd.nhs.uk/resources/doc/dc5e8b80e17b5af3f33db803df3fb508")</f>
        <v>https://www.westyorksrd.nhs.uk/resources/doc/dc5e8b80e17b5af3f33db803df3fb508</v>
      </c>
      <c r="S166" s="82" t="s">
        <v>910</v>
      </c>
      <c r="T166" s="87" t="s">
        <v>1020</v>
      </c>
      <c r="U166" s="85" t="str">
        <f>HYPERLINK("https://pbs.twimg.com/media/FEfK97RVgAofQNe.png")</f>
        <v>https://pbs.twimg.com/media/FEfK97RVgAofQNe.png</v>
      </c>
      <c r="V166" s="85" t="str">
        <f>HYPERLINK("https://pbs.twimg.com/media/FEfK97RVgAofQNe.png")</f>
        <v>https://pbs.twimg.com/media/FEfK97RVgAofQNe.png</v>
      </c>
      <c r="W166" s="84">
        <v>44518.65626157408</v>
      </c>
      <c r="X166" s="90">
        <v>44518</v>
      </c>
      <c r="Y166" s="87" t="s">
        <v>1264</v>
      </c>
      <c r="Z166" s="85" t="str">
        <f>HYPERLINK("https://twitter.com/nhswyrd/status/1461359799447142420")</f>
        <v>https://twitter.com/nhswyrd/status/1461359799447142420</v>
      </c>
      <c r="AA166" s="82"/>
      <c r="AB166" s="82"/>
      <c r="AC166" s="87" t="s">
        <v>1579</v>
      </c>
      <c r="AD166" s="82"/>
      <c r="AE166" s="82" t="b">
        <v>0</v>
      </c>
      <c r="AF166" s="82">
        <v>0</v>
      </c>
      <c r="AG166" s="87" t="s">
        <v>1815</v>
      </c>
      <c r="AH166" s="82" t="b">
        <v>0</v>
      </c>
      <c r="AI166" s="82" t="s">
        <v>1831</v>
      </c>
      <c r="AJ166" s="82"/>
      <c r="AK166" s="87" t="s">
        <v>1815</v>
      </c>
      <c r="AL166" s="82" t="b">
        <v>0</v>
      </c>
      <c r="AM166" s="82">
        <v>0</v>
      </c>
      <c r="AN166" s="87" t="s">
        <v>1815</v>
      </c>
      <c r="AO166" s="87" t="s">
        <v>1850</v>
      </c>
      <c r="AP166" s="82" t="b">
        <v>0</v>
      </c>
      <c r="AQ166" s="87" t="s">
        <v>1579</v>
      </c>
      <c r="AR166" s="82"/>
      <c r="AS166" s="82">
        <v>0</v>
      </c>
      <c r="AT166" s="82">
        <v>0</v>
      </c>
      <c r="AU166" s="82"/>
      <c r="AV166" s="82"/>
      <c r="AW166" s="82"/>
      <c r="AX166" s="82"/>
      <c r="AY166" s="82"/>
      <c r="AZ166" s="82"/>
      <c r="BA166" s="82"/>
      <c r="BB166" s="82"/>
      <c r="BC166">
        <v>2</v>
      </c>
      <c r="BD166" s="81" t="str">
        <f>REPLACE(INDEX(GroupVertices[Group],MATCH(Edges[[#This Row],[Vertex 1]],GroupVertices[Vertex],0)),1,1,"")</f>
        <v>1</v>
      </c>
      <c r="BE166" s="81" t="str">
        <f>REPLACE(INDEX(GroupVertices[Group],MATCH(Edges[[#This Row],[Vertex 2]],GroupVertices[Vertex],0)),1,1,"")</f>
        <v>1</v>
      </c>
      <c r="BF166" s="49">
        <v>0</v>
      </c>
      <c r="BG166" s="50">
        <v>0</v>
      </c>
      <c r="BH166" s="49">
        <v>1</v>
      </c>
      <c r="BI166" s="50">
        <v>5.882352941176471</v>
      </c>
      <c r="BJ166" s="49">
        <v>0</v>
      </c>
      <c r="BK166" s="50">
        <v>0</v>
      </c>
      <c r="BL166" s="49">
        <v>16</v>
      </c>
      <c r="BM166" s="50">
        <v>94.11764705882354</v>
      </c>
      <c r="BN166" s="49">
        <v>17</v>
      </c>
    </row>
    <row r="167" spans="1:66" ht="15">
      <c r="A167" s="66" t="s">
        <v>340</v>
      </c>
      <c r="B167" s="66" t="s">
        <v>340</v>
      </c>
      <c r="C167" s="67" t="s">
        <v>4509</v>
      </c>
      <c r="D167" s="68">
        <v>3</v>
      </c>
      <c r="E167" s="69" t="s">
        <v>132</v>
      </c>
      <c r="F167" s="70">
        <v>32</v>
      </c>
      <c r="G167" s="67"/>
      <c r="H167" s="71"/>
      <c r="I167" s="72"/>
      <c r="J167" s="72"/>
      <c r="K167" s="35" t="s">
        <v>65</v>
      </c>
      <c r="L167" s="80">
        <v>167</v>
      </c>
      <c r="M167" s="80"/>
      <c r="N167" s="74"/>
      <c r="O167" s="82" t="s">
        <v>214</v>
      </c>
      <c r="P167" s="84">
        <v>44518.625023148146</v>
      </c>
      <c r="Q167" s="82" t="s">
        <v>663</v>
      </c>
      <c r="R167" s="85" t="str">
        <f>HYPERLINK("https://antibioticguardian.com/")</f>
        <v>https://antibioticguardian.com/</v>
      </c>
      <c r="S167" s="82" t="s">
        <v>902</v>
      </c>
      <c r="T167" s="87" t="s">
        <v>955</v>
      </c>
      <c r="U167" s="85" t="str">
        <f>HYPERLINK("https://pbs.twimg.com/media/FEPSZUtWYAMRIz-.jpg")</f>
        <v>https://pbs.twimg.com/media/FEPSZUtWYAMRIz-.jpg</v>
      </c>
      <c r="V167" s="85" t="str">
        <f>HYPERLINK("https://pbs.twimg.com/media/FEPSZUtWYAMRIz-.jpg")</f>
        <v>https://pbs.twimg.com/media/FEPSZUtWYAMRIz-.jpg</v>
      </c>
      <c r="W167" s="84">
        <v>44518.625023148146</v>
      </c>
      <c r="X167" s="90">
        <v>44518</v>
      </c>
      <c r="Y167" s="87" t="s">
        <v>1265</v>
      </c>
      <c r="Z167" s="85" t="str">
        <f>HYPERLINK("https://twitter.com/nelhcp/status/1461348478249017344")</f>
        <v>https://twitter.com/nelhcp/status/1461348478249017344</v>
      </c>
      <c r="AA167" s="82"/>
      <c r="AB167" s="82"/>
      <c r="AC167" s="87" t="s">
        <v>1580</v>
      </c>
      <c r="AD167" s="82"/>
      <c r="AE167" s="82" t="b">
        <v>0</v>
      </c>
      <c r="AF167" s="82">
        <v>1</v>
      </c>
      <c r="AG167" s="87" t="s">
        <v>1815</v>
      </c>
      <c r="AH167" s="82" t="b">
        <v>0</v>
      </c>
      <c r="AI167" s="82" t="s">
        <v>1826</v>
      </c>
      <c r="AJ167" s="82"/>
      <c r="AK167" s="87" t="s">
        <v>1815</v>
      </c>
      <c r="AL167" s="82" t="b">
        <v>0</v>
      </c>
      <c r="AM167" s="82">
        <v>0</v>
      </c>
      <c r="AN167" s="87" t="s">
        <v>1815</v>
      </c>
      <c r="AO167" s="87" t="s">
        <v>1853</v>
      </c>
      <c r="AP167" s="82" t="b">
        <v>0</v>
      </c>
      <c r="AQ167" s="87" t="s">
        <v>1580</v>
      </c>
      <c r="AR167" s="82"/>
      <c r="AS167" s="82">
        <v>0</v>
      </c>
      <c r="AT167" s="82">
        <v>0</v>
      </c>
      <c r="AU167" s="82"/>
      <c r="AV167" s="82"/>
      <c r="AW167" s="82"/>
      <c r="AX167" s="82"/>
      <c r="AY167" s="82"/>
      <c r="AZ167" s="82"/>
      <c r="BA167" s="82"/>
      <c r="BB167" s="82"/>
      <c r="BC167">
        <v>1</v>
      </c>
      <c r="BD167" s="81" t="str">
        <f>REPLACE(INDEX(GroupVertices[Group],MATCH(Edges[[#This Row],[Vertex 1]],GroupVertices[Vertex],0)),1,1,"")</f>
        <v>1</v>
      </c>
      <c r="BE167" s="81" t="str">
        <f>REPLACE(INDEX(GroupVertices[Group],MATCH(Edges[[#This Row],[Vertex 2]],GroupVertices[Vertex],0)),1,1,"")</f>
        <v>1</v>
      </c>
      <c r="BF167" s="49">
        <v>0</v>
      </c>
      <c r="BG167" s="50">
        <v>0</v>
      </c>
      <c r="BH167" s="49">
        <v>2</v>
      </c>
      <c r="BI167" s="50">
        <v>11.11111111111111</v>
      </c>
      <c r="BJ167" s="49">
        <v>0</v>
      </c>
      <c r="BK167" s="50">
        <v>0</v>
      </c>
      <c r="BL167" s="49">
        <v>16</v>
      </c>
      <c r="BM167" s="50">
        <v>88.88888888888889</v>
      </c>
      <c r="BN167" s="49">
        <v>18</v>
      </c>
    </row>
    <row r="168" spans="1:66" ht="15">
      <c r="A168" s="66" t="s">
        <v>341</v>
      </c>
      <c r="B168" s="66" t="s">
        <v>341</v>
      </c>
      <c r="C168" s="67" t="s">
        <v>4509</v>
      </c>
      <c r="D168" s="68">
        <v>3</v>
      </c>
      <c r="E168" s="69" t="s">
        <v>132</v>
      </c>
      <c r="F168" s="70">
        <v>32</v>
      </c>
      <c r="G168" s="67"/>
      <c r="H168" s="71"/>
      <c r="I168" s="72"/>
      <c r="J168" s="72"/>
      <c r="K168" s="35" t="s">
        <v>65</v>
      </c>
      <c r="L168" s="80">
        <v>168</v>
      </c>
      <c r="M168" s="80"/>
      <c r="N168" s="74"/>
      <c r="O168" s="82" t="s">
        <v>214</v>
      </c>
      <c r="P168" s="84">
        <v>44518.62515046296</v>
      </c>
      <c r="Q168" s="82" t="s">
        <v>664</v>
      </c>
      <c r="R168" s="85" t="str">
        <f>HYPERLINK("https://www.cdc.gov/drugresistance/covid19.html")</f>
        <v>https://www.cdc.gov/drugresistance/covid19.html</v>
      </c>
      <c r="S168" s="82" t="s">
        <v>903</v>
      </c>
      <c r="T168" s="87" t="s">
        <v>1021</v>
      </c>
      <c r="U168" s="85" t="str">
        <f>HYPERLINK("https://pbs.twimg.com/media/FEfAur-VQAcZc9s.jpg")</f>
        <v>https://pbs.twimg.com/media/FEfAur-VQAcZc9s.jpg</v>
      </c>
      <c r="V168" s="85" t="str">
        <f>HYPERLINK("https://pbs.twimg.com/media/FEfAur-VQAcZc9s.jpg")</f>
        <v>https://pbs.twimg.com/media/FEfAur-VQAcZc9s.jpg</v>
      </c>
      <c r="W168" s="84">
        <v>44518.62515046296</v>
      </c>
      <c r="X168" s="90">
        <v>44518</v>
      </c>
      <c r="Y168" s="87" t="s">
        <v>1266</v>
      </c>
      <c r="Z168" s="85" t="str">
        <f>HYPERLINK("https://twitter.com/silvercrosshosp/status/1461348524432363527")</f>
        <v>https://twitter.com/silvercrosshosp/status/1461348524432363527</v>
      </c>
      <c r="AA168" s="82"/>
      <c r="AB168" s="82"/>
      <c r="AC168" s="87" t="s">
        <v>1581</v>
      </c>
      <c r="AD168" s="82"/>
      <c r="AE168" s="82" t="b">
        <v>0</v>
      </c>
      <c r="AF168" s="82">
        <v>3</v>
      </c>
      <c r="AG168" s="87" t="s">
        <v>1815</v>
      </c>
      <c r="AH168" s="82" t="b">
        <v>0</v>
      </c>
      <c r="AI168" s="82" t="s">
        <v>1826</v>
      </c>
      <c r="AJ168" s="82"/>
      <c r="AK168" s="87" t="s">
        <v>1815</v>
      </c>
      <c r="AL168" s="82" t="b">
        <v>0</v>
      </c>
      <c r="AM168" s="82">
        <v>0</v>
      </c>
      <c r="AN168" s="87" t="s">
        <v>1815</v>
      </c>
      <c r="AO168" s="87" t="s">
        <v>1859</v>
      </c>
      <c r="AP168" s="82" t="b">
        <v>0</v>
      </c>
      <c r="AQ168" s="87" t="s">
        <v>1581</v>
      </c>
      <c r="AR168" s="82"/>
      <c r="AS168" s="82">
        <v>0</v>
      </c>
      <c r="AT168" s="82">
        <v>0</v>
      </c>
      <c r="AU168" s="82"/>
      <c r="AV168" s="82"/>
      <c r="AW168" s="82"/>
      <c r="AX168" s="82"/>
      <c r="AY168" s="82"/>
      <c r="AZ168" s="82"/>
      <c r="BA168" s="82"/>
      <c r="BB168" s="82"/>
      <c r="BC168">
        <v>1</v>
      </c>
      <c r="BD168" s="81" t="str">
        <f>REPLACE(INDEX(GroupVertices[Group],MATCH(Edges[[#This Row],[Vertex 1]],GroupVertices[Vertex],0)),1,1,"")</f>
        <v>1</v>
      </c>
      <c r="BE168" s="81" t="str">
        <f>REPLACE(INDEX(GroupVertices[Group],MATCH(Edges[[#This Row],[Vertex 2]],GroupVertices[Vertex],0)),1,1,"")</f>
        <v>1</v>
      </c>
      <c r="BF168" s="49">
        <v>0</v>
      </c>
      <c r="BG168" s="50">
        <v>0</v>
      </c>
      <c r="BH168" s="49">
        <v>1</v>
      </c>
      <c r="BI168" s="50">
        <v>2.9411764705882355</v>
      </c>
      <c r="BJ168" s="49">
        <v>0</v>
      </c>
      <c r="BK168" s="50">
        <v>0</v>
      </c>
      <c r="BL168" s="49">
        <v>33</v>
      </c>
      <c r="BM168" s="50">
        <v>97.05882352941177</v>
      </c>
      <c r="BN168" s="49">
        <v>34</v>
      </c>
    </row>
    <row r="169" spans="1:66" ht="15">
      <c r="A169" s="66" t="s">
        <v>342</v>
      </c>
      <c r="B169" s="66" t="s">
        <v>342</v>
      </c>
      <c r="C169" s="67" t="s">
        <v>4509</v>
      </c>
      <c r="D169" s="68">
        <v>3</v>
      </c>
      <c r="E169" s="69" t="s">
        <v>132</v>
      </c>
      <c r="F169" s="70">
        <v>32</v>
      </c>
      <c r="G169" s="67"/>
      <c r="H169" s="71"/>
      <c r="I169" s="72"/>
      <c r="J169" s="72"/>
      <c r="K169" s="35" t="s">
        <v>65</v>
      </c>
      <c r="L169" s="80">
        <v>169</v>
      </c>
      <c r="M169" s="80"/>
      <c r="N169" s="74"/>
      <c r="O169" s="82" t="s">
        <v>214</v>
      </c>
      <c r="P169" s="84">
        <v>44518.63600694444</v>
      </c>
      <c r="Q169" s="82" t="s">
        <v>665</v>
      </c>
      <c r="R169" s="82"/>
      <c r="S169" s="82"/>
      <c r="T169" s="87" t="s">
        <v>1022</v>
      </c>
      <c r="U169" s="85" t="str">
        <f>HYPERLINK("https://pbs.twimg.com/media/FEfBkSrVQAUisds.jpg")</f>
        <v>https://pbs.twimg.com/media/FEfBkSrVQAUisds.jpg</v>
      </c>
      <c r="V169" s="85" t="str">
        <f>HYPERLINK("https://pbs.twimg.com/media/FEfBkSrVQAUisds.jpg")</f>
        <v>https://pbs.twimg.com/media/FEfBkSrVQAUisds.jpg</v>
      </c>
      <c r="W169" s="84">
        <v>44518.63600694444</v>
      </c>
      <c r="X169" s="90">
        <v>44518</v>
      </c>
      <c r="Y169" s="87" t="s">
        <v>1267</v>
      </c>
      <c r="Z169" s="85" t="str">
        <f>HYPERLINK("https://twitter.com/factconsultancy/status/1461352457930362883")</f>
        <v>https://twitter.com/factconsultancy/status/1461352457930362883</v>
      </c>
      <c r="AA169" s="82"/>
      <c r="AB169" s="82"/>
      <c r="AC169" s="87" t="s">
        <v>1582</v>
      </c>
      <c r="AD169" s="82"/>
      <c r="AE169" s="82" t="b">
        <v>0</v>
      </c>
      <c r="AF169" s="82">
        <v>1</v>
      </c>
      <c r="AG169" s="87" t="s">
        <v>1815</v>
      </c>
      <c r="AH169" s="82" t="b">
        <v>0</v>
      </c>
      <c r="AI169" s="82" t="s">
        <v>1826</v>
      </c>
      <c r="AJ169" s="82"/>
      <c r="AK169" s="87" t="s">
        <v>1815</v>
      </c>
      <c r="AL169" s="82" t="b">
        <v>0</v>
      </c>
      <c r="AM169" s="82">
        <v>1</v>
      </c>
      <c r="AN169" s="87" t="s">
        <v>1815</v>
      </c>
      <c r="AO169" s="87" t="s">
        <v>1860</v>
      </c>
      <c r="AP169" s="82" t="b">
        <v>0</v>
      </c>
      <c r="AQ169" s="87" t="s">
        <v>1582</v>
      </c>
      <c r="AR169" s="82"/>
      <c r="AS169" s="82">
        <v>0</v>
      </c>
      <c r="AT169" s="82">
        <v>0</v>
      </c>
      <c r="AU169" s="82"/>
      <c r="AV169" s="82"/>
      <c r="AW169" s="82"/>
      <c r="AX169" s="82"/>
      <c r="AY169" s="82"/>
      <c r="AZ169" s="82"/>
      <c r="BA169" s="82"/>
      <c r="BB169" s="82"/>
      <c r="BC169">
        <v>1</v>
      </c>
      <c r="BD169" s="81" t="str">
        <f>REPLACE(INDEX(GroupVertices[Group],MATCH(Edges[[#This Row],[Vertex 1]],GroupVertices[Vertex],0)),1,1,"")</f>
        <v>1</v>
      </c>
      <c r="BE169" s="81" t="str">
        <f>REPLACE(INDEX(GroupVertices[Group],MATCH(Edges[[#This Row],[Vertex 2]],GroupVertices[Vertex],0)),1,1,"")</f>
        <v>1</v>
      </c>
      <c r="BF169" s="49">
        <v>0</v>
      </c>
      <c r="BG169" s="50">
        <v>0</v>
      </c>
      <c r="BH169" s="49">
        <v>2</v>
      </c>
      <c r="BI169" s="50">
        <v>6.25</v>
      </c>
      <c r="BJ169" s="49">
        <v>0</v>
      </c>
      <c r="BK169" s="50">
        <v>0</v>
      </c>
      <c r="BL169" s="49">
        <v>30</v>
      </c>
      <c r="BM169" s="50">
        <v>93.75</v>
      </c>
      <c r="BN169" s="49">
        <v>32</v>
      </c>
    </row>
    <row r="170" spans="1:66" ht="15">
      <c r="A170" s="66" t="s">
        <v>343</v>
      </c>
      <c r="B170" s="66" t="s">
        <v>482</v>
      </c>
      <c r="C170" s="67" t="s">
        <v>4509</v>
      </c>
      <c r="D170" s="68">
        <v>3</v>
      </c>
      <c r="E170" s="69" t="s">
        <v>132</v>
      </c>
      <c r="F170" s="70">
        <v>32</v>
      </c>
      <c r="G170" s="67"/>
      <c r="H170" s="71"/>
      <c r="I170" s="72"/>
      <c r="J170" s="72"/>
      <c r="K170" s="35" t="s">
        <v>65</v>
      </c>
      <c r="L170" s="80">
        <v>170</v>
      </c>
      <c r="M170" s="80"/>
      <c r="N170" s="74"/>
      <c r="O170" s="82" t="s">
        <v>528</v>
      </c>
      <c r="P170" s="84">
        <v>44518.628599537034</v>
      </c>
      <c r="Q170" s="82" t="s">
        <v>666</v>
      </c>
      <c r="R170" s="85" t="str">
        <f>HYPERLINK("https://www.khconline.org/14-khc-initiatives/402-hai-ar")</f>
        <v>https://www.khconline.org/14-khc-initiatives/402-hai-ar</v>
      </c>
      <c r="S170" s="82" t="s">
        <v>923</v>
      </c>
      <c r="T170" s="87" t="s">
        <v>1023</v>
      </c>
      <c r="U170" s="85" t="str">
        <f>HYPERLINK("https://pbs.twimg.com/media/FEfBFhYVIAsCDtK.jpg")</f>
        <v>https://pbs.twimg.com/media/FEfBFhYVIAsCDtK.jpg</v>
      </c>
      <c r="V170" s="85" t="str">
        <f>HYPERLINK("https://pbs.twimg.com/media/FEfBFhYVIAsCDtK.jpg")</f>
        <v>https://pbs.twimg.com/media/FEfBFhYVIAsCDtK.jpg</v>
      </c>
      <c r="W170" s="84">
        <v>44518.628599537034</v>
      </c>
      <c r="X170" s="90">
        <v>44518</v>
      </c>
      <c r="Y170" s="87" t="s">
        <v>1268</v>
      </c>
      <c r="Z170" s="85" t="str">
        <f>HYPERLINK("https://twitter.com/khcqi/status/1461349775089954837")</f>
        <v>https://twitter.com/khcqi/status/1461349775089954837</v>
      </c>
      <c r="AA170" s="82"/>
      <c r="AB170" s="82"/>
      <c r="AC170" s="87" t="s">
        <v>1583</v>
      </c>
      <c r="AD170" s="82"/>
      <c r="AE170" s="82" t="b">
        <v>0</v>
      </c>
      <c r="AF170" s="82">
        <v>3</v>
      </c>
      <c r="AG170" s="87" t="s">
        <v>1815</v>
      </c>
      <c r="AH170" s="82" t="b">
        <v>0</v>
      </c>
      <c r="AI170" s="82" t="s">
        <v>1826</v>
      </c>
      <c r="AJ170" s="82"/>
      <c r="AK170" s="87" t="s">
        <v>1815</v>
      </c>
      <c r="AL170" s="82" t="b">
        <v>0</v>
      </c>
      <c r="AM170" s="82">
        <v>0</v>
      </c>
      <c r="AN170" s="87" t="s">
        <v>1815</v>
      </c>
      <c r="AO170" s="87" t="s">
        <v>1850</v>
      </c>
      <c r="AP170" s="82" t="b">
        <v>0</v>
      </c>
      <c r="AQ170" s="87" t="s">
        <v>1583</v>
      </c>
      <c r="AR170" s="82"/>
      <c r="AS170" s="82">
        <v>0</v>
      </c>
      <c r="AT170" s="82">
        <v>0</v>
      </c>
      <c r="AU170" s="82"/>
      <c r="AV170" s="82"/>
      <c r="AW170" s="82"/>
      <c r="AX170" s="82"/>
      <c r="AY170" s="82"/>
      <c r="AZ170" s="82"/>
      <c r="BA170" s="82"/>
      <c r="BB170" s="82"/>
      <c r="BC170">
        <v>1</v>
      </c>
      <c r="BD170" s="81" t="str">
        <f>REPLACE(INDEX(GroupVertices[Group],MATCH(Edges[[#This Row],[Vertex 1]],GroupVertices[Vertex],0)),1,1,"")</f>
        <v>5</v>
      </c>
      <c r="BE170" s="81" t="str">
        <f>REPLACE(INDEX(GroupVertices[Group],MATCH(Edges[[#This Row],[Vertex 2]],GroupVertices[Vertex],0)),1,1,"")</f>
        <v>5</v>
      </c>
      <c r="BF170" s="49"/>
      <c r="BG170" s="50"/>
      <c r="BH170" s="49"/>
      <c r="BI170" s="50"/>
      <c r="BJ170" s="49"/>
      <c r="BK170" s="50"/>
      <c r="BL170" s="49"/>
      <c r="BM170" s="50"/>
      <c r="BN170" s="49"/>
    </row>
    <row r="171" spans="1:66" ht="15">
      <c r="A171" s="66" t="s">
        <v>343</v>
      </c>
      <c r="B171" s="66" t="s">
        <v>427</v>
      </c>
      <c r="C171" s="67" t="s">
        <v>4509</v>
      </c>
      <c r="D171" s="68">
        <v>3</v>
      </c>
      <c r="E171" s="69" t="s">
        <v>132</v>
      </c>
      <c r="F171" s="70">
        <v>32</v>
      </c>
      <c r="G171" s="67"/>
      <c r="H171" s="71"/>
      <c r="I171" s="72"/>
      <c r="J171" s="72"/>
      <c r="K171" s="35" t="s">
        <v>65</v>
      </c>
      <c r="L171" s="80">
        <v>171</v>
      </c>
      <c r="M171" s="80"/>
      <c r="N171" s="74"/>
      <c r="O171" s="82" t="s">
        <v>528</v>
      </c>
      <c r="P171" s="84">
        <v>44518.628599537034</v>
      </c>
      <c r="Q171" s="82" t="s">
        <v>666</v>
      </c>
      <c r="R171" s="85" t="str">
        <f>HYPERLINK("https://www.khconline.org/14-khc-initiatives/402-hai-ar")</f>
        <v>https://www.khconline.org/14-khc-initiatives/402-hai-ar</v>
      </c>
      <c r="S171" s="82" t="s">
        <v>923</v>
      </c>
      <c r="T171" s="87" t="s">
        <v>1023</v>
      </c>
      <c r="U171" s="85" t="str">
        <f>HYPERLINK("https://pbs.twimg.com/media/FEfBFhYVIAsCDtK.jpg")</f>
        <v>https://pbs.twimg.com/media/FEfBFhYVIAsCDtK.jpg</v>
      </c>
      <c r="V171" s="85" t="str">
        <f>HYPERLINK("https://pbs.twimg.com/media/FEfBFhYVIAsCDtK.jpg")</f>
        <v>https://pbs.twimg.com/media/FEfBFhYVIAsCDtK.jpg</v>
      </c>
      <c r="W171" s="84">
        <v>44518.628599537034</v>
      </c>
      <c r="X171" s="90">
        <v>44518</v>
      </c>
      <c r="Y171" s="87" t="s">
        <v>1268</v>
      </c>
      <c r="Z171" s="85" t="str">
        <f>HYPERLINK("https://twitter.com/khcqi/status/1461349775089954837")</f>
        <v>https://twitter.com/khcqi/status/1461349775089954837</v>
      </c>
      <c r="AA171" s="82"/>
      <c r="AB171" s="82"/>
      <c r="AC171" s="87" t="s">
        <v>1583</v>
      </c>
      <c r="AD171" s="82"/>
      <c r="AE171" s="82" t="b">
        <v>0</v>
      </c>
      <c r="AF171" s="82">
        <v>3</v>
      </c>
      <c r="AG171" s="87" t="s">
        <v>1815</v>
      </c>
      <c r="AH171" s="82" t="b">
        <v>0</v>
      </c>
      <c r="AI171" s="82" t="s">
        <v>1826</v>
      </c>
      <c r="AJ171" s="82"/>
      <c r="AK171" s="87" t="s">
        <v>1815</v>
      </c>
      <c r="AL171" s="82" t="b">
        <v>0</v>
      </c>
      <c r="AM171" s="82">
        <v>0</v>
      </c>
      <c r="AN171" s="87" t="s">
        <v>1815</v>
      </c>
      <c r="AO171" s="87" t="s">
        <v>1850</v>
      </c>
      <c r="AP171" s="82" t="b">
        <v>0</v>
      </c>
      <c r="AQ171" s="87" t="s">
        <v>1583</v>
      </c>
      <c r="AR171" s="82"/>
      <c r="AS171" s="82">
        <v>0</v>
      </c>
      <c r="AT171" s="82">
        <v>0</v>
      </c>
      <c r="AU171" s="82"/>
      <c r="AV171" s="82"/>
      <c r="AW171" s="82"/>
      <c r="AX171" s="82"/>
      <c r="AY171" s="82"/>
      <c r="AZ171" s="82"/>
      <c r="BA171" s="82"/>
      <c r="BB171" s="82"/>
      <c r="BC171">
        <v>1</v>
      </c>
      <c r="BD171" s="81" t="str">
        <f>REPLACE(INDEX(GroupVertices[Group],MATCH(Edges[[#This Row],[Vertex 1]],GroupVertices[Vertex],0)),1,1,"")</f>
        <v>5</v>
      </c>
      <c r="BE171" s="81" t="str">
        <f>REPLACE(INDEX(GroupVertices[Group],MATCH(Edges[[#This Row],[Vertex 2]],GroupVertices[Vertex],0)),1,1,"")</f>
        <v>5</v>
      </c>
      <c r="BF171" s="49"/>
      <c r="BG171" s="50"/>
      <c r="BH171" s="49"/>
      <c r="BI171" s="50"/>
      <c r="BJ171" s="49"/>
      <c r="BK171" s="50"/>
      <c r="BL171" s="49"/>
      <c r="BM171" s="50"/>
      <c r="BN171" s="49"/>
    </row>
    <row r="172" spans="1:66" ht="15">
      <c r="A172" s="66" t="s">
        <v>343</v>
      </c>
      <c r="B172" s="66" t="s">
        <v>404</v>
      </c>
      <c r="C172" s="67" t="s">
        <v>4509</v>
      </c>
      <c r="D172" s="68">
        <v>3</v>
      </c>
      <c r="E172" s="69" t="s">
        <v>132</v>
      </c>
      <c r="F172" s="70">
        <v>32</v>
      </c>
      <c r="G172" s="67"/>
      <c r="H172" s="71"/>
      <c r="I172" s="72"/>
      <c r="J172" s="72"/>
      <c r="K172" s="35" t="s">
        <v>65</v>
      </c>
      <c r="L172" s="80">
        <v>172</v>
      </c>
      <c r="M172" s="80"/>
      <c r="N172" s="74"/>
      <c r="O172" s="82" t="s">
        <v>528</v>
      </c>
      <c r="P172" s="84">
        <v>44518.628599537034</v>
      </c>
      <c r="Q172" s="82" t="s">
        <v>666</v>
      </c>
      <c r="R172" s="85" t="str">
        <f>HYPERLINK("https://www.khconline.org/14-khc-initiatives/402-hai-ar")</f>
        <v>https://www.khconline.org/14-khc-initiatives/402-hai-ar</v>
      </c>
      <c r="S172" s="82" t="s">
        <v>923</v>
      </c>
      <c r="T172" s="87" t="s">
        <v>1023</v>
      </c>
      <c r="U172" s="85" t="str">
        <f>HYPERLINK("https://pbs.twimg.com/media/FEfBFhYVIAsCDtK.jpg")</f>
        <v>https://pbs.twimg.com/media/FEfBFhYVIAsCDtK.jpg</v>
      </c>
      <c r="V172" s="85" t="str">
        <f>HYPERLINK("https://pbs.twimg.com/media/FEfBFhYVIAsCDtK.jpg")</f>
        <v>https://pbs.twimg.com/media/FEfBFhYVIAsCDtK.jpg</v>
      </c>
      <c r="W172" s="84">
        <v>44518.628599537034</v>
      </c>
      <c r="X172" s="90">
        <v>44518</v>
      </c>
      <c r="Y172" s="87" t="s">
        <v>1268</v>
      </c>
      <c r="Z172" s="85" t="str">
        <f>HYPERLINK("https://twitter.com/khcqi/status/1461349775089954837")</f>
        <v>https://twitter.com/khcqi/status/1461349775089954837</v>
      </c>
      <c r="AA172" s="82"/>
      <c r="AB172" s="82"/>
      <c r="AC172" s="87" t="s">
        <v>1583</v>
      </c>
      <c r="AD172" s="82"/>
      <c r="AE172" s="82" t="b">
        <v>0</v>
      </c>
      <c r="AF172" s="82">
        <v>3</v>
      </c>
      <c r="AG172" s="87" t="s">
        <v>1815</v>
      </c>
      <c r="AH172" s="82" t="b">
        <v>0</v>
      </c>
      <c r="AI172" s="82" t="s">
        <v>1826</v>
      </c>
      <c r="AJ172" s="82"/>
      <c r="AK172" s="87" t="s">
        <v>1815</v>
      </c>
      <c r="AL172" s="82" t="b">
        <v>0</v>
      </c>
      <c r="AM172" s="82">
        <v>0</v>
      </c>
      <c r="AN172" s="87" t="s">
        <v>1815</v>
      </c>
      <c r="AO172" s="87" t="s">
        <v>1850</v>
      </c>
      <c r="AP172" s="82" t="b">
        <v>0</v>
      </c>
      <c r="AQ172" s="87" t="s">
        <v>1583</v>
      </c>
      <c r="AR172" s="82"/>
      <c r="AS172" s="82">
        <v>0</v>
      </c>
      <c r="AT172" s="82">
        <v>0</v>
      </c>
      <c r="AU172" s="82"/>
      <c r="AV172" s="82"/>
      <c r="AW172" s="82"/>
      <c r="AX172" s="82"/>
      <c r="AY172" s="82"/>
      <c r="AZ172" s="82"/>
      <c r="BA172" s="82"/>
      <c r="BB172" s="82"/>
      <c r="BC172">
        <v>1</v>
      </c>
      <c r="BD172" s="81" t="str">
        <f>REPLACE(INDEX(GroupVertices[Group],MATCH(Edges[[#This Row],[Vertex 1]],GroupVertices[Vertex],0)),1,1,"")</f>
        <v>5</v>
      </c>
      <c r="BE172" s="81" t="str">
        <f>REPLACE(INDEX(GroupVertices[Group],MATCH(Edges[[#This Row],[Vertex 2]],GroupVertices[Vertex],0)),1,1,"")</f>
        <v>5</v>
      </c>
      <c r="BF172" s="49">
        <v>1</v>
      </c>
      <c r="BG172" s="50">
        <v>2.7027027027027026</v>
      </c>
      <c r="BH172" s="49">
        <v>1</v>
      </c>
      <c r="BI172" s="50">
        <v>2.7027027027027026</v>
      </c>
      <c r="BJ172" s="49">
        <v>0</v>
      </c>
      <c r="BK172" s="50">
        <v>0</v>
      </c>
      <c r="BL172" s="49">
        <v>35</v>
      </c>
      <c r="BM172" s="50">
        <v>94.5945945945946</v>
      </c>
      <c r="BN172" s="49">
        <v>37</v>
      </c>
    </row>
    <row r="173" spans="1:66" ht="15">
      <c r="A173" s="66" t="s">
        <v>344</v>
      </c>
      <c r="B173" s="66" t="s">
        <v>344</v>
      </c>
      <c r="C173" s="67" t="s">
        <v>4509</v>
      </c>
      <c r="D173" s="68">
        <v>3</v>
      </c>
      <c r="E173" s="69" t="s">
        <v>132</v>
      </c>
      <c r="F173" s="70">
        <v>32</v>
      </c>
      <c r="G173" s="67"/>
      <c r="H173" s="71"/>
      <c r="I173" s="72"/>
      <c r="J173" s="72"/>
      <c r="K173" s="35" t="s">
        <v>65</v>
      </c>
      <c r="L173" s="80">
        <v>173</v>
      </c>
      <c r="M173" s="80"/>
      <c r="N173" s="74"/>
      <c r="O173" s="82" t="s">
        <v>214</v>
      </c>
      <c r="P173" s="84">
        <v>44518.62902777778</v>
      </c>
      <c r="Q173" s="82" t="s">
        <v>667</v>
      </c>
      <c r="R173" s="82"/>
      <c r="S173" s="82"/>
      <c r="T173" s="87" t="s">
        <v>955</v>
      </c>
      <c r="U173" s="85" t="str">
        <f>HYPERLINK("https://pbs.twimg.com/media/FEfBWmRUUA0jn1g.jpg")</f>
        <v>https://pbs.twimg.com/media/FEfBWmRUUA0jn1g.jpg</v>
      </c>
      <c r="V173" s="85" t="str">
        <f>HYPERLINK("https://pbs.twimg.com/media/FEfBWmRUUA0jn1g.jpg")</f>
        <v>https://pbs.twimg.com/media/FEfBWmRUUA0jn1g.jpg</v>
      </c>
      <c r="W173" s="84">
        <v>44518.62902777778</v>
      </c>
      <c r="X173" s="90">
        <v>44518</v>
      </c>
      <c r="Y173" s="87" t="s">
        <v>1269</v>
      </c>
      <c r="Z173" s="85" t="str">
        <f>HYPERLINK("https://twitter.com/jordanchrlswrth/status/1461349928492433417")</f>
        <v>https://twitter.com/jordanchrlswrth/status/1461349928492433417</v>
      </c>
      <c r="AA173" s="82"/>
      <c r="AB173" s="82"/>
      <c r="AC173" s="87" t="s">
        <v>1584</v>
      </c>
      <c r="AD173" s="82"/>
      <c r="AE173" s="82" t="b">
        <v>0</v>
      </c>
      <c r="AF173" s="82">
        <v>5</v>
      </c>
      <c r="AG173" s="87" t="s">
        <v>1815</v>
      </c>
      <c r="AH173" s="82" t="b">
        <v>0</v>
      </c>
      <c r="AI173" s="82" t="s">
        <v>1826</v>
      </c>
      <c r="AJ173" s="82"/>
      <c r="AK173" s="87" t="s">
        <v>1815</v>
      </c>
      <c r="AL173" s="82" t="b">
        <v>0</v>
      </c>
      <c r="AM173" s="82">
        <v>4</v>
      </c>
      <c r="AN173" s="87" t="s">
        <v>1815</v>
      </c>
      <c r="AO173" s="87" t="s">
        <v>1850</v>
      </c>
      <c r="AP173" s="82" t="b">
        <v>0</v>
      </c>
      <c r="AQ173" s="87" t="s">
        <v>1584</v>
      </c>
      <c r="AR173" s="82"/>
      <c r="AS173" s="82">
        <v>0</v>
      </c>
      <c r="AT173" s="82">
        <v>0</v>
      </c>
      <c r="AU173" s="82"/>
      <c r="AV173" s="82"/>
      <c r="AW173" s="82"/>
      <c r="AX173" s="82"/>
      <c r="AY173" s="82"/>
      <c r="AZ173" s="82"/>
      <c r="BA173" s="82"/>
      <c r="BB173" s="82"/>
      <c r="BC173">
        <v>1</v>
      </c>
      <c r="BD173" s="81" t="str">
        <f>REPLACE(INDEX(GroupVertices[Group],MATCH(Edges[[#This Row],[Vertex 1]],GroupVertices[Vertex],0)),1,1,"")</f>
        <v>1</v>
      </c>
      <c r="BE173" s="81" t="str">
        <f>REPLACE(INDEX(GroupVertices[Group],MATCH(Edges[[#This Row],[Vertex 2]],GroupVertices[Vertex],0)),1,1,"")</f>
        <v>1</v>
      </c>
      <c r="BF173" s="49">
        <v>0</v>
      </c>
      <c r="BG173" s="50">
        <v>0</v>
      </c>
      <c r="BH173" s="49">
        <v>2</v>
      </c>
      <c r="BI173" s="50">
        <v>6.0606060606060606</v>
      </c>
      <c r="BJ173" s="49">
        <v>0</v>
      </c>
      <c r="BK173" s="50">
        <v>0</v>
      </c>
      <c r="BL173" s="49">
        <v>31</v>
      </c>
      <c r="BM173" s="50">
        <v>93.93939393939394</v>
      </c>
      <c r="BN173" s="49">
        <v>33</v>
      </c>
    </row>
    <row r="174" spans="1:66" ht="15">
      <c r="A174" s="66" t="s">
        <v>345</v>
      </c>
      <c r="B174" s="66" t="s">
        <v>345</v>
      </c>
      <c r="C174" s="67" t="s">
        <v>4509</v>
      </c>
      <c r="D174" s="68">
        <v>3</v>
      </c>
      <c r="E174" s="69" t="s">
        <v>132</v>
      </c>
      <c r="F174" s="70">
        <v>32</v>
      </c>
      <c r="G174" s="67"/>
      <c r="H174" s="71"/>
      <c r="I174" s="72"/>
      <c r="J174" s="72"/>
      <c r="K174" s="35" t="s">
        <v>65</v>
      </c>
      <c r="L174" s="80">
        <v>174</v>
      </c>
      <c r="M174" s="80"/>
      <c r="N174" s="74"/>
      <c r="O174" s="82" t="s">
        <v>214</v>
      </c>
      <c r="P174" s="84">
        <v>44518.62521990741</v>
      </c>
      <c r="Q174" s="82" t="s">
        <v>668</v>
      </c>
      <c r="R174" s="85" t="str">
        <f>HYPERLINK("https://www.cdc.gov/drugresistance/covid19.html")</f>
        <v>https://www.cdc.gov/drugresistance/covid19.html</v>
      </c>
      <c r="S174" s="82" t="s">
        <v>903</v>
      </c>
      <c r="T174" s="87" t="s">
        <v>954</v>
      </c>
      <c r="U174" s="85" t="str">
        <f>HYPERLINK("https://pbs.twimg.com/media/FEfAwnnVcAQt9ud.jpg")</f>
        <v>https://pbs.twimg.com/media/FEfAwnnVcAQt9ud.jpg</v>
      </c>
      <c r="V174" s="85" t="str">
        <f>HYPERLINK("https://pbs.twimg.com/media/FEfAwnnVcAQt9ud.jpg")</f>
        <v>https://pbs.twimg.com/media/FEfAwnnVcAQt9ud.jpg</v>
      </c>
      <c r="W174" s="84">
        <v>44518.62521990741</v>
      </c>
      <c r="X174" s="90">
        <v>44518</v>
      </c>
      <c r="Y174" s="87" t="s">
        <v>1270</v>
      </c>
      <c r="Z174" s="85" t="str">
        <f>HYPERLINK("https://twitter.com/mgh_ast/status/1461348550650908684")</f>
        <v>https://twitter.com/mgh_ast/status/1461348550650908684</v>
      </c>
      <c r="AA174" s="82"/>
      <c r="AB174" s="82"/>
      <c r="AC174" s="87" t="s">
        <v>1585</v>
      </c>
      <c r="AD174" s="82"/>
      <c r="AE174" s="82" t="b">
        <v>0</v>
      </c>
      <c r="AF174" s="82">
        <v>5</v>
      </c>
      <c r="AG174" s="87" t="s">
        <v>1815</v>
      </c>
      <c r="AH174" s="82" t="b">
        <v>0</v>
      </c>
      <c r="AI174" s="82" t="s">
        <v>1826</v>
      </c>
      <c r="AJ174" s="82"/>
      <c r="AK174" s="87" t="s">
        <v>1815</v>
      </c>
      <c r="AL174" s="82" t="b">
        <v>0</v>
      </c>
      <c r="AM174" s="82">
        <v>4</v>
      </c>
      <c r="AN174" s="87" t="s">
        <v>1815</v>
      </c>
      <c r="AO174" s="87" t="s">
        <v>1851</v>
      </c>
      <c r="AP174" s="82" t="b">
        <v>0</v>
      </c>
      <c r="AQ174" s="87" t="s">
        <v>1585</v>
      </c>
      <c r="AR174" s="82"/>
      <c r="AS174" s="82">
        <v>0</v>
      </c>
      <c r="AT174" s="82">
        <v>0</v>
      </c>
      <c r="AU174" s="82" t="s">
        <v>1873</v>
      </c>
      <c r="AV174" s="82" t="s">
        <v>1876</v>
      </c>
      <c r="AW174" s="82" t="s">
        <v>1879</v>
      </c>
      <c r="AX174" s="82" t="s">
        <v>1883</v>
      </c>
      <c r="AY174" s="82" t="s">
        <v>1887</v>
      </c>
      <c r="AZ174" s="82" t="s">
        <v>1883</v>
      </c>
      <c r="BA174" s="82" t="s">
        <v>1894</v>
      </c>
      <c r="BB174" s="85" t="str">
        <f>HYPERLINK("https://api.twitter.com/1.1/geo/id/07d9c931c8c86000.json")</f>
        <v>https://api.twitter.com/1.1/geo/id/07d9c931c8c86000.json</v>
      </c>
      <c r="BC174">
        <v>1</v>
      </c>
      <c r="BD174" s="81" t="str">
        <f>REPLACE(INDEX(GroupVertices[Group],MATCH(Edges[[#This Row],[Vertex 1]],GroupVertices[Vertex],0)),1,1,"")</f>
        <v>1</v>
      </c>
      <c r="BE174" s="81" t="str">
        <f>REPLACE(INDEX(GroupVertices[Group],MATCH(Edges[[#This Row],[Vertex 2]],GroupVertices[Vertex],0)),1,1,"")</f>
        <v>1</v>
      </c>
      <c r="BF174" s="49">
        <v>0</v>
      </c>
      <c r="BG174" s="50">
        <v>0</v>
      </c>
      <c r="BH174" s="49">
        <v>1</v>
      </c>
      <c r="BI174" s="50">
        <v>3.0303030303030303</v>
      </c>
      <c r="BJ174" s="49">
        <v>0</v>
      </c>
      <c r="BK174" s="50">
        <v>0</v>
      </c>
      <c r="BL174" s="49">
        <v>32</v>
      </c>
      <c r="BM174" s="50">
        <v>96.96969696969697</v>
      </c>
      <c r="BN174" s="49">
        <v>33</v>
      </c>
    </row>
    <row r="175" spans="1:66" ht="15">
      <c r="A175" s="66" t="s">
        <v>346</v>
      </c>
      <c r="B175" s="66" t="s">
        <v>346</v>
      </c>
      <c r="C175" s="67" t="s">
        <v>4509</v>
      </c>
      <c r="D175" s="68">
        <v>3</v>
      </c>
      <c r="E175" s="69" t="s">
        <v>132</v>
      </c>
      <c r="F175" s="70">
        <v>32</v>
      </c>
      <c r="G175" s="67"/>
      <c r="H175" s="71"/>
      <c r="I175" s="72"/>
      <c r="J175" s="72"/>
      <c r="K175" s="35" t="s">
        <v>65</v>
      </c>
      <c r="L175" s="80">
        <v>175</v>
      </c>
      <c r="M175" s="80"/>
      <c r="N175" s="74"/>
      <c r="O175" s="82" t="s">
        <v>214</v>
      </c>
      <c r="P175" s="84">
        <v>44518.62527777778</v>
      </c>
      <c r="Q175" s="82" t="s">
        <v>669</v>
      </c>
      <c r="R175" s="85" t="str">
        <f>HYPERLINK("https://www.cdc.gov/drugresistance/covid19.html")</f>
        <v>https://www.cdc.gov/drugresistance/covid19.html</v>
      </c>
      <c r="S175" s="82" t="s">
        <v>903</v>
      </c>
      <c r="T175" s="87" t="s">
        <v>954</v>
      </c>
      <c r="U175" s="82"/>
      <c r="V175" s="85" t="str">
        <f>HYPERLINK("https://pbs.twimg.com/profile_images/475680549512568834/ZKhNoc7O_normal.jpeg")</f>
        <v>https://pbs.twimg.com/profile_images/475680549512568834/ZKhNoc7O_normal.jpeg</v>
      </c>
      <c r="W175" s="84">
        <v>44518.62527777778</v>
      </c>
      <c r="X175" s="90">
        <v>44518</v>
      </c>
      <c r="Y175" s="87" t="s">
        <v>1271</v>
      </c>
      <c r="Z175" s="85" t="str">
        <f>HYPERLINK("https://twitter.com/larryttu05/status/1461348570087317523")</f>
        <v>https://twitter.com/larryttu05/status/1461348570087317523</v>
      </c>
      <c r="AA175" s="82"/>
      <c r="AB175" s="82"/>
      <c r="AC175" s="87" t="s">
        <v>1586</v>
      </c>
      <c r="AD175" s="82"/>
      <c r="AE175" s="82" t="b">
        <v>0</v>
      </c>
      <c r="AF175" s="82">
        <v>1</v>
      </c>
      <c r="AG175" s="87" t="s">
        <v>1815</v>
      </c>
      <c r="AH175" s="82" t="b">
        <v>0</v>
      </c>
      <c r="AI175" s="82" t="s">
        <v>1826</v>
      </c>
      <c r="AJ175" s="82"/>
      <c r="AK175" s="87" t="s">
        <v>1815</v>
      </c>
      <c r="AL175" s="82" t="b">
        <v>0</v>
      </c>
      <c r="AM175" s="82">
        <v>0</v>
      </c>
      <c r="AN175" s="87" t="s">
        <v>1815</v>
      </c>
      <c r="AO175" s="87" t="s">
        <v>1852</v>
      </c>
      <c r="AP175" s="82" t="b">
        <v>0</v>
      </c>
      <c r="AQ175" s="87" t="s">
        <v>1586</v>
      </c>
      <c r="AR175" s="82"/>
      <c r="AS175" s="82">
        <v>0</v>
      </c>
      <c r="AT175" s="82">
        <v>0</v>
      </c>
      <c r="AU175" s="82"/>
      <c r="AV175" s="82"/>
      <c r="AW175" s="82"/>
      <c r="AX175" s="82"/>
      <c r="AY175" s="82"/>
      <c r="AZ175" s="82"/>
      <c r="BA175" s="82"/>
      <c r="BB175" s="82"/>
      <c r="BC175">
        <v>1</v>
      </c>
      <c r="BD175" s="81" t="str">
        <f>REPLACE(INDEX(GroupVertices[Group],MATCH(Edges[[#This Row],[Vertex 1]],GroupVertices[Vertex],0)),1,1,"")</f>
        <v>1</v>
      </c>
      <c r="BE175" s="81" t="str">
        <f>REPLACE(INDEX(GroupVertices[Group],MATCH(Edges[[#This Row],[Vertex 2]],GroupVertices[Vertex],0)),1,1,"")</f>
        <v>1</v>
      </c>
      <c r="BF175" s="49">
        <v>0</v>
      </c>
      <c r="BG175" s="50">
        <v>0</v>
      </c>
      <c r="BH175" s="49">
        <v>1</v>
      </c>
      <c r="BI175" s="50">
        <v>3.0303030303030303</v>
      </c>
      <c r="BJ175" s="49">
        <v>0</v>
      </c>
      <c r="BK175" s="50">
        <v>0</v>
      </c>
      <c r="BL175" s="49">
        <v>32</v>
      </c>
      <c r="BM175" s="50">
        <v>96.96969696969697</v>
      </c>
      <c r="BN175" s="49">
        <v>33</v>
      </c>
    </row>
    <row r="176" spans="1:66" ht="15">
      <c r="A176" s="66" t="s">
        <v>347</v>
      </c>
      <c r="B176" s="66" t="s">
        <v>483</v>
      </c>
      <c r="C176" s="67" t="s">
        <v>4509</v>
      </c>
      <c r="D176" s="68">
        <v>3</v>
      </c>
      <c r="E176" s="69" t="s">
        <v>132</v>
      </c>
      <c r="F176" s="70">
        <v>32</v>
      </c>
      <c r="G176" s="67"/>
      <c r="H176" s="71"/>
      <c r="I176" s="72"/>
      <c r="J176" s="72"/>
      <c r="K176" s="35" t="s">
        <v>65</v>
      </c>
      <c r="L176" s="80">
        <v>176</v>
      </c>
      <c r="M176" s="80"/>
      <c r="N176" s="74"/>
      <c r="O176" s="82" t="s">
        <v>528</v>
      </c>
      <c r="P176" s="84">
        <v>44518.65837962963</v>
      </c>
      <c r="Q176" s="82" t="s">
        <v>670</v>
      </c>
      <c r="R176" s="82"/>
      <c r="S176" s="82"/>
      <c r="T176" s="87" t="s">
        <v>1024</v>
      </c>
      <c r="U176" s="85" t="str">
        <f>HYPERLINK("https://pbs.twimg.com/media/FEfLruyUcAQGVoM.jpg")</f>
        <v>https://pbs.twimg.com/media/FEfLruyUcAQGVoM.jpg</v>
      </c>
      <c r="V176" s="85" t="str">
        <f>HYPERLINK("https://pbs.twimg.com/media/FEfLruyUcAQGVoM.jpg")</f>
        <v>https://pbs.twimg.com/media/FEfLruyUcAQGVoM.jpg</v>
      </c>
      <c r="W176" s="84">
        <v>44518.65837962963</v>
      </c>
      <c r="X176" s="90">
        <v>44518</v>
      </c>
      <c r="Y176" s="87" t="s">
        <v>1272</v>
      </c>
      <c r="Z176" s="85" t="str">
        <f>HYPERLINK("https://twitter.com/kevincuervo_/status/1461360565020872704")</f>
        <v>https://twitter.com/kevincuervo_/status/1461360565020872704</v>
      </c>
      <c r="AA176" s="82"/>
      <c r="AB176" s="82"/>
      <c r="AC176" s="87" t="s">
        <v>1587</v>
      </c>
      <c r="AD176" s="82"/>
      <c r="AE176" s="82" t="b">
        <v>0</v>
      </c>
      <c r="AF176" s="82">
        <v>22</v>
      </c>
      <c r="AG176" s="87" t="s">
        <v>1815</v>
      </c>
      <c r="AH176" s="82" t="b">
        <v>0</v>
      </c>
      <c r="AI176" s="82" t="s">
        <v>1830</v>
      </c>
      <c r="AJ176" s="82"/>
      <c r="AK176" s="87" t="s">
        <v>1815</v>
      </c>
      <c r="AL176" s="82" t="b">
        <v>0</v>
      </c>
      <c r="AM176" s="82">
        <v>10</v>
      </c>
      <c r="AN176" s="87" t="s">
        <v>1815</v>
      </c>
      <c r="AO176" s="87" t="s">
        <v>1851</v>
      </c>
      <c r="AP176" s="82" t="b">
        <v>0</v>
      </c>
      <c r="AQ176" s="87" t="s">
        <v>1587</v>
      </c>
      <c r="AR176" s="82"/>
      <c r="AS176" s="82">
        <v>0</v>
      </c>
      <c r="AT176" s="82">
        <v>0</v>
      </c>
      <c r="AU176" s="82" t="s">
        <v>1874</v>
      </c>
      <c r="AV176" s="82" t="s">
        <v>1877</v>
      </c>
      <c r="AW176" s="82" t="s">
        <v>1880</v>
      </c>
      <c r="AX176" s="82" t="s">
        <v>1884</v>
      </c>
      <c r="AY176" s="82" t="s">
        <v>1888</v>
      </c>
      <c r="AZ176" s="82" t="s">
        <v>1891</v>
      </c>
      <c r="BA176" s="82" t="s">
        <v>1893</v>
      </c>
      <c r="BB176" s="85" t="str">
        <f>HYPERLINK("https://api.twitter.com/1.1/geo/id/6c1be133511970bc.json")</f>
        <v>https://api.twitter.com/1.1/geo/id/6c1be133511970bc.json</v>
      </c>
      <c r="BC176">
        <v>1</v>
      </c>
      <c r="BD176" s="81" t="str">
        <f>REPLACE(INDEX(GroupVertices[Group],MATCH(Edges[[#This Row],[Vertex 1]],GroupVertices[Vertex],0)),1,1,"")</f>
        <v>7</v>
      </c>
      <c r="BE176" s="81" t="str">
        <f>REPLACE(INDEX(GroupVertices[Group],MATCH(Edges[[#This Row],[Vertex 2]],GroupVertices[Vertex],0)),1,1,"")</f>
        <v>7</v>
      </c>
      <c r="BF176" s="49"/>
      <c r="BG176" s="50"/>
      <c r="BH176" s="49"/>
      <c r="BI176" s="50"/>
      <c r="BJ176" s="49"/>
      <c r="BK176" s="50"/>
      <c r="BL176" s="49"/>
      <c r="BM176" s="50"/>
      <c r="BN176" s="49"/>
    </row>
    <row r="177" spans="1:66" ht="15">
      <c r="A177" s="66" t="s">
        <v>347</v>
      </c>
      <c r="B177" s="66" t="s">
        <v>484</v>
      </c>
      <c r="C177" s="67" t="s">
        <v>4509</v>
      </c>
      <c r="D177" s="68">
        <v>3</v>
      </c>
      <c r="E177" s="69" t="s">
        <v>132</v>
      </c>
      <c r="F177" s="70">
        <v>32</v>
      </c>
      <c r="G177" s="67"/>
      <c r="H177" s="71"/>
      <c r="I177" s="72"/>
      <c r="J177" s="72"/>
      <c r="K177" s="35" t="s">
        <v>65</v>
      </c>
      <c r="L177" s="80">
        <v>177</v>
      </c>
      <c r="M177" s="80"/>
      <c r="N177" s="74"/>
      <c r="O177" s="82" t="s">
        <v>528</v>
      </c>
      <c r="P177" s="84">
        <v>44518.65837962963</v>
      </c>
      <c r="Q177" s="82" t="s">
        <v>670</v>
      </c>
      <c r="R177" s="82"/>
      <c r="S177" s="82"/>
      <c r="T177" s="87" t="s">
        <v>1024</v>
      </c>
      <c r="U177" s="85" t="str">
        <f>HYPERLINK("https://pbs.twimg.com/media/FEfLruyUcAQGVoM.jpg")</f>
        <v>https://pbs.twimg.com/media/FEfLruyUcAQGVoM.jpg</v>
      </c>
      <c r="V177" s="85" t="str">
        <f>HYPERLINK("https://pbs.twimg.com/media/FEfLruyUcAQGVoM.jpg")</f>
        <v>https://pbs.twimg.com/media/FEfLruyUcAQGVoM.jpg</v>
      </c>
      <c r="W177" s="84">
        <v>44518.65837962963</v>
      </c>
      <c r="X177" s="90">
        <v>44518</v>
      </c>
      <c r="Y177" s="87" t="s">
        <v>1272</v>
      </c>
      <c r="Z177" s="85" t="str">
        <f>HYPERLINK("https://twitter.com/kevincuervo_/status/1461360565020872704")</f>
        <v>https://twitter.com/kevincuervo_/status/1461360565020872704</v>
      </c>
      <c r="AA177" s="82"/>
      <c r="AB177" s="82"/>
      <c r="AC177" s="87" t="s">
        <v>1587</v>
      </c>
      <c r="AD177" s="82"/>
      <c r="AE177" s="82" t="b">
        <v>0</v>
      </c>
      <c r="AF177" s="82">
        <v>22</v>
      </c>
      <c r="AG177" s="87" t="s">
        <v>1815</v>
      </c>
      <c r="AH177" s="82" t="b">
        <v>0</v>
      </c>
      <c r="AI177" s="82" t="s">
        <v>1830</v>
      </c>
      <c r="AJ177" s="82"/>
      <c r="AK177" s="87" t="s">
        <v>1815</v>
      </c>
      <c r="AL177" s="82" t="b">
        <v>0</v>
      </c>
      <c r="AM177" s="82">
        <v>10</v>
      </c>
      <c r="AN177" s="87" t="s">
        <v>1815</v>
      </c>
      <c r="AO177" s="87" t="s">
        <v>1851</v>
      </c>
      <c r="AP177" s="82" t="b">
        <v>0</v>
      </c>
      <c r="AQ177" s="87" t="s">
        <v>1587</v>
      </c>
      <c r="AR177" s="82"/>
      <c r="AS177" s="82">
        <v>0</v>
      </c>
      <c r="AT177" s="82">
        <v>0</v>
      </c>
      <c r="AU177" s="82" t="s">
        <v>1874</v>
      </c>
      <c r="AV177" s="82" t="s">
        <v>1877</v>
      </c>
      <c r="AW177" s="82" t="s">
        <v>1880</v>
      </c>
      <c r="AX177" s="82" t="s">
        <v>1884</v>
      </c>
      <c r="AY177" s="82" t="s">
        <v>1888</v>
      </c>
      <c r="AZ177" s="82" t="s">
        <v>1891</v>
      </c>
      <c r="BA177" s="82" t="s">
        <v>1893</v>
      </c>
      <c r="BB177" s="85" t="str">
        <f>HYPERLINK("https://api.twitter.com/1.1/geo/id/6c1be133511970bc.json")</f>
        <v>https://api.twitter.com/1.1/geo/id/6c1be133511970bc.json</v>
      </c>
      <c r="BC177">
        <v>1</v>
      </c>
      <c r="BD177" s="81" t="str">
        <f>REPLACE(INDEX(GroupVertices[Group],MATCH(Edges[[#This Row],[Vertex 1]],GroupVertices[Vertex],0)),1,1,"")</f>
        <v>7</v>
      </c>
      <c r="BE177" s="81" t="str">
        <f>REPLACE(INDEX(GroupVertices[Group],MATCH(Edges[[#This Row],[Vertex 2]],GroupVertices[Vertex],0)),1,1,"")</f>
        <v>7</v>
      </c>
      <c r="BF177" s="49"/>
      <c r="BG177" s="50"/>
      <c r="BH177" s="49"/>
      <c r="BI177" s="50"/>
      <c r="BJ177" s="49"/>
      <c r="BK177" s="50"/>
      <c r="BL177" s="49"/>
      <c r="BM177" s="50"/>
      <c r="BN177" s="49"/>
    </row>
    <row r="178" spans="1:66" ht="15">
      <c r="A178" s="66" t="s">
        <v>347</v>
      </c>
      <c r="B178" s="66" t="s">
        <v>485</v>
      </c>
      <c r="C178" s="67" t="s">
        <v>4509</v>
      </c>
      <c r="D178" s="68">
        <v>3</v>
      </c>
      <c r="E178" s="69" t="s">
        <v>132</v>
      </c>
      <c r="F178" s="70">
        <v>32</v>
      </c>
      <c r="G178" s="67"/>
      <c r="H178" s="71"/>
      <c r="I178" s="72"/>
      <c r="J178" s="72"/>
      <c r="K178" s="35" t="s">
        <v>65</v>
      </c>
      <c r="L178" s="80">
        <v>178</v>
      </c>
      <c r="M178" s="80"/>
      <c r="N178" s="74"/>
      <c r="O178" s="82" t="s">
        <v>528</v>
      </c>
      <c r="P178" s="84">
        <v>44518.65837962963</v>
      </c>
      <c r="Q178" s="82" t="s">
        <v>670</v>
      </c>
      <c r="R178" s="82"/>
      <c r="S178" s="82"/>
      <c r="T178" s="87" t="s">
        <v>1024</v>
      </c>
      <c r="U178" s="85" t="str">
        <f>HYPERLINK("https://pbs.twimg.com/media/FEfLruyUcAQGVoM.jpg")</f>
        <v>https://pbs.twimg.com/media/FEfLruyUcAQGVoM.jpg</v>
      </c>
      <c r="V178" s="85" t="str">
        <f>HYPERLINK("https://pbs.twimg.com/media/FEfLruyUcAQGVoM.jpg")</f>
        <v>https://pbs.twimg.com/media/FEfLruyUcAQGVoM.jpg</v>
      </c>
      <c r="W178" s="84">
        <v>44518.65837962963</v>
      </c>
      <c r="X178" s="90">
        <v>44518</v>
      </c>
      <c r="Y178" s="87" t="s">
        <v>1272</v>
      </c>
      <c r="Z178" s="85" t="str">
        <f>HYPERLINK("https://twitter.com/kevincuervo_/status/1461360565020872704")</f>
        <v>https://twitter.com/kevincuervo_/status/1461360565020872704</v>
      </c>
      <c r="AA178" s="82"/>
      <c r="AB178" s="82"/>
      <c r="AC178" s="87" t="s">
        <v>1587</v>
      </c>
      <c r="AD178" s="82"/>
      <c r="AE178" s="82" t="b">
        <v>0</v>
      </c>
      <c r="AF178" s="82">
        <v>22</v>
      </c>
      <c r="AG178" s="87" t="s">
        <v>1815</v>
      </c>
      <c r="AH178" s="82" t="b">
        <v>0</v>
      </c>
      <c r="AI178" s="82" t="s">
        <v>1830</v>
      </c>
      <c r="AJ178" s="82"/>
      <c r="AK178" s="87" t="s">
        <v>1815</v>
      </c>
      <c r="AL178" s="82" t="b">
        <v>0</v>
      </c>
      <c r="AM178" s="82">
        <v>10</v>
      </c>
      <c r="AN178" s="87" t="s">
        <v>1815</v>
      </c>
      <c r="AO178" s="87" t="s">
        <v>1851</v>
      </c>
      <c r="AP178" s="82" t="b">
        <v>0</v>
      </c>
      <c r="AQ178" s="87" t="s">
        <v>1587</v>
      </c>
      <c r="AR178" s="82"/>
      <c r="AS178" s="82">
        <v>0</v>
      </c>
      <c r="AT178" s="82">
        <v>0</v>
      </c>
      <c r="AU178" s="82" t="s">
        <v>1874</v>
      </c>
      <c r="AV178" s="82" t="s">
        <v>1877</v>
      </c>
      <c r="AW178" s="82" t="s">
        <v>1880</v>
      </c>
      <c r="AX178" s="82" t="s">
        <v>1884</v>
      </c>
      <c r="AY178" s="82" t="s">
        <v>1888</v>
      </c>
      <c r="AZ178" s="82" t="s">
        <v>1891</v>
      </c>
      <c r="BA178" s="82" t="s">
        <v>1893</v>
      </c>
      <c r="BB178" s="85" t="str">
        <f>HYPERLINK("https://api.twitter.com/1.1/geo/id/6c1be133511970bc.json")</f>
        <v>https://api.twitter.com/1.1/geo/id/6c1be133511970bc.json</v>
      </c>
      <c r="BC178">
        <v>1</v>
      </c>
      <c r="BD178" s="81" t="str">
        <f>REPLACE(INDEX(GroupVertices[Group],MATCH(Edges[[#This Row],[Vertex 1]],GroupVertices[Vertex],0)),1,1,"")</f>
        <v>7</v>
      </c>
      <c r="BE178" s="81" t="str">
        <f>REPLACE(INDEX(GroupVertices[Group],MATCH(Edges[[#This Row],[Vertex 2]],GroupVertices[Vertex],0)),1,1,"")</f>
        <v>7</v>
      </c>
      <c r="BF178" s="49"/>
      <c r="BG178" s="50"/>
      <c r="BH178" s="49"/>
      <c r="BI178" s="50"/>
      <c r="BJ178" s="49"/>
      <c r="BK178" s="50"/>
      <c r="BL178" s="49"/>
      <c r="BM178" s="50"/>
      <c r="BN178" s="49"/>
    </row>
    <row r="179" spans="1:66" ht="15">
      <c r="A179" s="66" t="s">
        <v>347</v>
      </c>
      <c r="B179" s="66" t="s">
        <v>486</v>
      </c>
      <c r="C179" s="67" t="s">
        <v>4509</v>
      </c>
      <c r="D179" s="68">
        <v>3</v>
      </c>
      <c r="E179" s="69" t="s">
        <v>132</v>
      </c>
      <c r="F179" s="70">
        <v>32</v>
      </c>
      <c r="G179" s="67"/>
      <c r="H179" s="71"/>
      <c r="I179" s="72"/>
      <c r="J179" s="72"/>
      <c r="K179" s="35" t="s">
        <v>65</v>
      </c>
      <c r="L179" s="80">
        <v>179</v>
      </c>
      <c r="M179" s="80"/>
      <c r="N179" s="74"/>
      <c r="O179" s="82" t="s">
        <v>528</v>
      </c>
      <c r="P179" s="84">
        <v>44518.65837962963</v>
      </c>
      <c r="Q179" s="82" t="s">
        <v>670</v>
      </c>
      <c r="R179" s="82"/>
      <c r="S179" s="82"/>
      <c r="T179" s="87" t="s">
        <v>1024</v>
      </c>
      <c r="U179" s="85" t="str">
        <f>HYPERLINK("https://pbs.twimg.com/media/FEfLruyUcAQGVoM.jpg")</f>
        <v>https://pbs.twimg.com/media/FEfLruyUcAQGVoM.jpg</v>
      </c>
      <c r="V179" s="85" t="str">
        <f>HYPERLINK("https://pbs.twimg.com/media/FEfLruyUcAQGVoM.jpg")</f>
        <v>https://pbs.twimg.com/media/FEfLruyUcAQGVoM.jpg</v>
      </c>
      <c r="W179" s="84">
        <v>44518.65837962963</v>
      </c>
      <c r="X179" s="90">
        <v>44518</v>
      </c>
      <c r="Y179" s="87" t="s">
        <v>1272</v>
      </c>
      <c r="Z179" s="85" t="str">
        <f>HYPERLINK("https://twitter.com/kevincuervo_/status/1461360565020872704")</f>
        <v>https://twitter.com/kevincuervo_/status/1461360565020872704</v>
      </c>
      <c r="AA179" s="82"/>
      <c r="AB179" s="82"/>
      <c r="AC179" s="87" t="s">
        <v>1587</v>
      </c>
      <c r="AD179" s="82"/>
      <c r="AE179" s="82" t="b">
        <v>0</v>
      </c>
      <c r="AF179" s="82">
        <v>22</v>
      </c>
      <c r="AG179" s="87" t="s">
        <v>1815</v>
      </c>
      <c r="AH179" s="82" t="b">
        <v>0</v>
      </c>
      <c r="AI179" s="82" t="s">
        <v>1830</v>
      </c>
      <c r="AJ179" s="82"/>
      <c r="AK179" s="87" t="s">
        <v>1815</v>
      </c>
      <c r="AL179" s="82" t="b">
        <v>0</v>
      </c>
      <c r="AM179" s="82">
        <v>10</v>
      </c>
      <c r="AN179" s="87" t="s">
        <v>1815</v>
      </c>
      <c r="AO179" s="87" t="s">
        <v>1851</v>
      </c>
      <c r="AP179" s="82" t="b">
        <v>0</v>
      </c>
      <c r="AQ179" s="87" t="s">
        <v>1587</v>
      </c>
      <c r="AR179" s="82"/>
      <c r="AS179" s="82">
        <v>0</v>
      </c>
      <c r="AT179" s="82">
        <v>0</v>
      </c>
      <c r="AU179" s="82" t="s">
        <v>1874</v>
      </c>
      <c r="AV179" s="82" t="s">
        <v>1877</v>
      </c>
      <c r="AW179" s="82" t="s">
        <v>1880</v>
      </c>
      <c r="AX179" s="82" t="s">
        <v>1884</v>
      </c>
      <c r="AY179" s="82" t="s">
        <v>1888</v>
      </c>
      <c r="AZ179" s="82" t="s">
        <v>1891</v>
      </c>
      <c r="BA179" s="82" t="s">
        <v>1893</v>
      </c>
      <c r="BB179" s="85" t="str">
        <f>HYPERLINK("https://api.twitter.com/1.1/geo/id/6c1be133511970bc.json")</f>
        <v>https://api.twitter.com/1.1/geo/id/6c1be133511970bc.json</v>
      </c>
      <c r="BC179">
        <v>1</v>
      </c>
      <c r="BD179" s="81" t="str">
        <f>REPLACE(INDEX(GroupVertices[Group],MATCH(Edges[[#This Row],[Vertex 1]],GroupVertices[Vertex],0)),1,1,"")</f>
        <v>7</v>
      </c>
      <c r="BE179" s="81" t="str">
        <f>REPLACE(INDEX(GroupVertices[Group],MATCH(Edges[[#This Row],[Vertex 2]],GroupVertices[Vertex],0)),1,1,"")</f>
        <v>7</v>
      </c>
      <c r="BF179" s="49"/>
      <c r="BG179" s="50"/>
      <c r="BH179" s="49"/>
      <c r="BI179" s="50"/>
      <c r="BJ179" s="49"/>
      <c r="BK179" s="50"/>
      <c r="BL179" s="49"/>
      <c r="BM179" s="50"/>
      <c r="BN179" s="49"/>
    </row>
    <row r="180" spans="1:66" ht="15">
      <c r="A180" s="66" t="s">
        <v>347</v>
      </c>
      <c r="B180" s="66" t="s">
        <v>487</v>
      </c>
      <c r="C180" s="67" t="s">
        <v>4509</v>
      </c>
      <c r="D180" s="68">
        <v>3</v>
      </c>
      <c r="E180" s="69" t="s">
        <v>132</v>
      </c>
      <c r="F180" s="70">
        <v>32</v>
      </c>
      <c r="G180" s="67"/>
      <c r="H180" s="71"/>
      <c r="I180" s="72"/>
      <c r="J180" s="72"/>
      <c r="K180" s="35" t="s">
        <v>65</v>
      </c>
      <c r="L180" s="80">
        <v>180</v>
      </c>
      <c r="M180" s="80"/>
      <c r="N180" s="74"/>
      <c r="O180" s="82" t="s">
        <v>528</v>
      </c>
      <c r="P180" s="84">
        <v>44518.65837962963</v>
      </c>
      <c r="Q180" s="82" t="s">
        <v>670</v>
      </c>
      <c r="R180" s="82"/>
      <c r="S180" s="82"/>
      <c r="T180" s="87" t="s">
        <v>1024</v>
      </c>
      <c r="U180" s="85" t="str">
        <f>HYPERLINK("https://pbs.twimg.com/media/FEfLruyUcAQGVoM.jpg")</f>
        <v>https://pbs.twimg.com/media/FEfLruyUcAQGVoM.jpg</v>
      </c>
      <c r="V180" s="85" t="str">
        <f>HYPERLINK("https://pbs.twimg.com/media/FEfLruyUcAQGVoM.jpg")</f>
        <v>https://pbs.twimg.com/media/FEfLruyUcAQGVoM.jpg</v>
      </c>
      <c r="W180" s="84">
        <v>44518.65837962963</v>
      </c>
      <c r="X180" s="90">
        <v>44518</v>
      </c>
      <c r="Y180" s="87" t="s">
        <v>1272</v>
      </c>
      <c r="Z180" s="85" t="str">
        <f>HYPERLINK("https://twitter.com/kevincuervo_/status/1461360565020872704")</f>
        <v>https://twitter.com/kevincuervo_/status/1461360565020872704</v>
      </c>
      <c r="AA180" s="82"/>
      <c r="AB180" s="82"/>
      <c r="AC180" s="87" t="s">
        <v>1587</v>
      </c>
      <c r="AD180" s="82"/>
      <c r="AE180" s="82" t="b">
        <v>0</v>
      </c>
      <c r="AF180" s="82">
        <v>22</v>
      </c>
      <c r="AG180" s="87" t="s">
        <v>1815</v>
      </c>
      <c r="AH180" s="82" t="b">
        <v>0</v>
      </c>
      <c r="AI180" s="82" t="s">
        <v>1830</v>
      </c>
      <c r="AJ180" s="82"/>
      <c r="AK180" s="87" t="s">
        <v>1815</v>
      </c>
      <c r="AL180" s="82" t="b">
        <v>0</v>
      </c>
      <c r="AM180" s="82">
        <v>10</v>
      </c>
      <c r="AN180" s="87" t="s">
        <v>1815</v>
      </c>
      <c r="AO180" s="87" t="s">
        <v>1851</v>
      </c>
      <c r="AP180" s="82" t="b">
        <v>0</v>
      </c>
      <c r="AQ180" s="87" t="s">
        <v>1587</v>
      </c>
      <c r="AR180" s="82"/>
      <c r="AS180" s="82">
        <v>0</v>
      </c>
      <c r="AT180" s="82">
        <v>0</v>
      </c>
      <c r="AU180" s="82" t="s">
        <v>1874</v>
      </c>
      <c r="AV180" s="82" t="s">
        <v>1877</v>
      </c>
      <c r="AW180" s="82" t="s">
        <v>1880</v>
      </c>
      <c r="AX180" s="82" t="s">
        <v>1884</v>
      </c>
      <c r="AY180" s="82" t="s">
        <v>1888</v>
      </c>
      <c r="AZ180" s="82" t="s">
        <v>1891</v>
      </c>
      <c r="BA180" s="82" t="s">
        <v>1893</v>
      </c>
      <c r="BB180" s="85" t="str">
        <f>HYPERLINK("https://api.twitter.com/1.1/geo/id/6c1be133511970bc.json")</f>
        <v>https://api.twitter.com/1.1/geo/id/6c1be133511970bc.json</v>
      </c>
      <c r="BC180">
        <v>1</v>
      </c>
      <c r="BD180" s="81" t="str">
        <f>REPLACE(INDEX(GroupVertices[Group],MATCH(Edges[[#This Row],[Vertex 1]],GroupVertices[Vertex],0)),1,1,"")</f>
        <v>7</v>
      </c>
      <c r="BE180" s="81" t="str">
        <f>REPLACE(INDEX(GroupVertices[Group],MATCH(Edges[[#This Row],[Vertex 2]],GroupVertices[Vertex],0)),1,1,"")</f>
        <v>7</v>
      </c>
      <c r="BF180" s="49"/>
      <c r="BG180" s="50"/>
      <c r="BH180" s="49"/>
      <c r="BI180" s="50"/>
      <c r="BJ180" s="49"/>
      <c r="BK180" s="50"/>
      <c r="BL180" s="49"/>
      <c r="BM180" s="50"/>
      <c r="BN180" s="49"/>
    </row>
    <row r="181" spans="1:66" ht="15">
      <c r="A181" s="66" t="s">
        <v>347</v>
      </c>
      <c r="B181" s="66" t="s">
        <v>488</v>
      </c>
      <c r="C181" s="67" t="s">
        <v>4509</v>
      </c>
      <c r="D181" s="68">
        <v>3</v>
      </c>
      <c r="E181" s="69" t="s">
        <v>132</v>
      </c>
      <c r="F181" s="70">
        <v>32</v>
      </c>
      <c r="G181" s="67"/>
      <c r="H181" s="71"/>
      <c r="I181" s="72"/>
      <c r="J181" s="72"/>
      <c r="K181" s="35" t="s">
        <v>65</v>
      </c>
      <c r="L181" s="80">
        <v>181</v>
      </c>
      <c r="M181" s="80"/>
      <c r="N181" s="74"/>
      <c r="O181" s="82" t="s">
        <v>528</v>
      </c>
      <c r="P181" s="84">
        <v>44518.65837962963</v>
      </c>
      <c r="Q181" s="82" t="s">
        <v>670</v>
      </c>
      <c r="R181" s="82"/>
      <c r="S181" s="82"/>
      <c r="T181" s="87" t="s">
        <v>1024</v>
      </c>
      <c r="U181" s="85" t="str">
        <f>HYPERLINK("https://pbs.twimg.com/media/FEfLruyUcAQGVoM.jpg")</f>
        <v>https://pbs.twimg.com/media/FEfLruyUcAQGVoM.jpg</v>
      </c>
      <c r="V181" s="85" t="str">
        <f>HYPERLINK("https://pbs.twimg.com/media/FEfLruyUcAQGVoM.jpg")</f>
        <v>https://pbs.twimg.com/media/FEfLruyUcAQGVoM.jpg</v>
      </c>
      <c r="W181" s="84">
        <v>44518.65837962963</v>
      </c>
      <c r="X181" s="90">
        <v>44518</v>
      </c>
      <c r="Y181" s="87" t="s">
        <v>1272</v>
      </c>
      <c r="Z181" s="85" t="str">
        <f>HYPERLINK("https://twitter.com/kevincuervo_/status/1461360565020872704")</f>
        <v>https://twitter.com/kevincuervo_/status/1461360565020872704</v>
      </c>
      <c r="AA181" s="82"/>
      <c r="AB181" s="82"/>
      <c r="AC181" s="87" t="s">
        <v>1587</v>
      </c>
      <c r="AD181" s="82"/>
      <c r="AE181" s="82" t="b">
        <v>0</v>
      </c>
      <c r="AF181" s="82">
        <v>22</v>
      </c>
      <c r="AG181" s="87" t="s">
        <v>1815</v>
      </c>
      <c r="AH181" s="82" t="b">
        <v>0</v>
      </c>
      <c r="AI181" s="82" t="s">
        <v>1830</v>
      </c>
      <c r="AJ181" s="82"/>
      <c r="AK181" s="87" t="s">
        <v>1815</v>
      </c>
      <c r="AL181" s="82" t="b">
        <v>0</v>
      </c>
      <c r="AM181" s="82">
        <v>10</v>
      </c>
      <c r="AN181" s="87" t="s">
        <v>1815</v>
      </c>
      <c r="AO181" s="87" t="s">
        <v>1851</v>
      </c>
      <c r="AP181" s="82" t="b">
        <v>0</v>
      </c>
      <c r="AQ181" s="87" t="s">
        <v>1587</v>
      </c>
      <c r="AR181" s="82"/>
      <c r="AS181" s="82">
        <v>0</v>
      </c>
      <c r="AT181" s="82">
        <v>0</v>
      </c>
      <c r="AU181" s="82" t="s">
        <v>1874</v>
      </c>
      <c r="AV181" s="82" t="s">
        <v>1877</v>
      </c>
      <c r="AW181" s="82" t="s">
        <v>1880</v>
      </c>
      <c r="AX181" s="82" t="s">
        <v>1884</v>
      </c>
      <c r="AY181" s="82" t="s">
        <v>1888</v>
      </c>
      <c r="AZ181" s="82" t="s">
        <v>1891</v>
      </c>
      <c r="BA181" s="82" t="s">
        <v>1893</v>
      </c>
      <c r="BB181" s="85" t="str">
        <f>HYPERLINK("https://api.twitter.com/1.1/geo/id/6c1be133511970bc.json")</f>
        <v>https://api.twitter.com/1.1/geo/id/6c1be133511970bc.json</v>
      </c>
      <c r="BC181">
        <v>1</v>
      </c>
      <c r="BD181" s="81" t="str">
        <f>REPLACE(INDEX(GroupVertices[Group],MATCH(Edges[[#This Row],[Vertex 1]],GroupVertices[Vertex],0)),1,1,"")</f>
        <v>7</v>
      </c>
      <c r="BE181" s="81" t="str">
        <f>REPLACE(INDEX(GroupVertices[Group],MATCH(Edges[[#This Row],[Vertex 2]],GroupVertices[Vertex],0)),1,1,"")</f>
        <v>7</v>
      </c>
      <c r="BF181" s="49">
        <v>0</v>
      </c>
      <c r="BG181" s="50">
        <v>0</v>
      </c>
      <c r="BH181" s="49">
        <v>0</v>
      </c>
      <c r="BI181" s="50">
        <v>0</v>
      </c>
      <c r="BJ181" s="49">
        <v>0</v>
      </c>
      <c r="BK181" s="50">
        <v>0</v>
      </c>
      <c r="BL181" s="49">
        <v>28</v>
      </c>
      <c r="BM181" s="50">
        <v>100</v>
      </c>
      <c r="BN181" s="49">
        <v>28</v>
      </c>
    </row>
    <row r="182" spans="1:66" ht="15">
      <c r="A182" s="66" t="s">
        <v>348</v>
      </c>
      <c r="B182" s="66" t="s">
        <v>348</v>
      </c>
      <c r="C182" s="67" t="s">
        <v>4509</v>
      </c>
      <c r="D182" s="68">
        <v>3</v>
      </c>
      <c r="E182" s="69" t="s">
        <v>132</v>
      </c>
      <c r="F182" s="70">
        <v>32</v>
      </c>
      <c r="G182" s="67"/>
      <c r="H182" s="71"/>
      <c r="I182" s="72"/>
      <c r="J182" s="72"/>
      <c r="K182" s="35" t="s">
        <v>65</v>
      </c>
      <c r="L182" s="80">
        <v>182</v>
      </c>
      <c r="M182" s="80"/>
      <c r="N182" s="74"/>
      <c r="O182" s="82" t="s">
        <v>214</v>
      </c>
      <c r="P182" s="84">
        <v>44518.62503472222</v>
      </c>
      <c r="Q182" s="82" t="s">
        <v>671</v>
      </c>
      <c r="R182" s="85" t="str">
        <f>HYPERLINK("https://linzyelton628749128.wordpress.com/2021/11/01/antimicrobial-resistance-what-is-it-how-does-it-work-and-why-should-you-care/")</f>
        <v>https://linzyelton628749128.wordpress.com/2021/11/01/antimicrobial-resistance-what-is-it-how-does-it-work-and-why-should-you-care/</v>
      </c>
      <c r="S182" s="82" t="s">
        <v>924</v>
      </c>
      <c r="T182" s="87" t="s">
        <v>1025</v>
      </c>
      <c r="U182" s="82"/>
      <c r="V182" s="85" t="str">
        <f>HYPERLINK("https://pbs.twimg.com/profile_images/976057877403193344/TG2_MPvF_normal.jpg")</f>
        <v>https://pbs.twimg.com/profile_images/976057877403193344/TG2_MPvF_normal.jpg</v>
      </c>
      <c r="W182" s="84">
        <v>44518.62503472222</v>
      </c>
      <c r="X182" s="90">
        <v>44518</v>
      </c>
      <c r="Y182" s="87" t="s">
        <v>1149</v>
      </c>
      <c r="Z182" s="85" t="str">
        <f>HYPERLINK("https://twitter.com/linzyelton/status/1461348482258653193")</f>
        <v>https://twitter.com/linzyelton/status/1461348482258653193</v>
      </c>
      <c r="AA182" s="82"/>
      <c r="AB182" s="82"/>
      <c r="AC182" s="87" t="s">
        <v>1588</v>
      </c>
      <c r="AD182" s="82"/>
      <c r="AE182" s="82" t="b">
        <v>0</v>
      </c>
      <c r="AF182" s="82">
        <v>3</v>
      </c>
      <c r="AG182" s="87" t="s">
        <v>1815</v>
      </c>
      <c r="AH182" s="82" t="b">
        <v>0</v>
      </c>
      <c r="AI182" s="82" t="s">
        <v>1826</v>
      </c>
      <c r="AJ182" s="82"/>
      <c r="AK182" s="87" t="s">
        <v>1815</v>
      </c>
      <c r="AL182" s="82" t="b">
        <v>0</v>
      </c>
      <c r="AM182" s="82">
        <v>2</v>
      </c>
      <c r="AN182" s="87" t="s">
        <v>1815</v>
      </c>
      <c r="AO182" s="87" t="s">
        <v>1853</v>
      </c>
      <c r="AP182" s="82" t="b">
        <v>0</v>
      </c>
      <c r="AQ182" s="87" t="s">
        <v>1588</v>
      </c>
      <c r="AR182" s="82"/>
      <c r="AS182" s="82">
        <v>0</v>
      </c>
      <c r="AT182" s="82">
        <v>0</v>
      </c>
      <c r="AU182" s="82"/>
      <c r="AV182" s="82"/>
      <c r="AW182" s="82"/>
      <c r="AX182" s="82"/>
      <c r="AY182" s="82"/>
      <c r="AZ182" s="82"/>
      <c r="BA182" s="82"/>
      <c r="BB182" s="82"/>
      <c r="BC182">
        <v>1</v>
      </c>
      <c r="BD182" s="81" t="str">
        <f>REPLACE(INDEX(GroupVertices[Group],MATCH(Edges[[#This Row],[Vertex 1]],GroupVertices[Vertex],0)),1,1,"")</f>
        <v>1</v>
      </c>
      <c r="BE182" s="81" t="str">
        <f>REPLACE(INDEX(GroupVertices[Group],MATCH(Edges[[#This Row],[Vertex 2]],GroupVertices[Vertex],0)),1,1,"")</f>
        <v>1</v>
      </c>
      <c r="BF182" s="49">
        <v>2</v>
      </c>
      <c r="BG182" s="50">
        <v>5.2631578947368425</v>
      </c>
      <c r="BH182" s="49">
        <v>0</v>
      </c>
      <c r="BI182" s="50">
        <v>0</v>
      </c>
      <c r="BJ182" s="49">
        <v>0</v>
      </c>
      <c r="BK182" s="50">
        <v>0</v>
      </c>
      <c r="BL182" s="49">
        <v>36</v>
      </c>
      <c r="BM182" s="50">
        <v>94.73684210526316</v>
      </c>
      <c r="BN182" s="49">
        <v>38</v>
      </c>
    </row>
    <row r="183" spans="1:66" ht="15">
      <c r="A183" s="66" t="s">
        <v>349</v>
      </c>
      <c r="B183" s="66" t="s">
        <v>489</v>
      </c>
      <c r="C183" s="67" t="s">
        <v>4509</v>
      </c>
      <c r="D183" s="68">
        <v>3</v>
      </c>
      <c r="E183" s="69" t="s">
        <v>132</v>
      </c>
      <c r="F183" s="70">
        <v>32</v>
      </c>
      <c r="G183" s="67"/>
      <c r="H183" s="71"/>
      <c r="I183" s="72"/>
      <c r="J183" s="72"/>
      <c r="K183" s="35" t="s">
        <v>65</v>
      </c>
      <c r="L183" s="80">
        <v>183</v>
      </c>
      <c r="M183" s="80"/>
      <c r="N183" s="74"/>
      <c r="O183" s="82" t="s">
        <v>528</v>
      </c>
      <c r="P183" s="84">
        <v>44518.648310185185</v>
      </c>
      <c r="Q183" s="82" t="s">
        <v>672</v>
      </c>
      <c r="R183" s="82" t="s">
        <v>894</v>
      </c>
      <c r="S183" s="82" t="s">
        <v>925</v>
      </c>
      <c r="T183" s="87" t="s">
        <v>1026</v>
      </c>
      <c r="U183" s="82"/>
      <c r="V183" s="85" t="str">
        <f>HYPERLINK("https://pbs.twimg.com/profile_images/1271018699223334912/M5-4Nk5Z_normal.jpg")</f>
        <v>https://pbs.twimg.com/profile_images/1271018699223334912/M5-4Nk5Z_normal.jpg</v>
      </c>
      <c r="W183" s="84">
        <v>44518.648310185185</v>
      </c>
      <c r="X183" s="90">
        <v>44518</v>
      </c>
      <c r="Y183" s="87" t="s">
        <v>1273</v>
      </c>
      <c r="Z183" s="85" t="str">
        <f>HYPERLINK("https://twitter.com/james_ciwf/status/1461356917993865227")</f>
        <v>https://twitter.com/james_ciwf/status/1461356917993865227</v>
      </c>
      <c r="AA183" s="82"/>
      <c r="AB183" s="82"/>
      <c r="AC183" s="87" t="s">
        <v>1589</v>
      </c>
      <c r="AD183" s="82"/>
      <c r="AE183" s="82" t="b">
        <v>0</v>
      </c>
      <c r="AF183" s="82">
        <v>5</v>
      </c>
      <c r="AG183" s="87" t="s">
        <v>1815</v>
      </c>
      <c r="AH183" s="82" t="b">
        <v>0</v>
      </c>
      <c r="AI183" s="82" t="s">
        <v>1826</v>
      </c>
      <c r="AJ183" s="82"/>
      <c r="AK183" s="87" t="s">
        <v>1815</v>
      </c>
      <c r="AL183" s="82" t="b">
        <v>0</v>
      </c>
      <c r="AM183" s="82">
        <v>2</v>
      </c>
      <c r="AN183" s="87" t="s">
        <v>1815</v>
      </c>
      <c r="AO183" s="87" t="s">
        <v>1850</v>
      </c>
      <c r="AP183" s="82" t="b">
        <v>0</v>
      </c>
      <c r="AQ183" s="87" t="s">
        <v>1589</v>
      </c>
      <c r="AR183" s="82"/>
      <c r="AS183" s="82">
        <v>0</v>
      </c>
      <c r="AT183" s="82">
        <v>0</v>
      </c>
      <c r="AU183" s="82"/>
      <c r="AV183" s="82"/>
      <c r="AW183" s="82"/>
      <c r="AX183" s="82"/>
      <c r="AY183" s="82"/>
      <c r="AZ183" s="82"/>
      <c r="BA183" s="82"/>
      <c r="BB183" s="82"/>
      <c r="BC183">
        <v>1</v>
      </c>
      <c r="BD183" s="81" t="str">
        <f>REPLACE(INDEX(GroupVertices[Group],MATCH(Edges[[#This Row],[Vertex 1]],GroupVertices[Vertex],0)),1,1,"")</f>
        <v>21</v>
      </c>
      <c r="BE183" s="81" t="str">
        <f>REPLACE(INDEX(GroupVertices[Group],MATCH(Edges[[#This Row],[Vertex 2]],GroupVertices[Vertex],0)),1,1,"")</f>
        <v>21</v>
      </c>
      <c r="BF183" s="49">
        <v>0</v>
      </c>
      <c r="BG183" s="50">
        <v>0</v>
      </c>
      <c r="BH183" s="49">
        <v>2</v>
      </c>
      <c r="BI183" s="50">
        <v>10</v>
      </c>
      <c r="BJ183" s="49">
        <v>0</v>
      </c>
      <c r="BK183" s="50">
        <v>0</v>
      </c>
      <c r="BL183" s="49">
        <v>18</v>
      </c>
      <c r="BM183" s="50">
        <v>90</v>
      </c>
      <c r="BN183" s="49">
        <v>20</v>
      </c>
    </row>
    <row r="184" spans="1:66" ht="15">
      <c r="A184" s="66" t="s">
        <v>350</v>
      </c>
      <c r="B184" s="66" t="s">
        <v>350</v>
      </c>
      <c r="C184" s="67" t="s">
        <v>4509</v>
      </c>
      <c r="D184" s="68">
        <v>3</v>
      </c>
      <c r="E184" s="69" t="s">
        <v>132</v>
      </c>
      <c r="F184" s="70">
        <v>32</v>
      </c>
      <c r="G184" s="67"/>
      <c r="H184" s="71"/>
      <c r="I184" s="72"/>
      <c r="J184" s="72"/>
      <c r="K184" s="35" t="s">
        <v>65</v>
      </c>
      <c r="L184" s="80">
        <v>184</v>
      </c>
      <c r="M184" s="80"/>
      <c r="N184" s="74"/>
      <c r="O184" s="82" t="s">
        <v>214</v>
      </c>
      <c r="P184" s="84">
        <v>44518.62501157408</v>
      </c>
      <c r="Q184" s="82" t="s">
        <v>673</v>
      </c>
      <c r="R184" s="82"/>
      <c r="S184" s="82"/>
      <c r="T184" s="87" t="s">
        <v>993</v>
      </c>
      <c r="U184" s="85" t="str">
        <f>HYPERLINK("https://pbs.twimg.com/media/FDRosBGWQAYtHv5.jpg")</f>
        <v>https://pbs.twimg.com/media/FDRosBGWQAYtHv5.jpg</v>
      </c>
      <c r="V184" s="85" t="str">
        <f>HYPERLINK("https://pbs.twimg.com/media/FDRosBGWQAYtHv5.jpg")</f>
        <v>https://pbs.twimg.com/media/FDRosBGWQAYtHv5.jpg</v>
      </c>
      <c r="W184" s="84">
        <v>44518.62501157408</v>
      </c>
      <c r="X184" s="90">
        <v>44518</v>
      </c>
      <c r="Y184" s="87" t="s">
        <v>1152</v>
      </c>
      <c r="Z184" s="85" t="str">
        <f>HYPERLINK("https://twitter.com/getready/status/1461348472754520064")</f>
        <v>https://twitter.com/getready/status/1461348472754520064</v>
      </c>
      <c r="AA184" s="82"/>
      <c r="AB184" s="82"/>
      <c r="AC184" s="87" t="s">
        <v>1590</v>
      </c>
      <c r="AD184" s="82"/>
      <c r="AE184" s="82" t="b">
        <v>0</v>
      </c>
      <c r="AF184" s="82">
        <v>1</v>
      </c>
      <c r="AG184" s="87" t="s">
        <v>1815</v>
      </c>
      <c r="AH184" s="82" t="b">
        <v>0</v>
      </c>
      <c r="AI184" s="82" t="s">
        <v>1826</v>
      </c>
      <c r="AJ184" s="82"/>
      <c r="AK184" s="87" t="s">
        <v>1815</v>
      </c>
      <c r="AL184" s="82" t="b">
        <v>0</v>
      </c>
      <c r="AM184" s="82">
        <v>0</v>
      </c>
      <c r="AN184" s="87" t="s">
        <v>1815</v>
      </c>
      <c r="AO184" s="87" t="s">
        <v>1853</v>
      </c>
      <c r="AP184" s="82" t="b">
        <v>0</v>
      </c>
      <c r="AQ184" s="87" t="s">
        <v>1590</v>
      </c>
      <c r="AR184" s="82"/>
      <c r="AS184" s="82">
        <v>0</v>
      </c>
      <c r="AT184" s="82">
        <v>0</v>
      </c>
      <c r="AU184" s="82"/>
      <c r="AV184" s="82"/>
      <c r="AW184" s="82"/>
      <c r="AX184" s="82"/>
      <c r="AY184" s="82"/>
      <c r="AZ184" s="82"/>
      <c r="BA184" s="82"/>
      <c r="BB184" s="82"/>
      <c r="BC184">
        <v>1</v>
      </c>
      <c r="BD184" s="81" t="str">
        <f>REPLACE(INDEX(GroupVertices[Group],MATCH(Edges[[#This Row],[Vertex 1]],GroupVertices[Vertex],0)),1,1,"")</f>
        <v>1</v>
      </c>
      <c r="BE184" s="81" t="str">
        <f>REPLACE(INDEX(GroupVertices[Group],MATCH(Edges[[#This Row],[Vertex 2]],GroupVertices[Vertex],0)),1,1,"")</f>
        <v>1</v>
      </c>
      <c r="BF184" s="49">
        <v>0</v>
      </c>
      <c r="BG184" s="50">
        <v>0</v>
      </c>
      <c r="BH184" s="49">
        <v>3</v>
      </c>
      <c r="BI184" s="50">
        <v>9.090909090909092</v>
      </c>
      <c r="BJ184" s="49">
        <v>0</v>
      </c>
      <c r="BK184" s="50">
        <v>0</v>
      </c>
      <c r="BL184" s="49">
        <v>30</v>
      </c>
      <c r="BM184" s="50">
        <v>90.9090909090909</v>
      </c>
      <c r="BN184" s="49">
        <v>33</v>
      </c>
    </row>
    <row r="185" spans="1:66" ht="15">
      <c r="A185" s="66" t="s">
        <v>351</v>
      </c>
      <c r="B185" s="66" t="s">
        <v>351</v>
      </c>
      <c r="C185" s="67" t="s">
        <v>4509</v>
      </c>
      <c r="D185" s="68">
        <v>3</v>
      </c>
      <c r="E185" s="69" t="s">
        <v>132</v>
      </c>
      <c r="F185" s="70">
        <v>32</v>
      </c>
      <c r="G185" s="67"/>
      <c r="H185" s="71"/>
      <c r="I185" s="72"/>
      <c r="J185" s="72"/>
      <c r="K185" s="35" t="s">
        <v>65</v>
      </c>
      <c r="L185" s="80">
        <v>185</v>
      </c>
      <c r="M185" s="80"/>
      <c r="N185" s="74"/>
      <c r="O185" s="82" t="s">
        <v>214</v>
      </c>
      <c r="P185" s="84">
        <v>44518.62585648148</v>
      </c>
      <c r="Q185" s="82" t="s">
        <v>674</v>
      </c>
      <c r="R185" s="85" t="str">
        <f>HYPERLINK("https://www.cdc.gov/drugresistance/covid19.html")</f>
        <v>https://www.cdc.gov/drugresistance/covid19.html</v>
      </c>
      <c r="S185" s="82" t="s">
        <v>903</v>
      </c>
      <c r="T185" s="87" t="s">
        <v>954</v>
      </c>
      <c r="U185" s="85" t="str">
        <f>HYPERLINK("https://pbs.twimg.com/media/FEfA9w6VUAIyHO3.jpg")</f>
        <v>https://pbs.twimg.com/media/FEfA9w6VUAIyHO3.jpg</v>
      </c>
      <c r="V185" s="85" t="str">
        <f>HYPERLINK("https://pbs.twimg.com/media/FEfA9w6VUAIyHO3.jpg")</f>
        <v>https://pbs.twimg.com/media/FEfA9w6VUAIyHO3.jpg</v>
      </c>
      <c r="W185" s="84">
        <v>44518.62585648148</v>
      </c>
      <c r="X185" s="90">
        <v>44518</v>
      </c>
      <c r="Y185" s="87" t="s">
        <v>1156</v>
      </c>
      <c r="Z185" s="85" t="str">
        <f>HYPERLINK("https://twitter.com/genmarkdx/status/1461348778741436418")</f>
        <v>https://twitter.com/genmarkdx/status/1461348778741436418</v>
      </c>
      <c r="AA185" s="82"/>
      <c r="AB185" s="82"/>
      <c r="AC185" s="87" t="s">
        <v>1591</v>
      </c>
      <c r="AD185" s="82"/>
      <c r="AE185" s="82" t="b">
        <v>0</v>
      </c>
      <c r="AF185" s="82">
        <v>4</v>
      </c>
      <c r="AG185" s="87" t="s">
        <v>1815</v>
      </c>
      <c r="AH185" s="82" t="b">
        <v>0</v>
      </c>
      <c r="AI185" s="82" t="s">
        <v>1826</v>
      </c>
      <c r="AJ185" s="82"/>
      <c r="AK185" s="87" t="s">
        <v>1815</v>
      </c>
      <c r="AL185" s="82" t="b">
        <v>0</v>
      </c>
      <c r="AM185" s="82">
        <v>0</v>
      </c>
      <c r="AN185" s="87" t="s">
        <v>1815</v>
      </c>
      <c r="AO185" s="87" t="s">
        <v>1858</v>
      </c>
      <c r="AP185" s="82" t="b">
        <v>0</v>
      </c>
      <c r="AQ185" s="87" t="s">
        <v>1591</v>
      </c>
      <c r="AR185" s="82"/>
      <c r="AS185" s="82">
        <v>0</v>
      </c>
      <c r="AT185" s="82">
        <v>0</v>
      </c>
      <c r="AU185" s="82"/>
      <c r="AV185" s="82"/>
      <c r="AW185" s="82"/>
      <c r="AX185" s="82"/>
      <c r="AY185" s="82"/>
      <c r="AZ185" s="82"/>
      <c r="BA185" s="82"/>
      <c r="BB185" s="82"/>
      <c r="BC185">
        <v>1</v>
      </c>
      <c r="BD185" s="81" t="str">
        <f>REPLACE(INDEX(GroupVertices[Group],MATCH(Edges[[#This Row],[Vertex 1]],GroupVertices[Vertex],0)),1,1,"")</f>
        <v>1</v>
      </c>
      <c r="BE185" s="81" t="str">
        <f>REPLACE(INDEX(GroupVertices[Group],MATCH(Edges[[#This Row],[Vertex 2]],GroupVertices[Vertex],0)),1,1,"")</f>
        <v>1</v>
      </c>
      <c r="BF185" s="49">
        <v>0</v>
      </c>
      <c r="BG185" s="50">
        <v>0</v>
      </c>
      <c r="BH185" s="49">
        <v>1</v>
      </c>
      <c r="BI185" s="50">
        <v>3.0303030303030303</v>
      </c>
      <c r="BJ185" s="49">
        <v>0</v>
      </c>
      <c r="BK185" s="50">
        <v>0</v>
      </c>
      <c r="BL185" s="49">
        <v>32</v>
      </c>
      <c r="BM185" s="50">
        <v>96.96969696969697</v>
      </c>
      <c r="BN185" s="49">
        <v>33</v>
      </c>
    </row>
    <row r="186" spans="1:66" ht="15">
      <c r="A186" s="66" t="s">
        <v>352</v>
      </c>
      <c r="B186" s="66" t="s">
        <v>408</v>
      </c>
      <c r="C186" s="67" t="s">
        <v>4509</v>
      </c>
      <c r="D186" s="68">
        <v>3</v>
      </c>
      <c r="E186" s="69" t="s">
        <v>132</v>
      </c>
      <c r="F186" s="70">
        <v>32</v>
      </c>
      <c r="G186" s="67"/>
      <c r="H186" s="71"/>
      <c r="I186" s="72"/>
      <c r="J186" s="72"/>
      <c r="K186" s="35" t="s">
        <v>65</v>
      </c>
      <c r="L186" s="80">
        <v>186</v>
      </c>
      <c r="M186" s="80"/>
      <c r="N186" s="74"/>
      <c r="O186" s="82" t="s">
        <v>528</v>
      </c>
      <c r="P186" s="84">
        <v>44518.62836805556</v>
      </c>
      <c r="Q186" s="82" t="s">
        <v>675</v>
      </c>
      <c r="R186" s="85" t="str">
        <f>HYPERLINK("https://twitter.com/antibioticangel/status/1461348545550716936")</f>
        <v>https://twitter.com/antibioticangel/status/1461348545550716936</v>
      </c>
      <c r="S186" s="82" t="s">
        <v>914</v>
      </c>
      <c r="T186" s="87" t="s">
        <v>1027</v>
      </c>
      <c r="U186" s="82"/>
      <c r="V186" s="85" t="str">
        <f>HYPERLINK("https://pbs.twimg.com/profile_images/1461279923012882432/tjJSxOnO_normal.jpg")</f>
        <v>https://pbs.twimg.com/profile_images/1461279923012882432/tjJSxOnO_normal.jpg</v>
      </c>
      <c r="W186" s="84">
        <v>44518.62836805556</v>
      </c>
      <c r="X186" s="90">
        <v>44518</v>
      </c>
      <c r="Y186" s="87" t="s">
        <v>1274</v>
      </c>
      <c r="Z186" s="85" t="str">
        <f>HYPERLINK("https://twitter.com/francesgarragh1/status/1461349690469801988")</f>
        <v>https://twitter.com/francesgarragh1/status/1461349690469801988</v>
      </c>
      <c r="AA186" s="82"/>
      <c r="AB186" s="82"/>
      <c r="AC186" s="87" t="s">
        <v>1592</v>
      </c>
      <c r="AD186" s="82"/>
      <c r="AE186" s="82" t="b">
        <v>0</v>
      </c>
      <c r="AF186" s="82">
        <v>16</v>
      </c>
      <c r="AG186" s="87" t="s">
        <v>1815</v>
      </c>
      <c r="AH186" s="82" t="b">
        <v>1</v>
      </c>
      <c r="AI186" s="82" t="s">
        <v>1826</v>
      </c>
      <c r="AJ186" s="82"/>
      <c r="AK186" s="87" t="s">
        <v>1734</v>
      </c>
      <c r="AL186" s="82" t="b">
        <v>0</v>
      </c>
      <c r="AM186" s="82">
        <v>3</v>
      </c>
      <c r="AN186" s="87" t="s">
        <v>1815</v>
      </c>
      <c r="AO186" s="87" t="s">
        <v>1851</v>
      </c>
      <c r="AP186" s="82" t="b">
        <v>0</v>
      </c>
      <c r="AQ186" s="87" t="s">
        <v>1592</v>
      </c>
      <c r="AR186" s="82"/>
      <c r="AS186" s="82">
        <v>0</v>
      </c>
      <c r="AT186" s="82">
        <v>0</v>
      </c>
      <c r="AU186" s="82"/>
      <c r="AV186" s="82"/>
      <c r="AW186" s="82"/>
      <c r="AX186" s="82"/>
      <c r="AY186" s="82"/>
      <c r="AZ186" s="82"/>
      <c r="BA186" s="82"/>
      <c r="BB186" s="82"/>
      <c r="BC186">
        <v>1</v>
      </c>
      <c r="BD186" s="81" t="str">
        <f>REPLACE(INDEX(GroupVertices[Group],MATCH(Edges[[#This Row],[Vertex 1]],GroupVertices[Vertex],0)),1,1,"")</f>
        <v>6</v>
      </c>
      <c r="BE186" s="81" t="str">
        <f>REPLACE(INDEX(GroupVertices[Group],MATCH(Edges[[#This Row],[Vertex 2]],GroupVertices[Vertex],0)),1,1,"")</f>
        <v>6</v>
      </c>
      <c r="BF186" s="49">
        <v>2</v>
      </c>
      <c r="BG186" s="50">
        <v>10.526315789473685</v>
      </c>
      <c r="BH186" s="49">
        <v>0</v>
      </c>
      <c r="BI186" s="50">
        <v>0</v>
      </c>
      <c r="BJ186" s="49">
        <v>0</v>
      </c>
      <c r="BK186" s="50">
        <v>0</v>
      </c>
      <c r="BL186" s="49">
        <v>17</v>
      </c>
      <c r="BM186" s="50">
        <v>89.47368421052632</v>
      </c>
      <c r="BN186" s="49">
        <v>19</v>
      </c>
    </row>
    <row r="187" spans="1:66" ht="15">
      <c r="A187" s="66" t="s">
        <v>352</v>
      </c>
      <c r="B187" s="66" t="s">
        <v>352</v>
      </c>
      <c r="C187" s="67" t="s">
        <v>4509</v>
      </c>
      <c r="D187" s="68">
        <v>3</v>
      </c>
      <c r="E187" s="69" t="s">
        <v>132</v>
      </c>
      <c r="F187" s="70">
        <v>32</v>
      </c>
      <c r="G187" s="67"/>
      <c r="H187" s="71"/>
      <c r="I187" s="72"/>
      <c r="J187" s="72"/>
      <c r="K187" s="35" t="s">
        <v>65</v>
      </c>
      <c r="L187" s="80">
        <v>187</v>
      </c>
      <c r="M187" s="80"/>
      <c r="N187" s="74"/>
      <c r="O187" s="82" t="s">
        <v>214</v>
      </c>
      <c r="P187" s="84">
        <v>44518.63092592593</v>
      </c>
      <c r="Q187" s="82" t="s">
        <v>676</v>
      </c>
      <c r="R187" s="85" t="str">
        <f>HYPERLINK("https://twitter.com/antibioticangel/status/1461304886356815873")</f>
        <v>https://twitter.com/antibioticangel/status/1461304886356815873</v>
      </c>
      <c r="S187" s="82" t="s">
        <v>914</v>
      </c>
      <c r="T187" s="87" t="s">
        <v>1028</v>
      </c>
      <c r="U187" s="82"/>
      <c r="V187" s="85" t="str">
        <f>HYPERLINK("https://pbs.twimg.com/profile_images/1461279923012882432/tjJSxOnO_normal.jpg")</f>
        <v>https://pbs.twimg.com/profile_images/1461279923012882432/tjJSxOnO_normal.jpg</v>
      </c>
      <c r="W187" s="84">
        <v>44518.63092592593</v>
      </c>
      <c r="X187" s="90">
        <v>44518</v>
      </c>
      <c r="Y187" s="87" t="s">
        <v>1275</v>
      </c>
      <c r="Z187" s="85" t="str">
        <f>HYPERLINK("https://twitter.com/francesgarragh1/status/1461350618459561991")</f>
        <v>https://twitter.com/francesgarragh1/status/1461350618459561991</v>
      </c>
      <c r="AA187" s="82"/>
      <c r="AB187" s="82"/>
      <c r="AC187" s="87" t="s">
        <v>1593</v>
      </c>
      <c r="AD187" s="82"/>
      <c r="AE187" s="82" t="b">
        <v>0</v>
      </c>
      <c r="AF187" s="82">
        <v>4</v>
      </c>
      <c r="AG187" s="87" t="s">
        <v>1815</v>
      </c>
      <c r="AH187" s="82" t="b">
        <v>1</v>
      </c>
      <c r="AI187" s="82" t="s">
        <v>1827</v>
      </c>
      <c r="AJ187" s="82"/>
      <c r="AK187" s="87" t="s">
        <v>1838</v>
      </c>
      <c r="AL187" s="82" t="b">
        <v>0</v>
      </c>
      <c r="AM187" s="82">
        <v>0</v>
      </c>
      <c r="AN187" s="87" t="s">
        <v>1815</v>
      </c>
      <c r="AO187" s="87" t="s">
        <v>1851</v>
      </c>
      <c r="AP187" s="82" t="b">
        <v>0</v>
      </c>
      <c r="AQ187" s="87" t="s">
        <v>1593</v>
      </c>
      <c r="AR187" s="82"/>
      <c r="AS187" s="82">
        <v>0</v>
      </c>
      <c r="AT187" s="82">
        <v>0</v>
      </c>
      <c r="AU187" s="82"/>
      <c r="AV187" s="82"/>
      <c r="AW187" s="82"/>
      <c r="AX187" s="82"/>
      <c r="AY187" s="82"/>
      <c r="AZ187" s="82"/>
      <c r="BA187" s="82"/>
      <c r="BB187" s="82"/>
      <c r="BC187">
        <v>1</v>
      </c>
      <c r="BD187" s="81" t="str">
        <f>REPLACE(INDEX(GroupVertices[Group],MATCH(Edges[[#This Row],[Vertex 1]],GroupVertices[Vertex],0)),1,1,"")</f>
        <v>6</v>
      </c>
      <c r="BE187" s="81" t="str">
        <f>REPLACE(INDEX(GroupVertices[Group],MATCH(Edges[[#This Row],[Vertex 2]],GroupVertices[Vertex],0)),1,1,"")</f>
        <v>6</v>
      </c>
      <c r="BF187" s="49">
        <v>0</v>
      </c>
      <c r="BG187" s="50">
        <v>0</v>
      </c>
      <c r="BH187" s="49">
        <v>0</v>
      </c>
      <c r="BI187" s="50">
        <v>0</v>
      </c>
      <c r="BJ187" s="49">
        <v>0</v>
      </c>
      <c r="BK187" s="50">
        <v>0</v>
      </c>
      <c r="BL187" s="49">
        <v>3</v>
      </c>
      <c r="BM187" s="50">
        <v>100</v>
      </c>
      <c r="BN187" s="49">
        <v>3</v>
      </c>
    </row>
    <row r="188" spans="1:66" ht="15">
      <c r="A188" s="66" t="s">
        <v>353</v>
      </c>
      <c r="B188" s="66" t="s">
        <v>353</v>
      </c>
      <c r="C188" s="67" t="s">
        <v>4509</v>
      </c>
      <c r="D188" s="68">
        <v>3</v>
      </c>
      <c r="E188" s="69" t="s">
        <v>132</v>
      </c>
      <c r="F188" s="70">
        <v>32</v>
      </c>
      <c r="G188" s="67"/>
      <c r="H188" s="71"/>
      <c r="I188" s="72"/>
      <c r="J188" s="72"/>
      <c r="K188" s="35" t="s">
        <v>65</v>
      </c>
      <c r="L188" s="80">
        <v>188</v>
      </c>
      <c r="M188" s="80"/>
      <c r="N188" s="74"/>
      <c r="O188" s="82" t="s">
        <v>214</v>
      </c>
      <c r="P188" s="84">
        <v>44518.64099537037</v>
      </c>
      <c r="Q188" s="82" t="s">
        <v>677</v>
      </c>
      <c r="R188" s="82"/>
      <c r="S188" s="82"/>
      <c r="T188" s="87" t="s">
        <v>957</v>
      </c>
      <c r="U188" s="82"/>
      <c r="V188" s="85" t="str">
        <f>HYPERLINK("https://pbs.twimg.com/profile_images/1434560354177228802/FhlLJqg4_normal.jpg")</f>
        <v>https://pbs.twimg.com/profile_images/1434560354177228802/FhlLJqg4_normal.jpg</v>
      </c>
      <c r="W188" s="84">
        <v>44518.64099537037</v>
      </c>
      <c r="X188" s="90">
        <v>44518</v>
      </c>
      <c r="Y188" s="87" t="s">
        <v>1276</v>
      </c>
      <c r="Z188" s="85" t="str">
        <f>HYPERLINK("https://twitter.com/hemofelo/status/1461354268443611136")</f>
        <v>https://twitter.com/hemofelo/status/1461354268443611136</v>
      </c>
      <c r="AA188" s="82"/>
      <c r="AB188" s="82"/>
      <c r="AC188" s="87" t="s">
        <v>1594</v>
      </c>
      <c r="AD188" s="82"/>
      <c r="AE188" s="82" t="b">
        <v>0</v>
      </c>
      <c r="AF188" s="82">
        <v>1</v>
      </c>
      <c r="AG188" s="87" t="s">
        <v>1815</v>
      </c>
      <c r="AH188" s="82" t="b">
        <v>0</v>
      </c>
      <c r="AI188" s="82" t="s">
        <v>1826</v>
      </c>
      <c r="AJ188" s="82"/>
      <c r="AK188" s="87" t="s">
        <v>1815</v>
      </c>
      <c r="AL188" s="82" t="b">
        <v>0</v>
      </c>
      <c r="AM188" s="82">
        <v>2</v>
      </c>
      <c r="AN188" s="87" t="s">
        <v>1815</v>
      </c>
      <c r="AO188" s="87" t="s">
        <v>1852</v>
      </c>
      <c r="AP188" s="82" t="b">
        <v>0</v>
      </c>
      <c r="AQ188" s="87" t="s">
        <v>1594</v>
      </c>
      <c r="AR188" s="82"/>
      <c r="AS188" s="82">
        <v>0</v>
      </c>
      <c r="AT188" s="82">
        <v>0</v>
      </c>
      <c r="AU188" s="82"/>
      <c r="AV188" s="82"/>
      <c r="AW188" s="82"/>
      <c r="AX188" s="82"/>
      <c r="AY188" s="82"/>
      <c r="AZ188" s="82"/>
      <c r="BA188" s="82"/>
      <c r="BB188" s="82"/>
      <c r="BC188">
        <v>1</v>
      </c>
      <c r="BD188" s="81" t="str">
        <f>REPLACE(INDEX(GroupVertices[Group],MATCH(Edges[[#This Row],[Vertex 1]],GroupVertices[Vertex],0)),1,1,"")</f>
        <v>1</v>
      </c>
      <c r="BE188" s="81" t="str">
        <f>REPLACE(INDEX(GroupVertices[Group],MATCH(Edges[[#This Row],[Vertex 2]],GroupVertices[Vertex],0)),1,1,"")</f>
        <v>1</v>
      </c>
      <c r="BF188" s="49">
        <v>0</v>
      </c>
      <c r="BG188" s="50">
        <v>0</v>
      </c>
      <c r="BH188" s="49">
        <v>1</v>
      </c>
      <c r="BI188" s="50">
        <v>9.090909090909092</v>
      </c>
      <c r="BJ188" s="49">
        <v>0</v>
      </c>
      <c r="BK188" s="50">
        <v>0</v>
      </c>
      <c r="BL188" s="49">
        <v>10</v>
      </c>
      <c r="BM188" s="50">
        <v>90.9090909090909</v>
      </c>
      <c r="BN188" s="49">
        <v>11</v>
      </c>
    </row>
    <row r="189" spans="1:66" ht="15">
      <c r="A189" s="66" t="s">
        <v>354</v>
      </c>
      <c r="B189" s="66" t="s">
        <v>354</v>
      </c>
      <c r="C189" s="67" t="s">
        <v>4509</v>
      </c>
      <c r="D189" s="68">
        <v>3</v>
      </c>
      <c r="E189" s="69" t="s">
        <v>132</v>
      </c>
      <c r="F189" s="70">
        <v>32</v>
      </c>
      <c r="G189" s="67"/>
      <c r="H189" s="71"/>
      <c r="I189" s="72"/>
      <c r="J189" s="72"/>
      <c r="K189" s="35" t="s">
        <v>65</v>
      </c>
      <c r="L189" s="80">
        <v>189</v>
      </c>
      <c r="M189" s="80"/>
      <c r="N189" s="74"/>
      <c r="O189" s="82" t="s">
        <v>214</v>
      </c>
      <c r="P189" s="84">
        <v>44518.648310185185</v>
      </c>
      <c r="Q189" s="82" t="s">
        <v>678</v>
      </c>
      <c r="R189" s="82"/>
      <c r="S189" s="82"/>
      <c r="T189" s="87" t="s">
        <v>1029</v>
      </c>
      <c r="U189" s="85" t="str">
        <f>HYPERLINK("https://pbs.twimg.com/tweet_video_thumb/FEfIVy3VUBAqT3r.jpg")</f>
        <v>https://pbs.twimg.com/tweet_video_thumb/FEfIVy3VUBAqT3r.jpg</v>
      </c>
      <c r="V189" s="85" t="str">
        <f>HYPERLINK("https://pbs.twimg.com/tweet_video_thumb/FEfIVy3VUBAqT3r.jpg")</f>
        <v>https://pbs.twimg.com/tweet_video_thumb/FEfIVy3VUBAqT3r.jpg</v>
      </c>
      <c r="W189" s="84">
        <v>44518.648310185185</v>
      </c>
      <c r="X189" s="90">
        <v>44518</v>
      </c>
      <c r="Y189" s="87" t="s">
        <v>1273</v>
      </c>
      <c r="Z189" s="85" t="str">
        <f>HYPERLINK("https://twitter.com/his_infection/status/1461356915594723337")</f>
        <v>https://twitter.com/his_infection/status/1461356915594723337</v>
      </c>
      <c r="AA189" s="82"/>
      <c r="AB189" s="82"/>
      <c r="AC189" s="87" t="s">
        <v>1595</v>
      </c>
      <c r="AD189" s="82"/>
      <c r="AE189" s="82" t="b">
        <v>0</v>
      </c>
      <c r="AF189" s="82">
        <v>45</v>
      </c>
      <c r="AG189" s="87" t="s">
        <v>1815</v>
      </c>
      <c r="AH189" s="82" t="b">
        <v>0</v>
      </c>
      <c r="AI189" s="82" t="s">
        <v>1826</v>
      </c>
      <c r="AJ189" s="82"/>
      <c r="AK189" s="87" t="s">
        <v>1815</v>
      </c>
      <c r="AL189" s="82" t="b">
        <v>0</v>
      </c>
      <c r="AM189" s="82">
        <v>24</v>
      </c>
      <c r="AN189" s="87" t="s">
        <v>1815</v>
      </c>
      <c r="AO189" s="87" t="s">
        <v>1850</v>
      </c>
      <c r="AP189" s="82" t="b">
        <v>0</v>
      </c>
      <c r="AQ189" s="87" t="s">
        <v>1595</v>
      </c>
      <c r="AR189" s="82"/>
      <c r="AS189" s="82">
        <v>0</v>
      </c>
      <c r="AT189" s="82">
        <v>0</v>
      </c>
      <c r="AU189" s="82"/>
      <c r="AV189" s="82"/>
      <c r="AW189" s="82"/>
      <c r="AX189" s="82"/>
      <c r="AY189" s="82"/>
      <c r="AZ189" s="82"/>
      <c r="BA189" s="82"/>
      <c r="BB189" s="82"/>
      <c r="BC189">
        <v>1</v>
      </c>
      <c r="BD189" s="81" t="str">
        <f>REPLACE(INDEX(GroupVertices[Group],MATCH(Edges[[#This Row],[Vertex 1]],GroupVertices[Vertex],0)),1,1,"")</f>
        <v>1</v>
      </c>
      <c r="BE189" s="81" t="str">
        <f>REPLACE(INDEX(GroupVertices[Group],MATCH(Edges[[#This Row],[Vertex 2]],GroupVertices[Vertex],0)),1,1,"")</f>
        <v>1</v>
      </c>
      <c r="BF189" s="49">
        <v>0</v>
      </c>
      <c r="BG189" s="50">
        <v>0</v>
      </c>
      <c r="BH189" s="49">
        <v>2</v>
      </c>
      <c r="BI189" s="50">
        <v>5.2631578947368425</v>
      </c>
      <c r="BJ189" s="49">
        <v>0</v>
      </c>
      <c r="BK189" s="50">
        <v>0</v>
      </c>
      <c r="BL189" s="49">
        <v>36</v>
      </c>
      <c r="BM189" s="50">
        <v>94.73684210526316</v>
      </c>
      <c r="BN189" s="49">
        <v>38</v>
      </c>
    </row>
    <row r="190" spans="1:66" ht="15">
      <c r="A190" s="66" t="s">
        <v>355</v>
      </c>
      <c r="B190" s="66" t="s">
        <v>355</v>
      </c>
      <c r="C190" s="67" t="s">
        <v>4509</v>
      </c>
      <c r="D190" s="68">
        <v>3</v>
      </c>
      <c r="E190" s="69" t="s">
        <v>132</v>
      </c>
      <c r="F190" s="70">
        <v>32</v>
      </c>
      <c r="G190" s="67"/>
      <c r="H190" s="71"/>
      <c r="I190" s="72"/>
      <c r="J190" s="72"/>
      <c r="K190" s="35" t="s">
        <v>65</v>
      </c>
      <c r="L190" s="80">
        <v>190</v>
      </c>
      <c r="M190" s="80"/>
      <c r="N190" s="74"/>
      <c r="O190" s="82" t="s">
        <v>214</v>
      </c>
      <c r="P190" s="84">
        <v>44518.63888888889</v>
      </c>
      <c r="Q190" s="82" t="s">
        <v>679</v>
      </c>
      <c r="R190" s="82"/>
      <c r="S190" s="82"/>
      <c r="T190" s="87" t="s">
        <v>955</v>
      </c>
      <c r="U190" s="85" t="str">
        <f>HYPERLINK("https://pbs.twimg.com/media/FEAB33bX0AQJTko.jpg")</f>
        <v>https://pbs.twimg.com/media/FEAB33bX0AQJTko.jpg</v>
      </c>
      <c r="V190" s="85" t="str">
        <f>HYPERLINK("https://pbs.twimg.com/media/FEAB33bX0AQJTko.jpg")</f>
        <v>https://pbs.twimg.com/media/FEAB33bX0AQJTko.jpg</v>
      </c>
      <c r="W190" s="84">
        <v>44518.63888888889</v>
      </c>
      <c r="X190" s="90">
        <v>44518</v>
      </c>
      <c r="Y190" s="87" t="s">
        <v>1199</v>
      </c>
      <c r="Z190" s="85" t="str">
        <f>HYPERLINK("https://twitter.com/healthierbcwb/status/1461353502723100677")</f>
        <v>https://twitter.com/healthierbcwb/status/1461353502723100677</v>
      </c>
      <c r="AA190" s="82"/>
      <c r="AB190" s="82"/>
      <c r="AC190" s="87" t="s">
        <v>1596</v>
      </c>
      <c r="AD190" s="82"/>
      <c r="AE190" s="82" t="b">
        <v>0</v>
      </c>
      <c r="AF190" s="82">
        <v>0</v>
      </c>
      <c r="AG190" s="87" t="s">
        <v>1815</v>
      </c>
      <c r="AH190" s="82" t="b">
        <v>0</v>
      </c>
      <c r="AI190" s="82" t="s">
        <v>1826</v>
      </c>
      <c r="AJ190" s="82"/>
      <c r="AK190" s="87" t="s">
        <v>1815</v>
      </c>
      <c r="AL190" s="82" t="b">
        <v>0</v>
      </c>
      <c r="AM190" s="82">
        <v>0</v>
      </c>
      <c r="AN190" s="87" t="s">
        <v>1815</v>
      </c>
      <c r="AO190" s="87" t="s">
        <v>1853</v>
      </c>
      <c r="AP190" s="82" t="b">
        <v>0</v>
      </c>
      <c r="AQ190" s="87" t="s">
        <v>1596</v>
      </c>
      <c r="AR190" s="82"/>
      <c r="AS190" s="82">
        <v>0</v>
      </c>
      <c r="AT190" s="82">
        <v>0</v>
      </c>
      <c r="AU190" s="82"/>
      <c r="AV190" s="82"/>
      <c r="AW190" s="82"/>
      <c r="AX190" s="82"/>
      <c r="AY190" s="82"/>
      <c r="AZ190" s="82"/>
      <c r="BA190" s="82"/>
      <c r="BB190" s="82"/>
      <c r="BC190">
        <v>1</v>
      </c>
      <c r="BD190" s="81" t="str">
        <f>REPLACE(INDEX(GroupVertices[Group],MATCH(Edges[[#This Row],[Vertex 1]],GroupVertices[Vertex],0)),1,1,"")</f>
        <v>1</v>
      </c>
      <c r="BE190" s="81" t="str">
        <f>REPLACE(INDEX(GroupVertices[Group],MATCH(Edges[[#This Row],[Vertex 2]],GroupVertices[Vertex],0)),1,1,"")</f>
        <v>1</v>
      </c>
      <c r="BF190" s="49">
        <v>0</v>
      </c>
      <c r="BG190" s="50">
        <v>0</v>
      </c>
      <c r="BH190" s="49">
        <v>2</v>
      </c>
      <c r="BI190" s="50">
        <v>6.0606060606060606</v>
      </c>
      <c r="BJ190" s="49">
        <v>0</v>
      </c>
      <c r="BK190" s="50">
        <v>0</v>
      </c>
      <c r="BL190" s="49">
        <v>31</v>
      </c>
      <c r="BM190" s="50">
        <v>93.93939393939394</v>
      </c>
      <c r="BN190" s="49">
        <v>33</v>
      </c>
    </row>
    <row r="191" spans="1:66" ht="15">
      <c r="A191" s="66" t="s">
        <v>356</v>
      </c>
      <c r="B191" s="66" t="s">
        <v>356</v>
      </c>
      <c r="C191" s="67" t="s">
        <v>4509</v>
      </c>
      <c r="D191" s="68">
        <v>3</v>
      </c>
      <c r="E191" s="69" t="s">
        <v>132</v>
      </c>
      <c r="F191" s="70">
        <v>32</v>
      </c>
      <c r="G191" s="67"/>
      <c r="H191" s="71"/>
      <c r="I191" s="72"/>
      <c r="J191" s="72"/>
      <c r="K191" s="35" t="s">
        <v>65</v>
      </c>
      <c r="L191" s="80">
        <v>191</v>
      </c>
      <c r="M191" s="80"/>
      <c r="N191" s="74"/>
      <c r="O191" s="82" t="s">
        <v>214</v>
      </c>
      <c r="P191" s="84">
        <v>44518.62579861111</v>
      </c>
      <c r="Q191" s="82" t="s">
        <v>680</v>
      </c>
      <c r="R191" s="82"/>
      <c r="S191" s="82"/>
      <c r="T191" s="87" t="s">
        <v>1030</v>
      </c>
      <c r="U191" s="85" t="str">
        <f>HYPERLINK("https://pbs.twimg.com/media/FEfA8poUcA0WRRl.jpg")</f>
        <v>https://pbs.twimg.com/media/FEfA8poUcA0WRRl.jpg</v>
      </c>
      <c r="V191" s="85" t="str">
        <f>HYPERLINK("https://pbs.twimg.com/media/FEfA8poUcA0WRRl.jpg")</f>
        <v>https://pbs.twimg.com/media/FEfA8poUcA0WRRl.jpg</v>
      </c>
      <c r="W191" s="84">
        <v>44518.62579861111</v>
      </c>
      <c r="X191" s="90">
        <v>44518</v>
      </c>
      <c r="Y191" s="87" t="s">
        <v>1277</v>
      </c>
      <c r="Z191" s="85" t="str">
        <f>HYPERLINK("https://twitter.com/jayp9298/status/1461348761293058051")</f>
        <v>https://twitter.com/jayp9298/status/1461348761293058051</v>
      </c>
      <c r="AA191" s="82"/>
      <c r="AB191" s="82"/>
      <c r="AC191" s="87" t="s">
        <v>1597</v>
      </c>
      <c r="AD191" s="82"/>
      <c r="AE191" s="82" t="b">
        <v>0</v>
      </c>
      <c r="AF191" s="82">
        <v>1</v>
      </c>
      <c r="AG191" s="87" t="s">
        <v>1815</v>
      </c>
      <c r="AH191" s="82" t="b">
        <v>0</v>
      </c>
      <c r="AI191" s="82" t="s">
        <v>1827</v>
      </c>
      <c r="AJ191" s="82"/>
      <c r="AK191" s="87" t="s">
        <v>1815</v>
      </c>
      <c r="AL191" s="82" t="b">
        <v>0</v>
      </c>
      <c r="AM191" s="82">
        <v>1</v>
      </c>
      <c r="AN191" s="87" t="s">
        <v>1815</v>
      </c>
      <c r="AO191" s="87" t="s">
        <v>1851</v>
      </c>
      <c r="AP191" s="82" t="b">
        <v>0</v>
      </c>
      <c r="AQ191" s="87" t="s">
        <v>1597</v>
      </c>
      <c r="AR191" s="82"/>
      <c r="AS191" s="82">
        <v>0</v>
      </c>
      <c r="AT191" s="82">
        <v>0</v>
      </c>
      <c r="AU191" s="82"/>
      <c r="AV191" s="82"/>
      <c r="AW191" s="82"/>
      <c r="AX191" s="82"/>
      <c r="AY191" s="82"/>
      <c r="AZ191" s="82"/>
      <c r="BA191" s="82"/>
      <c r="BB191" s="82"/>
      <c r="BC191">
        <v>1</v>
      </c>
      <c r="BD191" s="81" t="str">
        <f>REPLACE(INDEX(GroupVertices[Group],MATCH(Edges[[#This Row],[Vertex 1]],GroupVertices[Vertex],0)),1,1,"")</f>
        <v>1</v>
      </c>
      <c r="BE191" s="81" t="str">
        <f>REPLACE(INDEX(GroupVertices[Group],MATCH(Edges[[#This Row],[Vertex 2]],GroupVertices[Vertex],0)),1,1,"")</f>
        <v>1</v>
      </c>
      <c r="BF191" s="49">
        <v>0</v>
      </c>
      <c r="BG191" s="50">
        <v>0</v>
      </c>
      <c r="BH191" s="49">
        <v>0</v>
      </c>
      <c r="BI191" s="50">
        <v>0</v>
      </c>
      <c r="BJ191" s="49">
        <v>0</v>
      </c>
      <c r="BK191" s="50">
        <v>0</v>
      </c>
      <c r="BL191" s="49">
        <v>3</v>
      </c>
      <c r="BM191" s="50">
        <v>100</v>
      </c>
      <c r="BN191" s="49">
        <v>3</v>
      </c>
    </row>
    <row r="192" spans="1:66" ht="15">
      <c r="A192" s="66" t="s">
        <v>357</v>
      </c>
      <c r="B192" s="66" t="s">
        <v>357</v>
      </c>
      <c r="C192" s="67" t="s">
        <v>4509</v>
      </c>
      <c r="D192" s="68">
        <v>3</v>
      </c>
      <c r="E192" s="69" t="s">
        <v>132</v>
      </c>
      <c r="F192" s="70">
        <v>32</v>
      </c>
      <c r="G192" s="67"/>
      <c r="H192" s="71"/>
      <c r="I192" s="72"/>
      <c r="J192" s="72"/>
      <c r="K192" s="35" t="s">
        <v>65</v>
      </c>
      <c r="L192" s="80">
        <v>192</v>
      </c>
      <c r="M192" s="80"/>
      <c r="N192" s="74"/>
      <c r="O192" s="82" t="s">
        <v>214</v>
      </c>
      <c r="P192" s="84">
        <v>44518.636828703704</v>
      </c>
      <c r="Q192" s="82" t="s">
        <v>681</v>
      </c>
      <c r="R192" s="85" t="str">
        <f>HYPERLINK("https://www.iss.it/web/guest/news/-/asset_publisher/gJ3hFqMQsykM/content/id/5885742")</f>
        <v>https://www.iss.it/web/guest/news/-/asset_publisher/gJ3hFqMQsykM/content/id/5885742</v>
      </c>
      <c r="S192" s="82" t="s">
        <v>926</v>
      </c>
      <c r="T192" s="87" t="s">
        <v>1031</v>
      </c>
      <c r="U192" s="85" t="str">
        <f>HYPERLINK("https://pbs.twimg.com/media/FEfEVWyVkA45GdW.jpg")</f>
        <v>https://pbs.twimg.com/media/FEfEVWyVkA45GdW.jpg</v>
      </c>
      <c r="V192" s="85" t="str">
        <f>HYPERLINK("https://pbs.twimg.com/media/FEfEVWyVkA45GdW.jpg")</f>
        <v>https://pbs.twimg.com/media/FEfEVWyVkA45GdW.jpg</v>
      </c>
      <c r="W192" s="84">
        <v>44518.636828703704</v>
      </c>
      <c r="X192" s="90">
        <v>44518</v>
      </c>
      <c r="Y192" s="87" t="s">
        <v>1278</v>
      </c>
      <c r="Z192" s="85" t="str">
        <f>HYPERLINK("https://twitter.com/istsupsan/status/1461352757713989640")</f>
        <v>https://twitter.com/istsupsan/status/1461352757713989640</v>
      </c>
      <c r="AA192" s="82"/>
      <c r="AB192" s="82"/>
      <c r="AC192" s="87" t="s">
        <v>1598</v>
      </c>
      <c r="AD192" s="82"/>
      <c r="AE192" s="82" t="b">
        <v>0</v>
      </c>
      <c r="AF192" s="82">
        <v>34</v>
      </c>
      <c r="AG192" s="87" t="s">
        <v>1815</v>
      </c>
      <c r="AH192" s="82" t="b">
        <v>0</v>
      </c>
      <c r="AI192" s="82" t="s">
        <v>1832</v>
      </c>
      <c r="AJ192" s="82"/>
      <c r="AK192" s="87" t="s">
        <v>1815</v>
      </c>
      <c r="AL192" s="82" t="b">
        <v>0</v>
      </c>
      <c r="AM192" s="82">
        <v>15</v>
      </c>
      <c r="AN192" s="87" t="s">
        <v>1815</v>
      </c>
      <c r="AO192" s="87" t="s">
        <v>1850</v>
      </c>
      <c r="AP192" s="82" t="b">
        <v>0</v>
      </c>
      <c r="AQ192" s="87" t="s">
        <v>1598</v>
      </c>
      <c r="AR192" s="82"/>
      <c r="AS192" s="82">
        <v>0</v>
      </c>
      <c r="AT192" s="82">
        <v>0</v>
      </c>
      <c r="AU192" s="82"/>
      <c r="AV192" s="82"/>
      <c r="AW192" s="82"/>
      <c r="AX192" s="82"/>
      <c r="AY192" s="82"/>
      <c r="AZ192" s="82"/>
      <c r="BA192" s="82"/>
      <c r="BB192" s="82"/>
      <c r="BC192">
        <v>1</v>
      </c>
      <c r="BD192" s="81" t="str">
        <f>REPLACE(INDEX(GroupVertices[Group],MATCH(Edges[[#This Row],[Vertex 1]],GroupVertices[Vertex],0)),1,1,"")</f>
        <v>1</v>
      </c>
      <c r="BE192" s="81" t="str">
        <f>REPLACE(INDEX(GroupVertices[Group],MATCH(Edges[[#This Row],[Vertex 2]],GroupVertices[Vertex],0)),1,1,"")</f>
        <v>1</v>
      </c>
      <c r="BF192" s="49">
        <v>2</v>
      </c>
      <c r="BG192" s="50">
        <v>5.882352941176471</v>
      </c>
      <c r="BH192" s="49">
        <v>0</v>
      </c>
      <c r="BI192" s="50">
        <v>0</v>
      </c>
      <c r="BJ192" s="49">
        <v>0</v>
      </c>
      <c r="BK192" s="50">
        <v>0</v>
      </c>
      <c r="BL192" s="49">
        <v>32</v>
      </c>
      <c r="BM192" s="50">
        <v>94.11764705882354</v>
      </c>
      <c r="BN192" s="49">
        <v>34</v>
      </c>
    </row>
    <row r="193" spans="1:66" ht="15">
      <c r="A193" s="66" t="s">
        <v>358</v>
      </c>
      <c r="B193" s="66" t="s">
        <v>358</v>
      </c>
      <c r="C193" s="67" t="s">
        <v>4509</v>
      </c>
      <c r="D193" s="68">
        <v>3</v>
      </c>
      <c r="E193" s="69" t="s">
        <v>132</v>
      </c>
      <c r="F193" s="70">
        <v>32</v>
      </c>
      <c r="G193" s="67"/>
      <c r="H193" s="71"/>
      <c r="I193" s="72"/>
      <c r="J193" s="72"/>
      <c r="K193" s="35" t="s">
        <v>65</v>
      </c>
      <c r="L193" s="80">
        <v>193</v>
      </c>
      <c r="M193" s="80"/>
      <c r="N193" s="74"/>
      <c r="O193" s="82" t="s">
        <v>214</v>
      </c>
      <c r="P193" s="84">
        <v>44518.663773148146</v>
      </c>
      <c r="Q193" s="82" t="s">
        <v>682</v>
      </c>
      <c r="R193" s="85" t="str">
        <f>HYPERLINK("https://www.youtube.com/watch?v=Zskk7npqC7w&amp;feature=youtu.be")</f>
        <v>https://www.youtube.com/watch?v=Zskk7npqC7w&amp;feature=youtu.be</v>
      </c>
      <c r="S193" s="82" t="s">
        <v>912</v>
      </c>
      <c r="T193" s="87" t="s">
        <v>1005</v>
      </c>
      <c r="U193" s="82"/>
      <c r="V193" s="85" t="str">
        <f>HYPERLINK("https://pbs.twimg.com/profile_images/1199301844197138442/P-3Q7aJt_normal.jpg")</f>
        <v>https://pbs.twimg.com/profile_images/1199301844197138442/P-3Q7aJt_normal.jpg</v>
      </c>
      <c r="W193" s="84">
        <v>44518.663773148146</v>
      </c>
      <c r="X193" s="90">
        <v>44518</v>
      </c>
      <c r="Y193" s="87" t="s">
        <v>1279</v>
      </c>
      <c r="Z193" s="85" t="str">
        <f>HYPERLINK("https://twitter.com/hsecho7/status/1461362519147118596")</f>
        <v>https://twitter.com/hsecho7/status/1461362519147118596</v>
      </c>
      <c r="AA193" s="82"/>
      <c r="AB193" s="82"/>
      <c r="AC193" s="87" t="s">
        <v>1599</v>
      </c>
      <c r="AD193" s="82"/>
      <c r="AE193" s="82" t="b">
        <v>0</v>
      </c>
      <c r="AF193" s="82">
        <v>1</v>
      </c>
      <c r="AG193" s="87" t="s">
        <v>1815</v>
      </c>
      <c r="AH193" s="82" t="b">
        <v>0</v>
      </c>
      <c r="AI193" s="82" t="s">
        <v>1826</v>
      </c>
      <c r="AJ193" s="82"/>
      <c r="AK193" s="87" t="s">
        <v>1815</v>
      </c>
      <c r="AL193" s="82" t="b">
        <v>0</v>
      </c>
      <c r="AM193" s="82">
        <v>1</v>
      </c>
      <c r="AN193" s="87" t="s">
        <v>1815</v>
      </c>
      <c r="AO193" s="87" t="s">
        <v>1850</v>
      </c>
      <c r="AP193" s="82" t="b">
        <v>0</v>
      </c>
      <c r="AQ193" s="87" t="s">
        <v>1599</v>
      </c>
      <c r="AR193" s="82"/>
      <c r="AS193" s="82">
        <v>0</v>
      </c>
      <c r="AT193" s="82">
        <v>0</v>
      </c>
      <c r="AU193" s="82"/>
      <c r="AV193" s="82"/>
      <c r="AW193" s="82"/>
      <c r="AX193" s="82"/>
      <c r="AY193" s="82"/>
      <c r="AZ193" s="82"/>
      <c r="BA193" s="82"/>
      <c r="BB193" s="82"/>
      <c r="BC193">
        <v>1</v>
      </c>
      <c r="BD193" s="81" t="str">
        <f>REPLACE(INDEX(GroupVertices[Group],MATCH(Edges[[#This Row],[Vertex 1]],GroupVertices[Vertex],0)),1,1,"")</f>
        <v>1</v>
      </c>
      <c r="BE193" s="81" t="str">
        <f>REPLACE(INDEX(GroupVertices[Group],MATCH(Edges[[#This Row],[Vertex 2]],GroupVertices[Vertex],0)),1,1,"")</f>
        <v>1</v>
      </c>
      <c r="BF193" s="49">
        <v>1</v>
      </c>
      <c r="BG193" s="50">
        <v>3.225806451612903</v>
      </c>
      <c r="BH193" s="49">
        <v>0</v>
      </c>
      <c r="BI193" s="50">
        <v>0</v>
      </c>
      <c r="BJ193" s="49">
        <v>0</v>
      </c>
      <c r="BK193" s="50">
        <v>0</v>
      </c>
      <c r="BL193" s="49">
        <v>30</v>
      </c>
      <c r="BM193" s="50">
        <v>96.7741935483871</v>
      </c>
      <c r="BN193" s="49">
        <v>31</v>
      </c>
    </row>
    <row r="194" spans="1:66" ht="15">
      <c r="A194" s="66" t="s">
        <v>359</v>
      </c>
      <c r="B194" s="66" t="s">
        <v>359</v>
      </c>
      <c r="C194" s="67" t="s">
        <v>4509</v>
      </c>
      <c r="D194" s="68">
        <v>3</v>
      </c>
      <c r="E194" s="69" t="s">
        <v>132</v>
      </c>
      <c r="F194" s="70">
        <v>32</v>
      </c>
      <c r="G194" s="67"/>
      <c r="H194" s="71"/>
      <c r="I194" s="72"/>
      <c r="J194" s="72"/>
      <c r="K194" s="35" t="s">
        <v>65</v>
      </c>
      <c r="L194" s="80">
        <v>194</v>
      </c>
      <c r="M194" s="80"/>
      <c r="N194" s="74"/>
      <c r="O194" s="82" t="s">
        <v>214</v>
      </c>
      <c r="P194" s="84">
        <v>44518.63927083334</v>
      </c>
      <c r="Q194" s="82" t="s">
        <v>683</v>
      </c>
      <c r="R194" s="82"/>
      <c r="S194" s="82"/>
      <c r="T194" s="87" t="s">
        <v>1032</v>
      </c>
      <c r="U194" s="85" t="str">
        <f>HYPERLINK("https://pbs.twimg.com/media/FEfFYqMUYA8UiGW.png")</f>
        <v>https://pbs.twimg.com/media/FEfFYqMUYA8UiGW.png</v>
      </c>
      <c r="V194" s="85" t="str">
        <f>HYPERLINK("https://pbs.twimg.com/media/FEfFYqMUYA8UiGW.png")</f>
        <v>https://pbs.twimg.com/media/FEfFYqMUYA8UiGW.png</v>
      </c>
      <c r="W194" s="84">
        <v>44518.63927083334</v>
      </c>
      <c r="X194" s="90">
        <v>44518</v>
      </c>
      <c r="Y194" s="87" t="s">
        <v>1280</v>
      </c>
      <c r="Z194" s="85" t="str">
        <f>HYPERLINK("https://twitter.com/gujarattfgp/status/1461353641676214283")</f>
        <v>https://twitter.com/gujarattfgp/status/1461353641676214283</v>
      </c>
      <c r="AA194" s="82"/>
      <c r="AB194" s="82"/>
      <c r="AC194" s="87" t="s">
        <v>1600</v>
      </c>
      <c r="AD194" s="82"/>
      <c r="AE194" s="82" t="b">
        <v>0</v>
      </c>
      <c r="AF194" s="82">
        <v>5</v>
      </c>
      <c r="AG194" s="87" t="s">
        <v>1815</v>
      </c>
      <c r="AH194" s="82" t="b">
        <v>0</v>
      </c>
      <c r="AI194" s="82" t="s">
        <v>1827</v>
      </c>
      <c r="AJ194" s="82"/>
      <c r="AK194" s="87" t="s">
        <v>1815</v>
      </c>
      <c r="AL194" s="82" t="b">
        <v>0</v>
      </c>
      <c r="AM194" s="82">
        <v>2</v>
      </c>
      <c r="AN194" s="87" t="s">
        <v>1815</v>
      </c>
      <c r="AO194" s="87" t="s">
        <v>1852</v>
      </c>
      <c r="AP194" s="82" t="b">
        <v>0</v>
      </c>
      <c r="AQ194" s="87" t="s">
        <v>1600</v>
      </c>
      <c r="AR194" s="82"/>
      <c r="AS194" s="82">
        <v>0</v>
      </c>
      <c r="AT194" s="82">
        <v>0</v>
      </c>
      <c r="AU194" s="82"/>
      <c r="AV194" s="82"/>
      <c r="AW194" s="82"/>
      <c r="AX194" s="82"/>
      <c r="AY194" s="82"/>
      <c r="AZ194" s="82"/>
      <c r="BA194" s="82"/>
      <c r="BB194" s="82"/>
      <c r="BC194">
        <v>1</v>
      </c>
      <c r="BD194" s="81" t="str">
        <f>REPLACE(INDEX(GroupVertices[Group],MATCH(Edges[[#This Row],[Vertex 1]],GroupVertices[Vertex],0)),1,1,"")</f>
        <v>1</v>
      </c>
      <c r="BE194" s="81" t="str">
        <f>REPLACE(INDEX(GroupVertices[Group],MATCH(Edges[[#This Row],[Vertex 2]],GroupVertices[Vertex],0)),1,1,"")</f>
        <v>1</v>
      </c>
      <c r="BF194" s="49">
        <v>0</v>
      </c>
      <c r="BG194" s="50">
        <v>0</v>
      </c>
      <c r="BH194" s="49">
        <v>0</v>
      </c>
      <c r="BI194" s="50">
        <v>0</v>
      </c>
      <c r="BJ194" s="49">
        <v>0</v>
      </c>
      <c r="BK194" s="50">
        <v>0</v>
      </c>
      <c r="BL194" s="49">
        <v>3</v>
      </c>
      <c r="BM194" s="50">
        <v>100</v>
      </c>
      <c r="BN194" s="49">
        <v>3</v>
      </c>
    </row>
    <row r="195" spans="1:66" ht="15">
      <c r="A195" s="66" t="s">
        <v>360</v>
      </c>
      <c r="B195" s="66" t="s">
        <v>360</v>
      </c>
      <c r="C195" s="67" t="s">
        <v>4509</v>
      </c>
      <c r="D195" s="68">
        <v>3</v>
      </c>
      <c r="E195" s="69" t="s">
        <v>132</v>
      </c>
      <c r="F195" s="70">
        <v>32</v>
      </c>
      <c r="G195" s="67"/>
      <c r="H195" s="71"/>
      <c r="I195" s="72"/>
      <c r="J195" s="72"/>
      <c r="K195" s="35" t="s">
        <v>65</v>
      </c>
      <c r="L195" s="80">
        <v>195</v>
      </c>
      <c r="M195" s="80"/>
      <c r="N195" s="74"/>
      <c r="O195" s="82" t="s">
        <v>214</v>
      </c>
      <c r="P195" s="84">
        <v>44518.625439814816</v>
      </c>
      <c r="Q195" s="82" t="s">
        <v>684</v>
      </c>
      <c r="R195" s="82"/>
      <c r="S195" s="82"/>
      <c r="T195" s="87" t="s">
        <v>1033</v>
      </c>
      <c r="U195" s="85" t="str">
        <f>HYPERLINK("https://pbs.twimg.com/tweet_video_thumb/FEfAw4lVUAUsP2y.jpg")</f>
        <v>https://pbs.twimg.com/tweet_video_thumb/FEfAw4lVUAUsP2y.jpg</v>
      </c>
      <c r="V195" s="85" t="str">
        <f>HYPERLINK("https://pbs.twimg.com/tweet_video_thumb/FEfAw4lVUAUsP2y.jpg")</f>
        <v>https://pbs.twimg.com/tweet_video_thumb/FEfAw4lVUAUsP2y.jpg</v>
      </c>
      <c r="W195" s="84">
        <v>44518.625439814816</v>
      </c>
      <c r="X195" s="90">
        <v>44518</v>
      </c>
      <c r="Y195" s="87" t="s">
        <v>1281</v>
      </c>
      <c r="Z195" s="85" t="str">
        <f>HYPERLINK("https://twitter.com/michiganhhs/status/1461348628526600212")</f>
        <v>https://twitter.com/michiganhhs/status/1461348628526600212</v>
      </c>
      <c r="AA195" s="82"/>
      <c r="AB195" s="82"/>
      <c r="AC195" s="87" t="s">
        <v>1601</v>
      </c>
      <c r="AD195" s="82"/>
      <c r="AE195" s="82" t="b">
        <v>0</v>
      </c>
      <c r="AF195" s="82">
        <v>4</v>
      </c>
      <c r="AG195" s="87" t="s">
        <v>1815</v>
      </c>
      <c r="AH195" s="82" t="b">
        <v>0</v>
      </c>
      <c r="AI195" s="82" t="s">
        <v>1826</v>
      </c>
      <c r="AJ195" s="82"/>
      <c r="AK195" s="87" t="s">
        <v>1815</v>
      </c>
      <c r="AL195" s="82" t="b">
        <v>0</v>
      </c>
      <c r="AM195" s="82">
        <v>0</v>
      </c>
      <c r="AN195" s="87" t="s">
        <v>1815</v>
      </c>
      <c r="AO195" s="87" t="s">
        <v>1856</v>
      </c>
      <c r="AP195" s="82" t="b">
        <v>0</v>
      </c>
      <c r="AQ195" s="87" t="s">
        <v>1601</v>
      </c>
      <c r="AR195" s="82"/>
      <c r="AS195" s="82">
        <v>0</v>
      </c>
      <c r="AT195" s="82">
        <v>0</v>
      </c>
      <c r="AU195" s="82"/>
      <c r="AV195" s="82"/>
      <c r="AW195" s="82"/>
      <c r="AX195" s="82"/>
      <c r="AY195" s="82"/>
      <c r="AZ195" s="82"/>
      <c r="BA195" s="82"/>
      <c r="BB195" s="82"/>
      <c r="BC195">
        <v>1</v>
      </c>
      <c r="BD195" s="81" t="str">
        <f>REPLACE(INDEX(GroupVertices[Group],MATCH(Edges[[#This Row],[Vertex 1]],GroupVertices[Vertex],0)),1,1,"")</f>
        <v>1</v>
      </c>
      <c r="BE195" s="81" t="str">
        <f>REPLACE(INDEX(GroupVertices[Group],MATCH(Edges[[#This Row],[Vertex 2]],GroupVertices[Vertex],0)),1,1,"")</f>
        <v>1</v>
      </c>
      <c r="BF195" s="49">
        <v>0</v>
      </c>
      <c r="BG195" s="50">
        <v>0</v>
      </c>
      <c r="BH195" s="49">
        <v>3</v>
      </c>
      <c r="BI195" s="50">
        <v>9.090909090909092</v>
      </c>
      <c r="BJ195" s="49">
        <v>0</v>
      </c>
      <c r="BK195" s="50">
        <v>0</v>
      </c>
      <c r="BL195" s="49">
        <v>30</v>
      </c>
      <c r="BM195" s="50">
        <v>90.9090909090909</v>
      </c>
      <c r="BN195" s="49">
        <v>33</v>
      </c>
    </row>
    <row r="196" spans="1:66" ht="15">
      <c r="A196" s="66" t="s">
        <v>361</v>
      </c>
      <c r="B196" s="66" t="s">
        <v>361</v>
      </c>
      <c r="C196" s="67" t="s">
        <v>4509</v>
      </c>
      <c r="D196" s="68">
        <v>3</v>
      </c>
      <c r="E196" s="69" t="s">
        <v>132</v>
      </c>
      <c r="F196" s="70">
        <v>32</v>
      </c>
      <c r="G196" s="67"/>
      <c r="H196" s="71"/>
      <c r="I196" s="72"/>
      <c r="J196" s="72"/>
      <c r="K196" s="35" t="s">
        <v>65</v>
      </c>
      <c r="L196" s="80">
        <v>196</v>
      </c>
      <c r="M196" s="80"/>
      <c r="N196" s="74"/>
      <c r="O196" s="82" t="s">
        <v>214</v>
      </c>
      <c r="P196" s="84">
        <v>44518.62584490741</v>
      </c>
      <c r="Q196" s="82" t="s">
        <v>685</v>
      </c>
      <c r="R196" s="85" t="str">
        <f>HYPERLINK("https://antibioticguardian.com/")</f>
        <v>https://antibioticguardian.com/</v>
      </c>
      <c r="S196" s="82" t="s">
        <v>902</v>
      </c>
      <c r="T196" s="87" t="s">
        <v>1034</v>
      </c>
      <c r="U196" s="85" t="str">
        <f>HYPERLINK("https://pbs.twimg.com/media/FEfA913VIAM6jf6.jpg")</f>
        <v>https://pbs.twimg.com/media/FEfA913VIAM6jf6.jpg</v>
      </c>
      <c r="V196" s="85" t="str">
        <f>HYPERLINK("https://pbs.twimg.com/media/FEfA913VIAM6jf6.jpg")</f>
        <v>https://pbs.twimg.com/media/FEfA913VIAM6jf6.jpg</v>
      </c>
      <c r="W196" s="84">
        <v>44518.62584490741</v>
      </c>
      <c r="X196" s="90">
        <v>44518</v>
      </c>
      <c r="Y196" s="87" t="s">
        <v>1282</v>
      </c>
      <c r="Z196" s="85" t="str">
        <f>HYPERLINK("https://twitter.com/liverpoolccg/status/1461348774509367308")</f>
        <v>https://twitter.com/liverpoolccg/status/1461348774509367308</v>
      </c>
      <c r="AA196" s="82"/>
      <c r="AB196" s="82"/>
      <c r="AC196" s="87" t="s">
        <v>1602</v>
      </c>
      <c r="AD196" s="82"/>
      <c r="AE196" s="82" t="b">
        <v>0</v>
      </c>
      <c r="AF196" s="82">
        <v>2</v>
      </c>
      <c r="AG196" s="87" t="s">
        <v>1815</v>
      </c>
      <c r="AH196" s="82" t="b">
        <v>0</v>
      </c>
      <c r="AI196" s="82" t="s">
        <v>1826</v>
      </c>
      <c r="AJ196" s="82"/>
      <c r="AK196" s="87" t="s">
        <v>1815</v>
      </c>
      <c r="AL196" s="82" t="b">
        <v>0</v>
      </c>
      <c r="AM196" s="82">
        <v>0</v>
      </c>
      <c r="AN196" s="87" t="s">
        <v>1815</v>
      </c>
      <c r="AO196" s="87" t="s">
        <v>1854</v>
      </c>
      <c r="AP196" s="82" t="b">
        <v>0</v>
      </c>
      <c r="AQ196" s="87" t="s">
        <v>1602</v>
      </c>
      <c r="AR196" s="82"/>
      <c r="AS196" s="82">
        <v>0</v>
      </c>
      <c r="AT196" s="82">
        <v>0</v>
      </c>
      <c r="AU196" s="82"/>
      <c r="AV196" s="82"/>
      <c r="AW196" s="82"/>
      <c r="AX196" s="82"/>
      <c r="AY196" s="82"/>
      <c r="AZ196" s="82"/>
      <c r="BA196" s="82"/>
      <c r="BB196" s="82"/>
      <c r="BC196">
        <v>1</v>
      </c>
      <c r="BD196" s="81" t="str">
        <f>REPLACE(INDEX(GroupVertices[Group],MATCH(Edges[[#This Row],[Vertex 1]],GroupVertices[Vertex],0)),1,1,"")</f>
        <v>1</v>
      </c>
      <c r="BE196" s="81" t="str">
        <f>REPLACE(INDEX(GroupVertices[Group],MATCH(Edges[[#This Row],[Vertex 2]],GroupVertices[Vertex],0)),1,1,"")</f>
        <v>1</v>
      </c>
      <c r="BF196" s="49">
        <v>0</v>
      </c>
      <c r="BG196" s="50">
        <v>0</v>
      </c>
      <c r="BH196" s="49">
        <v>2</v>
      </c>
      <c r="BI196" s="50">
        <v>6.451612903225806</v>
      </c>
      <c r="BJ196" s="49">
        <v>0</v>
      </c>
      <c r="BK196" s="50">
        <v>0</v>
      </c>
      <c r="BL196" s="49">
        <v>29</v>
      </c>
      <c r="BM196" s="50">
        <v>93.54838709677419</v>
      </c>
      <c r="BN196" s="49">
        <v>31</v>
      </c>
    </row>
    <row r="197" spans="1:66" ht="15">
      <c r="A197" s="66" t="s">
        <v>362</v>
      </c>
      <c r="B197" s="66" t="s">
        <v>362</v>
      </c>
      <c r="C197" s="67" t="s">
        <v>4509</v>
      </c>
      <c r="D197" s="68">
        <v>3</v>
      </c>
      <c r="E197" s="69" t="s">
        <v>132</v>
      </c>
      <c r="F197" s="70">
        <v>32</v>
      </c>
      <c r="G197" s="67"/>
      <c r="H197" s="71"/>
      <c r="I197" s="72"/>
      <c r="J197" s="72"/>
      <c r="K197" s="35" t="s">
        <v>65</v>
      </c>
      <c r="L197" s="80">
        <v>197</v>
      </c>
      <c r="M197" s="80"/>
      <c r="N197" s="74"/>
      <c r="O197" s="82" t="s">
        <v>214</v>
      </c>
      <c r="P197" s="84">
        <v>44518.62569444445</v>
      </c>
      <c r="Q197" s="82" t="s">
        <v>686</v>
      </c>
      <c r="R197" s="85" t="str">
        <f>HYPERLINK("https://www.cdc.gov/drugresistance/covid19.html")</f>
        <v>https://www.cdc.gov/drugresistance/covid19.html</v>
      </c>
      <c r="S197" s="82" t="s">
        <v>903</v>
      </c>
      <c r="T197" s="87" t="s">
        <v>954</v>
      </c>
      <c r="U197" s="85" t="str">
        <f>HYPERLINK("https://pbs.twimg.com/media/FEfAxgaUYBUe17W.jpg")</f>
        <v>https://pbs.twimg.com/media/FEfAxgaUYBUe17W.jpg</v>
      </c>
      <c r="V197" s="85" t="str">
        <f>HYPERLINK("https://pbs.twimg.com/media/FEfAxgaUYBUe17W.jpg")</f>
        <v>https://pbs.twimg.com/media/FEfAxgaUYBUe17W.jpg</v>
      </c>
      <c r="W197" s="84">
        <v>44518.62569444445</v>
      </c>
      <c r="X197" s="90">
        <v>44518</v>
      </c>
      <c r="Y197" s="87" t="s">
        <v>1235</v>
      </c>
      <c r="Z197" s="85" t="str">
        <f>HYPERLINK("https://twitter.com/iapublichealth/status/1461348721426239502")</f>
        <v>https://twitter.com/iapublichealth/status/1461348721426239502</v>
      </c>
      <c r="AA197" s="82"/>
      <c r="AB197" s="82"/>
      <c r="AC197" s="87" t="s">
        <v>1603</v>
      </c>
      <c r="AD197" s="82"/>
      <c r="AE197" s="82" t="b">
        <v>0</v>
      </c>
      <c r="AF197" s="82">
        <v>1</v>
      </c>
      <c r="AG197" s="87" t="s">
        <v>1815</v>
      </c>
      <c r="AH197" s="82" t="b">
        <v>0</v>
      </c>
      <c r="AI197" s="82" t="s">
        <v>1826</v>
      </c>
      <c r="AJ197" s="82"/>
      <c r="AK197" s="87" t="s">
        <v>1815</v>
      </c>
      <c r="AL197" s="82" t="b">
        <v>0</v>
      </c>
      <c r="AM197" s="82">
        <v>2</v>
      </c>
      <c r="AN197" s="87" t="s">
        <v>1815</v>
      </c>
      <c r="AO197" s="87" t="s">
        <v>1850</v>
      </c>
      <c r="AP197" s="82" t="b">
        <v>0</v>
      </c>
      <c r="AQ197" s="87" t="s">
        <v>1603</v>
      </c>
      <c r="AR197" s="82"/>
      <c r="AS197" s="82">
        <v>0</v>
      </c>
      <c r="AT197" s="82">
        <v>0</v>
      </c>
      <c r="AU197" s="82"/>
      <c r="AV197" s="82"/>
      <c r="AW197" s="82"/>
      <c r="AX197" s="82"/>
      <c r="AY197" s="82"/>
      <c r="AZ197" s="82"/>
      <c r="BA197" s="82"/>
      <c r="BB197" s="82"/>
      <c r="BC197">
        <v>1</v>
      </c>
      <c r="BD197" s="81" t="str">
        <f>REPLACE(INDEX(GroupVertices[Group],MATCH(Edges[[#This Row],[Vertex 1]],GroupVertices[Vertex],0)),1,1,"")</f>
        <v>1</v>
      </c>
      <c r="BE197" s="81" t="str">
        <f>REPLACE(INDEX(GroupVertices[Group],MATCH(Edges[[#This Row],[Vertex 2]],GroupVertices[Vertex],0)),1,1,"")</f>
        <v>1</v>
      </c>
      <c r="BF197" s="49">
        <v>0</v>
      </c>
      <c r="BG197" s="50">
        <v>0</v>
      </c>
      <c r="BH197" s="49">
        <v>1</v>
      </c>
      <c r="BI197" s="50">
        <v>3.0303030303030303</v>
      </c>
      <c r="BJ197" s="49">
        <v>0</v>
      </c>
      <c r="BK197" s="50">
        <v>0</v>
      </c>
      <c r="BL197" s="49">
        <v>32</v>
      </c>
      <c r="BM197" s="50">
        <v>96.96969696969697</v>
      </c>
      <c r="BN197" s="49">
        <v>33</v>
      </c>
    </row>
    <row r="198" spans="1:66" ht="15">
      <c r="A198" s="66" t="s">
        <v>363</v>
      </c>
      <c r="B198" s="66" t="s">
        <v>363</v>
      </c>
      <c r="C198" s="67" t="s">
        <v>4509</v>
      </c>
      <c r="D198" s="68">
        <v>3</v>
      </c>
      <c r="E198" s="69" t="s">
        <v>132</v>
      </c>
      <c r="F198" s="70">
        <v>32</v>
      </c>
      <c r="G198" s="67"/>
      <c r="H198" s="71"/>
      <c r="I198" s="72"/>
      <c r="J198" s="72"/>
      <c r="K198" s="35" t="s">
        <v>65</v>
      </c>
      <c r="L198" s="80">
        <v>198</v>
      </c>
      <c r="M198" s="80"/>
      <c r="N198" s="74"/>
      <c r="O198" s="82" t="s">
        <v>214</v>
      </c>
      <c r="P198" s="84">
        <v>44518.63182870371</v>
      </c>
      <c r="Q198" s="82" t="s">
        <v>687</v>
      </c>
      <c r="R198" s="82"/>
      <c r="S198" s="82"/>
      <c r="T198" s="87" t="s">
        <v>991</v>
      </c>
      <c r="U198" s="85" t="str">
        <f>HYPERLINK("https://pbs.twimg.com/media/FEfC8KCVUAsvD4S.jpg")</f>
        <v>https://pbs.twimg.com/media/FEfC8KCVUAsvD4S.jpg</v>
      </c>
      <c r="V198" s="85" t="str">
        <f>HYPERLINK("https://pbs.twimg.com/media/FEfC8KCVUAsvD4S.jpg")</f>
        <v>https://pbs.twimg.com/media/FEfC8KCVUAsvD4S.jpg</v>
      </c>
      <c r="W198" s="84">
        <v>44518.63182870371</v>
      </c>
      <c r="X198" s="90">
        <v>44518</v>
      </c>
      <c r="Y198" s="87" t="s">
        <v>1283</v>
      </c>
      <c r="Z198" s="85" t="str">
        <f>HYPERLINK("https://twitter.com/hpruamr/status/1461350945535651851")</f>
        <v>https://twitter.com/hpruamr/status/1461350945535651851</v>
      </c>
      <c r="AA198" s="82"/>
      <c r="AB198" s="82"/>
      <c r="AC198" s="87" t="s">
        <v>1604</v>
      </c>
      <c r="AD198" s="82"/>
      <c r="AE198" s="82" t="b">
        <v>0</v>
      </c>
      <c r="AF198" s="82">
        <v>4</v>
      </c>
      <c r="AG198" s="87" t="s">
        <v>1815</v>
      </c>
      <c r="AH198" s="82" t="b">
        <v>0</v>
      </c>
      <c r="AI198" s="82" t="s">
        <v>1826</v>
      </c>
      <c r="AJ198" s="82"/>
      <c r="AK198" s="87" t="s">
        <v>1815</v>
      </c>
      <c r="AL198" s="82" t="b">
        <v>0</v>
      </c>
      <c r="AM198" s="82">
        <v>0</v>
      </c>
      <c r="AN198" s="87" t="s">
        <v>1815</v>
      </c>
      <c r="AO198" s="87" t="s">
        <v>1852</v>
      </c>
      <c r="AP198" s="82" t="b">
        <v>0</v>
      </c>
      <c r="AQ198" s="87" t="s">
        <v>1604</v>
      </c>
      <c r="AR198" s="82"/>
      <c r="AS198" s="82">
        <v>0</v>
      </c>
      <c r="AT198" s="82">
        <v>0</v>
      </c>
      <c r="AU198" s="82"/>
      <c r="AV198" s="82"/>
      <c r="AW198" s="82"/>
      <c r="AX198" s="82"/>
      <c r="AY198" s="82"/>
      <c r="AZ198" s="82"/>
      <c r="BA198" s="82"/>
      <c r="BB198" s="82"/>
      <c r="BC198">
        <v>1</v>
      </c>
      <c r="BD198" s="81" t="str">
        <f>REPLACE(INDEX(GroupVertices[Group],MATCH(Edges[[#This Row],[Vertex 1]],GroupVertices[Vertex],0)),1,1,"")</f>
        <v>1</v>
      </c>
      <c r="BE198" s="81" t="str">
        <f>REPLACE(INDEX(GroupVertices[Group],MATCH(Edges[[#This Row],[Vertex 2]],GroupVertices[Vertex],0)),1,1,"")</f>
        <v>1</v>
      </c>
      <c r="BF198" s="49">
        <v>0</v>
      </c>
      <c r="BG198" s="50">
        <v>0</v>
      </c>
      <c r="BH198" s="49">
        <v>1</v>
      </c>
      <c r="BI198" s="50">
        <v>16.666666666666668</v>
      </c>
      <c r="BJ198" s="49">
        <v>0</v>
      </c>
      <c r="BK198" s="50">
        <v>0</v>
      </c>
      <c r="BL198" s="49">
        <v>5</v>
      </c>
      <c r="BM198" s="50">
        <v>83.33333333333333</v>
      </c>
      <c r="BN198" s="49">
        <v>6</v>
      </c>
    </row>
    <row r="199" spans="1:66" ht="15">
      <c r="A199" s="66" t="s">
        <v>364</v>
      </c>
      <c r="B199" s="66" t="s">
        <v>364</v>
      </c>
      <c r="C199" s="67" t="s">
        <v>4509</v>
      </c>
      <c r="D199" s="68">
        <v>3</v>
      </c>
      <c r="E199" s="69" t="s">
        <v>132</v>
      </c>
      <c r="F199" s="70">
        <v>32</v>
      </c>
      <c r="G199" s="67"/>
      <c r="H199" s="71"/>
      <c r="I199" s="72"/>
      <c r="J199" s="72"/>
      <c r="K199" s="35" t="s">
        <v>65</v>
      </c>
      <c r="L199" s="80">
        <v>199</v>
      </c>
      <c r="M199" s="80"/>
      <c r="N199" s="74"/>
      <c r="O199" s="82" t="s">
        <v>214</v>
      </c>
      <c r="P199" s="84">
        <v>44518.64854166667</v>
      </c>
      <c r="Q199" s="82" t="s">
        <v>688</v>
      </c>
      <c r="R199" s="85" t="str">
        <f>HYPERLINK("https://www2.hse.ie/under-the-weather/")</f>
        <v>https://www2.hse.ie/under-the-weather/</v>
      </c>
      <c r="S199" s="82" t="s">
        <v>919</v>
      </c>
      <c r="T199" s="87" t="s">
        <v>1035</v>
      </c>
      <c r="U199" s="85" t="str">
        <f>HYPERLINK("https://pbs.twimg.com/media/FEfIUvEVUBYlh7A.jpg")</f>
        <v>https://pbs.twimg.com/media/FEfIUvEVUBYlh7A.jpg</v>
      </c>
      <c r="V199" s="85" t="str">
        <f>HYPERLINK("https://pbs.twimg.com/media/FEfIUvEVUBYlh7A.jpg")</f>
        <v>https://pbs.twimg.com/media/FEfIUvEVUBYlh7A.jpg</v>
      </c>
      <c r="W199" s="84">
        <v>44518.64854166667</v>
      </c>
      <c r="X199" s="90">
        <v>44518</v>
      </c>
      <c r="Y199" s="87" t="s">
        <v>1284</v>
      </c>
      <c r="Z199" s="85" t="str">
        <f>HYPERLINK("https://twitter.com/irelandsouthwid/status/1461357000873287693")</f>
        <v>https://twitter.com/irelandsouthwid/status/1461357000873287693</v>
      </c>
      <c r="AA199" s="82"/>
      <c r="AB199" s="82"/>
      <c r="AC199" s="87" t="s">
        <v>1605</v>
      </c>
      <c r="AD199" s="82"/>
      <c r="AE199" s="82" t="b">
        <v>0</v>
      </c>
      <c r="AF199" s="82">
        <v>28</v>
      </c>
      <c r="AG199" s="87" t="s">
        <v>1815</v>
      </c>
      <c r="AH199" s="82" t="b">
        <v>0</v>
      </c>
      <c r="AI199" s="82" t="s">
        <v>1826</v>
      </c>
      <c r="AJ199" s="82"/>
      <c r="AK199" s="87" t="s">
        <v>1815</v>
      </c>
      <c r="AL199" s="82" t="b">
        <v>0</v>
      </c>
      <c r="AM199" s="82">
        <v>10</v>
      </c>
      <c r="AN199" s="87" t="s">
        <v>1815</v>
      </c>
      <c r="AO199" s="87" t="s">
        <v>1850</v>
      </c>
      <c r="AP199" s="82" t="b">
        <v>0</v>
      </c>
      <c r="AQ199" s="87" t="s">
        <v>1605</v>
      </c>
      <c r="AR199" s="82"/>
      <c r="AS199" s="82">
        <v>0</v>
      </c>
      <c r="AT199" s="82">
        <v>0</v>
      </c>
      <c r="AU199" s="82"/>
      <c r="AV199" s="82"/>
      <c r="AW199" s="82"/>
      <c r="AX199" s="82"/>
      <c r="AY199" s="82"/>
      <c r="AZ199" s="82"/>
      <c r="BA199" s="82"/>
      <c r="BB199" s="82"/>
      <c r="BC199">
        <v>1</v>
      </c>
      <c r="BD199" s="81" t="str">
        <f>REPLACE(INDEX(GroupVertices[Group],MATCH(Edges[[#This Row],[Vertex 1]],GroupVertices[Vertex],0)),1,1,"")</f>
        <v>1</v>
      </c>
      <c r="BE199" s="81" t="str">
        <f>REPLACE(INDEX(GroupVertices[Group],MATCH(Edges[[#This Row],[Vertex 2]],GroupVertices[Vertex],0)),1,1,"")</f>
        <v>1</v>
      </c>
      <c r="BF199" s="49">
        <v>0</v>
      </c>
      <c r="BG199" s="50">
        <v>0</v>
      </c>
      <c r="BH199" s="49">
        <v>0</v>
      </c>
      <c r="BI199" s="50">
        <v>0</v>
      </c>
      <c r="BJ199" s="49">
        <v>0</v>
      </c>
      <c r="BK199" s="50">
        <v>0</v>
      </c>
      <c r="BL199" s="49">
        <v>35</v>
      </c>
      <c r="BM199" s="50">
        <v>100</v>
      </c>
      <c r="BN199" s="49">
        <v>35</v>
      </c>
    </row>
    <row r="200" spans="1:66" ht="15">
      <c r="A200" s="66" t="s">
        <v>365</v>
      </c>
      <c r="B200" s="66" t="s">
        <v>466</v>
      </c>
      <c r="C200" s="67" t="s">
        <v>4509</v>
      </c>
      <c r="D200" s="68">
        <v>3</v>
      </c>
      <c r="E200" s="69" t="s">
        <v>132</v>
      </c>
      <c r="F200" s="70">
        <v>32</v>
      </c>
      <c r="G200" s="67"/>
      <c r="H200" s="71"/>
      <c r="I200" s="72"/>
      <c r="J200" s="72"/>
      <c r="K200" s="35" t="s">
        <v>65</v>
      </c>
      <c r="L200" s="80">
        <v>200</v>
      </c>
      <c r="M200" s="80"/>
      <c r="N200" s="74"/>
      <c r="O200" s="82" t="s">
        <v>528</v>
      </c>
      <c r="P200" s="84">
        <v>44518.659212962964</v>
      </c>
      <c r="Q200" s="82" t="s">
        <v>689</v>
      </c>
      <c r="R200" s="85" t="str">
        <f>HYPERLINK("https://twitter.com/DrKieranHand/status/1461128236935618563")</f>
        <v>https://twitter.com/DrKieranHand/status/1461128236935618563</v>
      </c>
      <c r="S200" s="82" t="s">
        <v>914</v>
      </c>
      <c r="T200" s="87" t="s">
        <v>1036</v>
      </c>
      <c r="U200" s="82"/>
      <c r="V200" s="85" t="str">
        <f>HYPERLINK("https://pbs.twimg.com/profile_images/927244129905541120/juxV2mki_normal.jpg")</f>
        <v>https://pbs.twimg.com/profile_images/927244129905541120/juxV2mki_normal.jpg</v>
      </c>
      <c r="W200" s="84">
        <v>44518.659212962964</v>
      </c>
      <c r="X200" s="90">
        <v>44518</v>
      </c>
      <c r="Y200" s="87" t="s">
        <v>1285</v>
      </c>
      <c r="Z200" s="85" t="str">
        <f>HYPERLINK("https://twitter.com/keithridge1/status/1461360869967732752")</f>
        <v>https://twitter.com/keithridge1/status/1461360869967732752</v>
      </c>
      <c r="AA200" s="82"/>
      <c r="AB200" s="82"/>
      <c r="AC200" s="87" t="s">
        <v>1606</v>
      </c>
      <c r="AD200" s="82"/>
      <c r="AE200" s="82" t="b">
        <v>0</v>
      </c>
      <c r="AF200" s="82">
        <v>21</v>
      </c>
      <c r="AG200" s="87" t="s">
        <v>1815</v>
      </c>
      <c r="AH200" s="82" t="b">
        <v>1</v>
      </c>
      <c r="AI200" s="82" t="s">
        <v>1826</v>
      </c>
      <c r="AJ200" s="82"/>
      <c r="AK200" s="87" t="s">
        <v>1839</v>
      </c>
      <c r="AL200" s="82" t="b">
        <v>0</v>
      </c>
      <c r="AM200" s="82">
        <v>9</v>
      </c>
      <c r="AN200" s="87" t="s">
        <v>1815</v>
      </c>
      <c r="AO200" s="87" t="s">
        <v>1850</v>
      </c>
      <c r="AP200" s="82" t="b">
        <v>0</v>
      </c>
      <c r="AQ200" s="87" t="s">
        <v>1606</v>
      </c>
      <c r="AR200" s="82"/>
      <c r="AS200" s="82">
        <v>0</v>
      </c>
      <c r="AT200" s="82">
        <v>0</v>
      </c>
      <c r="AU200" s="82"/>
      <c r="AV200" s="82"/>
      <c r="AW200" s="82"/>
      <c r="AX200" s="82"/>
      <c r="AY200" s="82"/>
      <c r="AZ200" s="82"/>
      <c r="BA200" s="82"/>
      <c r="BB200" s="82"/>
      <c r="BC200">
        <v>1</v>
      </c>
      <c r="BD200" s="81" t="str">
        <f>REPLACE(INDEX(GroupVertices[Group],MATCH(Edges[[#This Row],[Vertex 1]],GroupVertices[Vertex],0)),1,1,"")</f>
        <v>2</v>
      </c>
      <c r="BE200" s="81" t="str">
        <f>REPLACE(INDEX(GroupVertices[Group],MATCH(Edges[[#This Row],[Vertex 2]],GroupVertices[Vertex],0)),1,1,"")</f>
        <v>2</v>
      </c>
      <c r="BF200" s="49">
        <v>2</v>
      </c>
      <c r="BG200" s="50">
        <v>4.651162790697675</v>
      </c>
      <c r="BH200" s="49">
        <v>0</v>
      </c>
      <c r="BI200" s="50">
        <v>0</v>
      </c>
      <c r="BJ200" s="49">
        <v>0</v>
      </c>
      <c r="BK200" s="50">
        <v>0</v>
      </c>
      <c r="BL200" s="49">
        <v>41</v>
      </c>
      <c r="BM200" s="50">
        <v>95.34883720930233</v>
      </c>
      <c r="BN200" s="49">
        <v>43</v>
      </c>
    </row>
    <row r="201" spans="1:66" ht="15">
      <c r="A201" s="66" t="s">
        <v>366</v>
      </c>
      <c r="B201" s="66" t="s">
        <v>366</v>
      </c>
      <c r="C201" s="67" t="s">
        <v>4510</v>
      </c>
      <c r="D201" s="68">
        <v>3.6363636363636362</v>
      </c>
      <c r="E201" s="69" t="s">
        <v>136</v>
      </c>
      <c r="F201" s="70">
        <v>31.2972972972973</v>
      </c>
      <c r="G201" s="67"/>
      <c r="H201" s="71"/>
      <c r="I201" s="72"/>
      <c r="J201" s="72"/>
      <c r="K201" s="35" t="s">
        <v>65</v>
      </c>
      <c r="L201" s="80">
        <v>201</v>
      </c>
      <c r="M201" s="80"/>
      <c r="N201" s="74"/>
      <c r="O201" s="82" t="s">
        <v>214</v>
      </c>
      <c r="P201" s="84">
        <v>44518.65976851852</v>
      </c>
      <c r="Q201" s="82" t="s">
        <v>690</v>
      </c>
      <c r="R201" s="82"/>
      <c r="S201" s="82"/>
      <c r="T201" s="87" t="s">
        <v>1037</v>
      </c>
      <c r="U201" s="85" t="str">
        <f>HYPERLINK("https://pbs.twimg.com/media/FEfMJlSVIAsX1hH.jpg")</f>
        <v>https://pbs.twimg.com/media/FEfMJlSVIAsX1hH.jpg</v>
      </c>
      <c r="V201" s="85" t="str">
        <f>HYPERLINK("https://pbs.twimg.com/media/FEfMJlSVIAsX1hH.jpg")</f>
        <v>https://pbs.twimg.com/media/FEfMJlSVIAsX1hH.jpg</v>
      </c>
      <c r="W201" s="84">
        <v>44518.65976851852</v>
      </c>
      <c r="X201" s="90">
        <v>44518</v>
      </c>
      <c r="Y201" s="87" t="s">
        <v>1286</v>
      </c>
      <c r="Z201" s="85" t="str">
        <f>HYPERLINK("https://twitter.com/melintatx/status/1461361071206195205")</f>
        <v>https://twitter.com/melintatx/status/1461361071206195205</v>
      </c>
      <c r="AA201" s="82"/>
      <c r="AB201" s="82"/>
      <c r="AC201" s="87" t="s">
        <v>1607</v>
      </c>
      <c r="AD201" s="82"/>
      <c r="AE201" s="82" t="b">
        <v>0</v>
      </c>
      <c r="AF201" s="82">
        <v>2</v>
      </c>
      <c r="AG201" s="87" t="s">
        <v>1815</v>
      </c>
      <c r="AH201" s="82" t="b">
        <v>0</v>
      </c>
      <c r="AI201" s="82" t="s">
        <v>1826</v>
      </c>
      <c r="AJ201" s="82"/>
      <c r="AK201" s="87" t="s">
        <v>1815</v>
      </c>
      <c r="AL201" s="82" t="b">
        <v>0</v>
      </c>
      <c r="AM201" s="82">
        <v>1</v>
      </c>
      <c r="AN201" s="87" t="s">
        <v>1815</v>
      </c>
      <c r="AO201" s="87" t="s">
        <v>1854</v>
      </c>
      <c r="AP201" s="82" t="b">
        <v>0</v>
      </c>
      <c r="AQ201" s="87" t="s">
        <v>1607</v>
      </c>
      <c r="AR201" s="82"/>
      <c r="AS201" s="82">
        <v>0</v>
      </c>
      <c r="AT201" s="82">
        <v>0</v>
      </c>
      <c r="AU201" s="82"/>
      <c r="AV201" s="82"/>
      <c r="AW201" s="82"/>
      <c r="AX201" s="82"/>
      <c r="AY201" s="82"/>
      <c r="AZ201" s="82"/>
      <c r="BA201" s="82"/>
      <c r="BB201" s="82"/>
      <c r="BC201">
        <v>2</v>
      </c>
      <c r="BD201" s="81" t="str">
        <f>REPLACE(INDEX(GroupVertices[Group],MATCH(Edges[[#This Row],[Vertex 1]],GroupVertices[Vertex],0)),1,1,"")</f>
        <v>1</v>
      </c>
      <c r="BE201" s="81" t="str">
        <f>REPLACE(INDEX(GroupVertices[Group],MATCH(Edges[[#This Row],[Vertex 2]],GroupVertices[Vertex],0)),1,1,"")</f>
        <v>1</v>
      </c>
      <c r="BF201" s="49">
        <v>1</v>
      </c>
      <c r="BG201" s="50">
        <v>4</v>
      </c>
      <c r="BH201" s="49">
        <v>3</v>
      </c>
      <c r="BI201" s="50">
        <v>12</v>
      </c>
      <c r="BJ201" s="49">
        <v>0</v>
      </c>
      <c r="BK201" s="50">
        <v>0</v>
      </c>
      <c r="BL201" s="49">
        <v>21</v>
      </c>
      <c r="BM201" s="50">
        <v>84</v>
      </c>
      <c r="BN201" s="49">
        <v>25</v>
      </c>
    </row>
    <row r="202" spans="1:66" ht="15">
      <c r="A202" s="66" t="s">
        <v>366</v>
      </c>
      <c r="B202" s="66" t="s">
        <v>366</v>
      </c>
      <c r="C202" s="67" t="s">
        <v>4510</v>
      </c>
      <c r="D202" s="68">
        <v>3.6363636363636362</v>
      </c>
      <c r="E202" s="69" t="s">
        <v>136</v>
      </c>
      <c r="F202" s="70">
        <v>31.2972972972973</v>
      </c>
      <c r="G202" s="67"/>
      <c r="H202" s="71"/>
      <c r="I202" s="72"/>
      <c r="J202" s="72"/>
      <c r="K202" s="35" t="s">
        <v>65</v>
      </c>
      <c r="L202" s="80">
        <v>202</v>
      </c>
      <c r="M202" s="80"/>
      <c r="N202" s="74"/>
      <c r="O202" s="82" t="s">
        <v>214</v>
      </c>
      <c r="P202" s="84">
        <v>44518.635567129626</v>
      </c>
      <c r="Q202" s="82" t="s">
        <v>691</v>
      </c>
      <c r="R202" s="82"/>
      <c r="S202" s="82"/>
      <c r="T202" s="87" t="s">
        <v>1037</v>
      </c>
      <c r="U202" s="85" t="str">
        <f>HYPERLINK("https://pbs.twimg.com/media/FEfEK6DVkAAtwmY.jpg")</f>
        <v>https://pbs.twimg.com/media/FEfEK6DVkAAtwmY.jpg</v>
      </c>
      <c r="V202" s="85" t="str">
        <f>HYPERLINK("https://pbs.twimg.com/media/FEfEK6DVkAAtwmY.jpg")</f>
        <v>https://pbs.twimg.com/media/FEfEK6DVkAAtwmY.jpg</v>
      </c>
      <c r="W202" s="84">
        <v>44518.635567129626</v>
      </c>
      <c r="X202" s="90">
        <v>44518</v>
      </c>
      <c r="Y202" s="87" t="s">
        <v>1287</v>
      </c>
      <c r="Z202" s="85" t="str">
        <f>HYPERLINK("https://twitter.com/melintatx/status/1461352297791844363")</f>
        <v>https://twitter.com/melintatx/status/1461352297791844363</v>
      </c>
      <c r="AA202" s="82"/>
      <c r="AB202" s="82"/>
      <c r="AC202" s="87" t="s">
        <v>1608</v>
      </c>
      <c r="AD202" s="82"/>
      <c r="AE202" s="82" t="b">
        <v>0</v>
      </c>
      <c r="AF202" s="82">
        <v>9</v>
      </c>
      <c r="AG202" s="87" t="s">
        <v>1815</v>
      </c>
      <c r="AH202" s="82" t="b">
        <v>0</v>
      </c>
      <c r="AI202" s="82" t="s">
        <v>1826</v>
      </c>
      <c r="AJ202" s="82"/>
      <c r="AK202" s="87" t="s">
        <v>1815</v>
      </c>
      <c r="AL202" s="82" t="b">
        <v>0</v>
      </c>
      <c r="AM202" s="82">
        <v>2</v>
      </c>
      <c r="AN202" s="87" t="s">
        <v>1815</v>
      </c>
      <c r="AO202" s="87" t="s">
        <v>1854</v>
      </c>
      <c r="AP202" s="82" t="b">
        <v>0</v>
      </c>
      <c r="AQ202" s="87" t="s">
        <v>1608</v>
      </c>
      <c r="AR202" s="82"/>
      <c r="AS202" s="82">
        <v>0</v>
      </c>
      <c r="AT202" s="82">
        <v>0</v>
      </c>
      <c r="AU202" s="82"/>
      <c r="AV202" s="82"/>
      <c r="AW202" s="82"/>
      <c r="AX202" s="82"/>
      <c r="AY202" s="82"/>
      <c r="AZ202" s="82"/>
      <c r="BA202" s="82"/>
      <c r="BB202" s="82"/>
      <c r="BC202">
        <v>2</v>
      </c>
      <c r="BD202" s="81" t="str">
        <f>REPLACE(INDEX(GroupVertices[Group],MATCH(Edges[[#This Row],[Vertex 1]],GroupVertices[Vertex],0)),1,1,"")</f>
        <v>1</v>
      </c>
      <c r="BE202" s="81" t="str">
        <f>REPLACE(INDEX(GroupVertices[Group],MATCH(Edges[[#This Row],[Vertex 2]],GroupVertices[Vertex],0)),1,1,"")</f>
        <v>1</v>
      </c>
      <c r="BF202" s="49">
        <v>1</v>
      </c>
      <c r="BG202" s="50">
        <v>6.25</v>
      </c>
      <c r="BH202" s="49">
        <v>1</v>
      </c>
      <c r="BI202" s="50">
        <v>6.25</v>
      </c>
      <c r="BJ202" s="49">
        <v>0</v>
      </c>
      <c r="BK202" s="50">
        <v>0</v>
      </c>
      <c r="BL202" s="49">
        <v>14</v>
      </c>
      <c r="BM202" s="50">
        <v>87.5</v>
      </c>
      <c r="BN202" s="49">
        <v>16</v>
      </c>
    </row>
    <row r="203" spans="1:66" ht="15">
      <c r="A203" s="66" t="s">
        <v>367</v>
      </c>
      <c r="B203" s="66" t="s">
        <v>490</v>
      </c>
      <c r="C203" s="67" t="s">
        <v>4509</v>
      </c>
      <c r="D203" s="68">
        <v>3</v>
      </c>
      <c r="E203" s="69" t="s">
        <v>132</v>
      </c>
      <c r="F203" s="70">
        <v>32</v>
      </c>
      <c r="G203" s="67"/>
      <c r="H203" s="71"/>
      <c r="I203" s="72"/>
      <c r="J203" s="72"/>
      <c r="K203" s="35" t="s">
        <v>65</v>
      </c>
      <c r="L203" s="80">
        <v>203</v>
      </c>
      <c r="M203" s="80"/>
      <c r="N203" s="74"/>
      <c r="O203" s="82" t="s">
        <v>528</v>
      </c>
      <c r="P203" s="84">
        <v>44518.62501157408</v>
      </c>
      <c r="Q203" s="82" t="s">
        <v>692</v>
      </c>
      <c r="R203" s="82"/>
      <c r="S203" s="82"/>
      <c r="T203" s="87" t="s">
        <v>1038</v>
      </c>
      <c r="U203" s="85" t="str">
        <f>HYPERLINK("https://pbs.twimg.com/media/FEe2P0XWQAMRj5T.jpg")</f>
        <v>https://pbs.twimg.com/media/FEe2P0XWQAMRj5T.jpg</v>
      </c>
      <c r="V203" s="85" t="str">
        <f>HYPERLINK("https://pbs.twimg.com/media/FEe2P0XWQAMRj5T.jpg")</f>
        <v>https://pbs.twimg.com/media/FEe2P0XWQAMRj5T.jpg</v>
      </c>
      <c r="W203" s="84">
        <v>44518.62501157408</v>
      </c>
      <c r="X203" s="90">
        <v>44518</v>
      </c>
      <c r="Y203" s="87" t="s">
        <v>1152</v>
      </c>
      <c r="Z203" s="85" t="str">
        <f>HYPERLINK("https://twitter.com/kyabxawareness/status/1461348475765985280")</f>
        <v>https://twitter.com/kyabxawareness/status/1461348475765985280</v>
      </c>
      <c r="AA203" s="82"/>
      <c r="AB203" s="82"/>
      <c r="AC203" s="87" t="s">
        <v>1609</v>
      </c>
      <c r="AD203" s="82"/>
      <c r="AE203" s="82" t="b">
        <v>0</v>
      </c>
      <c r="AF203" s="82">
        <v>2</v>
      </c>
      <c r="AG203" s="87" t="s">
        <v>1815</v>
      </c>
      <c r="AH203" s="82" t="b">
        <v>0</v>
      </c>
      <c r="AI203" s="82" t="s">
        <v>1826</v>
      </c>
      <c r="AJ203" s="82"/>
      <c r="AK203" s="87" t="s">
        <v>1815</v>
      </c>
      <c r="AL203" s="82" t="b">
        <v>0</v>
      </c>
      <c r="AM203" s="82">
        <v>0</v>
      </c>
      <c r="AN203" s="87" t="s">
        <v>1815</v>
      </c>
      <c r="AO203" s="87" t="s">
        <v>1861</v>
      </c>
      <c r="AP203" s="82" t="b">
        <v>0</v>
      </c>
      <c r="AQ203" s="87" t="s">
        <v>1609</v>
      </c>
      <c r="AR203" s="82"/>
      <c r="AS203" s="82">
        <v>0</v>
      </c>
      <c r="AT203" s="82">
        <v>0</v>
      </c>
      <c r="AU203" s="82"/>
      <c r="AV203" s="82"/>
      <c r="AW203" s="82"/>
      <c r="AX203" s="82"/>
      <c r="AY203" s="82"/>
      <c r="AZ203" s="82"/>
      <c r="BA203" s="82"/>
      <c r="BB203" s="82"/>
      <c r="BC203">
        <v>1</v>
      </c>
      <c r="BD203" s="81" t="str">
        <f>REPLACE(INDEX(GroupVertices[Group],MATCH(Edges[[#This Row],[Vertex 1]],GroupVertices[Vertex],0)),1,1,"")</f>
        <v>20</v>
      </c>
      <c r="BE203" s="81" t="str">
        <f>REPLACE(INDEX(GroupVertices[Group],MATCH(Edges[[#This Row],[Vertex 2]],GroupVertices[Vertex],0)),1,1,"")</f>
        <v>20</v>
      </c>
      <c r="BF203" s="49">
        <v>0</v>
      </c>
      <c r="BG203" s="50">
        <v>0</v>
      </c>
      <c r="BH203" s="49">
        <v>3</v>
      </c>
      <c r="BI203" s="50">
        <v>8.108108108108109</v>
      </c>
      <c r="BJ203" s="49">
        <v>0</v>
      </c>
      <c r="BK203" s="50">
        <v>0</v>
      </c>
      <c r="BL203" s="49">
        <v>34</v>
      </c>
      <c r="BM203" s="50">
        <v>91.89189189189189</v>
      </c>
      <c r="BN203" s="49">
        <v>37</v>
      </c>
    </row>
    <row r="204" spans="1:66" ht="15">
      <c r="A204" s="66" t="s">
        <v>368</v>
      </c>
      <c r="B204" s="66" t="s">
        <v>368</v>
      </c>
      <c r="C204" s="67" t="s">
        <v>4509</v>
      </c>
      <c r="D204" s="68">
        <v>3</v>
      </c>
      <c r="E204" s="69" t="s">
        <v>132</v>
      </c>
      <c r="F204" s="70">
        <v>32</v>
      </c>
      <c r="G204" s="67"/>
      <c r="H204" s="71"/>
      <c r="I204" s="72"/>
      <c r="J204" s="72"/>
      <c r="K204" s="35" t="s">
        <v>65</v>
      </c>
      <c r="L204" s="80">
        <v>204</v>
      </c>
      <c r="M204" s="80"/>
      <c r="N204" s="74"/>
      <c r="O204" s="82" t="s">
        <v>214</v>
      </c>
      <c r="P204" s="84">
        <v>44518.62671296296</v>
      </c>
      <c r="Q204" s="82" t="s">
        <v>693</v>
      </c>
      <c r="R204" s="82"/>
      <c r="S204" s="82"/>
      <c r="T204" s="87" t="s">
        <v>955</v>
      </c>
      <c r="U204" s="85" t="str">
        <f>HYPERLINK("https://pbs.twimg.com/media/FEfBQSlUcA4Iy6A.jpg")</f>
        <v>https://pbs.twimg.com/media/FEfBQSlUcA4Iy6A.jpg</v>
      </c>
      <c r="V204" s="85" t="str">
        <f>HYPERLINK("https://pbs.twimg.com/media/FEfBQSlUcA4Iy6A.jpg")</f>
        <v>https://pbs.twimg.com/media/FEfBQSlUcA4Iy6A.jpg</v>
      </c>
      <c r="W204" s="84">
        <v>44518.62671296296</v>
      </c>
      <c r="X204" s="90">
        <v>44518</v>
      </c>
      <c r="Y204" s="87" t="s">
        <v>1288</v>
      </c>
      <c r="Z204" s="85" t="str">
        <f>HYPERLINK("https://twitter.com/haltonccg/status/1461349091565207557")</f>
        <v>https://twitter.com/haltonccg/status/1461349091565207557</v>
      </c>
      <c r="AA204" s="82"/>
      <c r="AB204" s="82"/>
      <c r="AC204" s="87" t="s">
        <v>1610</v>
      </c>
      <c r="AD204" s="82"/>
      <c r="AE204" s="82" t="b">
        <v>0</v>
      </c>
      <c r="AF204" s="82">
        <v>3</v>
      </c>
      <c r="AG204" s="87" t="s">
        <v>1815</v>
      </c>
      <c r="AH204" s="82" t="b">
        <v>0</v>
      </c>
      <c r="AI204" s="82" t="s">
        <v>1826</v>
      </c>
      <c r="AJ204" s="82"/>
      <c r="AK204" s="87" t="s">
        <v>1815</v>
      </c>
      <c r="AL204" s="82" t="b">
        <v>0</v>
      </c>
      <c r="AM204" s="82">
        <v>2</v>
      </c>
      <c r="AN204" s="87" t="s">
        <v>1815</v>
      </c>
      <c r="AO204" s="87" t="s">
        <v>1854</v>
      </c>
      <c r="AP204" s="82" t="b">
        <v>0</v>
      </c>
      <c r="AQ204" s="87" t="s">
        <v>1610</v>
      </c>
      <c r="AR204" s="82"/>
      <c r="AS204" s="82">
        <v>0</v>
      </c>
      <c r="AT204" s="82">
        <v>0</v>
      </c>
      <c r="AU204" s="82"/>
      <c r="AV204" s="82"/>
      <c r="AW204" s="82"/>
      <c r="AX204" s="82"/>
      <c r="AY204" s="82"/>
      <c r="AZ204" s="82"/>
      <c r="BA204" s="82"/>
      <c r="BB204" s="82"/>
      <c r="BC204">
        <v>1</v>
      </c>
      <c r="BD204" s="81" t="str">
        <f>REPLACE(INDEX(GroupVertices[Group],MATCH(Edges[[#This Row],[Vertex 1]],GroupVertices[Vertex],0)),1,1,"")</f>
        <v>1</v>
      </c>
      <c r="BE204" s="81" t="str">
        <f>REPLACE(INDEX(GroupVertices[Group],MATCH(Edges[[#This Row],[Vertex 2]],GroupVertices[Vertex],0)),1,1,"")</f>
        <v>1</v>
      </c>
      <c r="BF204" s="49">
        <v>0</v>
      </c>
      <c r="BG204" s="50">
        <v>0</v>
      </c>
      <c r="BH204" s="49">
        <v>2</v>
      </c>
      <c r="BI204" s="50">
        <v>6.0606060606060606</v>
      </c>
      <c r="BJ204" s="49">
        <v>0</v>
      </c>
      <c r="BK204" s="50">
        <v>0</v>
      </c>
      <c r="BL204" s="49">
        <v>31</v>
      </c>
      <c r="BM204" s="50">
        <v>93.93939393939394</v>
      </c>
      <c r="BN204" s="49">
        <v>33</v>
      </c>
    </row>
    <row r="205" spans="1:66" ht="15">
      <c r="A205" s="66" t="s">
        <v>369</v>
      </c>
      <c r="B205" s="66" t="s">
        <v>369</v>
      </c>
      <c r="C205" s="67" t="s">
        <v>4509</v>
      </c>
      <c r="D205" s="68">
        <v>3</v>
      </c>
      <c r="E205" s="69" t="s">
        <v>132</v>
      </c>
      <c r="F205" s="70">
        <v>32</v>
      </c>
      <c r="G205" s="67"/>
      <c r="H205" s="71"/>
      <c r="I205" s="72"/>
      <c r="J205" s="72"/>
      <c r="K205" s="35" t="s">
        <v>65</v>
      </c>
      <c r="L205" s="80">
        <v>205</v>
      </c>
      <c r="M205" s="80"/>
      <c r="N205" s="74"/>
      <c r="O205" s="82" t="s">
        <v>214</v>
      </c>
      <c r="P205" s="84">
        <v>44518.66609953704</v>
      </c>
      <c r="Q205" s="82" t="s">
        <v>694</v>
      </c>
      <c r="R205" s="85" t="str">
        <f>HYPERLINK("https://twitter.com/HealthSAcademy/status/1461353075248021515")</f>
        <v>https://twitter.com/HealthSAcademy/status/1461353075248021515</v>
      </c>
      <c r="S205" s="82" t="s">
        <v>914</v>
      </c>
      <c r="T205" s="87" t="s">
        <v>966</v>
      </c>
      <c r="U205" s="85" t="str">
        <f>HYPERLINK("https://pbs.twimg.com/media/FEfE3WrVgAoE8WA.jpg")</f>
        <v>https://pbs.twimg.com/media/FEfE3WrVgAoE8WA.jpg</v>
      </c>
      <c r="V205" s="85" t="str">
        <f>HYPERLINK("https://pbs.twimg.com/media/FEfE3WrVgAoE8WA.jpg")</f>
        <v>https://pbs.twimg.com/media/FEfE3WrVgAoE8WA.jpg</v>
      </c>
      <c r="W205" s="84">
        <v>44518.66609953704</v>
      </c>
      <c r="X205" s="90">
        <v>44518</v>
      </c>
      <c r="Y205" s="87" t="s">
        <v>1289</v>
      </c>
      <c r="Z205" s="85" t="str">
        <f>HYPERLINK("https://twitter.com/i_alfu/status/1461363362583826436")</f>
        <v>https://twitter.com/i_alfu/status/1461363362583826436</v>
      </c>
      <c r="AA205" s="82"/>
      <c r="AB205" s="82"/>
      <c r="AC205" s="87" t="s">
        <v>1611</v>
      </c>
      <c r="AD205" s="82"/>
      <c r="AE205" s="82" t="b">
        <v>0</v>
      </c>
      <c r="AF205" s="82">
        <v>1</v>
      </c>
      <c r="AG205" s="87" t="s">
        <v>1815</v>
      </c>
      <c r="AH205" s="82" t="b">
        <v>1</v>
      </c>
      <c r="AI205" s="82" t="s">
        <v>1827</v>
      </c>
      <c r="AJ205" s="82"/>
      <c r="AK205" s="87" t="s">
        <v>1626</v>
      </c>
      <c r="AL205" s="82" t="b">
        <v>0</v>
      </c>
      <c r="AM205" s="82">
        <v>1</v>
      </c>
      <c r="AN205" s="87" t="s">
        <v>1815</v>
      </c>
      <c r="AO205" s="87" t="s">
        <v>1852</v>
      </c>
      <c r="AP205" s="82" t="b">
        <v>0</v>
      </c>
      <c r="AQ205" s="87" t="s">
        <v>1611</v>
      </c>
      <c r="AR205" s="82"/>
      <c r="AS205" s="82">
        <v>0</v>
      </c>
      <c r="AT205" s="82">
        <v>0</v>
      </c>
      <c r="AU205" s="82"/>
      <c r="AV205" s="82"/>
      <c r="AW205" s="82"/>
      <c r="AX205" s="82"/>
      <c r="AY205" s="82"/>
      <c r="AZ205" s="82"/>
      <c r="BA205" s="82"/>
      <c r="BB205" s="82"/>
      <c r="BC205">
        <v>1</v>
      </c>
      <c r="BD205" s="81" t="str">
        <f>REPLACE(INDEX(GroupVertices[Group],MATCH(Edges[[#This Row],[Vertex 1]],GroupVertices[Vertex],0)),1,1,"")</f>
        <v>1</v>
      </c>
      <c r="BE205" s="81" t="str">
        <f>REPLACE(INDEX(GroupVertices[Group],MATCH(Edges[[#This Row],[Vertex 2]],GroupVertices[Vertex],0)),1,1,"")</f>
        <v>1</v>
      </c>
      <c r="BF205" s="49">
        <v>0</v>
      </c>
      <c r="BG205" s="50">
        <v>0</v>
      </c>
      <c r="BH205" s="49">
        <v>0</v>
      </c>
      <c r="BI205" s="50">
        <v>0</v>
      </c>
      <c r="BJ205" s="49">
        <v>0</v>
      </c>
      <c r="BK205" s="50">
        <v>0</v>
      </c>
      <c r="BL205" s="49">
        <v>5</v>
      </c>
      <c r="BM205" s="50">
        <v>100</v>
      </c>
      <c r="BN205" s="49">
        <v>5</v>
      </c>
    </row>
    <row r="206" spans="1:66" ht="15">
      <c r="A206" s="66" t="s">
        <v>370</v>
      </c>
      <c r="B206" s="66" t="s">
        <v>491</v>
      </c>
      <c r="C206" s="67" t="s">
        <v>4509</v>
      </c>
      <c r="D206" s="68">
        <v>3</v>
      </c>
      <c r="E206" s="69" t="s">
        <v>132</v>
      </c>
      <c r="F206" s="70">
        <v>32</v>
      </c>
      <c r="G206" s="67"/>
      <c r="H206" s="71"/>
      <c r="I206" s="72"/>
      <c r="J206" s="72"/>
      <c r="K206" s="35" t="s">
        <v>65</v>
      </c>
      <c r="L206" s="80">
        <v>206</v>
      </c>
      <c r="M206" s="80"/>
      <c r="N206" s="74"/>
      <c r="O206" s="82" t="s">
        <v>528</v>
      </c>
      <c r="P206" s="84">
        <v>44518.63391203704</v>
      </c>
      <c r="Q206" s="82" t="s">
        <v>695</v>
      </c>
      <c r="R206" s="85" t="str">
        <f>HYPERLINK("https://twitter.com/Roci_Buendia/status/1461285628038070282")</f>
        <v>https://twitter.com/Roci_Buendia/status/1461285628038070282</v>
      </c>
      <c r="S206" s="82" t="s">
        <v>914</v>
      </c>
      <c r="T206" s="87" t="s">
        <v>1039</v>
      </c>
      <c r="U206" s="82"/>
      <c r="V206" s="85" t="str">
        <f>HYPERLINK("https://pbs.twimg.com/profile_images/1367746093367365633/lTRt7v-W_normal.jpg")</f>
        <v>https://pbs.twimg.com/profile_images/1367746093367365633/lTRt7v-W_normal.jpg</v>
      </c>
      <c r="W206" s="84">
        <v>44518.63391203704</v>
      </c>
      <c r="X206" s="90">
        <v>44518</v>
      </c>
      <c r="Y206" s="87" t="s">
        <v>1290</v>
      </c>
      <c r="Z206" s="85" t="str">
        <f>HYPERLINK("https://twitter.com/farmacia_lapaz/status/1461351701051437058")</f>
        <v>https://twitter.com/farmacia_lapaz/status/1461351701051437058</v>
      </c>
      <c r="AA206" s="82"/>
      <c r="AB206" s="82"/>
      <c r="AC206" s="87" t="s">
        <v>1612</v>
      </c>
      <c r="AD206" s="82"/>
      <c r="AE206" s="82" t="b">
        <v>0</v>
      </c>
      <c r="AF206" s="82">
        <v>14</v>
      </c>
      <c r="AG206" s="87" t="s">
        <v>1815</v>
      </c>
      <c r="AH206" s="82" t="b">
        <v>1</v>
      </c>
      <c r="AI206" s="82" t="s">
        <v>1830</v>
      </c>
      <c r="AJ206" s="82"/>
      <c r="AK206" s="87" t="s">
        <v>1840</v>
      </c>
      <c r="AL206" s="82" t="b">
        <v>0</v>
      </c>
      <c r="AM206" s="82">
        <v>5</v>
      </c>
      <c r="AN206" s="87" t="s">
        <v>1815</v>
      </c>
      <c r="AO206" s="87" t="s">
        <v>1851</v>
      </c>
      <c r="AP206" s="82" t="b">
        <v>0</v>
      </c>
      <c r="AQ206" s="87" t="s">
        <v>1612</v>
      </c>
      <c r="AR206" s="82"/>
      <c r="AS206" s="82">
        <v>0</v>
      </c>
      <c r="AT206" s="82">
        <v>0</v>
      </c>
      <c r="AU206" s="82"/>
      <c r="AV206" s="82"/>
      <c r="AW206" s="82"/>
      <c r="AX206" s="82"/>
      <c r="AY206" s="82"/>
      <c r="AZ206" s="82"/>
      <c r="BA206" s="82"/>
      <c r="BB206" s="82"/>
      <c r="BC206">
        <v>1</v>
      </c>
      <c r="BD206" s="81" t="str">
        <f>REPLACE(INDEX(GroupVertices[Group],MATCH(Edges[[#This Row],[Vertex 1]],GroupVertices[Vertex],0)),1,1,"")</f>
        <v>19</v>
      </c>
      <c r="BE206" s="81" t="str">
        <f>REPLACE(INDEX(GroupVertices[Group],MATCH(Edges[[#This Row],[Vertex 2]],GroupVertices[Vertex],0)),1,1,"")</f>
        <v>19</v>
      </c>
      <c r="BF206" s="49">
        <v>0</v>
      </c>
      <c r="BG206" s="50">
        <v>0</v>
      </c>
      <c r="BH206" s="49">
        <v>0</v>
      </c>
      <c r="BI206" s="50">
        <v>0</v>
      </c>
      <c r="BJ206" s="49">
        <v>0</v>
      </c>
      <c r="BK206" s="50">
        <v>0</v>
      </c>
      <c r="BL206" s="49">
        <v>9</v>
      </c>
      <c r="BM206" s="50">
        <v>100</v>
      </c>
      <c r="BN206" s="49">
        <v>9</v>
      </c>
    </row>
    <row r="207" spans="1:66" ht="15">
      <c r="A207" s="66" t="s">
        <v>371</v>
      </c>
      <c r="B207" s="66" t="s">
        <v>371</v>
      </c>
      <c r="C207" s="67" t="s">
        <v>4510</v>
      </c>
      <c r="D207" s="68">
        <v>3.6363636363636362</v>
      </c>
      <c r="E207" s="69" t="s">
        <v>136</v>
      </c>
      <c r="F207" s="70">
        <v>31.2972972972973</v>
      </c>
      <c r="G207" s="67"/>
      <c r="H207" s="71"/>
      <c r="I207" s="72"/>
      <c r="J207" s="72"/>
      <c r="K207" s="35" t="s">
        <v>65</v>
      </c>
      <c r="L207" s="80">
        <v>207</v>
      </c>
      <c r="M207" s="80"/>
      <c r="N207" s="74"/>
      <c r="O207" s="82" t="s">
        <v>214</v>
      </c>
      <c r="P207" s="84">
        <v>44518.645833333336</v>
      </c>
      <c r="Q207" s="82" t="s">
        <v>696</v>
      </c>
      <c r="R207" s="82"/>
      <c r="S207" s="82"/>
      <c r="T207" s="87" t="s">
        <v>1040</v>
      </c>
      <c r="U207" s="82"/>
      <c r="V207" s="85" t="str">
        <f>HYPERLINK("https://pbs.twimg.com/profile_images/907604041215201280/IuRPoVdN_normal.jpg")</f>
        <v>https://pbs.twimg.com/profile_images/907604041215201280/IuRPoVdN_normal.jpg</v>
      </c>
      <c r="W207" s="84">
        <v>44518.645833333336</v>
      </c>
      <c r="X207" s="90">
        <v>44518</v>
      </c>
      <c r="Y207" s="87" t="s">
        <v>1291</v>
      </c>
      <c r="Z207" s="85" t="str">
        <f>HYPERLINK("https://twitter.com/eu_health/status/1461356021998182412")</f>
        <v>https://twitter.com/eu_health/status/1461356021998182412</v>
      </c>
      <c r="AA207" s="82"/>
      <c r="AB207" s="82"/>
      <c r="AC207" s="87" t="s">
        <v>1613</v>
      </c>
      <c r="AD207" s="82"/>
      <c r="AE207" s="82" t="b">
        <v>0</v>
      </c>
      <c r="AF207" s="82">
        <v>15</v>
      </c>
      <c r="AG207" s="87" t="s">
        <v>1815</v>
      </c>
      <c r="AH207" s="82" t="b">
        <v>0</v>
      </c>
      <c r="AI207" s="82" t="s">
        <v>1826</v>
      </c>
      <c r="AJ207" s="82"/>
      <c r="AK207" s="87" t="s">
        <v>1815</v>
      </c>
      <c r="AL207" s="82" t="b">
        <v>0</v>
      </c>
      <c r="AM207" s="82">
        <v>8</v>
      </c>
      <c r="AN207" s="87" t="s">
        <v>1815</v>
      </c>
      <c r="AO207" s="87" t="s">
        <v>1862</v>
      </c>
      <c r="AP207" s="82" t="b">
        <v>0</v>
      </c>
      <c r="AQ207" s="87" t="s">
        <v>1613</v>
      </c>
      <c r="AR207" s="82"/>
      <c r="AS207" s="82">
        <v>0</v>
      </c>
      <c r="AT207" s="82">
        <v>0</v>
      </c>
      <c r="AU207" s="82"/>
      <c r="AV207" s="82"/>
      <c r="AW207" s="82"/>
      <c r="AX207" s="82"/>
      <c r="AY207" s="82"/>
      <c r="AZ207" s="82"/>
      <c r="BA207" s="82"/>
      <c r="BB207" s="82"/>
      <c r="BC207">
        <v>2</v>
      </c>
      <c r="BD207" s="81" t="str">
        <f>REPLACE(INDEX(GroupVertices[Group],MATCH(Edges[[#This Row],[Vertex 1]],GroupVertices[Vertex],0)),1,1,"")</f>
        <v>1</v>
      </c>
      <c r="BE207" s="81" t="str">
        <f>REPLACE(INDEX(GroupVertices[Group],MATCH(Edges[[#This Row],[Vertex 2]],GroupVertices[Vertex],0)),1,1,"")</f>
        <v>1</v>
      </c>
      <c r="BF207" s="49">
        <v>3</v>
      </c>
      <c r="BG207" s="50">
        <v>7.6923076923076925</v>
      </c>
      <c r="BH207" s="49">
        <v>0</v>
      </c>
      <c r="BI207" s="50">
        <v>0</v>
      </c>
      <c r="BJ207" s="49">
        <v>0</v>
      </c>
      <c r="BK207" s="50">
        <v>0</v>
      </c>
      <c r="BL207" s="49">
        <v>36</v>
      </c>
      <c r="BM207" s="50">
        <v>92.3076923076923</v>
      </c>
      <c r="BN207" s="49">
        <v>39</v>
      </c>
    </row>
    <row r="208" spans="1:66" ht="15">
      <c r="A208" s="66" t="s">
        <v>371</v>
      </c>
      <c r="B208" s="66" t="s">
        <v>371</v>
      </c>
      <c r="C208" s="67" t="s">
        <v>4510</v>
      </c>
      <c r="D208" s="68">
        <v>3.6363636363636362</v>
      </c>
      <c r="E208" s="69" t="s">
        <v>136</v>
      </c>
      <c r="F208" s="70">
        <v>31.2972972972973</v>
      </c>
      <c r="G208" s="67"/>
      <c r="H208" s="71"/>
      <c r="I208" s="72"/>
      <c r="J208" s="72"/>
      <c r="K208" s="35" t="s">
        <v>65</v>
      </c>
      <c r="L208" s="80">
        <v>208</v>
      </c>
      <c r="M208" s="80"/>
      <c r="N208" s="74"/>
      <c r="O208" s="82" t="s">
        <v>214</v>
      </c>
      <c r="P208" s="84">
        <v>44518.625</v>
      </c>
      <c r="Q208" s="82" t="s">
        <v>697</v>
      </c>
      <c r="R208" s="85" t="str">
        <f>HYPERLINK("https://twitter.com/i/spaces/1vAxRkoQDXkKl?s=20")</f>
        <v>https://twitter.com/i/spaces/1vAxRkoQDXkKl?s=20</v>
      </c>
      <c r="S208" s="82" t="s">
        <v>914</v>
      </c>
      <c r="T208" s="87" t="s">
        <v>1041</v>
      </c>
      <c r="U208" s="82"/>
      <c r="V208" s="85" t="str">
        <f>HYPERLINK("https://pbs.twimg.com/profile_images/907604041215201280/IuRPoVdN_normal.jpg")</f>
        <v>https://pbs.twimg.com/profile_images/907604041215201280/IuRPoVdN_normal.jpg</v>
      </c>
      <c r="W208" s="84">
        <v>44518.625</v>
      </c>
      <c r="X208" s="90">
        <v>44518</v>
      </c>
      <c r="Y208" s="87" t="s">
        <v>1160</v>
      </c>
      <c r="Z208" s="85" t="str">
        <f>HYPERLINK("https://twitter.com/eu_health/status/1461348469856092165")</f>
        <v>https://twitter.com/eu_health/status/1461348469856092165</v>
      </c>
      <c r="AA208" s="82"/>
      <c r="AB208" s="82"/>
      <c r="AC208" s="87" t="s">
        <v>1614</v>
      </c>
      <c r="AD208" s="82"/>
      <c r="AE208" s="82" t="b">
        <v>0</v>
      </c>
      <c r="AF208" s="82">
        <v>10</v>
      </c>
      <c r="AG208" s="87" t="s">
        <v>1815</v>
      </c>
      <c r="AH208" s="82" t="b">
        <v>0</v>
      </c>
      <c r="AI208" s="82" t="s">
        <v>1826</v>
      </c>
      <c r="AJ208" s="82"/>
      <c r="AK208" s="87" t="s">
        <v>1815</v>
      </c>
      <c r="AL208" s="82" t="b">
        <v>0</v>
      </c>
      <c r="AM208" s="82">
        <v>7</v>
      </c>
      <c r="AN208" s="87" t="s">
        <v>1815</v>
      </c>
      <c r="AO208" s="87" t="s">
        <v>1862</v>
      </c>
      <c r="AP208" s="82" t="b">
        <v>0</v>
      </c>
      <c r="AQ208" s="87" t="s">
        <v>1614</v>
      </c>
      <c r="AR208" s="82"/>
      <c r="AS208" s="82">
        <v>0</v>
      </c>
      <c r="AT208" s="82">
        <v>0</v>
      </c>
      <c r="AU208" s="82"/>
      <c r="AV208" s="82"/>
      <c r="AW208" s="82"/>
      <c r="AX208" s="82"/>
      <c r="AY208" s="82"/>
      <c r="AZ208" s="82"/>
      <c r="BA208" s="82"/>
      <c r="BB208" s="82"/>
      <c r="BC208">
        <v>2</v>
      </c>
      <c r="BD208" s="81" t="str">
        <f>REPLACE(INDEX(GroupVertices[Group],MATCH(Edges[[#This Row],[Vertex 1]],GroupVertices[Vertex],0)),1,1,"")</f>
        <v>1</v>
      </c>
      <c r="BE208" s="81" t="str">
        <f>REPLACE(INDEX(GroupVertices[Group],MATCH(Edges[[#This Row],[Vertex 2]],GroupVertices[Vertex],0)),1,1,"")</f>
        <v>1</v>
      </c>
      <c r="BF208" s="49">
        <v>1</v>
      </c>
      <c r="BG208" s="50">
        <v>3.125</v>
      </c>
      <c r="BH208" s="49">
        <v>0</v>
      </c>
      <c r="BI208" s="50">
        <v>0</v>
      </c>
      <c r="BJ208" s="49">
        <v>0</v>
      </c>
      <c r="BK208" s="50">
        <v>0</v>
      </c>
      <c r="BL208" s="49">
        <v>31</v>
      </c>
      <c r="BM208" s="50">
        <v>96.875</v>
      </c>
      <c r="BN208" s="49">
        <v>32</v>
      </c>
    </row>
    <row r="209" spans="1:66" ht="15">
      <c r="A209" s="66" t="s">
        <v>372</v>
      </c>
      <c r="B209" s="66" t="s">
        <v>492</v>
      </c>
      <c r="C209" s="67" t="s">
        <v>4509</v>
      </c>
      <c r="D209" s="68">
        <v>3</v>
      </c>
      <c r="E209" s="69" t="s">
        <v>132</v>
      </c>
      <c r="F209" s="70">
        <v>32</v>
      </c>
      <c r="G209" s="67"/>
      <c r="H209" s="71"/>
      <c r="I209" s="72"/>
      <c r="J209" s="72"/>
      <c r="K209" s="35" t="s">
        <v>65</v>
      </c>
      <c r="L209" s="80">
        <v>209</v>
      </c>
      <c r="M209" s="80"/>
      <c r="N209" s="74"/>
      <c r="O209" s="82" t="s">
        <v>528</v>
      </c>
      <c r="P209" s="84">
        <v>44518.656122685185</v>
      </c>
      <c r="Q209" s="82" t="s">
        <v>698</v>
      </c>
      <c r="R209" s="82"/>
      <c r="S209" s="82"/>
      <c r="T209" s="87" t="s">
        <v>1042</v>
      </c>
      <c r="U209" s="85" t="str">
        <f>HYPERLINK("https://pbs.twimg.com/media/FEfK77UVQAMsECX.jpg")</f>
        <v>https://pbs.twimg.com/media/FEfK77UVQAMsECX.jpg</v>
      </c>
      <c r="V209" s="85" t="str">
        <f>HYPERLINK("https://pbs.twimg.com/media/FEfK77UVQAMsECX.jpg")</f>
        <v>https://pbs.twimg.com/media/FEfK77UVQAMsECX.jpg</v>
      </c>
      <c r="W209" s="84">
        <v>44518.656122685185</v>
      </c>
      <c r="X209" s="90">
        <v>44518</v>
      </c>
      <c r="Y209" s="87" t="s">
        <v>1292</v>
      </c>
      <c r="Z209" s="85" t="str">
        <f>HYPERLINK("https://twitter.com/lydiapalumbo_/status/1461359747173478402")</f>
        <v>https://twitter.com/lydiapalumbo_/status/1461359747173478402</v>
      </c>
      <c r="AA209" s="82"/>
      <c r="AB209" s="82"/>
      <c r="AC209" s="87" t="s">
        <v>1615</v>
      </c>
      <c r="AD209" s="82"/>
      <c r="AE209" s="82" t="b">
        <v>0</v>
      </c>
      <c r="AF209" s="82">
        <v>9</v>
      </c>
      <c r="AG209" s="87" t="s">
        <v>1815</v>
      </c>
      <c r="AH209" s="82" t="b">
        <v>0</v>
      </c>
      <c r="AI209" s="82" t="s">
        <v>1826</v>
      </c>
      <c r="AJ209" s="82"/>
      <c r="AK209" s="87" t="s">
        <v>1815</v>
      </c>
      <c r="AL209" s="82" t="b">
        <v>0</v>
      </c>
      <c r="AM209" s="82">
        <v>2</v>
      </c>
      <c r="AN209" s="87" t="s">
        <v>1815</v>
      </c>
      <c r="AO209" s="87" t="s">
        <v>1850</v>
      </c>
      <c r="AP209" s="82" t="b">
        <v>0</v>
      </c>
      <c r="AQ209" s="87" t="s">
        <v>1615</v>
      </c>
      <c r="AR209" s="82"/>
      <c r="AS209" s="82">
        <v>0</v>
      </c>
      <c r="AT209" s="82">
        <v>0</v>
      </c>
      <c r="AU209" s="82"/>
      <c r="AV209" s="82"/>
      <c r="AW209" s="82"/>
      <c r="AX209" s="82"/>
      <c r="AY209" s="82"/>
      <c r="AZ209" s="82"/>
      <c r="BA209" s="82"/>
      <c r="BB209" s="82"/>
      <c r="BC209">
        <v>1</v>
      </c>
      <c r="BD209" s="81" t="str">
        <f>REPLACE(INDEX(GroupVertices[Group],MATCH(Edges[[#This Row],[Vertex 1]],GroupVertices[Vertex],0)),1,1,"")</f>
        <v>18</v>
      </c>
      <c r="BE209" s="81" t="str">
        <f>REPLACE(INDEX(GroupVertices[Group],MATCH(Edges[[#This Row],[Vertex 2]],GroupVertices[Vertex],0)),1,1,"")</f>
        <v>18</v>
      </c>
      <c r="BF209" s="49">
        <v>1</v>
      </c>
      <c r="BG209" s="50">
        <v>4.3478260869565215</v>
      </c>
      <c r="BH209" s="49">
        <v>1</v>
      </c>
      <c r="BI209" s="50">
        <v>4.3478260869565215</v>
      </c>
      <c r="BJ209" s="49">
        <v>0</v>
      </c>
      <c r="BK209" s="50">
        <v>0</v>
      </c>
      <c r="BL209" s="49">
        <v>21</v>
      </c>
      <c r="BM209" s="50">
        <v>91.30434782608695</v>
      </c>
      <c r="BN209" s="49">
        <v>23</v>
      </c>
    </row>
    <row r="210" spans="1:66" ht="15">
      <c r="A210" s="66" t="s">
        <v>373</v>
      </c>
      <c r="B210" s="66" t="s">
        <v>373</v>
      </c>
      <c r="C210" s="67" t="s">
        <v>4510</v>
      </c>
      <c r="D210" s="68">
        <v>3.6363636363636362</v>
      </c>
      <c r="E210" s="69" t="s">
        <v>136</v>
      </c>
      <c r="F210" s="70">
        <v>31.2972972972973</v>
      </c>
      <c r="G210" s="67"/>
      <c r="H210" s="71"/>
      <c r="I210" s="72"/>
      <c r="J210" s="72"/>
      <c r="K210" s="35" t="s">
        <v>65</v>
      </c>
      <c r="L210" s="80">
        <v>210</v>
      </c>
      <c r="M210" s="80"/>
      <c r="N210" s="74"/>
      <c r="O210" s="82" t="s">
        <v>214</v>
      </c>
      <c r="P210" s="84">
        <v>44518.646145833336</v>
      </c>
      <c r="Q210" s="82" t="s">
        <v>699</v>
      </c>
      <c r="R210" s="82" t="s">
        <v>895</v>
      </c>
      <c r="S210" s="82" t="s">
        <v>927</v>
      </c>
      <c r="T210" s="87" t="s">
        <v>1043</v>
      </c>
      <c r="U210" s="82"/>
      <c r="V210" s="85" t="str">
        <f>HYPERLINK("https://pbs.twimg.com/profile_images/1112780959563300865/pdF98K04_normal.png")</f>
        <v>https://pbs.twimg.com/profile_images/1112780959563300865/pdF98K04_normal.png</v>
      </c>
      <c r="W210" s="84">
        <v>44518.646145833336</v>
      </c>
      <c r="X210" s="90">
        <v>44518</v>
      </c>
      <c r="Y210" s="87" t="s">
        <v>1293</v>
      </c>
      <c r="Z210" s="85" t="str">
        <f>HYPERLINK("https://twitter.com/med_shadow/status/1461356132027437072")</f>
        <v>https://twitter.com/med_shadow/status/1461356132027437072</v>
      </c>
      <c r="AA210" s="82"/>
      <c r="AB210" s="82"/>
      <c r="AC210" s="87" t="s">
        <v>1616</v>
      </c>
      <c r="AD210" s="82"/>
      <c r="AE210" s="82" t="b">
        <v>0</v>
      </c>
      <c r="AF210" s="82">
        <v>0</v>
      </c>
      <c r="AG210" s="87" t="s">
        <v>1815</v>
      </c>
      <c r="AH210" s="82" t="b">
        <v>0</v>
      </c>
      <c r="AI210" s="82" t="s">
        <v>1826</v>
      </c>
      <c r="AJ210" s="82"/>
      <c r="AK210" s="87" t="s">
        <v>1815</v>
      </c>
      <c r="AL210" s="82" t="b">
        <v>0</v>
      </c>
      <c r="AM210" s="82">
        <v>0</v>
      </c>
      <c r="AN210" s="87" t="s">
        <v>1815</v>
      </c>
      <c r="AO210" s="87" t="s">
        <v>1854</v>
      </c>
      <c r="AP210" s="82" t="b">
        <v>0</v>
      </c>
      <c r="AQ210" s="87" t="s">
        <v>1616</v>
      </c>
      <c r="AR210" s="82"/>
      <c r="AS210" s="82">
        <v>0</v>
      </c>
      <c r="AT210" s="82">
        <v>0</v>
      </c>
      <c r="AU210" s="82"/>
      <c r="AV210" s="82"/>
      <c r="AW210" s="82"/>
      <c r="AX210" s="82"/>
      <c r="AY210" s="82"/>
      <c r="AZ210" s="82"/>
      <c r="BA210" s="82"/>
      <c r="BB210" s="82"/>
      <c r="BC210">
        <v>2</v>
      </c>
      <c r="BD210" s="81" t="str">
        <f>REPLACE(INDEX(GroupVertices[Group],MATCH(Edges[[#This Row],[Vertex 1]],GroupVertices[Vertex],0)),1,1,"")</f>
        <v>1</v>
      </c>
      <c r="BE210" s="81" t="str">
        <f>REPLACE(INDEX(GroupVertices[Group],MATCH(Edges[[#This Row],[Vertex 2]],GroupVertices[Vertex],0)),1,1,"")</f>
        <v>1</v>
      </c>
      <c r="BF210" s="49">
        <v>0</v>
      </c>
      <c r="BG210" s="50">
        <v>0</v>
      </c>
      <c r="BH210" s="49">
        <v>1</v>
      </c>
      <c r="BI210" s="50">
        <v>9.090909090909092</v>
      </c>
      <c r="BJ210" s="49">
        <v>1</v>
      </c>
      <c r="BK210" s="50">
        <v>9.090909090909092</v>
      </c>
      <c r="BL210" s="49">
        <v>10</v>
      </c>
      <c r="BM210" s="50">
        <v>90.9090909090909</v>
      </c>
      <c r="BN210" s="49">
        <v>11</v>
      </c>
    </row>
    <row r="211" spans="1:66" ht="15">
      <c r="A211" s="66" t="s">
        <v>373</v>
      </c>
      <c r="B211" s="66" t="s">
        <v>373</v>
      </c>
      <c r="C211" s="67" t="s">
        <v>4510</v>
      </c>
      <c r="D211" s="68">
        <v>3.6363636363636362</v>
      </c>
      <c r="E211" s="69" t="s">
        <v>136</v>
      </c>
      <c r="F211" s="70">
        <v>31.2972972972973</v>
      </c>
      <c r="G211" s="67"/>
      <c r="H211" s="71"/>
      <c r="I211" s="72"/>
      <c r="J211" s="72"/>
      <c r="K211" s="35" t="s">
        <v>65</v>
      </c>
      <c r="L211" s="80">
        <v>211</v>
      </c>
      <c r="M211" s="80"/>
      <c r="N211" s="74"/>
      <c r="O211" s="82" t="s">
        <v>214</v>
      </c>
      <c r="P211" s="84">
        <v>44518.62688657407</v>
      </c>
      <c r="Q211" s="82" t="s">
        <v>700</v>
      </c>
      <c r="R211" s="85" t="str">
        <f>HYPERLINK("https://medshadow.org/5-things-you-need-to-know-about-antibiotics/")</f>
        <v>https://medshadow.org/5-things-you-need-to-know-about-antibiotics/</v>
      </c>
      <c r="S211" s="82" t="s">
        <v>928</v>
      </c>
      <c r="T211" s="87" t="s">
        <v>957</v>
      </c>
      <c r="U211" s="82"/>
      <c r="V211" s="85" t="str">
        <f>HYPERLINK("https://pbs.twimg.com/profile_images/1112780959563300865/pdF98K04_normal.png")</f>
        <v>https://pbs.twimg.com/profile_images/1112780959563300865/pdF98K04_normal.png</v>
      </c>
      <c r="W211" s="84">
        <v>44518.62688657407</v>
      </c>
      <c r="X211" s="90">
        <v>44518</v>
      </c>
      <c r="Y211" s="87" t="s">
        <v>1294</v>
      </c>
      <c r="Z211" s="85" t="str">
        <f>HYPERLINK("https://twitter.com/med_shadow/status/1461349153875783694")</f>
        <v>https://twitter.com/med_shadow/status/1461349153875783694</v>
      </c>
      <c r="AA211" s="82"/>
      <c r="AB211" s="82"/>
      <c r="AC211" s="87" t="s">
        <v>1617</v>
      </c>
      <c r="AD211" s="82"/>
      <c r="AE211" s="82" t="b">
        <v>0</v>
      </c>
      <c r="AF211" s="82">
        <v>1</v>
      </c>
      <c r="AG211" s="87" t="s">
        <v>1815</v>
      </c>
      <c r="AH211" s="82" t="b">
        <v>0</v>
      </c>
      <c r="AI211" s="82" t="s">
        <v>1826</v>
      </c>
      <c r="AJ211" s="82"/>
      <c r="AK211" s="87" t="s">
        <v>1815</v>
      </c>
      <c r="AL211" s="82" t="b">
        <v>0</v>
      </c>
      <c r="AM211" s="82">
        <v>0</v>
      </c>
      <c r="AN211" s="87" t="s">
        <v>1815</v>
      </c>
      <c r="AO211" s="87" t="s">
        <v>1854</v>
      </c>
      <c r="AP211" s="82" t="b">
        <v>0</v>
      </c>
      <c r="AQ211" s="87" t="s">
        <v>1617</v>
      </c>
      <c r="AR211" s="82"/>
      <c r="AS211" s="82">
        <v>0</v>
      </c>
      <c r="AT211" s="82">
        <v>0</v>
      </c>
      <c r="AU211" s="82"/>
      <c r="AV211" s="82"/>
      <c r="AW211" s="82"/>
      <c r="AX211" s="82"/>
      <c r="AY211" s="82"/>
      <c r="AZ211" s="82"/>
      <c r="BA211" s="82"/>
      <c r="BB211" s="82"/>
      <c r="BC211">
        <v>2</v>
      </c>
      <c r="BD211" s="81" t="str">
        <f>REPLACE(INDEX(GroupVertices[Group],MATCH(Edges[[#This Row],[Vertex 1]],GroupVertices[Vertex],0)),1,1,"")</f>
        <v>1</v>
      </c>
      <c r="BE211" s="81" t="str">
        <f>REPLACE(INDEX(GroupVertices[Group],MATCH(Edges[[#This Row],[Vertex 2]],GroupVertices[Vertex],0)),1,1,"")</f>
        <v>1</v>
      </c>
      <c r="BF211" s="49">
        <v>0</v>
      </c>
      <c r="BG211" s="50">
        <v>0</v>
      </c>
      <c r="BH211" s="49">
        <v>0</v>
      </c>
      <c r="BI211" s="50">
        <v>0</v>
      </c>
      <c r="BJ211" s="49">
        <v>0</v>
      </c>
      <c r="BK211" s="50">
        <v>0</v>
      </c>
      <c r="BL211" s="49">
        <v>26</v>
      </c>
      <c r="BM211" s="50">
        <v>100</v>
      </c>
      <c r="BN211" s="49">
        <v>26</v>
      </c>
    </row>
    <row r="212" spans="1:66" ht="15">
      <c r="A212" s="66" t="s">
        <v>374</v>
      </c>
      <c r="B212" s="66" t="s">
        <v>374</v>
      </c>
      <c r="C212" s="67" t="s">
        <v>4512</v>
      </c>
      <c r="D212" s="68">
        <v>4.2727272727272725</v>
      </c>
      <c r="E212" s="69" t="s">
        <v>136</v>
      </c>
      <c r="F212" s="70">
        <v>30.594594594594593</v>
      </c>
      <c r="G212" s="67"/>
      <c r="H212" s="71"/>
      <c r="I212" s="72"/>
      <c r="J212" s="72"/>
      <c r="K212" s="35" t="s">
        <v>65</v>
      </c>
      <c r="L212" s="80">
        <v>212</v>
      </c>
      <c r="M212" s="80"/>
      <c r="N212" s="74"/>
      <c r="O212" s="82" t="s">
        <v>214</v>
      </c>
      <c r="P212" s="84">
        <v>44518.628657407404</v>
      </c>
      <c r="Q212" s="82" t="s">
        <v>701</v>
      </c>
      <c r="R212" s="82"/>
      <c r="S212" s="82"/>
      <c r="T212" s="87" t="s">
        <v>966</v>
      </c>
      <c r="U212" s="85" t="str">
        <f>HYPERLINK("https://pbs.twimg.com/media/FEfB4k4VgAcd4Nh.jpg")</f>
        <v>https://pbs.twimg.com/media/FEfB4k4VgAcd4Nh.jpg</v>
      </c>
      <c r="V212" s="85" t="str">
        <f>HYPERLINK("https://pbs.twimg.com/media/FEfB4k4VgAcd4Nh.jpg")</f>
        <v>https://pbs.twimg.com/media/FEfB4k4VgAcd4Nh.jpg</v>
      </c>
      <c r="W212" s="84">
        <v>44518.628657407404</v>
      </c>
      <c r="X212" s="90">
        <v>44518</v>
      </c>
      <c r="Y212" s="87" t="s">
        <v>1295</v>
      </c>
      <c r="Z212" s="85" t="str">
        <f>HYPERLINK("https://twitter.com/h3a1er/status/1461349796849983499")</f>
        <v>https://twitter.com/h3a1er/status/1461349796849983499</v>
      </c>
      <c r="AA212" s="82"/>
      <c r="AB212" s="82"/>
      <c r="AC212" s="87" t="s">
        <v>1618</v>
      </c>
      <c r="AD212" s="82"/>
      <c r="AE212" s="82" t="b">
        <v>0</v>
      </c>
      <c r="AF212" s="82">
        <v>12</v>
      </c>
      <c r="AG212" s="87" t="s">
        <v>1815</v>
      </c>
      <c r="AH212" s="82" t="b">
        <v>0</v>
      </c>
      <c r="AI212" s="82" t="s">
        <v>1826</v>
      </c>
      <c r="AJ212" s="82"/>
      <c r="AK212" s="87" t="s">
        <v>1815</v>
      </c>
      <c r="AL212" s="82" t="b">
        <v>0</v>
      </c>
      <c r="AM212" s="82">
        <v>4</v>
      </c>
      <c r="AN212" s="87" t="s">
        <v>1815</v>
      </c>
      <c r="AO212" s="87" t="s">
        <v>1851</v>
      </c>
      <c r="AP212" s="82" t="b">
        <v>0</v>
      </c>
      <c r="AQ212" s="87" t="s">
        <v>1618</v>
      </c>
      <c r="AR212" s="82"/>
      <c r="AS212" s="82">
        <v>0</v>
      </c>
      <c r="AT212" s="82">
        <v>0</v>
      </c>
      <c r="AU212" s="82"/>
      <c r="AV212" s="82"/>
      <c r="AW212" s="82"/>
      <c r="AX212" s="82"/>
      <c r="AY212" s="82"/>
      <c r="AZ212" s="82"/>
      <c r="BA212" s="82"/>
      <c r="BB212" s="82"/>
      <c r="BC212">
        <v>3</v>
      </c>
      <c r="BD212" s="81" t="str">
        <f>REPLACE(INDEX(GroupVertices[Group],MATCH(Edges[[#This Row],[Vertex 1]],GroupVertices[Vertex],0)),1,1,"")</f>
        <v>1</v>
      </c>
      <c r="BE212" s="81" t="str">
        <f>REPLACE(INDEX(GroupVertices[Group],MATCH(Edges[[#This Row],[Vertex 2]],GroupVertices[Vertex],0)),1,1,"")</f>
        <v>1</v>
      </c>
      <c r="BF212" s="49">
        <v>0</v>
      </c>
      <c r="BG212" s="50">
        <v>0</v>
      </c>
      <c r="BH212" s="49">
        <v>4</v>
      </c>
      <c r="BI212" s="50">
        <v>14.285714285714286</v>
      </c>
      <c r="BJ212" s="49">
        <v>0</v>
      </c>
      <c r="BK212" s="50">
        <v>0</v>
      </c>
      <c r="BL212" s="49">
        <v>24</v>
      </c>
      <c r="BM212" s="50">
        <v>85.71428571428571</v>
      </c>
      <c r="BN212" s="49">
        <v>28</v>
      </c>
    </row>
    <row r="213" spans="1:66" ht="15">
      <c r="A213" s="66" t="s">
        <v>374</v>
      </c>
      <c r="B213" s="66" t="s">
        <v>374</v>
      </c>
      <c r="C213" s="67" t="s">
        <v>4512</v>
      </c>
      <c r="D213" s="68">
        <v>4.2727272727272725</v>
      </c>
      <c r="E213" s="69" t="s">
        <v>136</v>
      </c>
      <c r="F213" s="70">
        <v>30.594594594594593</v>
      </c>
      <c r="G213" s="67"/>
      <c r="H213" s="71"/>
      <c r="I213" s="72"/>
      <c r="J213" s="72"/>
      <c r="K213" s="35" t="s">
        <v>65</v>
      </c>
      <c r="L213" s="80">
        <v>213</v>
      </c>
      <c r="M213" s="80"/>
      <c r="N213" s="74"/>
      <c r="O213" s="82" t="s">
        <v>214</v>
      </c>
      <c r="P213" s="84">
        <v>44518.63489583333</v>
      </c>
      <c r="Q213" s="82" t="s">
        <v>702</v>
      </c>
      <c r="R213" s="85" t="str">
        <f>HYPERLINK("https://twitter.com/SardarShabbir75/status/1461351326713991169")</f>
        <v>https://twitter.com/SardarShabbir75/status/1461351326713991169</v>
      </c>
      <c r="S213" s="82" t="s">
        <v>914</v>
      </c>
      <c r="T213" s="87" t="s">
        <v>966</v>
      </c>
      <c r="U213" s="82"/>
      <c r="V213" s="85" t="str">
        <f>HYPERLINK("https://pbs.twimg.com/profile_images/1301745980417683456/VbQKoXfn_normal.jpg")</f>
        <v>https://pbs.twimg.com/profile_images/1301745980417683456/VbQKoXfn_normal.jpg</v>
      </c>
      <c r="W213" s="84">
        <v>44518.63489583333</v>
      </c>
      <c r="X213" s="90">
        <v>44518</v>
      </c>
      <c r="Y213" s="87" t="s">
        <v>1296</v>
      </c>
      <c r="Z213" s="85" t="str">
        <f>HYPERLINK("https://twitter.com/h3a1er/status/1461352056011182086")</f>
        <v>https://twitter.com/h3a1er/status/1461352056011182086</v>
      </c>
      <c r="AA213" s="82"/>
      <c r="AB213" s="82"/>
      <c r="AC213" s="87" t="s">
        <v>1619</v>
      </c>
      <c r="AD213" s="82"/>
      <c r="AE213" s="82" t="b">
        <v>0</v>
      </c>
      <c r="AF213" s="82">
        <v>1</v>
      </c>
      <c r="AG213" s="87" t="s">
        <v>1815</v>
      </c>
      <c r="AH213" s="82" t="b">
        <v>1</v>
      </c>
      <c r="AI213" s="82" t="s">
        <v>1827</v>
      </c>
      <c r="AJ213" s="82"/>
      <c r="AK213" s="87" t="s">
        <v>1841</v>
      </c>
      <c r="AL213" s="82" t="b">
        <v>0</v>
      </c>
      <c r="AM213" s="82">
        <v>1</v>
      </c>
      <c r="AN213" s="87" t="s">
        <v>1815</v>
      </c>
      <c r="AO213" s="87" t="s">
        <v>1851</v>
      </c>
      <c r="AP213" s="82" t="b">
        <v>0</v>
      </c>
      <c r="AQ213" s="87" t="s">
        <v>1619</v>
      </c>
      <c r="AR213" s="82"/>
      <c r="AS213" s="82">
        <v>0</v>
      </c>
      <c r="AT213" s="82">
        <v>0</v>
      </c>
      <c r="AU213" s="82"/>
      <c r="AV213" s="82"/>
      <c r="AW213" s="82"/>
      <c r="AX213" s="82"/>
      <c r="AY213" s="82"/>
      <c r="AZ213" s="82"/>
      <c r="BA213" s="82"/>
      <c r="BB213" s="82"/>
      <c r="BC213">
        <v>3</v>
      </c>
      <c r="BD213" s="81" t="str">
        <f>REPLACE(INDEX(GroupVertices[Group],MATCH(Edges[[#This Row],[Vertex 1]],GroupVertices[Vertex],0)),1,1,"")</f>
        <v>1</v>
      </c>
      <c r="BE213" s="81" t="str">
        <f>REPLACE(INDEX(GroupVertices[Group],MATCH(Edges[[#This Row],[Vertex 2]],GroupVertices[Vertex],0)),1,1,"")</f>
        <v>1</v>
      </c>
      <c r="BF213" s="49">
        <v>0</v>
      </c>
      <c r="BG213" s="50">
        <v>0</v>
      </c>
      <c r="BH213" s="49">
        <v>0</v>
      </c>
      <c r="BI213" s="50">
        <v>0</v>
      </c>
      <c r="BJ213" s="49">
        <v>0</v>
      </c>
      <c r="BK213" s="50">
        <v>0</v>
      </c>
      <c r="BL213" s="49">
        <v>5</v>
      </c>
      <c r="BM213" s="50">
        <v>100</v>
      </c>
      <c r="BN213" s="49">
        <v>5</v>
      </c>
    </row>
    <row r="214" spans="1:66" ht="15">
      <c r="A214" s="66" t="s">
        <v>374</v>
      </c>
      <c r="B214" s="66" t="s">
        <v>374</v>
      </c>
      <c r="C214" s="67" t="s">
        <v>4512</v>
      </c>
      <c r="D214" s="68">
        <v>4.2727272727272725</v>
      </c>
      <c r="E214" s="69" t="s">
        <v>136</v>
      </c>
      <c r="F214" s="70">
        <v>30.594594594594593</v>
      </c>
      <c r="G214" s="67"/>
      <c r="H214" s="71"/>
      <c r="I214" s="72"/>
      <c r="J214" s="72"/>
      <c r="K214" s="35" t="s">
        <v>65</v>
      </c>
      <c r="L214" s="80">
        <v>214</v>
      </c>
      <c r="M214" s="80"/>
      <c r="N214" s="74"/>
      <c r="O214" s="82" t="s">
        <v>214</v>
      </c>
      <c r="P214" s="84">
        <v>44518.63800925926</v>
      </c>
      <c r="Q214" s="82" t="s">
        <v>703</v>
      </c>
      <c r="R214" s="85" t="str">
        <f>HYPERLINK("https://twitter.com/HealthSAcademy/status/1461353075248021515")</f>
        <v>https://twitter.com/HealthSAcademy/status/1461353075248021515</v>
      </c>
      <c r="S214" s="82" t="s">
        <v>914</v>
      </c>
      <c r="T214" s="87" t="s">
        <v>966</v>
      </c>
      <c r="U214" s="82"/>
      <c r="V214" s="85" t="str">
        <f>HYPERLINK("https://pbs.twimg.com/profile_images/1301745980417683456/VbQKoXfn_normal.jpg")</f>
        <v>https://pbs.twimg.com/profile_images/1301745980417683456/VbQKoXfn_normal.jpg</v>
      </c>
      <c r="W214" s="84">
        <v>44518.63800925926</v>
      </c>
      <c r="X214" s="90">
        <v>44518</v>
      </c>
      <c r="Y214" s="87" t="s">
        <v>1176</v>
      </c>
      <c r="Z214" s="85" t="str">
        <f>HYPERLINK("https://twitter.com/h3a1er/status/1461353186086711296")</f>
        <v>https://twitter.com/h3a1er/status/1461353186086711296</v>
      </c>
      <c r="AA214" s="82"/>
      <c r="AB214" s="82"/>
      <c r="AC214" s="87" t="s">
        <v>1620</v>
      </c>
      <c r="AD214" s="82"/>
      <c r="AE214" s="82" t="b">
        <v>0</v>
      </c>
      <c r="AF214" s="82">
        <v>0</v>
      </c>
      <c r="AG214" s="87" t="s">
        <v>1815</v>
      </c>
      <c r="AH214" s="82" t="b">
        <v>1</v>
      </c>
      <c r="AI214" s="82" t="s">
        <v>1827</v>
      </c>
      <c r="AJ214" s="82"/>
      <c r="AK214" s="87" t="s">
        <v>1626</v>
      </c>
      <c r="AL214" s="82" t="b">
        <v>0</v>
      </c>
      <c r="AM214" s="82">
        <v>0</v>
      </c>
      <c r="AN214" s="87" t="s">
        <v>1815</v>
      </c>
      <c r="AO214" s="87" t="s">
        <v>1851</v>
      </c>
      <c r="AP214" s="82" t="b">
        <v>0</v>
      </c>
      <c r="AQ214" s="87" t="s">
        <v>1620</v>
      </c>
      <c r="AR214" s="82"/>
      <c r="AS214" s="82">
        <v>0</v>
      </c>
      <c r="AT214" s="82">
        <v>0</v>
      </c>
      <c r="AU214" s="82"/>
      <c r="AV214" s="82"/>
      <c r="AW214" s="82"/>
      <c r="AX214" s="82"/>
      <c r="AY214" s="82"/>
      <c r="AZ214" s="82"/>
      <c r="BA214" s="82"/>
      <c r="BB214" s="82"/>
      <c r="BC214">
        <v>3</v>
      </c>
      <c r="BD214" s="81" t="str">
        <f>REPLACE(INDEX(GroupVertices[Group],MATCH(Edges[[#This Row],[Vertex 1]],GroupVertices[Vertex],0)),1,1,"")</f>
        <v>1</v>
      </c>
      <c r="BE214" s="81" t="str">
        <f>REPLACE(INDEX(GroupVertices[Group],MATCH(Edges[[#This Row],[Vertex 2]],GroupVertices[Vertex],0)),1,1,"")</f>
        <v>1</v>
      </c>
      <c r="BF214" s="49">
        <v>0</v>
      </c>
      <c r="BG214" s="50">
        <v>0</v>
      </c>
      <c r="BH214" s="49">
        <v>0</v>
      </c>
      <c r="BI214" s="50">
        <v>0</v>
      </c>
      <c r="BJ214" s="49">
        <v>0</v>
      </c>
      <c r="BK214" s="50">
        <v>0</v>
      </c>
      <c r="BL214" s="49">
        <v>5</v>
      </c>
      <c r="BM214" s="50">
        <v>100</v>
      </c>
      <c r="BN214" s="49">
        <v>5</v>
      </c>
    </row>
    <row r="215" spans="1:66" ht="15">
      <c r="A215" s="66" t="s">
        <v>375</v>
      </c>
      <c r="B215" s="66" t="s">
        <v>375</v>
      </c>
      <c r="C215" s="67" t="s">
        <v>4510</v>
      </c>
      <c r="D215" s="68">
        <v>3.6363636363636362</v>
      </c>
      <c r="E215" s="69" t="s">
        <v>136</v>
      </c>
      <c r="F215" s="70">
        <v>31.2972972972973</v>
      </c>
      <c r="G215" s="67"/>
      <c r="H215" s="71"/>
      <c r="I215" s="72"/>
      <c r="J215" s="72"/>
      <c r="K215" s="35" t="s">
        <v>65</v>
      </c>
      <c r="L215" s="80">
        <v>215</v>
      </c>
      <c r="M215" s="80"/>
      <c r="N215" s="74"/>
      <c r="O215" s="82" t="s">
        <v>214</v>
      </c>
      <c r="P215" s="84">
        <v>44518.64623842593</v>
      </c>
      <c r="Q215" s="82" t="s">
        <v>704</v>
      </c>
      <c r="R215" s="82"/>
      <c r="S215" s="82"/>
      <c r="T215" s="87" t="s">
        <v>955</v>
      </c>
      <c r="U215" s="82"/>
      <c r="V215" s="85" t="str">
        <f>HYPERLINK("https://pbs.twimg.com/profile_images/1062068362249945091/-IRRC5Lb_normal.jpg")</f>
        <v>https://pbs.twimg.com/profile_images/1062068362249945091/-IRRC5Lb_normal.jpg</v>
      </c>
      <c r="W215" s="84">
        <v>44518.64623842593</v>
      </c>
      <c r="X215" s="90">
        <v>44518</v>
      </c>
      <c r="Y215" s="87" t="s">
        <v>1297</v>
      </c>
      <c r="Z215" s="85" t="str">
        <f>HYPERLINK("https://twitter.com/lthtantibiotics/status/1461356166567522305")</f>
        <v>https://twitter.com/lthtantibiotics/status/1461356166567522305</v>
      </c>
      <c r="AA215" s="82"/>
      <c r="AB215" s="82"/>
      <c r="AC215" s="87" t="s">
        <v>1621</v>
      </c>
      <c r="AD215" s="82"/>
      <c r="AE215" s="82" t="b">
        <v>0</v>
      </c>
      <c r="AF215" s="82">
        <v>4</v>
      </c>
      <c r="AG215" s="87" t="s">
        <v>1815</v>
      </c>
      <c r="AH215" s="82" t="b">
        <v>0</v>
      </c>
      <c r="AI215" s="82" t="s">
        <v>1826</v>
      </c>
      <c r="AJ215" s="82"/>
      <c r="AK215" s="87" t="s">
        <v>1815</v>
      </c>
      <c r="AL215" s="82" t="b">
        <v>0</v>
      </c>
      <c r="AM215" s="82">
        <v>2</v>
      </c>
      <c r="AN215" s="87" t="s">
        <v>1815</v>
      </c>
      <c r="AO215" s="87" t="s">
        <v>1850</v>
      </c>
      <c r="AP215" s="82" t="b">
        <v>0</v>
      </c>
      <c r="AQ215" s="87" t="s">
        <v>1621</v>
      </c>
      <c r="AR215" s="82"/>
      <c r="AS215" s="82">
        <v>0</v>
      </c>
      <c r="AT215" s="82">
        <v>0</v>
      </c>
      <c r="AU215" s="82"/>
      <c r="AV215" s="82"/>
      <c r="AW215" s="82"/>
      <c r="AX215" s="82"/>
      <c r="AY215" s="82"/>
      <c r="AZ215" s="82"/>
      <c r="BA215" s="82"/>
      <c r="BB215" s="82"/>
      <c r="BC215">
        <v>2</v>
      </c>
      <c r="BD215" s="81" t="str">
        <f>REPLACE(INDEX(GroupVertices[Group],MATCH(Edges[[#This Row],[Vertex 1]],GroupVertices[Vertex],0)),1,1,"")</f>
        <v>1</v>
      </c>
      <c r="BE215" s="81" t="str">
        <f>REPLACE(INDEX(GroupVertices[Group],MATCH(Edges[[#This Row],[Vertex 2]],GroupVertices[Vertex],0)),1,1,"")</f>
        <v>1</v>
      </c>
      <c r="BF215" s="49">
        <v>0</v>
      </c>
      <c r="BG215" s="50">
        <v>0</v>
      </c>
      <c r="BH215" s="49">
        <v>2</v>
      </c>
      <c r="BI215" s="50">
        <v>6.0606060606060606</v>
      </c>
      <c r="BJ215" s="49">
        <v>0</v>
      </c>
      <c r="BK215" s="50">
        <v>0</v>
      </c>
      <c r="BL215" s="49">
        <v>31</v>
      </c>
      <c r="BM215" s="50">
        <v>93.93939393939394</v>
      </c>
      <c r="BN215" s="49">
        <v>33</v>
      </c>
    </row>
    <row r="216" spans="1:66" ht="15">
      <c r="A216" s="66" t="s">
        <v>375</v>
      </c>
      <c r="B216" s="66" t="s">
        <v>375</v>
      </c>
      <c r="C216" s="67" t="s">
        <v>4510</v>
      </c>
      <c r="D216" s="68">
        <v>3.6363636363636362</v>
      </c>
      <c r="E216" s="69" t="s">
        <v>136</v>
      </c>
      <c r="F216" s="70">
        <v>31.2972972972973</v>
      </c>
      <c r="G216" s="67"/>
      <c r="H216" s="71"/>
      <c r="I216" s="72"/>
      <c r="J216" s="72"/>
      <c r="K216" s="35" t="s">
        <v>65</v>
      </c>
      <c r="L216" s="80">
        <v>216</v>
      </c>
      <c r="M216" s="80"/>
      <c r="N216" s="74"/>
      <c r="O216" s="82" t="s">
        <v>214</v>
      </c>
      <c r="P216" s="84">
        <v>44518.64774305555</v>
      </c>
      <c r="Q216" s="82" t="s">
        <v>705</v>
      </c>
      <c r="R216" s="82"/>
      <c r="S216" s="82"/>
      <c r="T216" s="87" t="s">
        <v>1044</v>
      </c>
      <c r="U216" s="85" t="str">
        <f>HYPERLINK("https://pbs.twimg.com/tweet_video_thumb/FEfILjjVcAw8NZv.jpg")</f>
        <v>https://pbs.twimg.com/tweet_video_thumb/FEfILjjVcAw8NZv.jpg</v>
      </c>
      <c r="V216" s="85" t="str">
        <f>HYPERLINK("https://pbs.twimg.com/tweet_video_thumb/FEfILjjVcAw8NZv.jpg")</f>
        <v>https://pbs.twimg.com/tweet_video_thumb/FEfILjjVcAw8NZv.jpg</v>
      </c>
      <c r="W216" s="84">
        <v>44518.64774305555</v>
      </c>
      <c r="X216" s="90">
        <v>44518</v>
      </c>
      <c r="Y216" s="87" t="s">
        <v>1298</v>
      </c>
      <c r="Z216" s="85" t="str">
        <f>HYPERLINK("https://twitter.com/lthtantibiotics/status/1461356712204505092")</f>
        <v>https://twitter.com/lthtantibiotics/status/1461356712204505092</v>
      </c>
      <c r="AA216" s="82"/>
      <c r="AB216" s="82"/>
      <c r="AC216" s="87" t="s">
        <v>1622</v>
      </c>
      <c r="AD216" s="82"/>
      <c r="AE216" s="82" t="b">
        <v>0</v>
      </c>
      <c r="AF216" s="82">
        <v>3</v>
      </c>
      <c r="AG216" s="87" t="s">
        <v>1815</v>
      </c>
      <c r="AH216" s="82" t="b">
        <v>0</v>
      </c>
      <c r="AI216" s="82" t="s">
        <v>1827</v>
      </c>
      <c r="AJ216" s="82"/>
      <c r="AK216" s="87" t="s">
        <v>1815</v>
      </c>
      <c r="AL216" s="82" t="b">
        <v>0</v>
      </c>
      <c r="AM216" s="82">
        <v>2</v>
      </c>
      <c r="AN216" s="87" t="s">
        <v>1815</v>
      </c>
      <c r="AO216" s="87" t="s">
        <v>1851</v>
      </c>
      <c r="AP216" s="82" t="b">
        <v>0</v>
      </c>
      <c r="AQ216" s="87" t="s">
        <v>1622</v>
      </c>
      <c r="AR216" s="82"/>
      <c r="AS216" s="82">
        <v>0</v>
      </c>
      <c r="AT216" s="82">
        <v>0</v>
      </c>
      <c r="AU216" s="82"/>
      <c r="AV216" s="82"/>
      <c r="AW216" s="82"/>
      <c r="AX216" s="82"/>
      <c r="AY216" s="82"/>
      <c r="AZ216" s="82"/>
      <c r="BA216" s="82"/>
      <c r="BB216" s="82"/>
      <c r="BC216">
        <v>2</v>
      </c>
      <c r="BD216" s="81" t="str">
        <f>REPLACE(INDEX(GroupVertices[Group],MATCH(Edges[[#This Row],[Vertex 1]],GroupVertices[Vertex],0)),1,1,"")</f>
        <v>1</v>
      </c>
      <c r="BE216" s="81" t="str">
        <f>REPLACE(INDEX(GroupVertices[Group],MATCH(Edges[[#This Row],[Vertex 2]],GroupVertices[Vertex],0)),1,1,"")</f>
        <v>1</v>
      </c>
      <c r="BF216" s="49">
        <v>0</v>
      </c>
      <c r="BG216" s="50">
        <v>0</v>
      </c>
      <c r="BH216" s="49">
        <v>0</v>
      </c>
      <c r="BI216" s="50">
        <v>0</v>
      </c>
      <c r="BJ216" s="49">
        <v>0</v>
      </c>
      <c r="BK216" s="50">
        <v>0</v>
      </c>
      <c r="BL216" s="49">
        <v>3</v>
      </c>
      <c r="BM216" s="50">
        <v>100</v>
      </c>
      <c r="BN216" s="49">
        <v>3</v>
      </c>
    </row>
    <row r="217" spans="1:66" ht="15">
      <c r="A217" s="66" t="s">
        <v>376</v>
      </c>
      <c r="B217" s="66" t="s">
        <v>376</v>
      </c>
      <c r="C217" s="67" t="s">
        <v>4510</v>
      </c>
      <c r="D217" s="68">
        <v>3.6363636363636362</v>
      </c>
      <c r="E217" s="69" t="s">
        <v>136</v>
      </c>
      <c r="F217" s="70">
        <v>31.2972972972973</v>
      </c>
      <c r="G217" s="67"/>
      <c r="H217" s="71"/>
      <c r="I217" s="72"/>
      <c r="J217" s="72"/>
      <c r="K217" s="35" t="s">
        <v>65</v>
      </c>
      <c r="L217" s="80">
        <v>217</v>
      </c>
      <c r="M217" s="80"/>
      <c r="N217" s="74"/>
      <c r="O217" s="82" t="s">
        <v>214</v>
      </c>
      <c r="P217" s="84">
        <v>44518.63230324074</v>
      </c>
      <c r="Q217" s="82" t="s">
        <v>706</v>
      </c>
      <c r="R217" s="82"/>
      <c r="S217" s="82"/>
      <c r="T217" s="87" t="s">
        <v>966</v>
      </c>
      <c r="U217" s="85" t="str">
        <f>HYPERLINK("https://pbs.twimg.com/media/FEfDFW4VkBEmlZ4.jpg")</f>
        <v>https://pbs.twimg.com/media/FEfDFW4VkBEmlZ4.jpg</v>
      </c>
      <c r="V217" s="85" t="str">
        <f>HYPERLINK("https://pbs.twimg.com/media/FEfDFW4VkBEmlZ4.jpg")</f>
        <v>https://pbs.twimg.com/media/FEfDFW4VkBEmlZ4.jpg</v>
      </c>
      <c r="W217" s="84">
        <v>44518.63230324074</v>
      </c>
      <c r="X217" s="90">
        <v>44518</v>
      </c>
      <c r="Y217" s="87" t="s">
        <v>1299</v>
      </c>
      <c r="Z217" s="85" t="str">
        <f>HYPERLINK("https://twitter.com/imtiaza66426320/status/1461351118743621642")</f>
        <v>https://twitter.com/imtiaza66426320/status/1461351118743621642</v>
      </c>
      <c r="AA217" s="82"/>
      <c r="AB217" s="82"/>
      <c r="AC217" s="87" t="s">
        <v>1623</v>
      </c>
      <c r="AD217" s="82"/>
      <c r="AE217" s="82" t="b">
        <v>0</v>
      </c>
      <c r="AF217" s="82">
        <v>6</v>
      </c>
      <c r="AG217" s="87" t="s">
        <v>1815</v>
      </c>
      <c r="AH217" s="82" t="b">
        <v>0</v>
      </c>
      <c r="AI217" s="82" t="s">
        <v>1826</v>
      </c>
      <c r="AJ217" s="82"/>
      <c r="AK217" s="87" t="s">
        <v>1815</v>
      </c>
      <c r="AL217" s="82" t="b">
        <v>0</v>
      </c>
      <c r="AM217" s="82">
        <v>7</v>
      </c>
      <c r="AN217" s="87" t="s">
        <v>1815</v>
      </c>
      <c r="AO217" s="87" t="s">
        <v>1852</v>
      </c>
      <c r="AP217" s="82" t="b">
        <v>0</v>
      </c>
      <c r="AQ217" s="87" t="s">
        <v>1623</v>
      </c>
      <c r="AR217" s="82"/>
      <c r="AS217" s="82">
        <v>0</v>
      </c>
      <c r="AT217" s="82">
        <v>0</v>
      </c>
      <c r="AU217" s="82"/>
      <c r="AV217" s="82"/>
      <c r="AW217" s="82"/>
      <c r="AX217" s="82"/>
      <c r="AY217" s="82"/>
      <c r="AZ217" s="82"/>
      <c r="BA217" s="82"/>
      <c r="BB217" s="82"/>
      <c r="BC217">
        <v>2</v>
      </c>
      <c r="BD217" s="81" t="str">
        <f>REPLACE(INDEX(GroupVertices[Group],MATCH(Edges[[#This Row],[Vertex 1]],GroupVertices[Vertex],0)),1,1,"")</f>
        <v>1</v>
      </c>
      <c r="BE217" s="81" t="str">
        <f>REPLACE(INDEX(GroupVertices[Group],MATCH(Edges[[#This Row],[Vertex 2]],GroupVertices[Vertex],0)),1,1,"")</f>
        <v>1</v>
      </c>
      <c r="BF217" s="49">
        <v>1</v>
      </c>
      <c r="BG217" s="50">
        <v>3.7037037037037037</v>
      </c>
      <c r="BH217" s="49">
        <v>1</v>
      </c>
      <c r="BI217" s="50">
        <v>3.7037037037037037</v>
      </c>
      <c r="BJ217" s="49">
        <v>0</v>
      </c>
      <c r="BK217" s="50">
        <v>0</v>
      </c>
      <c r="BL217" s="49">
        <v>25</v>
      </c>
      <c r="BM217" s="50">
        <v>92.5925925925926</v>
      </c>
      <c r="BN217" s="49">
        <v>27</v>
      </c>
    </row>
    <row r="218" spans="1:66" ht="15">
      <c r="A218" s="66" t="s">
        <v>376</v>
      </c>
      <c r="B218" s="66" t="s">
        <v>376</v>
      </c>
      <c r="C218" s="67" t="s">
        <v>4510</v>
      </c>
      <c r="D218" s="68">
        <v>3.6363636363636362</v>
      </c>
      <c r="E218" s="69" t="s">
        <v>136</v>
      </c>
      <c r="F218" s="70">
        <v>31.2972972972973</v>
      </c>
      <c r="G218" s="67"/>
      <c r="H218" s="71"/>
      <c r="I218" s="72"/>
      <c r="J218" s="72"/>
      <c r="K218" s="35" t="s">
        <v>65</v>
      </c>
      <c r="L218" s="80">
        <v>218</v>
      </c>
      <c r="M218" s="80"/>
      <c r="N218" s="74"/>
      <c r="O218" s="82" t="s">
        <v>214</v>
      </c>
      <c r="P218" s="84">
        <v>44518.65190972222</v>
      </c>
      <c r="Q218" s="82" t="s">
        <v>707</v>
      </c>
      <c r="R218" s="82"/>
      <c r="S218" s="82"/>
      <c r="T218" s="87" t="s">
        <v>1045</v>
      </c>
      <c r="U218" s="85" t="str">
        <f>HYPERLINK("https://pbs.twimg.com/media/FEfJjjNVQAw_sPT.jpg")</f>
        <v>https://pbs.twimg.com/media/FEfJjjNVQAw_sPT.jpg</v>
      </c>
      <c r="V218" s="85" t="str">
        <f>HYPERLINK("https://pbs.twimg.com/media/FEfJjjNVQAw_sPT.jpg")</f>
        <v>https://pbs.twimg.com/media/FEfJjjNVQAw_sPT.jpg</v>
      </c>
      <c r="W218" s="84">
        <v>44518.65190972222</v>
      </c>
      <c r="X218" s="90">
        <v>44518</v>
      </c>
      <c r="Y218" s="87" t="s">
        <v>1300</v>
      </c>
      <c r="Z218" s="85" t="str">
        <f>HYPERLINK("https://twitter.com/imtiaza66426320/status/1461358220732030989")</f>
        <v>https://twitter.com/imtiaza66426320/status/1461358220732030989</v>
      </c>
      <c r="AA218" s="82"/>
      <c r="AB218" s="82"/>
      <c r="AC218" s="87" t="s">
        <v>1624</v>
      </c>
      <c r="AD218" s="82"/>
      <c r="AE218" s="82" t="b">
        <v>0</v>
      </c>
      <c r="AF218" s="82">
        <v>4</v>
      </c>
      <c r="AG218" s="87" t="s">
        <v>1815</v>
      </c>
      <c r="AH218" s="82" t="b">
        <v>0</v>
      </c>
      <c r="AI218" s="82" t="s">
        <v>1826</v>
      </c>
      <c r="AJ218" s="82"/>
      <c r="AK218" s="87" t="s">
        <v>1815</v>
      </c>
      <c r="AL218" s="82" t="b">
        <v>0</v>
      </c>
      <c r="AM218" s="82">
        <v>4</v>
      </c>
      <c r="AN218" s="87" t="s">
        <v>1815</v>
      </c>
      <c r="AO218" s="87" t="s">
        <v>1852</v>
      </c>
      <c r="AP218" s="82" t="b">
        <v>0</v>
      </c>
      <c r="AQ218" s="87" t="s">
        <v>1624</v>
      </c>
      <c r="AR218" s="82"/>
      <c r="AS218" s="82">
        <v>0</v>
      </c>
      <c r="AT218" s="82">
        <v>0</v>
      </c>
      <c r="AU218" s="82"/>
      <c r="AV218" s="82"/>
      <c r="AW218" s="82"/>
      <c r="AX218" s="82"/>
      <c r="AY218" s="82"/>
      <c r="AZ218" s="82"/>
      <c r="BA218" s="82"/>
      <c r="BB218" s="82"/>
      <c r="BC218">
        <v>2</v>
      </c>
      <c r="BD218" s="81" t="str">
        <f>REPLACE(INDEX(GroupVertices[Group],MATCH(Edges[[#This Row],[Vertex 1]],GroupVertices[Vertex],0)),1,1,"")</f>
        <v>1</v>
      </c>
      <c r="BE218" s="81" t="str">
        <f>REPLACE(INDEX(GroupVertices[Group],MATCH(Edges[[#This Row],[Vertex 2]],GroupVertices[Vertex],0)),1,1,"")</f>
        <v>1</v>
      </c>
      <c r="BF218" s="49">
        <v>1</v>
      </c>
      <c r="BG218" s="50">
        <v>2.9411764705882355</v>
      </c>
      <c r="BH218" s="49">
        <v>1</v>
      </c>
      <c r="BI218" s="50">
        <v>2.9411764705882355</v>
      </c>
      <c r="BJ218" s="49">
        <v>0</v>
      </c>
      <c r="BK218" s="50">
        <v>0</v>
      </c>
      <c r="BL218" s="49">
        <v>32</v>
      </c>
      <c r="BM218" s="50">
        <v>94.11764705882354</v>
      </c>
      <c r="BN218" s="49">
        <v>34</v>
      </c>
    </row>
    <row r="219" spans="1:66" ht="15">
      <c r="A219" s="66" t="s">
        <v>377</v>
      </c>
      <c r="B219" s="66" t="s">
        <v>377</v>
      </c>
      <c r="C219" s="67" t="s">
        <v>4509</v>
      </c>
      <c r="D219" s="68">
        <v>3</v>
      </c>
      <c r="E219" s="69" t="s">
        <v>132</v>
      </c>
      <c r="F219" s="70">
        <v>32</v>
      </c>
      <c r="G219" s="67"/>
      <c r="H219" s="71"/>
      <c r="I219" s="72"/>
      <c r="J219" s="72"/>
      <c r="K219" s="35" t="s">
        <v>65</v>
      </c>
      <c r="L219" s="80">
        <v>219</v>
      </c>
      <c r="M219" s="80"/>
      <c r="N219" s="74"/>
      <c r="O219" s="82" t="s">
        <v>214</v>
      </c>
      <c r="P219" s="84">
        <v>44518.663449074076</v>
      </c>
      <c r="Q219" s="82" t="s">
        <v>708</v>
      </c>
      <c r="R219" s="82"/>
      <c r="S219" s="82"/>
      <c r="T219" s="87" t="s">
        <v>1046</v>
      </c>
      <c r="U219" s="85" t="str">
        <f>HYPERLINK("https://pbs.twimg.com/media/FEfNW8DVkA048Pq.jpg")</f>
        <v>https://pbs.twimg.com/media/FEfNW8DVkA048Pq.jpg</v>
      </c>
      <c r="V219" s="85" t="str">
        <f>HYPERLINK("https://pbs.twimg.com/media/FEfNW8DVkA048Pq.jpg")</f>
        <v>https://pbs.twimg.com/media/FEfNW8DVkA048Pq.jpg</v>
      </c>
      <c r="W219" s="84">
        <v>44518.663449074076</v>
      </c>
      <c r="X219" s="90">
        <v>44518</v>
      </c>
      <c r="Y219" s="87" t="s">
        <v>1301</v>
      </c>
      <c r="Z219" s="85" t="str">
        <f>HYPERLINK("https://twitter.com/ltepod/status/1461362403736576003")</f>
        <v>https://twitter.com/ltepod/status/1461362403736576003</v>
      </c>
      <c r="AA219" s="82"/>
      <c r="AB219" s="82"/>
      <c r="AC219" s="87" t="s">
        <v>1625</v>
      </c>
      <c r="AD219" s="82"/>
      <c r="AE219" s="82" t="b">
        <v>0</v>
      </c>
      <c r="AF219" s="82">
        <v>0</v>
      </c>
      <c r="AG219" s="87" t="s">
        <v>1815</v>
      </c>
      <c r="AH219" s="82" t="b">
        <v>0</v>
      </c>
      <c r="AI219" s="82" t="s">
        <v>1827</v>
      </c>
      <c r="AJ219" s="82"/>
      <c r="AK219" s="87" t="s">
        <v>1815</v>
      </c>
      <c r="AL219" s="82" t="b">
        <v>0</v>
      </c>
      <c r="AM219" s="82">
        <v>0</v>
      </c>
      <c r="AN219" s="87" t="s">
        <v>1815</v>
      </c>
      <c r="AO219" s="87" t="s">
        <v>1851</v>
      </c>
      <c r="AP219" s="82" t="b">
        <v>0</v>
      </c>
      <c r="AQ219" s="87" t="s">
        <v>1625</v>
      </c>
      <c r="AR219" s="82"/>
      <c r="AS219" s="82">
        <v>0</v>
      </c>
      <c r="AT219" s="82">
        <v>0</v>
      </c>
      <c r="AU219" s="82"/>
      <c r="AV219" s="82"/>
      <c r="AW219" s="82"/>
      <c r="AX219" s="82"/>
      <c r="AY219" s="82"/>
      <c r="AZ219" s="82"/>
      <c r="BA219" s="82"/>
      <c r="BB219" s="82"/>
      <c r="BC219">
        <v>1</v>
      </c>
      <c r="BD219" s="81" t="str">
        <f>REPLACE(INDEX(GroupVertices[Group],MATCH(Edges[[#This Row],[Vertex 1]],GroupVertices[Vertex],0)),1,1,"")</f>
        <v>1</v>
      </c>
      <c r="BE219" s="81" t="str">
        <f>REPLACE(INDEX(GroupVertices[Group],MATCH(Edges[[#This Row],[Vertex 2]],GroupVertices[Vertex],0)),1,1,"")</f>
        <v>1</v>
      </c>
      <c r="BF219" s="49">
        <v>1</v>
      </c>
      <c r="BG219" s="50">
        <v>4.545454545454546</v>
      </c>
      <c r="BH219" s="49">
        <v>4</v>
      </c>
      <c r="BI219" s="50">
        <v>18.181818181818183</v>
      </c>
      <c r="BJ219" s="49">
        <v>0</v>
      </c>
      <c r="BK219" s="50">
        <v>0</v>
      </c>
      <c r="BL219" s="49">
        <v>17</v>
      </c>
      <c r="BM219" s="50">
        <v>77.27272727272727</v>
      </c>
      <c r="BN219" s="49">
        <v>22</v>
      </c>
    </row>
    <row r="220" spans="1:66" ht="15">
      <c r="A220" s="66" t="s">
        <v>378</v>
      </c>
      <c r="B220" s="66" t="s">
        <v>378</v>
      </c>
      <c r="C220" s="67" t="s">
        <v>4509</v>
      </c>
      <c r="D220" s="68">
        <v>3</v>
      </c>
      <c r="E220" s="69" t="s">
        <v>132</v>
      </c>
      <c r="F220" s="70">
        <v>32</v>
      </c>
      <c r="G220" s="67"/>
      <c r="H220" s="71"/>
      <c r="I220" s="72"/>
      <c r="J220" s="72"/>
      <c r="K220" s="35" t="s">
        <v>65</v>
      </c>
      <c r="L220" s="80">
        <v>220</v>
      </c>
      <c r="M220" s="80"/>
      <c r="N220" s="74"/>
      <c r="O220" s="82" t="s">
        <v>214</v>
      </c>
      <c r="P220" s="84">
        <v>44518.637708333335</v>
      </c>
      <c r="Q220" s="82" t="s">
        <v>709</v>
      </c>
      <c r="R220" s="82"/>
      <c r="S220" s="82"/>
      <c r="T220" s="87" t="s">
        <v>966</v>
      </c>
      <c r="U220" s="85" t="str">
        <f>HYPERLINK("https://pbs.twimg.com/media/FEfE3WrVgAoE8WA.jpg")</f>
        <v>https://pbs.twimg.com/media/FEfE3WrVgAoE8WA.jpg</v>
      </c>
      <c r="V220" s="85" t="str">
        <f>HYPERLINK("https://pbs.twimg.com/media/FEfE3WrVgAoE8WA.jpg")</f>
        <v>https://pbs.twimg.com/media/FEfE3WrVgAoE8WA.jpg</v>
      </c>
      <c r="W220" s="84">
        <v>44518.637708333335</v>
      </c>
      <c r="X220" s="90">
        <v>44518</v>
      </c>
      <c r="Y220" s="87" t="s">
        <v>1302</v>
      </c>
      <c r="Z220" s="85" t="str">
        <f>HYPERLINK("https://twitter.com/healthsacademy/status/1461353075248021515")</f>
        <v>https://twitter.com/healthsacademy/status/1461353075248021515</v>
      </c>
      <c r="AA220" s="82"/>
      <c r="AB220" s="82"/>
      <c r="AC220" s="87" t="s">
        <v>1626</v>
      </c>
      <c r="AD220" s="82"/>
      <c r="AE220" s="82" t="b">
        <v>0</v>
      </c>
      <c r="AF220" s="82">
        <v>21</v>
      </c>
      <c r="AG220" s="87" t="s">
        <v>1815</v>
      </c>
      <c r="AH220" s="82" t="b">
        <v>0</v>
      </c>
      <c r="AI220" s="82" t="s">
        <v>1826</v>
      </c>
      <c r="AJ220" s="82"/>
      <c r="AK220" s="87" t="s">
        <v>1815</v>
      </c>
      <c r="AL220" s="82" t="b">
        <v>0</v>
      </c>
      <c r="AM220" s="82">
        <v>11</v>
      </c>
      <c r="AN220" s="87" t="s">
        <v>1815</v>
      </c>
      <c r="AO220" s="87" t="s">
        <v>1850</v>
      </c>
      <c r="AP220" s="82" t="b">
        <v>0</v>
      </c>
      <c r="AQ220" s="87" t="s">
        <v>1626</v>
      </c>
      <c r="AR220" s="82"/>
      <c r="AS220" s="82">
        <v>0</v>
      </c>
      <c r="AT220" s="82">
        <v>0</v>
      </c>
      <c r="AU220" s="82"/>
      <c r="AV220" s="82"/>
      <c r="AW220" s="82"/>
      <c r="AX220" s="82"/>
      <c r="AY220" s="82"/>
      <c r="AZ220" s="82"/>
      <c r="BA220" s="82"/>
      <c r="BB220" s="82"/>
      <c r="BC220">
        <v>1</v>
      </c>
      <c r="BD220" s="81" t="str">
        <f>REPLACE(INDEX(GroupVertices[Group],MATCH(Edges[[#This Row],[Vertex 1]],GroupVertices[Vertex],0)),1,1,"")</f>
        <v>1</v>
      </c>
      <c r="BE220" s="81" t="str">
        <f>REPLACE(INDEX(GroupVertices[Group],MATCH(Edges[[#This Row],[Vertex 2]],GroupVertices[Vertex],0)),1,1,"")</f>
        <v>1</v>
      </c>
      <c r="BF220" s="49">
        <v>0</v>
      </c>
      <c r="BG220" s="50">
        <v>0</v>
      </c>
      <c r="BH220" s="49">
        <v>4</v>
      </c>
      <c r="BI220" s="50">
        <v>12.5</v>
      </c>
      <c r="BJ220" s="49">
        <v>0</v>
      </c>
      <c r="BK220" s="50">
        <v>0</v>
      </c>
      <c r="BL220" s="49">
        <v>28</v>
      </c>
      <c r="BM220" s="50">
        <v>87.5</v>
      </c>
      <c r="BN220" s="49">
        <v>32</v>
      </c>
    </row>
    <row r="221" spans="1:66" ht="15">
      <c r="A221" s="66" t="s">
        <v>379</v>
      </c>
      <c r="B221" s="66" t="s">
        <v>379</v>
      </c>
      <c r="C221" s="67" t="s">
        <v>4515</v>
      </c>
      <c r="D221" s="68">
        <v>4.909090909090909</v>
      </c>
      <c r="E221" s="69" t="s">
        <v>136</v>
      </c>
      <c r="F221" s="70">
        <v>29.89189189189189</v>
      </c>
      <c r="G221" s="67"/>
      <c r="H221" s="71"/>
      <c r="I221" s="72"/>
      <c r="J221" s="72"/>
      <c r="K221" s="35" t="s">
        <v>65</v>
      </c>
      <c r="L221" s="80">
        <v>221</v>
      </c>
      <c r="M221" s="80"/>
      <c r="N221" s="74"/>
      <c r="O221" s="82" t="s">
        <v>214</v>
      </c>
      <c r="P221" s="84">
        <v>44518.635462962964</v>
      </c>
      <c r="Q221" s="82" t="s">
        <v>710</v>
      </c>
      <c r="R221" s="85" t="str">
        <f>HYPERLINK("https://www.cdc.gov/antibiotic-use/q-a.html")</f>
        <v>https://www.cdc.gov/antibiotic-use/q-a.html</v>
      </c>
      <c r="S221" s="82" t="s">
        <v>903</v>
      </c>
      <c r="T221" s="87" t="s">
        <v>1047</v>
      </c>
      <c r="U221" s="85" t="str">
        <f>HYPERLINK("https://pbs.twimg.com/media/FEfEIwNVcAoNwWo.jpg")</f>
        <v>https://pbs.twimg.com/media/FEfEIwNVcAoNwWo.jpg</v>
      </c>
      <c r="V221" s="85" t="str">
        <f>HYPERLINK("https://pbs.twimg.com/media/FEfEIwNVcAoNwWo.jpg")</f>
        <v>https://pbs.twimg.com/media/FEfEIwNVcAoNwWo.jpg</v>
      </c>
      <c r="W221" s="84">
        <v>44518.635462962964</v>
      </c>
      <c r="X221" s="90">
        <v>44518</v>
      </c>
      <c r="Y221" s="87" t="s">
        <v>1303</v>
      </c>
      <c r="Z221" s="85" t="str">
        <f>HYPERLINK("https://twitter.com/marrcoalition/status/1461352260810674179")</f>
        <v>https://twitter.com/marrcoalition/status/1461352260810674179</v>
      </c>
      <c r="AA221" s="82"/>
      <c r="AB221" s="82"/>
      <c r="AC221" s="87" t="s">
        <v>1627</v>
      </c>
      <c r="AD221" s="82"/>
      <c r="AE221" s="82" t="b">
        <v>0</v>
      </c>
      <c r="AF221" s="82">
        <v>5</v>
      </c>
      <c r="AG221" s="87" t="s">
        <v>1815</v>
      </c>
      <c r="AH221" s="82" t="b">
        <v>0</v>
      </c>
      <c r="AI221" s="82" t="s">
        <v>1826</v>
      </c>
      <c r="AJ221" s="82"/>
      <c r="AK221" s="87" t="s">
        <v>1815</v>
      </c>
      <c r="AL221" s="82" t="b">
        <v>0</v>
      </c>
      <c r="AM221" s="82">
        <v>2</v>
      </c>
      <c r="AN221" s="87" t="s">
        <v>1815</v>
      </c>
      <c r="AO221" s="87" t="s">
        <v>1863</v>
      </c>
      <c r="AP221" s="82" t="b">
        <v>0</v>
      </c>
      <c r="AQ221" s="87" t="s">
        <v>1627</v>
      </c>
      <c r="AR221" s="82"/>
      <c r="AS221" s="82">
        <v>0</v>
      </c>
      <c r="AT221" s="82">
        <v>0</v>
      </c>
      <c r="AU221" s="82"/>
      <c r="AV221" s="82"/>
      <c r="AW221" s="82"/>
      <c r="AX221" s="82"/>
      <c r="AY221" s="82"/>
      <c r="AZ221" s="82"/>
      <c r="BA221" s="82"/>
      <c r="BB221" s="82"/>
      <c r="BC221">
        <v>4</v>
      </c>
      <c r="BD221" s="81" t="str">
        <f>REPLACE(INDEX(GroupVertices[Group],MATCH(Edges[[#This Row],[Vertex 1]],GroupVertices[Vertex],0)),1,1,"")</f>
        <v>1</v>
      </c>
      <c r="BE221" s="81" t="str">
        <f>REPLACE(INDEX(GroupVertices[Group],MATCH(Edges[[#This Row],[Vertex 2]],GroupVertices[Vertex],0)),1,1,"")</f>
        <v>1</v>
      </c>
      <c r="BF221" s="49">
        <v>1</v>
      </c>
      <c r="BG221" s="50">
        <v>5.555555555555555</v>
      </c>
      <c r="BH221" s="49">
        <v>0</v>
      </c>
      <c r="BI221" s="50">
        <v>0</v>
      </c>
      <c r="BJ221" s="49">
        <v>0</v>
      </c>
      <c r="BK221" s="50">
        <v>0</v>
      </c>
      <c r="BL221" s="49">
        <v>17</v>
      </c>
      <c r="BM221" s="50">
        <v>94.44444444444444</v>
      </c>
      <c r="BN221" s="49">
        <v>18</v>
      </c>
    </row>
    <row r="222" spans="1:66" ht="15">
      <c r="A222" s="66" t="s">
        <v>379</v>
      </c>
      <c r="B222" s="66" t="s">
        <v>379</v>
      </c>
      <c r="C222" s="67" t="s">
        <v>4515</v>
      </c>
      <c r="D222" s="68">
        <v>4.909090909090909</v>
      </c>
      <c r="E222" s="69" t="s">
        <v>136</v>
      </c>
      <c r="F222" s="70">
        <v>29.89189189189189</v>
      </c>
      <c r="G222" s="67"/>
      <c r="H222" s="71"/>
      <c r="I222" s="72"/>
      <c r="J222" s="72"/>
      <c r="K222" s="35" t="s">
        <v>65</v>
      </c>
      <c r="L222" s="80">
        <v>222</v>
      </c>
      <c r="M222" s="80"/>
      <c r="N222" s="74"/>
      <c r="O222" s="82" t="s">
        <v>214</v>
      </c>
      <c r="P222" s="84">
        <v>44518.62991898148</v>
      </c>
      <c r="Q222" s="82" t="s">
        <v>711</v>
      </c>
      <c r="R222" s="85" t="str">
        <f>HYPERLINK("https://www.cdc.gov/antibiotic-use/antibiotic-resistance.html")</f>
        <v>https://www.cdc.gov/antibiotic-use/antibiotic-resistance.html</v>
      </c>
      <c r="S222" s="82" t="s">
        <v>903</v>
      </c>
      <c r="T222" s="87" t="s">
        <v>972</v>
      </c>
      <c r="U222" s="82"/>
      <c r="V222" s="85" t="str">
        <f>HYPERLINK("https://pbs.twimg.com/profile_images/1780505162/ResistanceRanger_sm_normal.jpg")</f>
        <v>https://pbs.twimg.com/profile_images/1780505162/ResistanceRanger_sm_normal.jpg</v>
      </c>
      <c r="W222" s="84">
        <v>44518.62991898148</v>
      </c>
      <c r="X222" s="90">
        <v>44518</v>
      </c>
      <c r="Y222" s="87" t="s">
        <v>1304</v>
      </c>
      <c r="Z222" s="85" t="str">
        <f>HYPERLINK("https://twitter.com/marrcoalition/status/1461350252472987664")</f>
        <v>https://twitter.com/marrcoalition/status/1461350252472987664</v>
      </c>
      <c r="AA222" s="82"/>
      <c r="AB222" s="82"/>
      <c r="AC222" s="87" t="s">
        <v>1628</v>
      </c>
      <c r="AD222" s="82"/>
      <c r="AE222" s="82" t="b">
        <v>0</v>
      </c>
      <c r="AF222" s="82">
        <v>2</v>
      </c>
      <c r="AG222" s="87" t="s">
        <v>1815</v>
      </c>
      <c r="AH222" s="82" t="b">
        <v>0</v>
      </c>
      <c r="AI222" s="82" t="s">
        <v>1826</v>
      </c>
      <c r="AJ222" s="82"/>
      <c r="AK222" s="87" t="s">
        <v>1815</v>
      </c>
      <c r="AL222" s="82" t="b">
        <v>0</v>
      </c>
      <c r="AM222" s="82">
        <v>1</v>
      </c>
      <c r="AN222" s="87" t="s">
        <v>1815</v>
      </c>
      <c r="AO222" s="87" t="s">
        <v>1863</v>
      </c>
      <c r="AP222" s="82" t="b">
        <v>0</v>
      </c>
      <c r="AQ222" s="87" t="s">
        <v>1628</v>
      </c>
      <c r="AR222" s="82"/>
      <c r="AS222" s="82">
        <v>0</v>
      </c>
      <c r="AT222" s="82">
        <v>0</v>
      </c>
      <c r="AU222" s="82"/>
      <c r="AV222" s="82"/>
      <c r="AW222" s="82"/>
      <c r="AX222" s="82"/>
      <c r="AY222" s="82"/>
      <c r="AZ222" s="82"/>
      <c r="BA222" s="82"/>
      <c r="BB222" s="82"/>
      <c r="BC222">
        <v>4</v>
      </c>
      <c r="BD222" s="81" t="str">
        <f>REPLACE(INDEX(GroupVertices[Group],MATCH(Edges[[#This Row],[Vertex 1]],GroupVertices[Vertex],0)),1,1,"")</f>
        <v>1</v>
      </c>
      <c r="BE222" s="81" t="str">
        <f>REPLACE(INDEX(GroupVertices[Group],MATCH(Edges[[#This Row],[Vertex 2]],GroupVertices[Vertex],0)),1,1,"")</f>
        <v>1</v>
      </c>
      <c r="BF222" s="49">
        <v>0</v>
      </c>
      <c r="BG222" s="50">
        <v>0</v>
      </c>
      <c r="BH222" s="49">
        <v>0</v>
      </c>
      <c r="BI222" s="50">
        <v>0</v>
      </c>
      <c r="BJ222" s="49">
        <v>0</v>
      </c>
      <c r="BK222" s="50">
        <v>0</v>
      </c>
      <c r="BL222" s="49">
        <v>19</v>
      </c>
      <c r="BM222" s="50">
        <v>100</v>
      </c>
      <c r="BN222" s="49">
        <v>19</v>
      </c>
    </row>
    <row r="223" spans="1:66" ht="15">
      <c r="A223" s="66" t="s">
        <v>379</v>
      </c>
      <c r="B223" s="66" t="s">
        <v>379</v>
      </c>
      <c r="C223" s="67" t="s">
        <v>4515</v>
      </c>
      <c r="D223" s="68">
        <v>4.909090909090909</v>
      </c>
      <c r="E223" s="69" t="s">
        <v>136</v>
      </c>
      <c r="F223" s="70">
        <v>29.89189189189189</v>
      </c>
      <c r="G223" s="67"/>
      <c r="H223" s="71"/>
      <c r="I223" s="72"/>
      <c r="J223" s="72"/>
      <c r="K223" s="35" t="s">
        <v>65</v>
      </c>
      <c r="L223" s="80">
        <v>223</v>
      </c>
      <c r="M223" s="80"/>
      <c r="N223" s="74"/>
      <c r="O223" s="82" t="s">
        <v>214</v>
      </c>
      <c r="P223" s="84">
        <v>44518.63197916667</v>
      </c>
      <c r="Q223" s="82" t="s">
        <v>712</v>
      </c>
      <c r="R223" s="85" t="str">
        <f>HYPERLINK("https://www.cdc.gov/antibiotic-use/common-illnesses.html")</f>
        <v>https://www.cdc.gov/antibiotic-use/common-illnesses.html</v>
      </c>
      <c r="S223" s="82" t="s">
        <v>903</v>
      </c>
      <c r="T223" s="87" t="s">
        <v>1048</v>
      </c>
      <c r="U223" s="85" t="str">
        <f>HYPERLINK("https://pbs.twimg.com/media/FEfC_R6VEA0fVN5.jpg")</f>
        <v>https://pbs.twimg.com/media/FEfC_R6VEA0fVN5.jpg</v>
      </c>
      <c r="V223" s="85" t="str">
        <f>HYPERLINK("https://pbs.twimg.com/media/FEfC_R6VEA0fVN5.jpg")</f>
        <v>https://pbs.twimg.com/media/FEfC_R6VEA0fVN5.jpg</v>
      </c>
      <c r="W223" s="84">
        <v>44518.63197916667</v>
      </c>
      <c r="X223" s="90">
        <v>44518</v>
      </c>
      <c r="Y223" s="87" t="s">
        <v>1305</v>
      </c>
      <c r="Z223" s="85" t="str">
        <f>HYPERLINK("https://twitter.com/marrcoalition/status/1461350998992056327")</f>
        <v>https://twitter.com/marrcoalition/status/1461350998992056327</v>
      </c>
      <c r="AA223" s="82"/>
      <c r="AB223" s="82"/>
      <c r="AC223" s="87" t="s">
        <v>1629</v>
      </c>
      <c r="AD223" s="82"/>
      <c r="AE223" s="82" t="b">
        <v>0</v>
      </c>
      <c r="AF223" s="82">
        <v>0</v>
      </c>
      <c r="AG223" s="87" t="s">
        <v>1815</v>
      </c>
      <c r="AH223" s="82" t="b">
        <v>0</v>
      </c>
      <c r="AI223" s="82" t="s">
        <v>1826</v>
      </c>
      <c r="AJ223" s="82"/>
      <c r="AK223" s="87" t="s">
        <v>1815</v>
      </c>
      <c r="AL223" s="82" t="b">
        <v>0</v>
      </c>
      <c r="AM223" s="82">
        <v>0</v>
      </c>
      <c r="AN223" s="87" t="s">
        <v>1815</v>
      </c>
      <c r="AO223" s="87" t="s">
        <v>1863</v>
      </c>
      <c r="AP223" s="82" t="b">
        <v>0</v>
      </c>
      <c r="AQ223" s="87" t="s">
        <v>1629</v>
      </c>
      <c r="AR223" s="82"/>
      <c r="AS223" s="82">
        <v>0</v>
      </c>
      <c r="AT223" s="82">
        <v>0</v>
      </c>
      <c r="AU223" s="82"/>
      <c r="AV223" s="82"/>
      <c r="AW223" s="82"/>
      <c r="AX223" s="82"/>
      <c r="AY223" s="82"/>
      <c r="AZ223" s="82"/>
      <c r="BA223" s="82"/>
      <c r="BB223" s="82"/>
      <c r="BC223">
        <v>4</v>
      </c>
      <c r="BD223" s="81" t="str">
        <f>REPLACE(INDEX(GroupVertices[Group],MATCH(Edges[[#This Row],[Vertex 1]],GroupVertices[Vertex],0)),1,1,"")</f>
        <v>1</v>
      </c>
      <c r="BE223" s="81" t="str">
        <f>REPLACE(INDEX(GroupVertices[Group],MATCH(Edges[[#This Row],[Vertex 2]],GroupVertices[Vertex],0)),1,1,"")</f>
        <v>1</v>
      </c>
      <c r="BF223" s="49">
        <v>0</v>
      </c>
      <c r="BG223" s="50">
        <v>0</v>
      </c>
      <c r="BH223" s="49">
        <v>2</v>
      </c>
      <c r="BI223" s="50">
        <v>9.523809523809524</v>
      </c>
      <c r="BJ223" s="49">
        <v>0</v>
      </c>
      <c r="BK223" s="50">
        <v>0</v>
      </c>
      <c r="BL223" s="49">
        <v>19</v>
      </c>
      <c r="BM223" s="50">
        <v>90.47619047619048</v>
      </c>
      <c r="BN223" s="49">
        <v>21</v>
      </c>
    </row>
    <row r="224" spans="1:66" ht="15">
      <c r="A224" s="66" t="s">
        <v>379</v>
      </c>
      <c r="B224" s="66" t="s">
        <v>379</v>
      </c>
      <c r="C224" s="67" t="s">
        <v>4515</v>
      </c>
      <c r="D224" s="68">
        <v>4.909090909090909</v>
      </c>
      <c r="E224" s="69" t="s">
        <v>136</v>
      </c>
      <c r="F224" s="70">
        <v>29.89189189189189</v>
      </c>
      <c r="G224" s="67"/>
      <c r="H224" s="71"/>
      <c r="I224" s="72"/>
      <c r="J224" s="72"/>
      <c r="K224" s="35" t="s">
        <v>65</v>
      </c>
      <c r="L224" s="80">
        <v>224</v>
      </c>
      <c r="M224" s="80"/>
      <c r="N224" s="74"/>
      <c r="O224" s="82" t="s">
        <v>214</v>
      </c>
      <c r="P224" s="84">
        <v>44518.627430555556</v>
      </c>
      <c r="Q224" s="82" t="s">
        <v>713</v>
      </c>
      <c r="R224" s="85" t="str">
        <f>HYPERLINK("https://www.cdc.gov/drugresistance/covid19.html")</f>
        <v>https://www.cdc.gov/drugresistance/covid19.html</v>
      </c>
      <c r="S224" s="82" t="s">
        <v>903</v>
      </c>
      <c r="T224" s="87" t="s">
        <v>956</v>
      </c>
      <c r="U224" s="82"/>
      <c r="V224" s="85" t="str">
        <f>HYPERLINK("https://pbs.twimg.com/profile_images/1780505162/ResistanceRanger_sm_normal.jpg")</f>
        <v>https://pbs.twimg.com/profile_images/1780505162/ResistanceRanger_sm_normal.jpg</v>
      </c>
      <c r="W224" s="84">
        <v>44518.627430555556</v>
      </c>
      <c r="X224" s="90">
        <v>44518</v>
      </c>
      <c r="Y224" s="87" t="s">
        <v>1306</v>
      </c>
      <c r="Z224" s="85" t="str">
        <f>HYPERLINK("https://twitter.com/marrcoalition/status/1461349350852861964")</f>
        <v>https://twitter.com/marrcoalition/status/1461349350852861964</v>
      </c>
      <c r="AA224" s="82"/>
      <c r="AB224" s="82"/>
      <c r="AC224" s="87" t="s">
        <v>1630</v>
      </c>
      <c r="AD224" s="82"/>
      <c r="AE224" s="82" t="b">
        <v>0</v>
      </c>
      <c r="AF224" s="82">
        <v>0</v>
      </c>
      <c r="AG224" s="87" t="s">
        <v>1815</v>
      </c>
      <c r="AH224" s="82" t="b">
        <v>0</v>
      </c>
      <c r="AI224" s="82" t="s">
        <v>1826</v>
      </c>
      <c r="AJ224" s="82"/>
      <c r="AK224" s="87" t="s">
        <v>1815</v>
      </c>
      <c r="AL224" s="82" t="b">
        <v>0</v>
      </c>
      <c r="AM224" s="82">
        <v>0</v>
      </c>
      <c r="AN224" s="87" t="s">
        <v>1815</v>
      </c>
      <c r="AO224" s="87" t="s">
        <v>1863</v>
      </c>
      <c r="AP224" s="82" t="b">
        <v>0</v>
      </c>
      <c r="AQ224" s="87" t="s">
        <v>1630</v>
      </c>
      <c r="AR224" s="82"/>
      <c r="AS224" s="82">
        <v>0</v>
      </c>
      <c r="AT224" s="82">
        <v>0</v>
      </c>
      <c r="AU224" s="82"/>
      <c r="AV224" s="82"/>
      <c r="AW224" s="82"/>
      <c r="AX224" s="82"/>
      <c r="AY224" s="82"/>
      <c r="AZ224" s="82"/>
      <c r="BA224" s="82"/>
      <c r="BB224" s="82"/>
      <c r="BC224">
        <v>4</v>
      </c>
      <c r="BD224" s="81" t="str">
        <f>REPLACE(INDEX(GroupVertices[Group],MATCH(Edges[[#This Row],[Vertex 1]],GroupVertices[Vertex],0)),1,1,"")</f>
        <v>1</v>
      </c>
      <c r="BE224" s="81" t="str">
        <f>REPLACE(INDEX(GroupVertices[Group],MATCH(Edges[[#This Row],[Vertex 2]],GroupVertices[Vertex],0)),1,1,"")</f>
        <v>1</v>
      </c>
      <c r="BF224" s="49">
        <v>0</v>
      </c>
      <c r="BG224" s="50">
        <v>0</v>
      </c>
      <c r="BH224" s="49">
        <v>1</v>
      </c>
      <c r="BI224" s="50">
        <v>3.0303030303030303</v>
      </c>
      <c r="BJ224" s="49">
        <v>0</v>
      </c>
      <c r="BK224" s="50">
        <v>0</v>
      </c>
      <c r="BL224" s="49">
        <v>32</v>
      </c>
      <c r="BM224" s="50">
        <v>96.96969696969697</v>
      </c>
      <c r="BN224" s="49">
        <v>33</v>
      </c>
    </row>
    <row r="225" spans="1:66" ht="15">
      <c r="A225" s="66" t="s">
        <v>380</v>
      </c>
      <c r="B225" s="66" t="s">
        <v>493</v>
      </c>
      <c r="C225" s="67" t="s">
        <v>4515</v>
      </c>
      <c r="D225" s="68">
        <v>4.909090909090909</v>
      </c>
      <c r="E225" s="69" t="s">
        <v>136</v>
      </c>
      <c r="F225" s="70">
        <v>29.89189189189189</v>
      </c>
      <c r="G225" s="67"/>
      <c r="H225" s="71"/>
      <c r="I225" s="72"/>
      <c r="J225" s="72"/>
      <c r="K225" s="35" t="s">
        <v>65</v>
      </c>
      <c r="L225" s="80">
        <v>225</v>
      </c>
      <c r="M225" s="80"/>
      <c r="N225" s="74"/>
      <c r="O225" s="82" t="s">
        <v>528</v>
      </c>
      <c r="P225" s="84">
        <v>44518.635416666664</v>
      </c>
      <c r="Q225" s="82" t="s">
        <v>714</v>
      </c>
      <c r="R225" s="82"/>
      <c r="S225" s="82"/>
      <c r="T225" s="87" t="s">
        <v>1049</v>
      </c>
      <c r="U225" s="82"/>
      <c r="V225" s="85" t="str">
        <f>HYPERLINK("https://pbs.twimg.com/profile_images/1452563613512781827/sJAkfm7z_normal.jpg")</f>
        <v>https://pbs.twimg.com/profile_images/1452563613512781827/sJAkfm7z_normal.jpg</v>
      </c>
      <c r="W225" s="84">
        <v>44518.635416666664</v>
      </c>
      <c r="X225" s="90">
        <v>44518</v>
      </c>
      <c r="Y225" s="87" t="s">
        <v>1214</v>
      </c>
      <c r="Z225" s="85" t="str">
        <f>HYPERLINK("https://twitter.com/evbuomwanefe/status/1461352243987427328")</f>
        <v>https://twitter.com/evbuomwanefe/status/1461352243987427328</v>
      </c>
      <c r="AA225" s="82"/>
      <c r="AB225" s="82"/>
      <c r="AC225" s="87" t="s">
        <v>1631</v>
      </c>
      <c r="AD225" s="82"/>
      <c r="AE225" s="82" t="b">
        <v>0</v>
      </c>
      <c r="AF225" s="82">
        <v>1</v>
      </c>
      <c r="AG225" s="87" t="s">
        <v>1815</v>
      </c>
      <c r="AH225" s="82" t="b">
        <v>0</v>
      </c>
      <c r="AI225" s="82" t="s">
        <v>1826</v>
      </c>
      <c r="AJ225" s="82"/>
      <c r="AK225" s="87" t="s">
        <v>1815</v>
      </c>
      <c r="AL225" s="82" t="b">
        <v>0</v>
      </c>
      <c r="AM225" s="82">
        <v>1</v>
      </c>
      <c r="AN225" s="87" t="s">
        <v>1815</v>
      </c>
      <c r="AO225" s="87" t="s">
        <v>1850</v>
      </c>
      <c r="AP225" s="82" t="b">
        <v>0</v>
      </c>
      <c r="AQ225" s="87" t="s">
        <v>1631</v>
      </c>
      <c r="AR225" s="82"/>
      <c r="AS225" s="82">
        <v>0</v>
      </c>
      <c r="AT225" s="82">
        <v>0</v>
      </c>
      <c r="AU225" s="82"/>
      <c r="AV225" s="82"/>
      <c r="AW225" s="82"/>
      <c r="AX225" s="82"/>
      <c r="AY225" s="82"/>
      <c r="AZ225" s="82"/>
      <c r="BA225" s="82"/>
      <c r="BB225" s="82"/>
      <c r="BC225">
        <v>4</v>
      </c>
      <c r="BD225" s="81" t="str">
        <f>REPLACE(INDEX(GroupVertices[Group],MATCH(Edges[[#This Row],[Vertex 1]],GroupVertices[Vertex],0)),1,1,"")</f>
        <v>2</v>
      </c>
      <c r="BE225" s="81" t="str">
        <f>REPLACE(INDEX(GroupVertices[Group],MATCH(Edges[[#This Row],[Vertex 2]],GroupVertices[Vertex],0)),1,1,"")</f>
        <v>2</v>
      </c>
      <c r="BF225" s="49"/>
      <c r="BG225" s="50"/>
      <c r="BH225" s="49"/>
      <c r="BI225" s="50"/>
      <c r="BJ225" s="49"/>
      <c r="BK225" s="50"/>
      <c r="BL225" s="49"/>
      <c r="BM225" s="50"/>
      <c r="BN225" s="49"/>
    </row>
    <row r="226" spans="1:66" ht="15">
      <c r="A226" s="66" t="s">
        <v>380</v>
      </c>
      <c r="B226" s="66" t="s">
        <v>493</v>
      </c>
      <c r="C226" s="67" t="s">
        <v>4515</v>
      </c>
      <c r="D226" s="68">
        <v>4.909090909090909</v>
      </c>
      <c r="E226" s="69" t="s">
        <v>136</v>
      </c>
      <c r="F226" s="70">
        <v>29.89189189189189</v>
      </c>
      <c r="G226" s="67"/>
      <c r="H226" s="71"/>
      <c r="I226" s="72"/>
      <c r="J226" s="72"/>
      <c r="K226" s="35" t="s">
        <v>65</v>
      </c>
      <c r="L226" s="80">
        <v>226</v>
      </c>
      <c r="M226" s="80"/>
      <c r="N226" s="74"/>
      <c r="O226" s="82" t="s">
        <v>528</v>
      </c>
      <c r="P226" s="84">
        <v>44518.649305555555</v>
      </c>
      <c r="Q226" s="82" t="s">
        <v>715</v>
      </c>
      <c r="R226" s="82"/>
      <c r="S226" s="82"/>
      <c r="T226" s="87" t="s">
        <v>1050</v>
      </c>
      <c r="U226" s="82"/>
      <c r="V226" s="85" t="str">
        <f>HYPERLINK("https://pbs.twimg.com/profile_images/1452563613512781827/sJAkfm7z_normal.jpg")</f>
        <v>https://pbs.twimg.com/profile_images/1452563613512781827/sJAkfm7z_normal.jpg</v>
      </c>
      <c r="W226" s="84">
        <v>44518.649305555555</v>
      </c>
      <c r="X226" s="90">
        <v>44518</v>
      </c>
      <c r="Y226" s="87" t="s">
        <v>1307</v>
      </c>
      <c r="Z226" s="85" t="str">
        <f>HYPERLINK("https://twitter.com/evbuomwanefe/status/1461357277479272476")</f>
        <v>https://twitter.com/evbuomwanefe/status/1461357277479272476</v>
      </c>
      <c r="AA226" s="82"/>
      <c r="AB226" s="82"/>
      <c r="AC226" s="87" t="s">
        <v>1632</v>
      </c>
      <c r="AD226" s="82"/>
      <c r="AE226" s="82" t="b">
        <v>0</v>
      </c>
      <c r="AF226" s="82">
        <v>2</v>
      </c>
      <c r="AG226" s="87" t="s">
        <v>1815</v>
      </c>
      <c r="AH226" s="82" t="b">
        <v>0</v>
      </c>
      <c r="AI226" s="82" t="s">
        <v>1826</v>
      </c>
      <c r="AJ226" s="82"/>
      <c r="AK226" s="87" t="s">
        <v>1815</v>
      </c>
      <c r="AL226" s="82" t="b">
        <v>0</v>
      </c>
      <c r="AM226" s="82">
        <v>1</v>
      </c>
      <c r="AN226" s="87" t="s">
        <v>1815</v>
      </c>
      <c r="AO226" s="87" t="s">
        <v>1850</v>
      </c>
      <c r="AP226" s="82" t="b">
        <v>0</v>
      </c>
      <c r="AQ226" s="87" t="s">
        <v>1632</v>
      </c>
      <c r="AR226" s="82"/>
      <c r="AS226" s="82">
        <v>0</v>
      </c>
      <c r="AT226" s="82">
        <v>0</v>
      </c>
      <c r="AU226" s="82"/>
      <c r="AV226" s="82"/>
      <c r="AW226" s="82"/>
      <c r="AX226" s="82"/>
      <c r="AY226" s="82"/>
      <c r="AZ226" s="82"/>
      <c r="BA226" s="82"/>
      <c r="BB226" s="82"/>
      <c r="BC226">
        <v>4</v>
      </c>
      <c r="BD226" s="81" t="str">
        <f>REPLACE(INDEX(GroupVertices[Group],MATCH(Edges[[#This Row],[Vertex 1]],GroupVertices[Vertex],0)),1,1,"")</f>
        <v>2</v>
      </c>
      <c r="BE226" s="81" t="str">
        <f>REPLACE(INDEX(GroupVertices[Group],MATCH(Edges[[#This Row],[Vertex 2]],GroupVertices[Vertex],0)),1,1,"")</f>
        <v>2</v>
      </c>
      <c r="BF226" s="49"/>
      <c r="BG226" s="50"/>
      <c r="BH226" s="49"/>
      <c r="BI226" s="50"/>
      <c r="BJ226" s="49"/>
      <c r="BK226" s="50"/>
      <c r="BL226" s="49"/>
      <c r="BM226" s="50"/>
      <c r="BN226" s="49"/>
    </row>
    <row r="227" spans="1:66" ht="15">
      <c r="A227" s="66" t="s">
        <v>380</v>
      </c>
      <c r="B227" s="66" t="s">
        <v>493</v>
      </c>
      <c r="C227" s="67" t="s">
        <v>4515</v>
      </c>
      <c r="D227" s="68">
        <v>4.909090909090909</v>
      </c>
      <c r="E227" s="69" t="s">
        <v>136</v>
      </c>
      <c r="F227" s="70">
        <v>29.89189189189189</v>
      </c>
      <c r="G227" s="67"/>
      <c r="H227" s="71"/>
      <c r="I227" s="72"/>
      <c r="J227" s="72"/>
      <c r="K227" s="35" t="s">
        <v>65</v>
      </c>
      <c r="L227" s="80">
        <v>227</v>
      </c>
      <c r="M227" s="80"/>
      <c r="N227" s="74"/>
      <c r="O227" s="82" t="s">
        <v>528</v>
      </c>
      <c r="P227" s="84">
        <v>44518.645833333336</v>
      </c>
      <c r="Q227" s="82" t="s">
        <v>716</v>
      </c>
      <c r="R227" s="82"/>
      <c r="S227" s="82"/>
      <c r="T227" s="87" t="s">
        <v>1051</v>
      </c>
      <c r="U227" s="82"/>
      <c r="V227" s="85" t="str">
        <f>HYPERLINK("https://pbs.twimg.com/profile_images/1452563613512781827/sJAkfm7z_normal.jpg")</f>
        <v>https://pbs.twimg.com/profile_images/1452563613512781827/sJAkfm7z_normal.jpg</v>
      </c>
      <c r="W227" s="84">
        <v>44518.645833333336</v>
      </c>
      <c r="X227" s="90">
        <v>44518</v>
      </c>
      <c r="Y227" s="87" t="s">
        <v>1291</v>
      </c>
      <c r="Z227" s="85" t="str">
        <f>HYPERLINK("https://twitter.com/evbuomwanefe/status/1461356020761079809")</f>
        <v>https://twitter.com/evbuomwanefe/status/1461356020761079809</v>
      </c>
      <c r="AA227" s="82"/>
      <c r="AB227" s="82"/>
      <c r="AC227" s="87" t="s">
        <v>1633</v>
      </c>
      <c r="AD227" s="82"/>
      <c r="AE227" s="82" t="b">
        <v>0</v>
      </c>
      <c r="AF227" s="82">
        <v>2</v>
      </c>
      <c r="AG227" s="87" t="s">
        <v>1815</v>
      </c>
      <c r="AH227" s="82" t="b">
        <v>0</v>
      </c>
      <c r="AI227" s="82" t="s">
        <v>1826</v>
      </c>
      <c r="AJ227" s="82"/>
      <c r="AK227" s="87" t="s">
        <v>1815</v>
      </c>
      <c r="AL227" s="82" t="b">
        <v>0</v>
      </c>
      <c r="AM227" s="82">
        <v>1</v>
      </c>
      <c r="AN227" s="87" t="s">
        <v>1815</v>
      </c>
      <c r="AO227" s="87" t="s">
        <v>1850</v>
      </c>
      <c r="AP227" s="82" t="b">
        <v>0</v>
      </c>
      <c r="AQ227" s="87" t="s">
        <v>1633</v>
      </c>
      <c r="AR227" s="82"/>
      <c r="AS227" s="82">
        <v>0</v>
      </c>
      <c r="AT227" s="82">
        <v>0</v>
      </c>
      <c r="AU227" s="82"/>
      <c r="AV227" s="82"/>
      <c r="AW227" s="82"/>
      <c r="AX227" s="82"/>
      <c r="AY227" s="82"/>
      <c r="AZ227" s="82"/>
      <c r="BA227" s="82"/>
      <c r="BB227" s="82"/>
      <c r="BC227">
        <v>4</v>
      </c>
      <c r="BD227" s="81" t="str">
        <f>REPLACE(INDEX(GroupVertices[Group],MATCH(Edges[[#This Row],[Vertex 1]],GroupVertices[Vertex],0)),1,1,"")</f>
        <v>2</v>
      </c>
      <c r="BE227" s="81" t="str">
        <f>REPLACE(INDEX(GroupVertices[Group],MATCH(Edges[[#This Row],[Vertex 2]],GroupVertices[Vertex],0)),1,1,"")</f>
        <v>2</v>
      </c>
      <c r="BF227" s="49"/>
      <c r="BG227" s="50"/>
      <c r="BH227" s="49"/>
      <c r="BI227" s="50"/>
      <c r="BJ227" s="49"/>
      <c r="BK227" s="50"/>
      <c r="BL227" s="49"/>
      <c r="BM227" s="50"/>
      <c r="BN227" s="49"/>
    </row>
    <row r="228" spans="1:66" ht="15">
      <c r="A228" s="66" t="s">
        <v>380</v>
      </c>
      <c r="B228" s="66" t="s">
        <v>493</v>
      </c>
      <c r="C228" s="67" t="s">
        <v>4515</v>
      </c>
      <c r="D228" s="68">
        <v>4.909090909090909</v>
      </c>
      <c r="E228" s="69" t="s">
        <v>136</v>
      </c>
      <c r="F228" s="70">
        <v>29.89189189189189</v>
      </c>
      <c r="G228" s="67"/>
      <c r="H228" s="71"/>
      <c r="I228" s="72"/>
      <c r="J228" s="72"/>
      <c r="K228" s="35" t="s">
        <v>65</v>
      </c>
      <c r="L228" s="80">
        <v>228</v>
      </c>
      <c r="M228" s="80"/>
      <c r="N228" s="74"/>
      <c r="O228" s="82" t="s">
        <v>528</v>
      </c>
      <c r="P228" s="84">
        <v>44518.62847222222</v>
      </c>
      <c r="Q228" s="82" t="s">
        <v>717</v>
      </c>
      <c r="R228" s="82"/>
      <c r="S228" s="82"/>
      <c r="T228" s="87" t="s">
        <v>960</v>
      </c>
      <c r="U228" s="82"/>
      <c r="V228" s="85" t="str">
        <f>HYPERLINK("https://pbs.twimg.com/profile_images/1452563613512781827/sJAkfm7z_normal.jpg")</f>
        <v>https://pbs.twimg.com/profile_images/1452563613512781827/sJAkfm7z_normal.jpg</v>
      </c>
      <c r="W228" s="84">
        <v>44518.62847222222</v>
      </c>
      <c r="X228" s="90">
        <v>44518</v>
      </c>
      <c r="Y228" s="87" t="s">
        <v>1154</v>
      </c>
      <c r="Z228" s="85" t="str">
        <f>HYPERLINK("https://twitter.com/evbuomwanefe/status/1461349727816101888")</f>
        <v>https://twitter.com/evbuomwanefe/status/1461349727816101888</v>
      </c>
      <c r="AA228" s="82"/>
      <c r="AB228" s="82"/>
      <c r="AC228" s="87" t="s">
        <v>1634</v>
      </c>
      <c r="AD228" s="82"/>
      <c r="AE228" s="82" t="b">
        <v>0</v>
      </c>
      <c r="AF228" s="82">
        <v>1</v>
      </c>
      <c r="AG228" s="87" t="s">
        <v>1815</v>
      </c>
      <c r="AH228" s="82" t="b">
        <v>0</v>
      </c>
      <c r="AI228" s="82" t="s">
        <v>1826</v>
      </c>
      <c r="AJ228" s="82"/>
      <c r="AK228" s="87" t="s">
        <v>1815</v>
      </c>
      <c r="AL228" s="82" t="b">
        <v>0</v>
      </c>
      <c r="AM228" s="82">
        <v>1</v>
      </c>
      <c r="AN228" s="87" t="s">
        <v>1815</v>
      </c>
      <c r="AO228" s="87" t="s">
        <v>1850</v>
      </c>
      <c r="AP228" s="82" t="b">
        <v>0</v>
      </c>
      <c r="AQ228" s="87" t="s">
        <v>1634</v>
      </c>
      <c r="AR228" s="82"/>
      <c r="AS228" s="82">
        <v>0</v>
      </c>
      <c r="AT228" s="82">
        <v>0</v>
      </c>
      <c r="AU228" s="82"/>
      <c r="AV228" s="82"/>
      <c r="AW228" s="82"/>
      <c r="AX228" s="82"/>
      <c r="AY228" s="82"/>
      <c r="AZ228" s="82"/>
      <c r="BA228" s="82"/>
      <c r="BB228" s="82"/>
      <c r="BC228">
        <v>4</v>
      </c>
      <c r="BD228" s="81" t="str">
        <f>REPLACE(INDEX(GroupVertices[Group],MATCH(Edges[[#This Row],[Vertex 1]],GroupVertices[Vertex],0)),1,1,"")</f>
        <v>2</v>
      </c>
      <c r="BE228" s="81" t="str">
        <f>REPLACE(INDEX(GroupVertices[Group],MATCH(Edges[[#This Row],[Vertex 2]],GroupVertices[Vertex],0)),1,1,"")</f>
        <v>2</v>
      </c>
      <c r="BF228" s="49"/>
      <c r="BG228" s="50"/>
      <c r="BH228" s="49"/>
      <c r="BI228" s="50"/>
      <c r="BJ228" s="49"/>
      <c r="BK228" s="50"/>
      <c r="BL228" s="49"/>
      <c r="BM228" s="50"/>
      <c r="BN228" s="49"/>
    </row>
    <row r="229" spans="1:66" ht="15">
      <c r="A229" s="66" t="s">
        <v>381</v>
      </c>
      <c r="B229" s="66" t="s">
        <v>381</v>
      </c>
      <c r="C229" s="67" t="s">
        <v>4510</v>
      </c>
      <c r="D229" s="68">
        <v>3.6363636363636362</v>
      </c>
      <c r="E229" s="69" t="s">
        <v>136</v>
      </c>
      <c r="F229" s="70">
        <v>31.2972972972973</v>
      </c>
      <c r="G229" s="67"/>
      <c r="H229" s="71"/>
      <c r="I229" s="72"/>
      <c r="J229" s="72"/>
      <c r="K229" s="35" t="s">
        <v>65</v>
      </c>
      <c r="L229" s="80">
        <v>229</v>
      </c>
      <c r="M229" s="80"/>
      <c r="N229" s="74"/>
      <c r="O229" s="82" t="s">
        <v>214</v>
      </c>
      <c r="P229" s="84">
        <v>44518.635416666664</v>
      </c>
      <c r="Q229" s="82" t="s">
        <v>718</v>
      </c>
      <c r="R229" s="82" t="s">
        <v>896</v>
      </c>
      <c r="S229" s="82" t="s">
        <v>929</v>
      </c>
      <c r="T229" s="87" t="s">
        <v>948</v>
      </c>
      <c r="U229" s="82"/>
      <c r="V229" s="85" t="str">
        <f>HYPERLINK("https://pbs.twimg.com/profile_images/1007159438673960960/XbDjfla2_normal.jpg")</f>
        <v>https://pbs.twimg.com/profile_images/1007159438673960960/XbDjfla2_normal.jpg</v>
      </c>
      <c r="W229" s="84">
        <v>44518.635416666664</v>
      </c>
      <c r="X229" s="90">
        <v>44518</v>
      </c>
      <c r="Y229" s="87" t="s">
        <v>1214</v>
      </c>
      <c r="Z229" s="85" t="str">
        <f>HYPERLINK("https://twitter.com/lizcorteville/status/1461352244188631041")</f>
        <v>https://twitter.com/lizcorteville/status/1461352244188631041</v>
      </c>
      <c r="AA229" s="82"/>
      <c r="AB229" s="82"/>
      <c r="AC229" s="87" t="s">
        <v>1635</v>
      </c>
      <c r="AD229" s="82"/>
      <c r="AE229" s="82" t="b">
        <v>0</v>
      </c>
      <c r="AF229" s="82">
        <v>0</v>
      </c>
      <c r="AG229" s="87" t="s">
        <v>1815</v>
      </c>
      <c r="AH229" s="82" t="b">
        <v>1</v>
      </c>
      <c r="AI229" s="82" t="s">
        <v>1826</v>
      </c>
      <c r="AJ229" s="82"/>
      <c r="AK229" s="87" t="s">
        <v>1842</v>
      </c>
      <c r="AL229" s="82" t="b">
        <v>0</v>
      </c>
      <c r="AM229" s="82">
        <v>1</v>
      </c>
      <c r="AN229" s="87" t="s">
        <v>1815</v>
      </c>
      <c r="AO229" s="87" t="s">
        <v>1850</v>
      </c>
      <c r="AP229" s="82" t="b">
        <v>0</v>
      </c>
      <c r="AQ229" s="87" t="s">
        <v>1635</v>
      </c>
      <c r="AR229" s="82"/>
      <c r="AS229" s="82">
        <v>0</v>
      </c>
      <c r="AT229" s="82">
        <v>0</v>
      </c>
      <c r="AU229" s="82"/>
      <c r="AV229" s="82"/>
      <c r="AW229" s="82"/>
      <c r="AX229" s="82"/>
      <c r="AY229" s="82"/>
      <c r="AZ229" s="82"/>
      <c r="BA229" s="82"/>
      <c r="BB229" s="82"/>
      <c r="BC229">
        <v>2</v>
      </c>
      <c r="BD229" s="81" t="str">
        <f>REPLACE(INDEX(GroupVertices[Group],MATCH(Edges[[#This Row],[Vertex 1]],GroupVertices[Vertex],0)),1,1,"")</f>
        <v>2</v>
      </c>
      <c r="BE229" s="81" t="str">
        <f>REPLACE(INDEX(GroupVertices[Group],MATCH(Edges[[#This Row],[Vertex 2]],GroupVertices[Vertex],0)),1,1,"")</f>
        <v>2</v>
      </c>
      <c r="BF229" s="49">
        <v>0</v>
      </c>
      <c r="BG229" s="50">
        <v>0</v>
      </c>
      <c r="BH229" s="49">
        <v>1</v>
      </c>
      <c r="BI229" s="50">
        <v>7.142857142857143</v>
      </c>
      <c r="BJ229" s="49">
        <v>0</v>
      </c>
      <c r="BK229" s="50">
        <v>0</v>
      </c>
      <c r="BL229" s="49">
        <v>13</v>
      </c>
      <c r="BM229" s="50">
        <v>92.85714285714286</v>
      </c>
      <c r="BN229" s="49">
        <v>14</v>
      </c>
    </row>
    <row r="230" spans="1:66" ht="15">
      <c r="A230" s="66" t="s">
        <v>381</v>
      </c>
      <c r="B230" s="66" t="s">
        <v>381</v>
      </c>
      <c r="C230" s="67" t="s">
        <v>4510</v>
      </c>
      <c r="D230" s="68">
        <v>3.6363636363636362</v>
      </c>
      <c r="E230" s="69" t="s">
        <v>136</v>
      </c>
      <c r="F230" s="70">
        <v>31.2972972972973</v>
      </c>
      <c r="G230" s="67"/>
      <c r="H230" s="71"/>
      <c r="I230" s="72"/>
      <c r="J230" s="72"/>
      <c r="K230" s="35" t="s">
        <v>65</v>
      </c>
      <c r="L230" s="80">
        <v>230</v>
      </c>
      <c r="M230" s="80"/>
      <c r="N230" s="74"/>
      <c r="O230" s="82" t="s">
        <v>214</v>
      </c>
      <c r="P230" s="84">
        <v>44518.62847222222</v>
      </c>
      <c r="Q230" s="82" t="s">
        <v>719</v>
      </c>
      <c r="R230" s="82" t="s">
        <v>897</v>
      </c>
      <c r="S230" s="82" t="s">
        <v>929</v>
      </c>
      <c r="T230" s="87" t="s">
        <v>948</v>
      </c>
      <c r="U230" s="82"/>
      <c r="V230" s="85" t="str">
        <f>HYPERLINK("https://pbs.twimg.com/profile_images/1007159438673960960/XbDjfla2_normal.jpg")</f>
        <v>https://pbs.twimg.com/profile_images/1007159438673960960/XbDjfla2_normal.jpg</v>
      </c>
      <c r="W230" s="84">
        <v>44518.62847222222</v>
      </c>
      <c r="X230" s="90">
        <v>44518</v>
      </c>
      <c r="Y230" s="87" t="s">
        <v>1154</v>
      </c>
      <c r="Z230" s="85" t="str">
        <f>HYPERLINK("https://twitter.com/lizcorteville/status/1461349728147451906")</f>
        <v>https://twitter.com/lizcorteville/status/1461349728147451906</v>
      </c>
      <c r="AA230" s="82"/>
      <c r="AB230" s="82"/>
      <c r="AC230" s="87" t="s">
        <v>1636</v>
      </c>
      <c r="AD230" s="82"/>
      <c r="AE230" s="82" t="b">
        <v>0</v>
      </c>
      <c r="AF230" s="82">
        <v>1</v>
      </c>
      <c r="AG230" s="87" t="s">
        <v>1815</v>
      </c>
      <c r="AH230" s="82" t="b">
        <v>1</v>
      </c>
      <c r="AI230" s="82" t="s">
        <v>1826</v>
      </c>
      <c r="AJ230" s="82"/>
      <c r="AK230" s="87" t="s">
        <v>1843</v>
      </c>
      <c r="AL230" s="82" t="b">
        <v>0</v>
      </c>
      <c r="AM230" s="82">
        <v>2</v>
      </c>
      <c r="AN230" s="87" t="s">
        <v>1815</v>
      </c>
      <c r="AO230" s="87" t="s">
        <v>1850</v>
      </c>
      <c r="AP230" s="82" t="b">
        <v>0</v>
      </c>
      <c r="AQ230" s="87" t="s">
        <v>1636</v>
      </c>
      <c r="AR230" s="82"/>
      <c r="AS230" s="82">
        <v>0</v>
      </c>
      <c r="AT230" s="82">
        <v>0</v>
      </c>
      <c r="AU230" s="82"/>
      <c r="AV230" s="82"/>
      <c r="AW230" s="82"/>
      <c r="AX230" s="82"/>
      <c r="AY230" s="82"/>
      <c r="AZ230" s="82"/>
      <c r="BA230" s="82"/>
      <c r="BB230" s="82"/>
      <c r="BC230">
        <v>2</v>
      </c>
      <c r="BD230" s="81" t="str">
        <f>REPLACE(INDEX(GroupVertices[Group],MATCH(Edges[[#This Row],[Vertex 1]],GroupVertices[Vertex],0)),1,1,"")</f>
        <v>2</v>
      </c>
      <c r="BE230" s="81" t="str">
        <f>REPLACE(INDEX(GroupVertices[Group],MATCH(Edges[[#This Row],[Vertex 2]],GroupVertices[Vertex],0)),1,1,"")</f>
        <v>2</v>
      </c>
      <c r="BF230" s="49">
        <v>2</v>
      </c>
      <c r="BG230" s="50">
        <v>11.764705882352942</v>
      </c>
      <c r="BH230" s="49">
        <v>1</v>
      </c>
      <c r="BI230" s="50">
        <v>5.882352941176471</v>
      </c>
      <c r="BJ230" s="49">
        <v>0</v>
      </c>
      <c r="BK230" s="50">
        <v>0</v>
      </c>
      <c r="BL230" s="49">
        <v>14</v>
      </c>
      <c r="BM230" s="50">
        <v>82.3529411764706</v>
      </c>
      <c r="BN230" s="49">
        <v>17</v>
      </c>
    </row>
    <row r="231" spans="1:66" ht="15">
      <c r="A231" s="66" t="s">
        <v>380</v>
      </c>
      <c r="B231" s="66" t="s">
        <v>381</v>
      </c>
      <c r="C231" s="67" t="s">
        <v>4515</v>
      </c>
      <c r="D231" s="68">
        <v>4.909090909090909</v>
      </c>
      <c r="E231" s="69" t="s">
        <v>136</v>
      </c>
      <c r="F231" s="70">
        <v>29.89189189189189</v>
      </c>
      <c r="G231" s="67"/>
      <c r="H231" s="71"/>
      <c r="I231" s="72"/>
      <c r="J231" s="72"/>
      <c r="K231" s="35" t="s">
        <v>65</v>
      </c>
      <c r="L231" s="80">
        <v>231</v>
      </c>
      <c r="M231" s="80"/>
      <c r="N231" s="74"/>
      <c r="O231" s="82" t="s">
        <v>528</v>
      </c>
      <c r="P231" s="84">
        <v>44518.635416666664</v>
      </c>
      <c r="Q231" s="82" t="s">
        <v>714</v>
      </c>
      <c r="R231" s="82"/>
      <c r="S231" s="82"/>
      <c r="T231" s="87" t="s">
        <v>1049</v>
      </c>
      <c r="U231" s="82"/>
      <c r="V231" s="85" t="str">
        <f>HYPERLINK("https://pbs.twimg.com/profile_images/1452563613512781827/sJAkfm7z_normal.jpg")</f>
        <v>https://pbs.twimg.com/profile_images/1452563613512781827/sJAkfm7z_normal.jpg</v>
      </c>
      <c r="W231" s="84">
        <v>44518.635416666664</v>
      </c>
      <c r="X231" s="90">
        <v>44518</v>
      </c>
      <c r="Y231" s="87" t="s">
        <v>1214</v>
      </c>
      <c r="Z231" s="85" t="str">
        <f>HYPERLINK("https://twitter.com/evbuomwanefe/status/1461352243987427328")</f>
        <v>https://twitter.com/evbuomwanefe/status/1461352243987427328</v>
      </c>
      <c r="AA231" s="82"/>
      <c r="AB231" s="82"/>
      <c r="AC231" s="87" t="s">
        <v>1631</v>
      </c>
      <c r="AD231" s="82"/>
      <c r="AE231" s="82" t="b">
        <v>0</v>
      </c>
      <c r="AF231" s="82">
        <v>1</v>
      </c>
      <c r="AG231" s="87" t="s">
        <v>1815</v>
      </c>
      <c r="AH231" s="82" t="b">
        <v>0</v>
      </c>
      <c r="AI231" s="82" t="s">
        <v>1826</v>
      </c>
      <c r="AJ231" s="82"/>
      <c r="AK231" s="87" t="s">
        <v>1815</v>
      </c>
      <c r="AL231" s="82" t="b">
        <v>0</v>
      </c>
      <c r="AM231" s="82">
        <v>1</v>
      </c>
      <c r="AN231" s="87" t="s">
        <v>1815</v>
      </c>
      <c r="AO231" s="87" t="s">
        <v>1850</v>
      </c>
      <c r="AP231" s="82" t="b">
        <v>0</v>
      </c>
      <c r="AQ231" s="87" t="s">
        <v>1631</v>
      </c>
      <c r="AR231" s="82"/>
      <c r="AS231" s="82">
        <v>0</v>
      </c>
      <c r="AT231" s="82">
        <v>0</v>
      </c>
      <c r="AU231" s="82"/>
      <c r="AV231" s="82"/>
      <c r="AW231" s="82"/>
      <c r="AX231" s="82"/>
      <c r="AY231" s="82"/>
      <c r="AZ231" s="82"/>
      <c r="BA231" s="82"/>
      <c r="BB231" s="82"/>
      <c r="BC231">
        <v>4</v>
      </c>
      <c r="BD231" s="81" t="str">
        <f>REPLACE(INDEX(GroupVertices[Group],MATCH(Edges[[#This Row],[Vertex 1]],GroupVertices[Vertex],0)),1,1,"")</f>
        <v>2</v>
      </c>
      <c r="BE231" s="81" t="str">
        <f>REPLACE(INDEX(GroupVertices[Group],MATCH(Edges[[#This Row],[Vertex 2]],GroupVertices[Vertex],0)),1,1,"")</f>
        <v>2</v>
      </c>
      <c r="BF231" s="49">
        <v>0</v>
      </c>
      <c r="BG231" s="50">
        <v>0</v>
      </c>
      <c r="BH231" s="49">
        <v>0</v>
      </c>
      <c r="BI231" s="50">
        <v>0</v>
      </c>
      <c r="BJ231" s="49">
        <v>0</v>
      </c>
      <c r="BK231" s="50">
        <v>0</v>
      </c>
      <c r="BL231" s="49">
        <v>19</v>
      </c>
      <c r="BM231" s="50">
        <v>100</v>
      </c>
      <c r="BN231" s="49">
        <v>19</v>
      </c>
    </row>
    <row r="232" spans="1:66" ht="15">
      <c r="A232" s="66" t="s">
        <v>380</v>
      </c>
      <c r="B232" s="66" t="s">
        <v>381</v>
      </c>
      <c r="C232" s="67" t="s">
        <v>4515</v>
      </c>
      <c r="D232" s="68">
        <v>4.909090909090909</v>
      </c>
      <c r="E232" s="69" t="s">
        <v>136</v>
      </c>
      <c r="F232" s="70">
        <v>29.89189189189189</v>
      </c>
      <c r="G232" s="67"/>
      <c r="H232" s="71"/>
      <c r="I232" s="72"/>
      <c r="J232" s="72"/>
      <c r="K232" s="35" t="s">
        <v>65</v>
      </c>
      <c r="L232" s="80">
        <v>232</v>
      </c>
      <c r="M232" s="80"/>
      <c r="N232" s="74"/>
      <c r="O232" s="82" t="s">
        <v>528</v>
      </c>
      <c r="P232" s="84">
        <v>44518.649305555555</v>
      </c>
      <c r="Q232" s="82" t="s">
        <v>715</v>
      </c>
      <c r="R232" s="82"/>
      <c r="S232" s="82"/>
      <c r="T232" s="87" t="s">
        <v>1050</v>
      </c>
      <c r="U232" s="82"/>
      <c r="V232" s="85" t="str">
        <f>HYPERLINK("https://pbs.twimg.com/profile_images/1452563613512781827/sJAkfm7z_normal.jpg")</f>
        <v>https://pbs.twimg.com/profile_images/1452563613512781827/sJAkfm7z_normal.jpg</v>
      </c>
      <c r="W232" s="84">
        <v>44518.649305555555</v>
      </c>
      <c r="X232" s="90">
        <v>44518</v>
      </c>
      <c r="Y232" s="87" t="s">
        <v>1307</v>
      </c>
      <c r="Z232" s="85" t="str">
        <f>HYPERLINK("https://twitter.com/evbuomwanefe/status/1461357277479272476")</f>
        <v>https://twitter.com/evbuomwanefe/status/1461357277479272476</v>
      </c>
      <c r="AA232" s="82"/>
      <c r="AB232" s="82"/>
      <c r="AC232" s="87" t="s">
        <v>1632</v>
      </c>
      <c r="AD232" s="82"/>
      <c r="AE232" s="82" t="b">
        <v>0</v>
      </c>
      <c r="AF232" s="82">
        <v>2</v>
      </c>
      <c r="AG232" s="87" t="s">
        <v>1815</v>
      </c>
      <c r="AH232" s="82" t="b">
        <v>0</v>
      </c>
      <c r="AI232" s="82" t="s">
        <v>1826</v>
      </c>
      <c r="AJ232" s="82"/>
      <c r="AK232" s="87" t="s">
        <v>1815</v>
      </c>
      <c r="AL232" s="82" t="b">
        <v>0</v>
      </c>
      <c r="AM232" s="82">
        <v>1</v>
      </c>
      <c r="AN232" s="87" t="s">
        <v>1815</v>
      </c>
      <c r="AO232" s="87" t="s">
        <v>1850</v>
      </c>
      <c r="AP232" s="82" t="b">
        <v>0</v>
      </c>
      <c r="AQ232" s="87" t="s">
        <v>1632</v>
      </c>
      <c r="AR232" s="82"/>
      <c r="AS232" s="82">
        <v>0</v>
      </c>
      <c r="AT232" s="82">
        <v>0</v>
      </c>
      <c r="AU232" s="82"/>
      <c r="AV232" s="82"/>
      <c r="AW232" s="82"/>
      <c r="AX232" s="82"/>
      <c r="AY232" s="82"/>
      <c r="AZ232" s="82"/>
      <c r="BA232" s="82"/>
      <c r="BB232" s="82"/>
      <c r="BC232">
        <v>4</v>
      </c>
      <c r="BD232" s="81" t="str">
        <f>REPLACE(INDEX(GroupVertices[Group],MATCH(Edges[[#This Row],[Vertex 1]],GroupVertices[Vertex],0)),1,1,"")</f>
        <v>2</v>
      </c>
      <c r="BE232" s="81" t="str">
        <f>REPLACE(INDEX(GroupVertices[Group],MATCH(Edges[[#This Row],[Vertex 2]],GroupVertices[Vertex],0)),1,1,"")</f>
        <v>2</v>
      </c>
      <c r="BF232" s="49">
        <v>2</v>
      </c>
      <c r="BG232" s="50">
        <v>9.523809523809524</v>
      </c>
      <c r="BH232" s="49">
        <v>2</v>
      </c>
      <c r="BI232" s="50">
        <v>9.523809523809524</v>
      </c>
      <c r="BJ232" s="49">
        <v>0</v>
      </c>
      <c r="BK232" s="50">
        <v>0</v>
      </c>
      <c r="BL232" s="49">
        <v>17</v>
      </c>
      <c r="BM232" s="50">
        <v>80.95238095238095</v>
      </c>
      <c r="BN232" s="49">
        <v>21</v>
      </c>
    </row>
    <row r="233" spans="1:66" ht="15">
      <c r="A233" s="66" t="s">
        <v>380</v>
      </c>
      <c r="B233" s="66" t="s">
        <v>381</v>
      </c>
      <c r="C233" s="67" t="s">
        <v>4515</v>
      </c>
      <c r="D233" s="68">
        <v>4.909090909090909</v>
      </c>
      <c r="E233" s="69" t="s">
        <v>136</v>
      </c>
      <c r="F233" s="70">
        <v>29.89189189189189</v>
      </c>
      <c r="G233" s="67"/>
      <c r="H233" s="71"/>
      <c r="I233" s="72"/>
      <c r="J233" s="72"/>
      <c r="K233" s="35" t="s">
        <v>65</v>
      </c>
      <c r="L233" s="80">
        <v>233</v>
      </c>
      <c r="M233" s="80"/>
      <c r="N233" s="74"/>
      <c r="O233" s="82" t="s">
        <v>528</v>
      </c>
      <c r="P233" s="84">
        <v>44518.645833333336</v>
      </c>
      <c r="Q233" s="82" t="s">
        <v>716</v>
      </c>
      <c r="R233" s="82"/>
      <c r="S233" s="82"/>
      <c r="T233" s="87" t="s">
        <v>1051</v>
      </c>
      <c r="U233" s="82"/>
      <c r="V233" s="85" t="str">
        <f>HYPERLINK("https://pbs.twimg.com/profile_images/1452563613512781827/sJAkfm7z_normal.jpg")</f>
        <v>https://pbs.twimg.com/profile_images/1452563613512781827/sJAkfm7z_normal.jpg</v>
      </c>
      <c r="W233" s="84">
        <v>44518.645833333336</v>
      </c>
      <c r="X233" s="90">
        <v>44518</v>
      </c>
      <c r="Y233" s="87" t="s">
        <v>1291</v>
      </c>
      <c r="Z233" s="85" t="str">
        <f>HYPERLINK("https://twitter.com/evbuomwanefe/status/1461356020761079809")</f>
        <v>https://twitter.com/evbuomwanefe/status/1461356020761079809</v>
      </c>
      <c r="AA233" s="82"/>
      <c r="AB233" s="82"/>
      <c r="AC233" s="87" t="s">
        <v>1633</v>
      </c>
      <c r="AD233" s="82"/>
      <c r="AE233" s="82" t="b">
        <v>0</v>
      </c>
      <c r="AF233" s="82">
        <v>2</v>
      </c>
      <c r="AG233" s="87" t="s">
        <v>1815</v>
      </c>
      <c r="AH233" s="82" t="b">
        <v>0</v>
      </c>
      <c r="AI233" s="82" t="s">
        <v>1826</v>
      </c>
      <c r="AJ233" s="82"/>
      <c r="AK233" s="87" t="s">
        <v>1815</v>
      </c>
      <c r="AL233" s="82" t="b">
        <v>0</v>
      </c>
      <c r="AM233" s="82">
        <v>1</v>
      </c>
      <c r="AN233" s="87" t="s">
        <v>1815</v>
      </c>
      <c r="AO233" s="87" t="s">
        <v>1850</v>
      </c>
      <c r="AP233" s="82" t="b">
        <v>0</v>
      </c>
      <c r="AQ233" s="87" t="s">
        <v>1633</v>
      </c>
      <c r="AR233" s="82"/>
      <c r="AS233" s="82">
        <v>0</v>
      </c>
      <c r="AT233" s="82">
        <v>0</v>
      </c>
      <c r="AU233" s="82"/>
      <c r="AV233" s="82"/>
      <c r="AW233" s="82"/>
      <c r="AX233" s="82"/>
      <c r="AY233" s="82"/>
      <c r="AZ233" s="82"/>
      <c r="BA233" s="82"/>
      <c r="BB233" s="82"/>
      <c r="BC233">
        <v>4</v>
      </c>
      <c r="BD233" s="81" t="str">
        <f>REPLACE(INDEX(GroupVertices[Group],MATCH(Edges[[#This Row],[Vertex 1]],GroupVertices[Vertex],0)),1,1,"")</f>
        <v>2</v>
      </c>
      <c r="BE233" s="81" t="str">
        <f>REPLACE(INDEX(GroupVertices[Group],MATCH(Edges[[#This Row],[Vertex 2]],GroupVertices[Vertex],0)),1,1,"")</f>
        <v>2</v>
      </c>
      <c r="BF233" s="49">
        <v>3</v>
      </c>
      <c r="BG233" s="50">
        <v>8.823529411764707</v>
      </c>
      <c r="BH233" s="49">
        <v>0</v>
      </c>
      <c r="BI233" s="50">
        <v>0</v>
      </c>
      <c r="BJ233" s="49">
        <v>0</v>
      </c>
      <c r="BK233" s="50">
        <v>0</v>
      </c>
      <c r="BL233" s="49">
        <v>31</v>
      </c>
      <c r="BM233" s="50">
        <v>91.17647058823529</v>
      </c>
      <c r="BN233" s="49">
        <v>34</v>
      </c>
    </row>
    <row r="234" spans="1:66" ht="15">
      <c r="A234" s="66" t="s">
        <v>380</v>
      </c>
      <c r="B234" s="66" t="s">
        <v>381</v>
      </c>
      <c r="C234" s="67" t="s">
        <v>4515</v>
      </c>
      <c r="D234" s="68">
        <v>4.909090909090909</v>
      </c>
      <c r="E234" s="69" t="s">
        <v>136</v>
      </c>
      <c r="F234" s="70">
        <v>29.89189189189189</v>
      </c>
      <c r="G234" s="67"/>
      <c r="H234" s="71"/>
      <c r="I234" s="72"/>
      <c r="J234" s="72"/>
      <c r="K234" s="35" t="s">
        <v>65</v>
      </c>
      <c r="L234" s="80">
        <v>234</v>
      </c>
      <c r="M234" s="80"/>
      <c r="N234" s="74"/>
      <c r="O234" s="82" t="s">
        <v>528</v>
      </c>
      <c r="P234" s="84">
        <v>44518.62847222222</v>
      </c>
      <c r="Q234" s="82" t="s">
        <v>717</v>
      </c>
      <c r="R234" s="82"/>
      <c r="S234" s="82"/>
      <c r="T234" s="87" t="s">
        <v>960</v>
      </c>
      <c r="U234" s="82"/>
      <c r="V234" s="85" t="str">
        <f>HYPERLINK("https://pbs.twimg.com/profile_images/1452563613512781827/sJAkfm7z_normal.jpg")</f>
        <v>https://pbs.twimg.com/profile_images/1452563613512781827/sJAkfm7z_normal.jpg</v>
      </c>
      <c r="W234" s="84">
        <v>44518.62847222222</v>
      </c>
      <c r="X234" s="90">
        <v>44518</v>
      </c>
      <c r="Y234" s="87" t="s">
        <v>1154</v>
      </c>
      <c r="Z234" s="85" t="str">
        <f>HYPERLINK("https://twitter.com/evbuomwanefe/status/1461349727816101888")</f>
        <v>https://twitter.com/evbuomwanefe/status/1461349727816101888</v>
      </c>
      <c r="AA234" s="82"/>
      <c r="AB234" s="82"/>
      <c r="AC234" s="87" t="s">
        <v>1634</v>
      </c>
      <c r="AD234" s="82"/>
      <c r="AE234" s="82" t="b">
        <v>0</v>
      </c>
      <c r="AF234" s="82">
        <v>1</v>
      </c>
      <c r="AG234" s="87" t="s">
        <v>1815</v>
      </c>
      <c r="AH234" s="82" t="b">
        <v>0</v>
      </c>
      <c r="AI234" s="82" t="s">
        <v>1826</v>
      </c>
      <c r="AJ234" s="82"/>
      <c r="AK234" s="87" t="s">
        <v>1815</v>
      </c>
      <c r="AL234" s="82" t="b">
        <v>0</v>
      </c>
      <c r="AM234" s="82">
        <v>1</v>
      </c>
      <c r="AN234" s="87" t="s">
        <v>1815</v>
      </c>
      <c r="AO234" s="87" t="s">
        <v>1850</v>
      </c>
      <c r="AP234" s="82" t="b">
        <v>0</v>
      </c>
      <c r="AQ234" s="87" t="s">
        <v>1634</v>
      </c>
      <c r="AR234" s="82"/>
      <c r="AS234" s="82">
        <v>0</v>
      </c>
      <c r="AT234" s="82">
        <v>0</v>
      </c>
      <c r="AU234" s="82"/>
      <c r="AV234" s="82"/>
      <c r="AW234" s="82"/>
      <c r="AX234" s="82"/>
      <c r="AY234" s="82"/>
      <c r="AZ234" s="82"/>
      <c r="BA234" s="82"/>
      <c r="BB234" s="82"/>
      <c r="BC234">
        <v>4</v>
      </c>
      <c r="BD234" s="81" t="str">
        <f>REPLACE(INDEX(GroupVertices[Group],MATCH(Edges[[#This Row],[Vertex 1]],GroupVertices[Vertex],0)),1,1,"")</f>
        <v>2</v>
      </c>
      <c r="BE234" s="81" t="str">
        <f>REPLACE(INDEX(GroupVertices[Group],MATCH(Edges[[#This Row],[Vertex 2]],GroupVertices[Vertex],0)),1,1,"")</f>
        <v>2</v>
      </c>
      <c r="BF234" s="49">
        <v>0</v>
      </c>
      <c r="BG234" s="50">
        <v>0</v>
      </c>
      <c r="BH234" s="49">
        <v>2</v>
      </c>
      <c r="BI234" s="50">
        <v>5.882352941176471</v>
      </c>
      <c r="BJ234" s="49">
        <v>0</v>
      </c>
      <c r="BK234" s="50">
        <v>0</v>
      </c>
      <c r="BL234" s="49">
        <v>32</v>
      </c>
      <c r="BM234" s="50">
        <v>94.11764705882354</v>
      </c>
      <c r="BN234" s="49">
        <v>34</v>
      </c>
    </row>
    <row r="235" spans="1:66" ht="15">
      <c r="A235" s="66" t="s">
        <v>380</v>
      </c>
      <c r="B235" s="66" t="s">
        <v>430</v>
      </c>
      <c r="C235" s="67" t="s">
        <v>4509</v>
      </c>
      <c r="D235" s="68">
        <v>3</v>
      </c>
      <c r="E235" s="69" t="s">
        <v>132</v>
      </c>
      <c r="F235" s="70">
        <v>32</v>
      </c>
      <c r="G235" s="67"/>
      <c r="H235" s="71"/>
      <c r="I235" s="72"/>
      <c r="J235" s="72"/>
      <c r="K235" s="35" t="s">
        <v>65</v>
      </c>
      <c r="L235" s="80">
        <v>235</v>
      </c>
      <c r="M235" s="80"/>
      <c r="N235" s="74"/>
      <c r="O235" s="82" t="s">
        <v>528</v>
      </c>
      <c r="P235" s="84">
        <v>44518.635416666664</v>
      </c>
      <c r="Q235" s="82" t="s">
        <v>714</v>
      </c>
      <c r="R235" s="82"/>
      <c r="S235" s="82"/>
      <c r="T235" s="87" t="s">
        <v>1049</v>
      </c>
      <c r="U235" s="82"/>
      <c r="V235" s="85" t="str">
        <f>HYPERLINK("https://pbs.twimg.com/profile_images/1452563613512781827/sJAkfm7z_normal.jpg")</f>
        <v>https://pbs.twimg.com/profile_images/1452563613512781827/sJAkfm7z_normal.jpg</v>
      </c>
      <c r="W235" s="84">
        <v>44518.635416666664</v>
      </c>
      <c r="X235" s="90">
        <v>44518</v>
      </c>
      <c r="Y235" s="87" t="s">
        <v>1214</v>
      </c>
      <c r="Z235" s="85" t="str">
        <f>HYPERLINK("https://twitter.com/evbuomwanefe/status/1461352243987427328")</f>
        <v>https://twitter.com/evbuomwanefe/status/1461352243987427328</v>
      </c>
      <c r="AA235" s="82"/>
      <c r="AB235" s="82"/>
      <c r="AC235" s="87" t="s">
        <v>1631</v>
      </c>
      <c r="AD235" s="82"/>
      <c r="AE235" s="82" t="b">
        <v>0</v>
      </c>
      <c r="AF235" s="82">
        <v>1</v>
      </c>
      <c r="AG235" s="87" t="s">
        <v>1815</v>
      </c>
      <c r="AH235" s="82" t="b">
        <v>0</v>
      </c>
      <c r="AI235" s="82" t="s">
        <v>1826</v>
      </c>
      <c r="AJ235" s="82"/>
      <c r="AK235" s="87" t="s">
        <v>1815</v>
      </c>
      <c r="AL235" s="82" t="b">
        <v>0</v>
      </c>
      <c r="AM235" s="82">
        <v>1</v>
      </c>
      <c r="AN235" s="87" t="s">
        <v>1815</v>
      </c>
      <c r="AO235" s="87" t="s">
        <v>1850</v>
      </c>
      <c r="AP235" s="82" t="b">
        <v>0</v>
      </c>
      <c r="AQ235" s="87" t="s">
        <v>1631</v>
      </c>
      <c r="AR235" s="82"/>
      <c r="AS235" s="82">
        <v>0</v>
      </c>
      <c r="AT235" s="82">
        <v>0</v>
      </c>
      <c r="AU235" s="82"/>
      <c r="AV235" s="82"/>
      <c r="AW235" s="82"/>
      <c r="AX235" s="82"/>
      <c r="AY235" s="82"/>
      <c r="AZ235" s="82"/>
      <c r="BA235" s="82"/>
      <c r="BB235" s="82"/>
      <c r="BC235">
        <v>1</v>
      </c>
      <c r="BD235" s="81" t="str">
        <f>REPLACE(INDEX(GroupVertices[Group],MATCH(Edges[[#This Row],[Vertex 1]],GroupVertices[Vertex],0)),1,1,"")</f>
        <v>2</v>
      </c>
      <c r="BE235" s="81" t="str">
        <f>REPLACE(INDEX(GroupVertices[Group],MATCH(Edges[[#This Row],[Vertex 2]],GroupVertices[Vertex],0)),1,1,"")</f>
        <v>2</v>
      </c>
      <c r="BF235" s="49"/>
      <c r="BG235" s="50"/>
      <c r="BH235" s="49"/>
      <c r="BI235" s="50"/>
      <c r="BJ235" s="49"/>
      <c r="BK235" s="50"/>
      <c r="BL235" s="49"/>
      <c r="BM235" s="50"/>
      <c r="BN235" s="49"/>
    </row>
    <row r="236" spans="1:66" ht="15">
      <c r="A236" s="66" t="s">
        <v>380</v>
      </c>
      <c r="B236" s="66" t="s">
        <v>441</v>
      </c>
      <c r="C236" s="67" t="s">
        <v>4509</v>
      </c>
      <c r="D236" s="68">
        <v>3</v>
      </c>
      <c r="E236" s="69" t="s">
        <v>132</v>
      </c>
      <c r="F236" s="70">
        <v>32</v>
      </c>
      <c r="G236" s="67"/>
      <c r="H236" s="71"/>
      <c r="I236" s="72"/>
      <c r="J236" s="72"/>
      <c r="K236" s="35" t="s">
        <v>65</v>
      </c>
      <c r="L236" s="80">
        <v>236</v>
      </c>
      <c r="M236" s="80"/>
      <c r="N236" s="74"/>
      <c r="O236" s="82" t="s">
        <v>529</v>
      </c>
      <c r="P236" s="84">
        <v>44518.641435185185</v>
      </c>
      <c r="Q236" s="82" t="s">
        <v>720</v>
      </c>
      <c r="R236" s="82"/>
      <c r="S236" s="82"/>
      <c r="T236" s="87" t="s">
        <v>1049</v>
      </c>
      <c r="U236" s="82"/>
      <c r="V236" s="85" t="str">
        <f>HYPERLINK("https://pbs.twimg.com/profile_images/1452563613512781827/sJAkfm7z_normal.jpg")</f>
        <v>https://pbs.twimg.com/profile_images/1452563613512781827/sJAkfm7z_normal.jpg</v>
      </c>
      <c r="W236" s="84">
        <v>44518.641435185185</v>
      </c>
      <c r="X236" s="90">
        <v>44518</v>
      </c>
      <c r="Y236" s="87" t="s">
        <v>1308</v>
      </c>
      <c r="Z236" s="85" t="str">
        <f>HYPERLINK("https://twitter.com/evbuomwanefe/status/1461354424199102470")</f>
        <v>https://twitter.com/evbuomwanefe/status/1461354424199102470</v>
      </c>
      <c r="AA236" s="82"/>
      <c r="AB236" s="82"/>
      <c r="AC236" s="87" t="s">
        <v>1637</v>
      </c>
      <c r="AD236" s="87" t="s">
        <v>1794</v>
      </c>
      <c r="AE236" s="82" t="b">
        <v>0</v>
      </c>
      <c r="AF236" s="82">
        <v>0</v>
      </c>
      <c r="AG236" s="87" t="s">
        <v>1821</v>
      </c>
      <c r="AH236" s="82" t="b">
        <v>0</v>
      </c>
      <c r="AI236" s="82" t="s">
        <v>1826</v>
      </c>
      <c r="AJ236" s="82"/>
      <c r="AK236" s="87" t="s">
        <v>1815</v>
      </c>
      <c r="AL236" s="82" t="b">
        <v>0</v>
      </c>
      <c r="AM236" s="82">
        <v>0</v>
      </c>
      <c r="AN236" s="87" t="s">
        <v>1815</v>
      </c>
      <c r="AO236" s="87" t="s">
        <v>1850</v>
      </c>
      <c r="AP236" s="82" t="b">
        <v>0</v>
      </c>
      <c r="AQ236" s="87" t="s">
        <v>1794</v>
      </c>
      <c r="AR236" s="82"/>
      <c r="AS236" s="82">
        <v>0</v>
      </c>
      <c r="AT236" s="82">
        <v>0</v>
      </c>
      <c r="AU236" s="82"/>
      <c r="AV236" s="82"/>
      <c r="AW236" s="82"/>
      <c r="AX236" s="82"/>
      <c r="AY236" s="82"/>
      <c r="AZ236" s="82"/>
      <c r="BA236" s="82"/>
      <c r="BB236" s="82"/>
      <c r="BC236">
        <v>1</v>
      </c>
      <c r="BD236" s="81" t="str">
        <f>REPLACE(INDEX(GroupVertices[Group],MATCH(Edges[[#This Row],[Vertex 1]],GroupVertices[Vertex],0)),1,1,"")</f>
        <v>2</v>
      </c>
      <c r="BE236" s="81" t="str">
        <f>REPLACE(INDEX(GroupVertices[Group],MATCH(Edges[[#This Row],[Vertex 2]],GroupVertices[Vertex],0)),1,1,"")</f>
        <v>2</v>
      </c>
      <c r="BF236" s="49">
        <v>0</v>
      </c>
      <c r="BG236" s="50">
        <v>0</v>
      </c>
      <c r="BH236" s="49">
        <v>0</v>
      </c>
      <c r="BI236" s="50">
        <v>0</v>
      </c>
      <c r="BJ236" s="49">
        <v>0</v>
      </c>
      <c r="BK236" s="50">
        <v>0</v>
      </c>
      <c r="BL236" s="49">
        <v>9</v>
      </c>
      <c r="BM236" s="50">
        <v>100</v>
      </c>
      <c r="BN236" s="49">
        <v>9</v>
      </c>
    </row>
    <row r="237" spans="1:66" ht="15">
      <c r="A237" s="66" t="s">
        <v>380</v>
      </c>
      <c r="B237" s="66" t="s">
        <v>380</v>
      </c>
      <c r="C237" s="67" t="s">
        <v>4509</v>
      </c>
      <c r="D237" s="68">
        <v>3</v>
      </c>
      <c r="E237" s="69" t="s">
        <v>132</v>
      </c>
      <c r="F237" s="70">
        <v>32</v>
      </c>
      <c r="G237" s="67"/>
      <c r="H237" s="71"/>
      <c r="I237" s="72"/>
      <c r="J237" s="72"/>
      <c r="K237" s="35" t="s">
        <v>65</v>
      </c>
      <c r="L237" s="80">
        <v>237</v>
      </c>
      <c r="M237" s="80"/>
      <c r="N237" s="74"/>
      <c r="O237" s="82" t="s">
        <v>214</v>
      </c>
      <c r="P237" s="84">
        <v>44518.625023148146</v>
      </c>
      <c r="Q237" s="82" t="s">
        <v>721</v>
      </c>
      <c r="R237" s="82"/>
      <c r="S237" s="82"/>
      <c r="T237" s="87" t="s">
        <v>952</v>
      </c>
      <c r="U237" s="82"/>
      <c r="V237" s="85" t="str">
        <f>HYPERLINK("https://pbs.twimg.com/profile_images/1452563613512781827/sJAkfm7z_normal.jpg")</f>
        <v>https://pbs.twimg.com/profile_images/1452563613512781827/sJAkfm7z_normal.jpg</v>
      </c>
      <c r="W237" s="84">
        <v>44518.625023148146</v>
      </c>
      <c r="X237" s="90">
        <v>44518</v>
      </c>
      <c r="Y237" s="87" t="s">
        <v>1265</v>
      </c>
      <c r="Z237" s="85" t="str">
        <f>HYPERLINK("https://twitter.com/evbuomwanefe/status/1461348476982288384")</f>
        <v>https://twitter.com/evbuomwanefe/status/1461348476982288384</v>
      </c>
      <c r="AA237" s="82"/>
      <c r="AB237" s="82"/>
      <c r="AC237" s="87" t="s">
        <v>1638</v>
      </c>
      <c r="AD237" s="82"/>
      <c r="AE237" s="82" t="b">
        <v>0</v>
      </c>
      <c r="AF237" s="82">
        <v>0</v>
      </c>
      <c r="AG237" s="87" t="s">
        <v>1815</v>
      </c>
      <c r="AH237" s="82" t="b">
        <v>0</v>
      </c>
      <c r="AI237" s="82" t="s">
        <v>1826</v>
      </c>
      <c r="AJ237" s="82"/>
      <c r="AK237" s="87" t="s">
        <v>1815</v>
      </c>
      <c r="AL237" s="82" t="b">
        <v>0</v>
      </c>
      <c r="AM237" s="82">
        <v>0</v>
      </c>
      <c r="AN237" s="87" t="s">
        <v>1815</v>
      </c>
      <c r="AO237" s="87" t="s">
        <v>1850</v>
      </c>
      <c r="AP237" s="82" t="b">
        <v>0</v>
      </c>
      <c r="AQ237" s="87" t="s">
        <v>1638</v>
      </c>
      <c r="AR237" s="82"/>
      <c r="AS237" s="82">
        <v>0</v>
      </c>
      <c r="AT237" s="82">
        <v>0</v>
      </c>
      <c r="AU237" s="82"/>
      <c r="AV237" s="82"/>
      <c r="AW237" s="82"/>
      <c r="AX237" s="82"/>
      <c r="AY237" s="82"/>
      <c r="AZ237" s="82"/>
      <c r="BA237" s="82"/>
      <c r="BB237" s="82"/>
      <c r="BC237">
        <v>1</v>
      </c>
      <c r="BD237" s="81" t="str">
        <f>REPLACE(INDEX(GroupVertices[Group],MATCH(Edges[[#This Row],[Vertex 1]],GroupVertices[Vertex],0)),1,1,"")</f>
        <v>2</v>
      </c>
      <c r="BE237" s="81" t="str">
        <f>REPLACE(INDEX(GroupVertices[Group],MATCH(Edges[[#This Row],[Vertex 2]],GroupVertices[Vertex],0)),1,1,"")</f>
        <v>2</v>
      </c>
      <c r="BF237" s="49">
        <v>1</v>
      </c>
      <c r="BG237" s="50">
        <v>2.7027027027027026</v>
      </c>
      <c r="BH237" s="49">
        <v>1</v>
      </c>
      <c r="BI237" s="50">
        <v>2.7027027027027026</v>
      </c>
      <c r="BJ237" s="49">
        <v>0</v>
      </c>
      <c r="BK237" s="50">
        <v>0</v>
      </c>
      <c r="BL237" s="49">
        <v>35</v>
      </c>
      <c r="BM237" s="50">
        <v>94.5945945945946</v>
      </c>
      <c r="BN237" s="49">
        <v>37</v>
      </c>
    </row>
    <row r="238" spans="1:66" ht="15">
      <c r="A238" s="66" t="s">
        <v>382</v>
      </c>
      <c r="B238" s="66" t="s">
        <v>382</v>
      </c>
      <c r="C238" s="67" t="s">
        <v>4509</v>
      </c>
      <c r="D238" s="68">
        <v>3</v>
      </c>
      <c r="E238" s="69" t="s">
        <v>132</v>
      </c>
      <c r="F238" s="70">
        <v>32</v>
      </c>
      <c r="G238" s="67"/>
      <c r="H238" s="71"/>
      <c r="I238" s="72"/>
      <c r="J238" s="72"/>
      <c r="K238" s="35" t="s">
        <v>65</v>
      </c>
      <c r="L238" s="80">
        <v>238</v>
      </c>
      <c r="M238" s="80"/>
      <c r="N238" s="74"/>
      <c r="O238" s="82" t="s">
        <v>214</v>
      </c>
      <c r="P238" s="84">
        <v>44518.65244212963</v>
      </c>
      <c r="Q238" s="82" t="s">
        <v>722</v>
      </c>
      <c r="R238" s="82"/>
      <c r="S238" s="82"/>
      <c r="T238" s="87" t="s">
        <v>1052</v>
      </c>
      <c r="U238" s="82"/>
      <c r="V238" s="85" t="str">
        <f>HYPERLINK("https://pbs.twimg.com/profile_images/1438086917078364164/bJAFcKIz_normal.png")</f>
        <v>https://pbs.twimg.com/profile_images/1438086917078364164/bJAFcKIz_normal.png</v>
      </c>
      <c r="W238" s="84">
        <v>44518.65244212963</v>
      </c>
      <c r="X238" s="90">
        <v>44518</v>
      </c>
      <c r="Y238" s="87" t="s">
        <v>1309</v>
      </c>
      <c r="Z238" s="85" t="str">
        <f>HYPERLINK("https://twitter.com/epinireland/status/1461358416467611671")</f>
        <v>https://twitter.com/epinireland/status/1461358416467611671</v>
      </c>
      <c r="AA238" s="82"/>
      <c r="AB238" s="82"/>
      <c r="AC238" s="87" t="s">
        <v>1639</v>
      </c>
      <c r="AD238" s="82"/>
      <c r="AE238" s="82" t="b">
        <v>0</v>
      </c>
      <c r="AF238" s="82">
        <v>0</v>
      </c>
      <c r="AG238" s="87" t="s">
        <v>1815</v>
      </c>
      <c r="AH238" s="82" t="b">
        <v>0</v>
      </c>
      <c r="AI238" s="82" t="s">
        <v>1826</v>
      </c>
      <c r="AJ238" s="82"/>
      <c r="AK238" s="87" t="s">
        <v>1815</v>
      </c>
      <c r="AL238" s="82" t="b">
        <v>0</v>
      </c>
      <c r="AM238" s="82">
        <v>2</v>
      </c>
      <c r="AN238" s="87" t="s">
        <v>1815</v>
      </c>
      <c r="AO238" s="87" t="s">
        <v>1862</v>
      </c>
      <c r="AP238" s="82" t="b">
        <v>0</v>
      </c>
      <c r="AQ238" s="87" t="s">
        <v>1639</v>
      </c>
      <c r="AR238" s="82"/>
      <c r="AS238" s="82">
        <v>0</v>
      </c>
      <c r="AT238" s="82">
        <v>0</v>
      </c>
      <c r="AU238" s="82"/>
      <c r="AV238" s="82"/>
      <c r="AW238" s="82"/>
      <c r="AX238" s="82"/>
      <c r="AY238" s="82"/>
      <c r="AZ238" s="82"/>
      <c r="BA238" s="82"/>
      <c r="BB238" s="82"/>
      <c r="BC238">
        <v>1</v>
      </c>
      <c r="BD238" s="81" t="str">
        <f>REPLACE(INDEX(GroupVertices[Group],MATCH(Edges[[#This Row],[Vertex 1]],GroupVertices[Vertex],0)),1,1,"")</f>
        <v>1</v>
      </c>
      <c r="BE238" s="81" t="str">
        <f>REPLACE(INDEX(GroupVertices[Group],MATCH(Edges[[#This Row],[Vertex 2]],GroupVertices[Vertex],0)),1,1,"")</f>
        <v>1</v>
      </c>
      <c r="BF238" s="49">
        <v>1</v>
      </c>
      <c r="BG238" s="50">
        <v>3.8461538461538463</v>
      </c>
      <c r="BH238" s="49">
        <v>0</v>
      </c>
      <c r="BI238" s="50">
        <v>0</v>
      </c>
      <c r="BJ238" s="49">
        <v>0</v>
      </c>
      <c r="BK238" s="50">
        <v>0</v>
      </c>
      <c r="BL238" s="49">
        <v>25</v>
      </c>
      <c r="BM238" s="50">
        <v>96.15384615384616</v>
      </c>
      <c r="BN238" s="49">
        <v>26</v>
      </c>
    </row>
    <row r="239" spans="1:66" ht="15">
      <c r="A239" s="66" t="s">
        <v>383</v>
      </c>
      <c r="B239" s="66" t="s">
        <v>383</v>
      </c>
      <c r="C239" s="67" t="s">
        <v>4515</v>
      </c>
      <c r="D239" s="68">
        <v>4.909090909090909</v>
      </c>
      <c r="E239" s="69" t="s">
        <v>136</v>
      </c>
      <c r="F239" s="70">
        <v>29.89189189189189</v>
      </c>
      <c r="G239" s="67"/>
      <c r="H239" s="71"/>
      <c r="I239" s="72"/>
      <c r="J239" s="72"/>
      <c r="K239" s="35" t="s">
        <v>65</v>
      </c>
      <c r="L239" s="80">
        <v>239</v>
      </c>
      <c r="M239" s="80"/>
      <c r="N239" s="74"/>
      <c r="O239" s="82" t="s">
        <v>214</v>
      </c>
      <c r="P239" s="84">
        <v>44518.65115740741</v>
      </c>
      <c r="Q239" s="82" t="s">
        <v>723</v>
      </c>
      <c r="R239" s="85" t="str">
        <f>HYPERLINK("https://twitter.com/HealthSAcademy/status/1461353075248021515")</f>
        <v>https://twitter.com/HealthSAcademy/status/1461353075248021515</v>
      </c>
      <c r="S239" s="82" t="s">
        <v>914</v>
      </c>
      <c r="T239" s="87" t="s">
        <v>966</v>
      </c>
      <c r="U239" s="82"/>
      <c r="V239" s="85" t="str">
        <f>HYPERLINK("https://pbs.twimg.com/profile_images/1459551753985150980/QtjmixOt_normal.jpg")</f>
        <v>https://pbs.twimg.com/profile_images/1459551753985150980/QtjmixOt_normal.jpg</v>
      </c>
      <c r="W239" s="84">
        <v>44518.65115740741</v>
      </c>
      <c r="X239" s="90">
        <v>44518</v>
      </c>
      <c r="Y239" s="87" t="s">
        <v>1310</v>
      </c>
      <c r="Z239" s="85" t="str">
        <f>HYPERLINK("https://twitter.com/iamaflatoon/status/1461357949532602373")</f>
        <v>https://twitter.com/iamaflatoon/status/1461357949532602373</v>
      </c>
      <c r="AA239" s="82"/>
      <c r="AB239" s="82"/>
      <c r="AC239" s="87" t="s">
        <v>1640</v>
      </c>
      <c r="AD239" s="82"/>
      <c r="AE239" s="82" t="b">
        <v>0</v>
      </c>
      <c r="AF239" s="82">
        <v>1</v>
      </c>
      <c r="AG239" s="87" t="s">
        <v>1815</v>
      </c>
      <c r="AH239" s="82" t="b">
        <v>1</v>
      </c>
      <c r="AI239" s="82" t="s">
        <v>1826</v>
      </c>
      <c r="AJ239" s="82"/>
      <c r="AK239" s="87" t="s">
        <v>1626</v>
      </c>
      <c r="AL239" s="82" t="b">
        <v>0</v>
      </c>
      <c r="AM239" s="82">
        <v>1</v>
      </c>
      <c r="AN239" s="87" t="s">
        <v>1815</v>
      </c>
      <c r="AO239" s="87" t="s">
        <v>1852</v>
      </c>
      <c r="AP239" s="82" t="b">
        <v>0</v>
      </c>
      <c r="AQ239" s="87" t="s">
        <v>1640</v>
      </c>
      <c r="AR239" s="82"/>
      <c r="AS239" s="82">
        <v>0</v>
      </c>
      <c r="AT239" s="82">
        <v>0</v>
      </c>
      <c r="AU239" s="82"/>
      <c r="AV239" s="82"/>
      <c r="AW239" s="82"/>
      <c r="AX239" s="82"/>
      <c r="AY239" s="82"/>
      <c r="AZ239" s="82"/>
      <c r="BA239" s="82"/>
      <c r="BB239" s="82"/>
      <c r="BC239">
        <v>4</v>
      </c>
      <c r="BD239" s="81" t="str">
        <f>REPLACE(INDEX(GroupVertices[Group],MATCH(Edges[[#This Row],[Vertex 1]],GroupVertices[Vertex],0)),1,1,"")</f>
        <v>1</v>
      </c>
      <c r="BE239" s="81" t="str">
        <f>REPLACE(INDEX(GroupVertices[Group],MATCH(Edges[[#This Row],[Vertex 2]],GroupVertices[Vertex],0)),1,1,"")</f>
        <v>1</v>
      </c>
      <c r="BF239" s="49">
        <v>2</v>
      </c>
      <c r="BG239" s="50">
        <v>6.896551724137931</v>
      </c>
      <c r="BH239" s="49">
        <v>1</v>
      </c>
      <c r="BI239" s="50">
        <v>3.4482758620689653</v>
      </c>
      <c r="BJ239" s="49">
        <v>0</v>
      </c>
      <c r="BK239" s="50">
        <v>0</v>
      </c>
      <c r="BL239" s="49">
        <v>26</v>
      </c>
      <c r="BM239" s="50">
        <v>89.65517241379311</v>
      </c>
      <c r="BN239" s="49">
        <v>29</v>
      </c>
    </row>
    <row r="240" spans="1:66" ht="15">
      <c r="A240" s="66" t="s">
        <v>383</v>
      </c>
      <c r="B240" s="66" t="s">
        <v>383</v>
      </c>
      <c r="C240" s="67" t="s">
        <v>4515</v>
      </c>
      <c r="D240" s="68">
        <v>4.909090909090909</v>
      </c>
      <c r="E240" s="69" t="s">
        <v>136</v>
      </c>
      <c r="F240" s="70">
        <v>29.89189189189189</v>
      </c>
      <c r="G240" s="67"/>
      <c r="H240" s="71"/>
      <c r="I240" s="72"/>
      <c r="J240" s="72"/>
      <c r="K240" s="35" t="s">
        <v>65</v>
      </c>
      <c r="L240" s="80">
        <v>240</v>
      </c>
      <c r="M240" s="80"/>
      <c r="N240" s="74"/>
      <c r="O240" s="82" t="s">
        <v>214</v>
      </c>
      <c r="P240" s="84">
        <v>44518.63731481481</v>
      </c>
      <c r="Q240" s="82" t="s">
        <v>724</v>
      </c>
      <c r="R240" s="85" t="str">
        <f>HYPERLINK("https://twitter.com/DrHussenTareq/status/1461351679257833476")</f>
        <v>https://twitter.com/DrHussenTareq/status/1461351679257833476</v>
      </c>
      <c r="S240" s="82" t="s">
        <v>914</v>
      </c>
      <c r="T240" s="87" t="s">
        <v>966</v>
      </c>
      <c r="U240" s="82"/>
      <c r="V240" s="85" t="str">
        <f>HYPERLINK("https://pbs.twimg.com/profile_images/1459551753985150980/QtjmixOt_normal.jpg")</f>
        <v>https://pbs.twimg.com/profile_images/1459551753985150980/QtjmixOt_normal.jpg</v>
      </c>
      <c r="W240" s="84">
        <v>44518.63731481481</v>
      </c>
      <c r="X240" s="90">
        <v>44518</v>
      </c>
      <c r="Y240" s="87" t="s">
        <v>1311</v>
      </c>
      <c r="Z240" s="85" t="str">
        <f>HYPERLINK("https://twitter.com/iamaflatoon/status/1461352933862232083")</f>
        <v>https://twitter.com/iamaflatoon/status/1461352933862232083</v>
      </c>
      <c r="AA240" s="82"/>
      <c r="AB240" s="82"/>
      <c r="AC240" s="87" t="s">
        <v>1641</v>
      </c>
      <c r="AD240" s="82"/>
      <c r="AE240" s="82" t="b">
        <v>0</v>
      </c>
      <c r="AF240" s="82">
        <v>0</v>
      </c>
      <c r="AG240" s="87" t="s">
        <v>1815</v>
      </c>
      <c r="AH240" s="82" t="b">
        <v>1</v>
      </c>
      <c r="AI240" s="82" t="s">
        <v>1826</v>
      </c>
      <c r="AJ240" s="82"/>
      <c r="AK240" s="87" t="s">
        <v>1719</v>
      </c>
      <c r="AL240" s="82" t="b">
        <v>0</v>
      </c>
      <c r="AM240" s="82">
        <v>2</v>
      </c>
      <c r="AN240" s="87" t="s">
        <v>1815</v>
      </c>
      <c r="AO240" s="87" t="s">
        <v>1852</v>
      </c>
      <c r="AP240" s="82" t="b">
        <v>0</v>
      </c>
      <c r="AQ240" s="87" t="s">
        <v>1641</v>
      </c>
      <c r="AR240" s="82"/>
      <c r="AS240" s="82">
        <v>0</v>
      </c>
      <c r="AT240" s="82">
        <v>0</v>
      </c>
      <c r="AU240" s="82"/>
      <c r="AV240" s="82"/>
      <c r="AW240" s="82"/>
      <c r="AX240" s="82"/>
      <c r="AY240" s="82"/>
      <c r="AZ240" s="82"/>
      <c r="BA240" s="82"/>
      <c r="BB240" s="82"/>
      <c r="BC240">
        <v>4</v>
      </c>
      <c r="BD240" s="81" t="str">
        <f>REPLACE(INDEX(GroupVertices[Group],MATCH(Edges[[#This Row],[Vertex 1]],GroupVertices[Vertex],0)),1,1,"")</f>
        <v>1</v>
      </c>
      <c r="BE240" s="81" t="str">
        <f>REPLACE(INDEX(GroupVertices[Group],MATCH(Edges[[#This Row],[Vertex 2]],GroupVertices[Vertex],0)),1,1,"")</f>
        <v>1</v>
      </c>
      <c r="BF240" s="49">
        <v>0</v>
      </c>
      <c r="BG240" s="50">
        <v>0</v>
      </c>
      <c r="BH240" s="49">
        <v>2</v>
      </c>
      <c r="BI240" s="50">
        <v>12.5</v>
      </c>
      <c r="BJ240" s="49">
        <v>0</v>
      </c>
      <c r="BK240" s="50">
        <v>0</v>
      </c>
      <c r="BL240" s="49">
        <v>14</v>
      </c>
      <c r="BM240" s="50">
        <v>87.5</v>
      </c>
      <c r="BN240" s="49">
        <v>16</v>
      </c>
    </row>
    <row r="241" spans="1:66" ht="15">
      <c r="A241" s="66" t="s">
        <v>383</v>
      </c>
      <c r="B241" s="66" t="s">
        <v>383</v>
      </c>
      <c r="C241" s="67" t="s">
        <v>4515</v>
      </c>
      <c r="D241" s="68">
        <v>4.909090909090909</v>
      </c>
      <c r="E241" s="69" t="s">
        <v>136</v>
      </c>
      <c r="F241" s="70">
        <v>29.89189189189189</v>
      </c>
      <c r="G241" s="67"/>
      <c r="H241" s="71"/>
      <c r="I241" s="72"/>
      <c r="J241" s="72"/>
      <c r="K241" s="35" t="s">
        <v>65</v>
      </c>
      <c r="L241" s="80">
        <v>241</v>
      </c>
      <c r="M241" s="80"/>
      <c r="N241" s="74"/>
      <c r="O241" s="82" t="s">
        <v>214</v>
      </c>
      <c r="P241" s="84">
        <v>44518.62951388889</v>
      </c>
      <c r="Q241" s="82" t="s">
        <v>725</v>
      </c>
      <c r="R241" s="82"/>
      <c r="S241" s="82"/>
      <c r="T241" s="87" t="s">
        <v>966</v>
      </c>
      <c r="U241" s="82"/>
      <c r="V241" s="85" t="str">
        <f>HYPERLINK("https://pbs.twimg.com/profile_images/1459551753985150980/QtjmixOt_normal.jpg")</f>
        <v>https://pbs.twimg.com/profile_images/1459551753985150980/QtjmixOt_normal.jpg</v>
      </c>
      <c r="W241" s="84">
        <v>44518.62951388889</v>
      </c>
      <c r="X241" s="90">
        <v>44518</v>
      </c>
      <c r="Y241" s="87" t="s">
        <v>1312</v>
      </c>
      <c r="Z241" s="85" t="str">
        <f>HYPERLINK("https://twitter.com/iamaflatoon/status/1461350106163146761")</f>
        <v>https://twitter.com/iamaflatoon/status/1461350106163146761</v>
      </c>
      <c r="AA241" s="82"/>
      <c r="AB241" s="82"/>
      <c r="AC241" s="87" t="s">
        <v>1642</v>
      </c>
      <c r="AD241" s="82"/>
      <c r="AE241" s="82" t="b">
        <v>0</v>
      </c>
      <c r="AF241" s="82">
        <v>0</v>
      </c>
      <c r="AG241" s="87" t="s">
        <v>1815</v>
      </c>
      <c r="AH241" s="82" t="b">
        <v>0</v>
      </c>
      <c r="AI241" s="82" t="s">
        <v>1826</v>
      </c>
      <c r="AJ241" s="82"/>
      <c r="AK241" s="87" t="s">
        <v>1815</v>
      </c>
      <c r="AL241" s="82" t="b">
        <v>0</v>
      </c>
      <c r="AM241" s="82">
        <v>0</v>
      </c>
      <c r="AN241" s="87" t="s">
        <v>1815</v>
      </c>
      <c r="AO241" s="87" t="s">
        <v>1852</v>
      </c>
      <c r="AP241" s="82" t="b">
        <v>0</v>
      </c>
      <c r="AQ241" s="87" t="s">
        <v>1642</v>
      </c>
      <c r="AR241" s="82"/>
      <c r="AS241" s="82">
        <v>0</v>
      </c>
      <c r="AT241" s="82">
        <v>0</v>
      </c>
      <c r="AU241" s="82"/>
      <c r="AV241" s="82"/>
      <c r="AW241" s="82"/>
      <c r="AX241" s="82"/>
      <c r="AY241" s="82"/>
      <c r="AZ241" s="82"/>
      <c r="BA241" s="82"/>
      <c r="BB241" s="82"/>
      <c r="BC241">
        <v>4</v>
      </c>
      <c r="BD241" s="81" t="str">
        <f>REPLACE(INDEX(GroupVertices[Group],MATCH(Edges[[#This Row],[Vertex 1]],GroupVertices[Vertex],0)),1,1,"")</f>
        <v>1</v>
      </c>
      <c r="BE241" s="81" t="str">
        <f>REPLACE(INDEX(GroupVertices[Group],MATCH(Edges[[#This Row],[Vertex 2]],GroupVertices[Vertex],0)),1,1,"")</f>
        <v>1</v>
      </c>
      <c r="BF241" s="49">
        <v>2</v>
      </c>
      <c r="BG241" s="50">
        <v>6.666666666666667</v>
      </c>
      <c r="BH241" s="49">
        <v>1</v>
      </c>
      <c r="BI241" s="50">
        <v>3.3333333333333335</v>
      </c>
      <c r="BJ241" s="49">
        <v>0</v>
      </c>
      <c r="BK241" s="50">
        <v>0</v>
      </c>
      <c r="BL241" s="49">
        <v>27</v>
      </c>
      <c r="BM241" s="50">
        <v>90</v>
      </c>
      <c r="BN241" s="49">
        <v>30</v>
      </c>
    </row>
    <row r="242" spans="1:66" ht="15">
      <c r="A242" s="66" t="s">
        <v>383</v>
      </c>
      <c r="B242" s="66" t="s">
        <v>383</v>
      </c>
      <c r="C242" s="67" t="s">
        <v>4515</v>
      </c>
      <c r="D242" s="68">
        <v>4.909090909090909</v>
      </c>
      <c r="E242" s="69" t="s">
        <v>136</v>
      </c>
      <c r="F242" s="70">
        <v>29.89189189189189</v>
      </c>
      <c r="G242" s="67"/>
      <c r="H242" s="71"/>
      <c r="I242" s="72"/>
      <c r="J242" s="72"/>
      <c r="K242" s="35" t="s">
        <v>65</v>
      </c>
      <c r="L242" s="80">
        <v>242</v>
      </c>
      <c r="M242" s="80"/>
      <c r="N242" s="74"/>
      <c r="O242" s="82" t="s">
        <v>214</v>
      </c>
      <c r="P242" s="84">
        <v>44518.63375</v>
      </c>
      <c r="Q242" s="82" t="s">
        <v>726</v>
      </c>
      <c r="R242" s="82"/>
      <c r="S242" s="82"/>
      <c r="T242" s="87" t="s">
        <v>966</v>
      </c>
      <c r="U242" s="85" t="str">
        <f>HYPERLINK("https://pbs.twimg.com/media/FEfDjR9VkAsfAaj.jpg")</f>
        <v>https://pbs.twimg.com/media/FEfDjR9VkAsfAaj.jpg</v>
      </c>
      <c r="V242" s="85" t="str">
        <f>HYPERLINK("https://pbs.twimg.com/media/FEfDjR9VkAsfAaj.jpg")</f>
        <v>https://pbs.twimg.com/media/FEfDjR9VkAsfAaj.jpg</v>
      </c>
      <c r="W242" s="84">
        <v>44518.63375</v>
      </c>
      <c r="X242" s="90">
        <v>44518</v>
      </c>
      <c r="Y242" s="87" t="s">
        <v>1313</v>
      </c>
      <c r="Z242" s="85" t="str">
        <f>HYPERLINK("https://twitter.com/iamaflatoon/status/1461351639701331991")</f>
        <v>https://twitter.com/iamaflatoon/status/1461351639701331991</v>
      </c>
      <c r="AA242" s="82"/>
      <c r="AB242" s="82"/>
      <c r="AC242" s="87" t="s">
        <v>1643</v>
      </c>
      <c r="AD242" s="82"/>
      <c r="AE242" s="82" t="b">
        <v>0</v>
      </c>
      <c r="AF242" s="82">
        <v>1</v>
      </c>
      <c r="AG242" s="87" t="s">
        <v>1815</v>
      </c>
      <c r="AH242" s="82" t="b">
        <v>0</v>
      </c>
      <c r="AI242" s="82" t="s">
        <v>1826</v>
      </c>
      <c r="AJ242" s="82"/>
      <c r="AK242" s="87" t="s">
        <v>1815</v>
      </c>
      <c r="AL242" s="82" t="b">
        <v>0</v>
      </c>
      <c r="AM242" s="82">
        <v>1</v>
      </c>
      <c r="AN242" s="87" t="s">
        <v>1815</v>
      </c>
      <c r="AO242" s="87" t="s">
        <v>1852</v>
      </c>
      <c r="AP242" s="82" t="b">
        <v>0</v>
      </c>
      <c r="AQ242" s="87" t="s">
        <v>1643</v>
      </c>
      <c r="AR242" s="82"/>
      <c r="AS242" s="82">
        <v>0</v>
      </c>
      <c r="AT242" s="82">
        <v>0</v>
      </c>
      <c r="AU242" s="82"/>
      <c r="AV242" s="82"/>
      <c r="AW242" s="82"/>
      <c r="AX242" s="82"/>
      <c r="AY242" s="82"/>
      <c r="AZ242" s="82"/>
      <c r="BA242" s="82"/>
      <c r="BB242" s="82"/>
      <c r="BC242">
        <v>4</v>
      </c>
      <c r="BD242" s="81" t="str">
        <f>REPLACE(INDEX(GroupVertices[Group],MATCH(Edges[[#This Row],[Vertex 1]],GroupVertices[Vertex],0)),1,1,"")</f>
        <v>1</v>
      </c>
      <c r="BE242" s="81" t="str">
        <f>REPLACE(INDEX(GroupVertices[Group],MATCH(Edges[[#This Row],[Vertex 2]],GroupVertices[Vertex],0)),1,1,"")</f>
        <v>1</v>
      </c>
      <c r="BF242" s="49">
        <v>1</v>
      </c>
      <c r="BG242" s="50">
        <v>3.0303030303030303</v>
      </c>
      <c r="BH242" s="49">
        <v>0</v>
      </c>
      <c r="BI242" s="50">
        <v>0</v>
      </c>
      <c r="BJ242" s="49">
        <v>0</v>
      </c>
      <c r="BK242" s="50">
        <v>0</v>
      </c>
      <c r="BL242" s="49">
        <v>32</v>
      </c>
      <c r="BM242" s="50">
        <v>96.96969696969697</v>
      </c>
      <c r="BN242" s="49">
        <v>33</v>
      </c>
    </row>
    <row r="243" spans="1:66" ht="15">
      <c r="A243" s="66" t="s">
        <v>384</v>
      </c>
      <c r="B243" s="66" t="s">
        <v>384</v>
      </c>
      <c r="C243" s="67" t="s">
        <v>4510</v>
      </c>
      <c r="D243" s="68">
        <v>3.6363636363636362</v>
      </c>
      <c r="E243" s="69" t="s">
        <v>136</v>
      </c>
      <c r="F243" s="70">
        <v>31.2972972972973</v>
      </c>
      <c r="G243" s="67"/>
      <c r="H243" s="71"/>
      <c r="I243" s="72"/>
      <c r="J243" s="72"/>
      <c r="K243" s="35" t="s">
        <v>65</v>
      </c>
      <c r="L243" s="80">
        <v>243</v>
      </c>
      <c r="M243" s="80"/>
      <c r="N243" s="74"/>
      <c r="O243" s="82" t="s">
        <v>214</v>
      </c>
      <c r="P243" s="84">
        <v>44518.6562962963</v>
      </c>
      <c r="Q243" s="82" t="s">
        <v>727</v>
      </c>
      <c r="R243" s="85" t="str">
        <f>HYPERLINK("https://www.fda.gov/emergency-preparedness-and-response/mcm-issues/antimicrobial-resistance-information-fda")</f>
        <v>https://www.fda.gov/emergency-preparedness-and-response/mcm-issues/antimicrobial-resistance-information-fda</v>
      </c>
      <c r="S243" s="82" t="s">
        <v>930</v>
      </c>
      <c r="T243" s="87" t="s">
        <v>1053</v>
      </c>
      <c r="U243" s="82"/>
      <c r="V243" s="85" t="str">
        <f>HYPERLINK("https://pbs.twimg.com/profile_images/774289732582903808/kU8p7iWI_normal.jpg")</f>
        <v>https://pbs.twimg.com/profile_images/774289732582903808/kU8p7iWI_normal.jpg</v>
      </c>
      <c r="W243" s="84">
        <v>44518.6562962963</v>
      </c>
      <c r="X243" s="90">
        <v>44518</v>
      </c>
      <c r="Y243" s="87" t="s">
        <v>1224</v>
      </c>
      <c r="Z243" s="85" t="str">
        <f>HYPERLINK("https://twitter.com/fda_drug_info/status/1461359811220574209")</f>
        <v>https://twitter.com/fda_drug_info/status/1461359811220574209</v>
      </c>
      <c r="AA243" s="82"/>
      <c r="AB243" s="82"/>
      <c r="AC243" s="87" t="s">
        <v>1644</v>
      </c>
      <c r="AD243" s="82"/>
      <c r="AE243" s="82" t="b">
        <v>0</v>
      </c>
      <c r="AF243" s="82">
        <v>16</v>
      </c>
      <c r="AG243" s="87" t="s">
        <v>1815</v>
      </c>
      <c r="AH243" s="82" t="b">
        <v>0</v>
      </c>
      <c r="AI243" s="82" t="s">
        <v>1826</v>
      </c>
      <c r="AJ243" s="82"/>
      <c r="AK243" s="87" t="s">
        <v>1815</v>
      </c>
      <c r="AL243" s="82" t="b">
        <v>0</v>
      </c>
      <c r="AM243" s="82">
        <v>7</v>
      </c>
      <c r="AN243" s="87" t="s">
        <v>1815</v>
      </c>
      <c r="AO243" s="87" t="s">
        <v>1854</v>
      </c>
      <c r="AP243" s="82" t="b">
        <v>0</v>
      </c>
      <c r="AQ243" s="87" t="s">
        <v>1644</v>
      </c>
      <c r="AR243" s="82"/>
      <c r="AS243" s="82">
        <v>0</v>
      </c>
      <c r="AT243" s="82">
        <v>0</v>
      </c>
      <c r="AU243" s="82"/>
      <c r="AV243" s="82"/>
      <c r="AW243" s="82"/>
      <c r="AX243" s="82"/>
      <c r="AY243" s="82"/>
      <c r="AZ243" s="82"/>
      <c r="BA243" s="82"/>
      <c r="BB243" s="82"/>
      <c r="BC243">
        <v>2</v>
      </c>
      <c r="BD243" s="81" t="str">
        <f>REPLACE(INDEX(GroupVertices[Group],MATCH(Edges[[#This Row],[Vertex 1]],GroupVertices[Vertex],0)),1,1,"")</f>
        <v>1</v>
      </c>
      <c r="BE243" s="81" t="str">
        <f>REPLACE(INDEX(GroupVertices[Group],MATCH(Edges[[#This Row],[Vertex 2]],GroupVertices[Vertex],0)),1,1,"")</f>
        <v>1</v>
      </c>
      <c r="BF243" s="49">
        <v>3</v>
      </c>
      <c r="BG243" s="50">
        <v>14.285714285714286</v>
      </c>
      <c r="BH243" s="49">
        <v>0</v>
      </c>
      <c r="BI243" s="50">
        <v>0</v>
      </c>
      <c r="BJ243" s="49">
        <v>0</v>
      </c>
      <c r="BK243" s="50">
        <v>0</v>
      </c>
      <c r="BL243" s="49">
        <v>18</v>
      </c>
      <c r="BM243" s="50">
        <v>85.71428571428571</v>
      </c>
      <c r="BN243" s="49">
        <v>21</v>
      </c>
    </row>
    <row r="244" spans="1:66" ht="15">
      <c r="A244" s="66" t="s">
        <v>384</v>
      </c>
      <c r="B244" s="66" t="s">
        <v>384</v>
      </c>
      <c r="C244" s="67" t="s">
        <v>4510</v>
      </c>
      <c r="D244" s="68">
        <v>3.6363636363636362</v>
      </c>
      <c r="E244" s="69" t="s">
        <v>136</v>
      </c>
      <c r="F244" s="70">
        <v>31.2972972972973</v>
      </c>
      <c r="G244" s="67"/>
      <c r="H244" s="71"/>
      <c r="I244" s="72"/>
      <c r="J244" s="72"/>
      <c r="K244" s="35" t="s">
        <v>65</v>
      </c>
      <c r="L244" s="80">
        <v>244</v>
      </c>
      <c r="M244" s="80"/>
      <c r="N244" s="74"/>
      <c r="O244" s="82" t="s">
        <v>214</v>
      </c>
      <c r="P244" s="84">
        <v>44518.62851851852</v>
      </c>
      <c r="Q244" s="82" t="s">
        <v>728</v>
      </c>
      <c r="R244" s="85" t="str">
        <f>HYPERLINK("https://www.cdc.gov/drugresistance/covid19.html")</f>
        <v>https://www.cdc.gov/drugresistance/covid19.html</v>
      </c>
      <c r="S244" s="82" t="s">
        <v>903</v>
      </c>
      <c r="T244" s="87" t="s">
        <v>954</v>
      </c>
      <c r="U244" s="85" t="str">
        <f>HYPERLINK("https://pbs.twimg.com/media/FEfB2SkVkAUcqAt.jpg")</f>
        <v>https://pbs.twimg.com/media/FEfB2SkVkAUcqAt.jpg</v>
      </c>
      <c r="V244" s="85" t="str">
        <f>HYPERLINK("https://pbs.twimg.com/media/FEfB2SkVkAUcqAt.jpg")</f>
        <v>https://pbs.twimg.com/media/FEfB2SkVkAUcqAt.jpg</v>
      </c>
      <c r="W244" s="84">
        <v>44518.62851851852</v>
      </c>
      <c r="X244" s="90">
        <v>44518</v>
      </c>
      <c r="Y244" s="87" t="s">
        <v>1314</v>
      </c>
      <c r="Z244" s="85" t="str">
        <f>HYPERLINK("https://twitter.com/fda_drug_info/status/1461349744819593230")</f>
        <v>https://twitter.com/fda_drug_info/status/1461349744819593230</v>
      </c>
      <c r="AA244" s="82"/>
      <c r="AB244" s="82"/>
      <c r="AC244" s="87" t="s">
        <v>1645</v>
      </c>
      <c r="AD244" s="82"/>
      <c r="AE244" s="82" t="b">
        <v>0</v>
      </c>
      <c r="AF244" s="82">
        <v>12</v>
      </c>
      <c r="AG244" s="87" t="s">
        <v>1815</v>
      </c>
      <c r="AH244" s="82" t="b">
        <v>0</v>
      </c>
      <c r="AI244" s="82" t="s">
        <v>1826</v>
      </c>
      <c r="AJ244" s="82"/>
      <c r="AK244" s="87" t="s">
        <v>1815</v>
      </c>
      <c r="AL244" s="82" t="b">
        <v>0</v>
      </c>
      <c r="AM244" s="82">
        <v>8</v>
      </c>
      <c r="AN244" s="87" t="s">
        <v>1815</v>
      </c>
      <c r="AO244" s="87" t="s">
        <v>1854</v>
      </c>
      <c r="AP244" s="82" t="b">
        <v>0</v>
      </c>
      <c r="AQ244" s="87" t="s">
        <v>1645</v>
      </c>
      <c r="AR244" s="82"/>
      <c r="AS244" s="82">
        <v>0</v>
      </c>
      <c r="AT244" s="82">
        <v>0</v>
      </c>
      <c r="AU244" s="82"/>
      <c r="AV244" s="82"/>
      <c r="AW244" s="82"/>
      <c r="AX244" s="82"/>
      <c r="AY244" s="82"/>
      <c r="AZ244" s="82"/>
      <c r="BA244" s="82"/>
      <c r="BB244" s="82"/>
      <c r="BC244">
        <v>2</v>
      </c>
      <c r="BD244" s="81" t="str">
        <f>REPLACE(INDEX(GroupVertices[Group],MATCH(Edges[[#This Row],[Vertex 1]],GroupVertices[Vertex],0)),1,1,"")</f>
        <v>1</v>
      </c>
      <c r="BE244" s="81" t="str">
        <f>REPLACE(INDEX(GroupVertices[Group],MATCH(Edges[[#This Row],[Vertex 2]],GroupVertices[Vertex],0)),1,1,"")</f>
        <v>1</v>
      </c>
      <c r="BF244" s="49">
        <v>0</v>
      </c>
      <c r="BG244" s="50">
        <v>0</v>
      </c>
      <c r="BH244" s="49">
        <v>1</v>
      </c>
      <c r="BI244" s="50">
        <v>3.0303030303030303</v>
      </c>
      <c r="BJ244" s="49">
        <v>0</v>
      </c>
      <c r="BK244" s="50">
        <v>0</v>
      </c>
      <c r="BL244" s="49">
        <v>32</v>
      </c>
      <c r="BM244" s="50">
        <v>96.96969696969697</v>
      </c>
      <c r="BN244" s="49">
        <v>33</v>
      </c>
    </row>
    <row r="245" spans="1:66" ht="15">
      <c r="A245" s="66" t="s">
        <v>385</v>
      </c>
      <c r="B245" s="66" t="s">
        <v>494</v>
      </c>
      <c r="C245" s="67" t="s">
        <v>4509</v>
      </c>
      <c r="D245" s="68">
        <v>3</v>
      </c>
      <c r="E245" s="69" t="s">
        <v>132</v>
      </c>
      <c r="F245" s="70">
        <v>32</v>
      </c>
      <c r="G245" s="67"/>
      <c r="H245" s="71"/>
      <c r="I245" s="72"/>
      <c r="J245" s="72"/>
      <c r="K245" s="35" t="s">
        <v>65</v>
      </c>
      <c r="L245" s="80">
        <v>245</v>
      </c>
      <c r="M245" s="80"/>
      <c r="N245" s="74"/>
      <c r="O245" s="82" t="s">
        <v>528</v>
      </c>
      <c r="P245" s="84">
        <v>44518.66527777778</v>
      </c>
      <c r="Q245" s="82" t="s">
        <v>729</v>
      </c>
      <c r="R245" s="85" t="str">
        <f>HYPERLINK("https://academic.oup.com/jacamr/article/1/2/dlz026/5554098")</f>
        <v>https://academic.oup.com/jacamr/article/1/2/dlz026/5554098</v>
      </c>
      <c r="S245" s="82" t="s">
        <v>931</v>
      </c>
      <c r="T245" s="87" t="s">
        <v>1054</v>
      </c>
      <c r="U245" s="82"/>
      <c r="V245" s="85" t="str">
        <f>HYPERLINK("https://pbs.twimg.com/profile_images/1058719862040784896/zm0I75Iz_normal.jpg")</f>
        <v>https://pbs.twimg.com/profile_images/1058719862040784896/zm0I75Iz_normal.jpg</v>
      </c>
      <c r="W245" s="84">
        <v>44518.66527777778</v>
      </c>
      <c r="X245" s="90">
        <v>44518</v>
      </c>
      <c r="Y245" s="87" t="s">
        <v>1315</v>
      </c>
      <c r="Z245" s="85" t="str">
        <f>HYPERLINK("https://twitter.com/microblog_me_uk/status/1461363065463750656")</f>
        <v>https://twitter.com/microblog_me_uk/status/1461363065463750656</v>
      </c>
      <c r="AA245" s="82"/>
      <c r="AB245" s="82"/>
      <c r="AC245" s="87" t="s">
        <v>1646</v>
      </c>
      <c r="AD245" s="82"/>
      <c r="AE245" s="82" t="b">
        <v>0</v>
      </c>
      <c r="AF245" s="82">
        <v>0</v>
      </c>
      <c r="AG245" s="87" t="s">
        <v>1815</v>
      </c>
      <c r="AH245" s="82" t="b">
        <v>0</v>
      </c>
      <c r="AI245" s="82" t="s">
        <v>1826</v>
      </c>
      <c r="AJ245" s="82"/>
      <c r="AK245" s="87" t="s">
        <v>1815</v>
      </c>
      <c r="AL245" s="82" t="b">
        <v>0</v>
      </c>
      <c r="AM245" s="82">
        <v>0</v>
      </c>
      <c r="AN245" s="87" t="s">
        <v>1815</v>
      </c>
      <c r="AO245" s="87" t="s">
        <v>1853</v>
      </c>
      <c r="AP245" s="82" t="b">
        <v>0</v>
      </c>
      <c r="AQ245" s="87" t="s">
        <v>1646</v>
      </c>
      <c r="AR245" s="82"/>
      <c r="AS245" s="82">
        <v>0</v>
      </c>
      <c r="AT245" s="82">
        <v>0</v>
      </c>
      <c r="AU245" s="82"/>
      <c r="AV245" s="82"/>
      <c r="AW245" s="82"/>
      <c r="AX245" s="82"/>
      <c r="AY245" s="82"/>
      <c r="AZ245" s="82"/>
      <c r="BA245" s="82"/>
      <c r="BB245" s="82"/>
      <c r="BC245">
        <v>1</v>
      </c>
      <c r="BD245" s="81" t="str">
        <f>REPLACE(INDEX(GroupVertices[Group],MATCH(Edges[[#This Row],[Vertex 1]],GroupVertices[Vertex],0)),1,1,"")</f>
        <v>4</v>
      </c>
      <c r="BE245" s="81" t="str">
        <f>REPLACE(INDEX(GroupVertices[Group],MATCH(Edges[[#This Row],[Vertex 2]],GroupVertices[Vertex],0)),1,1,"")</f>
        <v>4</v>
      </c>
      <c r="BF245" s="49"/>
      <c r="BG245" s="50"/>
      <c r="BH245" s="49"/>
      <c r="BI245" s="50"/>
      <c r="BJ245" s="49"/>
      <c r="BK245" s="50"/>
      <c r="BL245" s="49"/>
      <c r="BM245" s="50"/>
      <c r="BN245" s="49"/>
    </row>
    <row r="246" spans="1:66" ht="15">
      <c r="A246" s="66" t="s">
        <v>385</v>
      </c>
      <c r="B246" s="66" t="s">
        <v>495</v>
      </c>
      <c r="C246" s="67" t="s">
        <v>4509</v>
      </c>
      <c r="D246" s="68">
        <v>3</v>
      </c>
      <c r="E246" s="69" t="s">
        <v>132</v>
      </c>
      <c r="F246" s="70">
        <v>32</v>
      </c>
      <c r="G246" s="67"/>
      <c r="H246" s="71"/>
      <c r="I246" s="72"/>
      <c r="J246" s="72"/>
      <c r="K246" s="35" t="s">
        <v>65</v>
      </c>
      <c r="L246" s="80">
        <v>246</v>
      </c>
      <c r="M246" s="80"/>
      <c r="N246" s="74"/>
      <c r="O246" s="82" t="s">
        <v>528</v>
      </c>
      <c r="P246" s="84">
        <v>44518.6625</v>
      </c>
      <c r="Q246" s="82" t="s">
        <v>730</v>
      </c>
      <c r="R246" s="82"/>
      <c r="S246" s="82"/>
      <c r="T246" s="87" t="s">
        <v>1055</v>
      </c>
      <c r="U246" s="85" t="str">
        <f>HYPERLINK("https://pbs.twimg.com/media/FEeOcSoWQAM5OJY.png")</f>
        <v>https://pbs.twimg.com/media/FEeOcSoWQAM5OJY.png</v>
      </c>
      <c r="V246" s="85" t="str">
        <f>HYPERLINK("https://pbs.twimg.com/media/FEeOcSoWQAM5OJY.png")</f>
        <v>https://pbs.twimg.com/media/FEeOcSoWQAM5OJY.png</v>
      </c>
      <c r="W246" s="84">
        <v>44518.6625</v>
      </c>
      <c r="X246" s="90">
        <v>44518</v>
      </c>
      <c r="Y246" s="87" t="s">
        <v>1316</v>
      </c>
      <c r="Z246" s="85" t="str">
        <f>HYPERLINK("https://twitter.com/microblog_me_uk/status/1461362058822180891")</f>
        <v>https://twitter.com/microblog_me_uk/status/1461362058822180891</v>
      </c>
      <c r="AA246" s="82"/>
      <c r="AB246" s="82"/>
      <c r="AC246" s="87" t="s">
        <v>1647</v>
      </c>
      <c r="AD246" s="82"/>
      <c r="AE246" s="82" t="b">
        <v>0</v>
      </c>
      <c r="AF246" s="82">
        <v>3</v>
      </c>
      <c r="AG246" s="87" t="s">
        <v>1815</v>
      </c>
      <c r="AH246" s="82" t="b">
        <v>0</v>
      </c>
      <c r="AI246" s="82" t="s">
        <v>1826</v>
      </c>
      <c r="AJ246" s="82"/>
      <c r="AK246" s="87" t="s">
        <v>1815</v>
      </c>
      <c r="AL246" s="82" t="b">
        <v>0</v>
      </c>
      <c r="AM246" s="82">
        <v>0</v>
      </c>
      <c r="AN246" s="87" t="s">
        <v>1815</v>
      </c>
      <c r="AO246" s="87" t="s">
        <v>1853</v>
      </c>
      <c r="AP246" s="82" t="b">
        <v>0</v>
      </c>
      <c r="AQ246" s="87" t="s">
        <v>1647</v>
      </c>
      <c r="AR246" s="82"/>
      <c r="AS246" s="82">
        <v>0</v>
      </c>
      <c r="AT246" s="82">
        <v>0</v>
      </c>
      <c r="AU246" s="82"/>
      <c r="AV246" s="82"/>
      <c r="AW246" s="82"/>
      <c r="AX246" s="82"/>
      <c r="AY246" s="82"/>
      <c r="AZ246" s="82"/>
      <c r="BA246" s="82"/>
      <c r="BB246" s="82"/>
      <c r="BC246">
        <v>1</v>
      </c>
      <c r="BD246" s="81" t="str">
        <f>REPLACE(INDEX(GroupVertices[Group],MATCH(Edges[[#This Row],[Vertex 1]],GroupVertices[Vertex],0)),1,1,"")</f>
        <v>4</v>
      </c>
      <c r="BE246" s="81" t="str">
        <f>REPLACE(INDEX(GroupVertices[Group],MATCH(Edges[[#This Row],[Vertex 2]],GroupVertices[Vertex],0)),1,1,"")</f>
        <v>4</v>
      </c>
      <c r="BF246" s="49">
        <v>0</v>
      </c>
      <c r="BG246" s="50">
        <v>0</v>
      </c>
      <c r="BH246" s="49">
        <v>0</v>
      </c>
      <c r="BI246" s="50">
        <v>0</v>
      </c>
      <c r="BJ246" s="49">
        <v>0</v>
      </c>
      <c r="BK246" s="50">
        <v>0</v>
      </c>
      <c r="BL246" s="49">
        <v>15</v>
      </c>
      <c r="BM246" s="50">
        <v>100</v>
      </c>
      <c r="BN246" s="49">
        <v>15</v>
      </c>
    </row>
    <row r="247" spans="1:66" ht="15">
      <c r="A247" s="66" t="s">
        <v>385</v>
      </c>
      <c r="B247" s="66" t="s">
        <v>496</v>
      </c>
      <c r="C247" s="67" t="s">
        <v>4509</v>
      </c>
      <c r="D247" s="68">
        <v>3</v>
      </c>
      <c r="E247" s="69" t="s">
        <v>132</v>
      </c>
      <c r="F247" s="70">
        <v>32</v>
      </c>
      <c r="G247" s="67"/>
      <c r="H247" s="71"/>
      <c r="I247" s="72"/>
      <c r="J247" s="72"/>
      <c r="K247" s="35" t="s">
        <v>65</v>
      </c>
      <c r="L247" s="80">
        <v>247</v>
      </c>
      <c r="M247" s="80"/>
      <c r="N247" s="74"/>
      <c r="O247" s="82" t="s">
        <v>528</v>
      </c>
      <c r="P247" s="84">
        <v>44518.660416666666</v>
      </c>
      <c r="Q247" s="82" t="s">
        <v>731</v>
      </c>
      <c r="R247" s="82"/>
      <c r="S247" s="82"/>
      <c r="T247" s="87" t="s">
        <v>1054</v>
      </c>
      <c r="U247" s="85" t="str">
        <f>HYPERLINK("https://pbs.twimg.com/media/FEeHQD5XEAwRv42.jpg")</f>
        <v>https://pbs.twimg.com/media/FEeHQD5XEAwRv42.jpg</v>
      </c>
      <c r="V247" s="85" t="str">
        <f>HYPERLINK("https://pbs.twimg.com/media/FEeHQD5XEAwRv42.jpg")</f>
        <v>https://pbs.twimg.com/media/FEeHQD5XEAwRv42.jpg</v>
      </c>
      <c r="W247" s="84">
        <v>44518.660416666666</v>
      </c>
      <c r="X247" s="90">
        <v>44518</v>
      </c>
      <c r="Y247" s="87" t="s">
        <v>1317</v>
      </c>
      <c r="Z247" s="85" t="str">
        <f>HYPERLINK("https://twitter.com/microblog_me_uk/status/1461361303747018752")</f>
        <v>https://twitter.com/microblog_me_uk/status/1461361303747018752</v>
      </c>
      <c r="AA247" s="82"/>
      <c r="AB247" s="82"/>
      <c r="AC247" s="87" t="s">
        <v>1648</v>
      </c>
      <c r="AD247" s="82"/>
      <c r="AE247" s="82" t="b">
        <v>0</v>
      </c>
      <c r="AF247" s="82">
        <v>2</v>
      </c>
      <c r="AG247" s="87" t="s">
        <v>1815</v>
      </c>
      <c r="AH247" s="82" t="b">
        <v>0</v>
      </c>
      <c r="AI247" s="82" t="s">
        <v>1826</v>
      </c>
      <c r="AJ247" s="82"/>
      <c r="AK247" s="87" t="s">
        <v>1815</v>
      </c>
      <c r="AL247" s="82" t="b">
        <v>0</v>
      </c>
      <c r="AM247" s="82">
        <v>0</v>
      </c>
      <c r="AN247" s="87" t="s">
        <v>1815</v>
      </c>
      <c r="AO247" s="87" t="s">
        <v>1853</v>
      </c>
      <c r="AP247" s="82" t="b">
        <v>0</v>
      </c>
      <c r="AQ247" s="87" t="s">
        <v>1648</v>
      </c>
      <c r="AR247" s="82"/>
      <c r="AS247" s="82">
        <v>0</v>
      </c>
      <c r="AT247" s="82">
        <v>0</v>
      </c>
      <c r="AU247" s="82"/>
      <c r="AV247" s="82"/>
      <c r="AW247" s="82"/>
      <c r="AX247" s="82"/>
      <c r="AY247" s="82"/>
      <c r="AZ247" s="82"/>
      <c r="BA247" s="82"/>
      <c r="BB247" s="82"/>
      <c r="BC247">
        <v>1</v>
      </c>
      <c r="BD247" s="81" t="str">
        <f>REPLACE(INDEX(GroupVertices[Group],MATCH(Edges[[#This Row],[Vertex 1]],GroupVertices[Vertex],0)),1,1,"")</f>
        <v>4</v>
      </c>
      <c r="BE247" s="81" t="str">
        <f>REPLACE(INDEX(GroupVertices[Group],MATCH(Edges[[#This Row],[Vertex 2]],GroupVertices[Vertex],0)),1,1,"")</f>
        <v>4</v>
      </c>
      <c r="BF247" s="49">
        <v>1</v>
      </c>
      <c r="BG247" s="50">
        <v>5.2631578947368425</v>
      </c>
      <c r="BH247" s="49">
        <v>0</v>
      </c>
      <c r="BI247" s="50">
        <v>0</v>
      </c>
      <c r="BJ247" s="49">
        <v>0</v>
      </c>
      <c r="BK247" s="50">
        <v>0</v>
      </c>
      <c r="BL247" s="49">
        <v>18</v>
      </c>
      <c r="BM247" s="50">
        <v>94.73684210526316</v>
      </c>
      <c r="BN247" s="49">
        <v>19</v>
      </c>
    </row>
    <row r="248" spans="1:66" ht="15">
      <c r="A248" s="66" t="s">
        <v>386</v>
      </c>
      <c r="B248" s="66" t="s">
        <v>386</v>
      </c>
      <c r="C248" s="67" t="s">
        <v>4509</v>
      </c>
      <c r="D248" s="68">
        <v>3</v>
      </c>
      <c r="E248" s="69" t="s">
        <v>132</v>
      </c>
      <c r="F248" s="70">
        <v>32</v>
      </c>
      <c r="G248" s="67"/>
      <c r="H248" s="71"/>
      <c r="I248" s="72"/>
      <c r="J248" s="72"/>
      <c r="K248" s="35" t="s">
        <v>65</v>
      </c>
      <c r="L248" s="80">
        <v>248</v>
      </c>
      <c r="M248" s="80"/>
      <c r="N248" s="74"/>
      <c r="O248" s="82" t="s">
        <v>214</v>
      </c>
      <c r="P248" s="84">
        <v>44518.645833333336</v>
      </c>
      <c r="Q248" s="82" t="s">
        <v>732</v>
      </c>
      <c r="R248" s="82"/>
      <c r="S248" s="82"/>
      <c r="T248" s="87" t="s">
        <v>961</v>
      </c>
      <c r="U248" s="82"/>
      <c r="V248" s="85" t="str">
        <f>HYPERLINK("https://pbs.twimg.com/profile_images/1238934975183011842/uIKUxRIp_normal.jpg")</f>
        <v>https://pbs.twimg.com/profile_images/1238934975183011842/uIKUxRIp_normal.jpg</v>
      </c>
      <c r="W248" s="84">
        <v>44518.645833333336</v>
      </c>
      <c r="X248" s="90">
        <v>44518</v>
      </c>
      <c r="Y248" s="87" t="s">
        <v>1291</v>
      </c>
      <c r="Z248" s="85" t="str">
        <f>HYPERLINK("https://twitter.com/jamiesonce/status/1461356019171217424")</f>
        <v>https://twitter.com/jamiesonce/status/1461356019171217424</v>
      </c>
      <c r="AA248" s="82"/>
      <c r="AB248" s="82"/>
      <c r="AC248" s="87" t="s">
        <v>1649</v>
      </c>
      <c r="AD248" s="82"/>
      <c r="AE248" s="82" t="b">
        <v>0</v>
      </c>
      <c r="AF248" s="82">
        <v>12</v>
      </c>
      <c r="AG248" s="87" t="s">
        <v>1815</v>
      </c>
      <c r="AH248" s="82" t="b">
        <v>0</v>
      </c>
      <c r="AI248" s="82" t="s">
        <v>1826</v>
      </c>
      <c r="AJ248" s="82"/>
      <c r="AK248" s="87" t="s">
        <v>1815</v>
      </c>
      <c r="AL248" s="82" t="b">
        <v>0</v>
      </c>
      <c r="AM248" s="82">
        <v>4</v>
      </c>
      <c r="AN248" s="87" t="s">
        <v>1815</v>
      </c>
      <c r="AO248" s="87" t="s">
        <v>1850</v>
      </c>
      <c r="AP248" s="82" t="b">
        <v>0</v>
      </c>
      <c r="AQ248" s="87" t="s">
        <v>1649</v>
      </c>
      <c r="AR248" s="82"/>
      <c r="AS248" s="82">
        <v>0</v>
      </c>
      <c r="AT248" s="82">
        <v>0</v>
      </c>
      <c r="AU248" s="82"/>
      <c r="AV248" s="82"/>
      <c r="AW248" s="82"/>
      <c r="AX248" s="82"/>
      <c r="AY248" s="82"/>
      <c r="AZ248" s="82"/>
      <c r="BA248" s="82"/>
      <c r="BB248" s="82"/>
      <c r="BC248">
        <v>1</v>
      </c>
      <c r="BD248" s="81" t="str">
        <f>REPLACE(INDEX(GroupVertices[Group],MATCH(Edges[[#This Row],[Vertex 1]],GroupVertices[Vertex],0)),1,1,"")</f>
        <v>4</v>
      </c>
      <c r="BE248" s="81" t="str">
        <f>REPLACE(INDEX(GroupVertices[Group],MATCH(Edges[[#This Row],[Vertex 2]],GroupVertices[Vertex],0)),1,1,"")</f>
        <v>4</v>
      </c>
      <c r="BF248" s="49">
        <v>0</v>
      </c>
      <c r="BG248" s="50">
        <v>0</v>
      </c>
      <c r="BH248" s="49">
        <v>2</v>
      </c>
      <c r="BI248" s="50">
        <v>6.0606060606060606</v>
      </c>
      <c r="BJ248" s="49">
        <v>0</v>
      </c>
      <c r="BK248" s="50">
        <v>0</v>
      </c>
      <c r="BL248" s="49">
        <v>31</v>
      </c>
      <c r="BM248" s="50">
        <v>93.93939393939394</v>
      </c>
      <c r="BN248" s="49">
        <v>33</v>
      </c>
    </row>
    <row r="249" spans="1:66" ht="15">
      <c r="A249" s="66" t="s">
        <v>385</v>
      </c>
      <c r="B249" s="66" t="s">
        <v>386</v>
      </c>
      <c r="C249" s="67" t="s">
        <v>4510</v>
      </c>
      <c r="D249" s="68">
        <v>3.6363636363636362</v>
      </c>
      <c r="E249" s="69" t="s">
        <v>136</v>
      </c>
      <c r="F249" s="70">
        <v>31.2972972972973</v>
      </c>
      <c r="G249" s="67"/>
      <c r="H249" s="71"/>
      <c r="I249" s="72"/>
      <c r="J249" s="72"/>
      <c r="K249" s="35" t="s">
        <v>65</v>
      </c>
      <c r="L249" s="80">
        <v>249</v>
      </c>
      <c r="M249" s="80"/>
      <c r="N249" s="74"/>
      <c r="O249" s="82" t="s">
        <v>528</v>
      </c>
      <c r="P249" s="84">
        <v>44518.66527777778</v>
      </c>
      <c r="Q249" s="82" t="s">
        <v>729</v>
      </c>
      <c r="R249" s="85" t="str">
        <f>HYPERLINK("https://academic.oup.com/jacamr/article/1/2/dlz026/5554098")</f>
        <v>https://academic.oup.com/jacamr/article/1/2/dlz026/5554098</v>
      </c>
      <c r="S249" s="82" t="s">
        <v>931</v>
      </c>
      <c r="T249" s="87" t="s">
        <v>1054</v>
      </c>
      <c r="U249" s="82"/>
      <c r="V249" s="85" t="str">
        <f>HYPERLINK("https://pbs.twimg.com/profile_images/1058719862040784896/zm0I75Iz_normal.jpg")</f>
        <v>https://pbs.twimg.com/profile_images/1058719862040784896/zm0I75Iz_normal.jpg</v>
      </c>
      <c r="W249" s="84">
        <v>44518.66527777778</v>
      </c>
      <c r="X249" s="90">
        <v>44518</v>
      </c>
      <c r="Y249" s="87" t="s">
        <v>1315</v>
      </c>
      <c r="Z249" s="85" t="str">
        <f>HYPERLINK("https://twitter.com/microblog_me_uk/status/1461363065463750656")</f>
        <v>https://twitter.com/microblog_me_uk/status/1461363065463750656</v>
      </c>
      <c r="AA249" s="82"/>
      <c r="AB249" s="82"/>
      <c r="AC249" s="87" t="s">
        <v>1646</v>
      </c>
      <c r="AD249" s="82"/>
      <c r="AE249" s="82" t="b">
        <v>0</v>
      </c>
      <c r="AF249" s="82">
        <v>0</v>
      </c>
      <c r="AG249" s="87" t="s">
        <v>1815</v>
      </c>
      <c r="AH249" s="82" t="b">
        <v>0</v>
      </c>
      <c r="AI249" s="82" t="s">
        <v>1826</v>
      </c>
      <c r="AJ249" s="82"/>
      <c r="AK249" s="87" t="s">
        <v>1815</v>
      </c>
      <c r="AL249" s="82" t="b">
        <v>0</v>
      </c>
      <c r="AM249" s="82">
        <v>0</v>
      </c>
      <c r="AN249" s="87" t="s">
        <v>1815</v>
      </c>
      <c r="AO249" s="87" t="s">
        <v>1853</v>
      </c>
      <c r="AP249" s="82" t="b">
        <v>0</v>
      </c>
      <c r="AQ249" s="87" t="s">
        <v>1646</v>
      </c>
      <c r="AR249" s="82"/>
      <c r="AS249" s="82">
        <v>0</v>
      </c>
      <c r="AT249" s="82">
        <v>0</v>
      </c>
      <c r="AU249" s="82"/>
      <c r="AV249" s="82"/>
      <c r="AW249" s="82"/>
      <c r="AX249" s="82"/>
      <c r="AY249" s="82"/>
      <c r="AZ249" s="82"/>
      <c r="BA249" s="82"/>
      <c r="BB249" s="82"/>
      <c r="BC249">
        <v>2</v>
      </c>
      <c r="BD249" s="81" t="str">
        <f>REPLACE(INDEX(GroupVertices[Group],MATCH(Edges[[#This Row],[Vertex 1]],GroupVertices[Vertex],0)),1,1,"")</f>
        <v>4</v>
      </c>
      <c r="BE249" s="81" t="str">
        <f>REPLACE(INDEX(GroupVertices[Group],MATCH(Edges[[#This Row],[Vertex 2]],GroupVertices[Vertex],0)),1,1,"")</f>
        <v>4</v>
      </c>
      <c r="BF249" s="49"/>
      <c r="BG249" s="50"/>
      <c r="BH249" s="49"/>
      <c r="BI249" s="50"/>
      <c r="BJ249" s="49"/>
      <c r="BK249" s="50"/>
      <c r="BL249" s="49"/>
      <c r="BM249" s="50"/>
      <c r="BN249" s="49"/>
    </row>
    <row r="250" spans="1:66" ht="15">
      <c r="A250" s="66" t="s">
        <v>385</v>
      </c>
      <c r="B250" s="66" t="s">
        <v>386</v>
      </c>
      <c r="C250" s="67" t="s">
        <v>4510</v>
      </c>
      <c r="D250" s="68">
        <v>3.6363636363636362</v>
      </c>
      <c r="E250" s="69" t="s">
        <v>136</v>
      </c>
      <c r="F250" s="70">
        <v>31.2972972972973</v>
      </c>
      <c r="G250" s="67"/>
      <c r="H250" s="71"/>
      <c r="I250" s="72"/>
      <c r="J250" s="72"/>
      <c r="K250" s="35" t="s">
        <v>65</v>
      </c>
      <c r="L250" s="80">
        <v>250</v>
      </c>
      <c r="M250" s="80"/>
      <c r="N250" s="74"/>
      <c r="O250" s="82" t="s">
        <v>528</v>
      </c>
      <c r="P250" s="84">
        <v>44518.63055555556</v>
      </c>
      <c r="Q250" s="82" t="s">
        <v>733</v>
      </c>
      <c r="R250" s="82"/>
      <c r="S250" s="82"/>
      <c r="T250" s="87" t="s">
        <v>1056</v>
      </c>
      <c r="U250" s="82"/>
      <c r="V250" s="85" t="str">
        <f>HYPERLINK("https://pbs.twimg.com/profile_images/1058719862040784896/zm0I75Iz_normal.jpg")</f>
        <v>https://pbs.twimg.com/profile_images/1058719862040784896/zm0I75Iz_normal.jpg</v>
      </c>
      <c r="W250" s="84">
        <v>44518.63055555556</v>
      </c>
      <c r="X250" s="90">
        <v>44518</v>
      </c>
      <c r="Y250" s="87" t="s">
        <v>1318</v>
      </c>
      <c r="Z250" s="85" t="str">
        <f>HYPERLINK("https://twitter.com/microblog_me_uk/status/1461350482639659014")</f>
        <v>https://twitter.com/microblog_me_uk/status/1461350482639659014</v>
      </c>
      <c r="AA250" s="82"/>
      <c r="AB250" s="82"/>
      <c r="AC250" s="87" t="s">
        <v>1650</v>
      </c>
      <c r="AD250" s="82"/>
      <c r="AE250" s="82" t="b">
        <v>0</v>
      </c>
      <c r="AF250" s="82">
        <v>1</v>
      </c>
      <c r="AG250" s="87" t="s">
        <v>1815</v>
      </c>
      <c r="AH250" s="82" t="b">
        <v>0</v>
      </c>
      <c r="AI250" s="82" t="s">
        <v>1826</v>
      </c>
      <c r="AJ250" s="82"/>
      <c r="AK250" s="87" t="s">
        <v>1815</v>
      </c>
      <c r="AL250" s="82" t="b">
        <v>0</v>
      </c>
      <c r="AM250" s="82">
        <v>0</v>
      </c>
      <c r="AN250" s="87" t="s">
        <v>1815</v>
      </c>
      <c r="AO250" s="87" t="s">
        <v>1853</v>
      </c>
      <c r="AP250" s="82" t="b">
        <v>0</v>
      </c>
      <c r="AQ250" s="87" t="s">
        <v>1650</v>
      </c>
      <c r="AR250" s="82"/>
      <c r="AS250" s="82">
        <v>0</v>
      </c>
      <c r="AT250" s="82">
        <v>0</v>
      </c>
      <c r="AU250" s="82"/>
      <c r="AV250" s="82"/>
      <c r="AW250" s="82"/>
      <c r="AX250" s="82"/>
      <c r="AY250" s="82"/>
      <c r="AZ250" s="82"/>
      <c r="BA250" s="82"/>
      <c r="BB250" s="82"/>
      <c r="BC250">
        <v>2</v>
      </c>
      <c r="BD250" s="81" t="str">
        <f>REPLACE(INDEX(GroupVertices[Group],MATCH(Edges[[#This Row],[Vertex 1]],GroupVertices[Vertex],0)),1,1,"")</f>
        <v>4</v>
      </c>
      <c r="BE250" s="81" t="str">
        <f>REPLACE(INDEX(GroupVertices[Group],MATCH(Edges[[#This Row],[Vertex 2]],GroupVertices[Vertex],0)),1,1,"")</f>
        <v>4</v>
      </c>
      <c r="BF250" s="49"/>
      <c r="BG250" s="50"/>
      <c r="BH250" s="49"/>
      <c r="BI250" s="50"/>
      <c r="BJ250" s="49"/>
      <c r="BK250" s="50"/>
      <c r="BL250" s="49"/>
      <c r="BM250" s="50"/>
      <c r="BN250" s="49"/>
    </row>
    <row r="251" spans="1:66" ht="15">
      <c r="A251" s="66" t="s">
        <v>385</v>
      </c>
      <c r="B251" s="66" t="s">
        <v>497</v>
      </c>
      <c r="C251" s="67" t="s">
        <v>4509</v>
      </c>
      <c r="D251" s="68">
        <v>3</v>
      </c>
      <c r="E251" s="69" t="s">
        <v>132</v>
      </c>
      <c r="F251" s="70">
        <v>32</v>
      </c>
      <c r="G251" s="67"/>
      <c r="H251" s="71"/>
      <c r="I251" s="72"/>
      <c r="J251" s="72"/>
      <c r="K251" s="35" t="s">
        <v>65</v>
      </c>
      <c r="L251" s="80">
        <v>251</v>
      </c>
      <c r="M251" s="80"/>
      <c r="N251" s="74"/>
      <c r="O251" s="82" t="s">
        <v>528</v>
      </c>
      <c r="P251" s="84">
        <v>44518.63055555556</v>
      </c>
      <c r="Q251" s="82" t="s">
        <v>733</v>
      </c>
      <c r="R251" s="82"/>
      <c r="S251" s="82"/>
      <c r="T251" s="87" t="s">
        <v>1056</v>
      </c>
      <c r="U251" s="82"/>
      <c r="V251" s="85" t="str">
        <f>HYPERLINK("https://pbs.twimg.com/profile_images/1058719862040784896/zm0I75Iz_normal.jpg")</f>
        <v>https://pbs.twimg.com/profile_images/1058719862040784896/zm0I75Iz_normal.jpg</v>
      </c>
      <c r="W251" s="84">
        <v>44518.63055555556</v>
      </c>
      <c r="X251" s="90">
        <v>44518</v>
      </c>
      <c r="Y251" s="87" t="s">
        <v>1318</v>
      </c>
      <c r="Z251" s="85" t="str">
        <f>HYPERLINK("https://twitter.com/microblog_me_uk/status/1461350482639659014")</f>
        <v>https://twitter.com/microblog_me_uk/status/1461350482639659014</v>
      </c>
      <c r="AA251" s="82"/>
      <c r="AB251" s="82"/>
      <c r="AC251" s="87" t="s">
        <v>1650</v>
      </c>
      <c r="AD251" s="82"/>
      <c r="AE251" s="82" t="b">
        <v>0</v>
      </c>
      <c r="AF251" s="82">
        <v>1</v>
      </c>
      <c r="AG251" s="87" t="s">
        <v>1815</v>
      </c>
      <c r="AH251" s="82" t="b">
        <v>0</v>
      </c>
      <c r="AI251" s="82" t="s">
        <v>1826</v>
      </c>
      <c r="AJ251" s="82"/>
      <c r="AK251" s="87" t="s">
        <v>1815</v>
      </c>
      <c r="AL251" s="82" t="b">
        <v>0</v>
      </c>
      <c r="AM251" s="82">
        <v>0</v>
      </c>
      <c r="AN251" s="87" t="s">
        <v>1815</v>
      </c>
      <c r="AO251" s="87" t="s">
        <v>1853</v>
      </c>
      <c r="AP251" s="82" t="b">
        <v>0</v>
      </c>
      <c r="AQ251" s="87" t="s">
        <v>1650</v>
      </c>
      <c r="AR251" s="82"/>
      <c r="AS251" s="82">
        <v>0</v>
      </c>
      <c r="AT251" s="82">
        <v>0</v>
      </c>
      <c r="AU251" s="82"/>
      <c r="AV251" s="82"/>
      <c r="AW251" s="82"/>
      <c r="AX251" s="82"/>
      <c r="AY251" s="82"/>
      <c r="AZ251" s="82"/>
      <c r="BA251" s="82"/>
      <c r="BB251" s="82"/>
      <c r="BC251">
        <v>1</v>
      </c>
      <c r="BD251" s="81" t="str">
        <f>REPLACE(INDEX(GroupVertices[Group],MATCH(Edges[[#This Row],[Vertex 1]],GroupVertices[Vertex],0)),1,1,"")</f>
        <v>4</v>
      </c>
      <c r="BE251" s="81" t="str">
        <f>REPLACE(INDEX(GroupVertices[Group],MATCH(Edges[[#This Row],[Vertex 2]],GroupVertices[Vertex],0)),1,1,"")</f>
        <v>4</v>
      </c>
      <c r="BF251" s="49"/>
      <c r="BG251" s="50"/>
      <c r="BH251" s="49"/>
      <c r="BI251" s="50"/>
      <c r="BJ251" s="49"/>
      <c r="BK251" s="50"/>
      <c r="BL251" s="49"/>
      <c r="BM251" s="50"/>
      <c r="BN251" s="49"/>
    </row>
    <row r="252" spans="1:66" ht="15">
      <c r="A252" s="66" t="s">
        <v>385</v>
      </c>
      <c r="B252" s="66" t="s">
        <v>498</v>
      </c>
      <c r="C252" s="67" t="s">
        <v>4509</v>
      </c>
      <c r="D252" s="68">
        <v>3</v>
      </c>
      <c r="E252" s="69" t="s">
        <v>132</v>
      </c>
      <c r="F252" s="70">
        <v>32</v>
      </c>
      <c r="G252" s="67"/>
      <c r="H252" s="71"/>
      <c r="I252" s="72"/>
      <c r="J252" s="72"/>
      <c r="K252" s="35" t="s">
        <v>65</v>
      </c>
      <c r="L252" s="80">
        <v>252</v>
      </c>
      <c r="M252" s="80"/>
      <c r="N252" s="74"/>
      <c r="O252" s="82" t="s">
        <v>528</v>
      </c>
      <c r="P252" s="84">
        <v>44518.63055555556</v>
      </c>
      <c r="Q252" s="82" t="s">
        <v>733</v>
      </c>
      <c r="R252" s="82"/>
      <c r="S252" s="82"/>
      <c r="T252" s="87" t="s">
        <v>1056</v>
      </c>
      <c r="U252" s="82"/>
      <c r="V252" s="85" t="str">
        <f>HYPERLINK("https://pbs.twimg.com/profile_images/1058719862040784896/zm0I75Iz_normal.jpg")</f>
        <v>https://pbs.twimg.com/profile_images/1058719862040784896/zm0I75Iz_normal.jpg</v>
      </c>
      <c r="W252" s="84">
        <v>44518.63055555556</v>
      </c>
      <c r="X252" s="90">
        <v>44518</v>
      </c>
      <c r="Y252" s="87" t="s">
        <v>1318</v>
      </c>
      <c r="Z252" s="85" t="str">
        <f>HYPERLINK("https://twitter.com/microblog_me_uk/status/1461350482639659014")</f>
        <v>https://twitter.com/microblog_me_uk/status/1461350482639659014</v>
      </c>
      <c r="AA252" s="82"/>
      <c r="AB252" s="82"/>
      <c r="AC252" s="87" t="s">
        <v>1650</v>
      </c>
      <c r="AD252" s="82"/>
      <c r="AE252" s="82" t="b">
        <v>0</v>
      </c>
      <c r="AF252" s="82">
        <v>1</v>
      </c>
      <c r="AG252" s="87" t="s">
        <v>1815</v>
      </c>
      <c r="AH252" s="82" t="b">
        <v>0</v>
      </c>
      <c r="AI252" s="82" t="s">
        <v>1826</v>
      </c>
      <c r="AJ252" s="82"/>
      <c r="AK252" s="87" t="s">
        <v>1815</v>
      </c>
      <c r="AL252" s="82" t="b">
        <v>0</v>
      </c>
      <c r="AM252" s="82">
        <v>0</v>
      </c>
      <c r="AN252" s="87" t="s">
        <v>1815</v>
      </c>
      <c r="AO252" s="87" t="s">
        <v>1853</v>
      </c>
      <c r="AP252" s="82" t="b">
        <v>0</v>
      </c>
      <c r="AQ252" s="87" t="s">
        <v>1650</v>
      </c>
      <c r="AR252" s="82"/>
      <c r="AS252" s="82">
        <v>0</v>
      </c>
      <c r="AT252" s="82">
        <v>0</v>
      </c>
      <c r="AU252" s="82"/>
      <c r="AV252" s="82"/>
      <c r="AW252" s="82"/>
      <c r="AX252" s="82"/>
      <c r="AY252" s="82"/>
      <c r="AZ252" s="82"/>
      <c r="BA252" s="82"/>
      <c r="BB252" s="82"/>
      <c r="BC252">
        <v>1</v>
      </c>
      <c r="BD252" s="81" t="str">
        <f>REPLACE(INDEX(GroupVertices[Group],MATCH(Edges[[#This Row],[Vertex 1]],GroupVertices[Vertex],0)),1,1,"")</f>
        <v>4</v>
      </c>
      <c r="BE252" s="81" t="str">
        <f>REPLACE(INDEX(GroupVertices[Group],MATCH(Edges[[#This Row],[Vertex 2]],GroupVertices[Vertex],0)),1,1,"")</f>
        <v>4</v>
      </c>
      <c r="BF252" s="49">
        <v>0</v>
      </c>
      <c r="BG252" s="50">
        <v>0</v>
      </c>
      <c r="BH252" s="49">
        <v>0</v>
      </c>
      <c r="BI252" s="50">
        <v>0</v>
      </c>
      <c r="BJ252" s="49">
        <v>0</v>
      </c>
      <c r="BK252" s="50">
        <v>0</v>
      </c>
      <c r="BL252" s="49">
        <v>31</v>
      </c>
      <c r="BM252" s="50">
        <v>100</v>
      </c>
      <c r="BN252" s="49">
        <v>31</v>
      </c>
    </row>
    <row r="253" spans="1:66" ht="15">
      <c r="A253" s="66" t="s">
        <v>385</v>
      </c>
      <c r="B253" s="66" t="s">
        <v>499</v>
      </c>
      <c r="C253" s="67" t="s">
        <v>4509</v>
      </c>
      <c r="D253" s="68">
        <v>3</v>
      </c>
      <c r="E253" s="69" t="s">
        <v>132</v>
      </c>
      <c r="F253" s="70">
        <v>32</v>
      </c>
      <c r="G253" s="67"/>
      <c r="H253" s="71"/>
      <c r="I253" s="72"/>
      <c r="J253" s="72"/>
      <c r="K253" s="35" t="s">
        <v>65</v>
      </c>
      <c r="L253" s="80">
        <v>253</v>
      </c>
      <c r="M253" s="80"/>
      <c r="N253" s="74"/>
      <c r="O253" s="82" t="s">
        <v>528</v>
      </c>
      <c r="P253" s="84">
        <v>44518.62708333333</v>
      </c>
      <c r="Q253" s="82" t="s">
        <v>734</v>
      </c>
      <c r="R253" s="85" t="str">
        <f>HYPERLINK("https://assets.publishing.service.gov.uk/government/uploads/system/uploads/attachment_data/file/1033851/espaur-report-2020-to-2021-16-Nov.pdf")</f>
        <v>https://assets.publishing.service.gov.uk/government/uploads/system/uploads/attachment_data/file/1033851/espaur-report-2020-to-2021-16-Nov.pdf</v>
      </c>
      <c r="S253" s="82" t="s">
        <v>909</v>
      </c>
      <c r="T253" s="87" t="s">
        <v>1057</v>
      </c>
      <c r="U253" s="82"/>
      <c r="V253" s="85" t="str">
        <f>HYPERLINK("https://pbs.twimg.com/profile_images/1058719862040784896/zm0I75Iz_normal.jpg")</f>
        <v>https://pbs.twimg.com/profile_images/1058719862040784896/zm0I75Iz_normal.jpg</v>
      </c>
      <c r="W253" s="84">
        <v>44518.62708333333</v>
      </c>
      <c r="X253" s="90">
        <v>44518</v>
      </c>
      <c r="Y253" s="87" t="s">
        <v>1319</v>
      </c>
      <c r="Z253" s="85" t="str">
        <f>HYPERLINK("https://twitter.com/microblog_me_uk/status/1461349224952467462")</f>
        <v>https://twitter.com/microblog_me_uk/status/1461349224952467462</v>
      </c>
      <c r="AA253" s="82"/>
      <c r="AB253" s="82"/>
      <c r="AC253" s="87" t="s">
        <v>1651</v>
      </c>
      <c r="AD253" s="82"/>
      <c r="AE253" s="82" t="b">
        <v>0</v>
      </c>
      <c r="AF253" s="82">
        <v>2</v>
      </c>
      <c r="AG253" s="87" t="s">
        <v>1815</v>
      </c>
      <c r="AH253" s="82" t="b">
        <v>0</v>
      </c>
      <c r="AI253" s="82" t="s">
        <v>1826</v>
      </c>
      <c r="AJ253" s="82"/>
      <c r="AK253" s="87" t="s">
        <v>1815</v>
      </c>
      <c r="AL253" s="82" t="b">
        <v>0</v>
      </c>
      <c r="AM253" s="82">
        <v>0</v>
      </c>
      <c r="AN253" s="87" t="s">
        <v>1815</v>
      </c>
      <c r="AO253" s="87" t="s">
        <v>1853</v>
      </c>
      <c r="AP253" s="82" t="b">
        <v>0</v>
      </c>
      <c r="AQ253" s="87" t="s">
        <v>1651</v>
      </c>
      <c r="AR253" s="82"/>
      <c r="AS253" s="82">
        <v>0</v>
      </c>
      <c r="AT253" s="82">
        <v>0</v>
      </c>
      <c r="AU253" s="82"/>
      <c r="AV253" s="82"/>
      <c r="AW253" s="82"/>
      <c r="AX253" s="82"/>
      <c r="AY253" s="82"/>
      <c r="AZ253" s="82"/>
      <c r="BA253" s="82"/>
      <c r="BB253" s="82"/>
      <c r="BC253">
        <v>1</v>
      </c>
      <c r="BD253" s="81" t="str">
        <f>REPLACE(INDEX(GroupVertices[Group],MATCH(Edges[[#This Row],[Vertex 1]],GroupVertices[Vertex],0)),1,1,"")</f>
        <v>4</v>
      </c>
      <c r="BE253" s="81" t="str">
        <f>REPLACE(INDEX(GroupVertices[Group],MATCH(Edges[[#This Row],[Vertex 2]],GroupVertices[Vertex],0)),1,1,"")</f>
        <v>4</v>
      </c>
      <c r="BF253" s="49">
        <v>0</v>
      </c>
      <c r="BG253" s="50">
        <v>0</v>
      </c>
      <c r="BH253" s="49">
        <v>0</v>
      </c>
      <c r="BI253" s="50">
        <v>0</v>
      </c>
      <c r="BJ253" s="49">
        <v>0</v>
      </c>
      <c r="BK253" s="50">
        <v>0</v>
      </c>
      <c r="BL253" s="49">
        <v>32</v>
      </c>
      <c r="BM253" s="50">
        <v>100</v>
      </c>
      <c r="BN253" s="49">
        <v>32</v>
      </c>
    </row>
    <row r="254" spans="1:66" ht="15">
      <c r="A254" s="66" t="s">
        <v>385</v>
      </c>
      <c r="B254" s="66" t="s">
        <v>500</v>
      </c>
      <c r="C254" s="67" t="s">
        <v>4509</v>
      </c>
      <c r="D254" s="68">
        <v>3</v>
      </c>
      <c r="E254" s="69" t="s">
        <v>132</v>
      </c>
      <c r="F254" s="70">
        <v>32</v>
      </c>
      <c r="G254" s="67"/>
      <c r="H254" s="71"/>
      <c r="I254" s="72"/>
      <c r="J254" s="72"/>
      <c r="K254" s="35" t="s">
        <v>65</v>
      </c>
      <c r="L254" s="80">
        <v>254</v>
      </c>
      <c r="M254" s="80"/>
      <c r="N254" s="74"/>
      <c r="O254" s="82" t="s">
        <v>528</v>
      </c>
      <c r="P254" s="84">
        <v>44518.62847222222</v>
      </c>
      <c r="Q254" s="82" t="s">
        <v>735</v>
      </c>
      <c r="R254" s="82"/>
      <c r="S254" s="82"/>
      <c r="T254" s="87" t="s">
        <v>1058</v>
      </c>
      <c r="U254" s="82"/>
      <c r="V254" s="85" t="str">
        <f>HYPERLINK("https://pbs.twimg.com/profile_images/1058719862040784896/zm0I75Iz_normal.jpg")</f>
        <v>https://pbs.twimg.com/profile_images/1058719862040784896/zm0I75Iz_normal.jpg</v>
      </c>
      <c r="W254" s="84">
        <v>44518.62847222222</v>
      </c>
      <c r="X254" s="90">
        <v>44518</v>
      </c>
      <c r="Y254" s="87" t="s">
        <v>1154</v>
      </c>
      <c r="Z254" s="85" t="str">
        <f>HYPERLINK("https://twitter.com/microblog_me_uk/status/1461349728059330560")</f>
        <v>https://twitter.com/microblog_me_uk/status/1461349728059330560</v>
      </c>
      <c r="AA254" s="82"/>
      <c r="AB254" s="82"/>
      <c r="AC254" s="87" t="s">
        <v>1652</v>
      </c>
      <c r="AD254" s="82"/>
      <c r="AE254" s="82" t="b">
        <v>0</v>
      </c>
      <c r="AF254" s="82">
        <v>7</v>
      </c>
      <c r="AG254" s="87" t="s">
        <v>1815</v>
      </c>
      <c r="AH254" s="82" t="b">
        <v>0</v>
      </c>
      <c r="AI254" s="82" t="s">
        <v>1826</v>
      </c>
      <c r="AJ254" s="82"/>
      <c r="AK254" s="87" t="s">
        <v>1815</v>
      </c>
      <c r="AL254" s="82" t="b">
        <v>0</v>
      </c>
      <c r="AM254" s="82">
        <v>2</v>
      </c>
      <c r="AN254" s="87" t="s">
        <v>1815</v>
      </c>
      <c r="AO254" s="87" t="s">
        <v>1853</v>
      </c>
      <c r="AP254" s="82" t="b">
        <v>0</v>
      </c>
      <c r="AQ254" s="87" t="s">
        <v>1652</v>
      </c>
      <c r="AR254" s="82"/>
      <c r="AS254" s="82">
        <v>0</v>
      </c>
      <c r="AT254" s="82">
        <v>0</v>
      </c>
      <c r="AU254" s="82"/>
      <c r="AV254" s="82"/>
      <c r="AW254" s="82"/>
      <c r="AX254" s="82"/>
      <c r="AY254" s="82"/>
      <c r="AZ254" s="82"/>
      <c r="BA254" s="82"/>
      <c r="BB254" s="82"/>
      <c r="BC254">
        <v>1</v>
      </c>
      <c r="BD254" s="81" t="str">
        <f>REPLACE(INDEX(GroupVertices[Group],MATCH(Edges[[#This Row],[Vertex 1]],GroupVertices[Vertex],0)),1,1,"")</f>
        <v>4</v>
      </c>
      <c r="BE254" s="81" t="str">
        <f>REPLACE(INDEX(GroupVertices[Group],MATCH(Edges[[#This Row],[Vertex 2]],GroupVertices[Vertex],0)),1,1,"")</f>
        <v>4</v>
      </c>
      <c r="BF254" s="49">
        <v>0</v>
      </c>
      <c r="BG254" s="50">
        <v>0</v>
      </c>
      <c r="BH254" s="49">
        <v>1</v>
      </c>
      <c r="BI254" s="50">
        <v>3.5714285714285716</v>
      </c>
      <c r="BJ254" s="49">
        <v>0</v>
      </c>
      <c r="BK254" s="50">
        <v>0</v>
      </c>
      <c r="BL254" s="49">
        <v>27</v>
      </c>
      <c r="BM254" s="50">
        <v>96.42857142857143</v>
      </c>
      <c r="BN254" s="49">
        <v>28</v>
      </c>
    </row>
    <row r="255" spans="1:66" ht="15">
      <c r="A255" s="66" t="s">
        <v>385</v>
      </c>
      <c r="B255" s="66" t="s">
        <v>501</v>
      </c>
      <c r="C255" s="67" t="s">
        <v>4509</v>
      </c>
      <c r="D255" s="68">
        <v>3</v>
      </c>
      <c r="E255" s="69" t="s">
        <v>132</v>
      </c>
      <c r="F255" s="70">
        <v>32</v>
      </c>
      <c r="G255" s="67"/>
      <c r="H255" s="71"/>
      <c r="I255" s="72"/>
      <c r="J255" s="72"/>
      <c r="K255" s="35" t="s">
        <v>65</v>
      </c>
      <c r="L255" s="80">
        <v>255</v>
      </c>
      <c r="M255" s="80"/>
      <c r="N255" s="74"/>
      <c r="O255" s="82" t="s">
        <v>528</v>
      </c>
      <c r="P255" s="84">
        <v>44518.63125</v>
      </c>
      <c r="Q255" s="82" t="s">
        <v>736</v>
      </c>
      <c r="R255" s="82"/>
      <c r="S255" s="82"/>
      <c r="T255" s="87" t="s">
        <v>1059</v>
      </c>
      <c r="U255" s="82"/>
      <c r="V255" s="85" t="str">
        <f>HYPERLINK("https://pbs.twimg.com/profile_images/1058719862040784896/zm0I75Iz_normal.jpg")</f>
        <v>https://pbs.twimg.com/profile_images/1058719862040784896/zm0I75Iz_normal.jpg</v>
      </c>
      <c r="W255" s="84">
        <v>44518.63125</v>
      </c>
      <c r="X255" s="90">
        <v>44518</v>
      </c>
      <c r="Y255" s="87" t="s">
        <v>1320</v>
      </c>
      <c r="Z255" s="85" t="str">
        <f>HYPERLINK("https://twitter.com/microblog_me_uk/status/1461350734268567555")</f>
        <v>https://twitter.com/microblog_me_uk/status/1461350734268567555</v>
      </c>
      <c r="AA255" s="82"/>
      <c r="AB255" s="82"/>
      <c r="AC255" s="87" t="s">
        <v>1653</v>
      </c>
      <c r="AD255" s="82"/>
      <c r="AE255" s="82" t="b">
        <v>0</v>
      </c>
      <c r="AF255" s="82">
        <v>1</v>
      </c>
      <c r="AG255" s="87" t="s">
        <v>1815</v>
      </c>
      <c r="AH255" s="82" t="b">
        <v>0</v>
      </c>
      <c r="AI255" s="82" t="s">
        <v>1826</v>
      </c>
      <c r="AJ255" s="82"/>
      <c r="AK255" s="87" t="s">
        <v>1815</v>
      </c>
      <c r="AL255" s="82" t="b">
        <v>0</v>
      </c>
      <c r="AM255" s="82">
        <v>0</v>
      </c>
      <c r="AN255" s="87" t="s">
        <v>1815</v>
      </c>
      <c r="AO255" s="87" t="s">
        <v>1853</v>
      </c>
      <c r="AP255" s="82" t="b">
        <v>0</v>
      </c>
      <c r="AQ255" s="87" t="s">
        <v>1653</v>
      </c>
      <c r="AR255" s="82"/>
      <c r="AS255" s="82">
        <v>0</v>
      </c>
      <c r="AT255" s="82">
        <v>0</v>
      </c>
      <c r="AU255" s="82"/>
      <c r="AV255" s="82"/>
      <c r="AW255" s="82"/>
      <c r="AX255" s="82"/>
      <c r="AY255" s="82"/>
      <c r="AZ255" s="82"/>
      <c r="BA255" s="82"/>
      <c r="BB255" s="82"/>
      <c r="BC255">
        <v>1</v>
      </c>
      <c r="BD255" s="81" t="str">
        <f>REPLACE(INDEX(GroupVertices[Group],MATCH(Edges[[#This Row],[Vertex 1]],GroupVertices[Vertex],0)),1,1,"")</f>
        <v>4</v>
      </c>
      <c r="BE255" s="81" t="str">
        <f>REPLACE(INDEX(GroupVertices[Group],MATCH(Edges[[#This Row],[Vertex 2]],GroupVertices[Vertex],0)),1,1,"")</f>
        <v>4</v>
      </c>
      <c r="BF255" s="49">
        <v>0</v>
      </c>
      <c r="BG255" s="50">
        <v>0</v>
      </c>
      <c r="BH255" s="49">
        <v>0</v>
      </c>
      <c r="BI255" s="50">
        <v>0</v>
      </c>
      <c r="BJ255" s="49">
        <v>0</v>
      </c>
      <c r="BK255" s="50">
        <v>0</v>
      </c>
      <c r="BL255" s="49">
        <v>21</v>
      </c>
      <c r="BM255" s="50">
        <v>100</v>
      </c>
      <c r="BN255" s="49">
        <v>21</v>
      </c>
    </row>
    <row r="256" spans="1:66" ht="15">
      <c r="A256" s="66" t="s">
        <v>387</v>
      </c>
      <c r="B256" s="66" t="s">
        <v>387</v>
      </c>
      <c r="C256" s="67" t="s">
        <v>4509</v>
      </c>
      <c r="D256" s="68">
        <v>3</v>
      </c>
      <c r="E256" s="69" t="s">
        <v>132</v>
      </c>
      <c r="F256" s="70">
        <v>32</v>
      </c>
      <c r="G256" s="67"/>
      <c r="H256" s="71"/>
      <c r="I256" s="72"/>
      <c r="J256" s="72"/>
      <c r="K256" s="35" t="s">
        <v>65</v>
      </c>
      <c r="L256" s="80">
        <v>256</v>
      </c>
      <c r="M256" s="80"/>
      <c r="N256" s="74"/>
      <c r="O256" s="82" t="s">
        <v>214</v>
      </c>
      <c r="P256" s="84">
        <v>44518.63197916667</v>
      </c>
      <c r="Q256" s="82" t="s">
        <v>737</v>
      </c>
      <c r="R256" s="85" t="str">
        <f>HYPERLINK("https://www.cdc.gov/antibiotic-use/materials-references/index.html")</f>
        <v>https://www.cdc.gov/antibiotic-use/materials-references/index.html</v>
      </c>
      <c r="S256" s="82" t="s">
        <v>903</v>
      </c>
      <c r="T256" s="87" t="s">
        <v>1060</v>
      </c>
      <c r="U256" s="82"/>
      <c r="V256" s="85" t="str">
        <f>HYPERLINK("https://pbs.twimg.com/profile_images/1344315172614246406/DdcQ9um7_normal.jpg")</f>
        <v>https://pbs.twimg.com/profile_images/1344315172614246406/DdcQ9um7_normal.jpg</v>
      </c>
      <c r="W256" s="84">
        <v>44518.63197916667</v>
      </c>
      <c r="X256" s="90">
        <v>44518</v>
      </c>
      <c r="Y256" s="87" t="s">
        <v>1305</v>
      </c>
      <c r="Z256" s="85" t="str">
        <f>HYPERLINK("https://twitter.com/sanfordguide/status/1461350997415006235")</f>
        <v>https://twitter.com/sanfordguide/status/1461350997415006235</v>
      </c>
      <c r="AA256" s="82"/>
      <c r="AB256" s="82"/>
      <c r="AC256" s="87" t="s">
        <v>1654</v>
      </c>
      <c r="AD256" s="82"/>
      <c r="AE256" s="82" t="b">
        <v>0</v>
      </c>
      <c r="AF256" s="82">
        <v>5</v>
      </c>
      <c r="AG256" s="87" t="s">
        <v>1815</v>
      </c>
      <c r="AH256" s="82" t="b">
        <v>0</v>
      </c>
      <c r="AI256" s="82" t="s">
        <v>1826</v>
      </c>
      <c r="AJ256" s="82"/>
      <c r="AK256" s="87" t="s">
        <v>1815</v>
      </c>
      <c r="AL256" s="82" t="b">
        <v>0</v>
      </c>
      <c r="AM256" s="82">
        <v>8</v>
      </c>
      <c r="AN256" s="87" t="s">
        <v>1815</v>
      </c>
      <c r="AO256" s="87" t="s">
        <v>1854</v>
      </c>
      <c r="AP256" s="82" t="b">
        <v>0</v>
      </c>
      <c r="AQ256" s="87" t="s">
        <v>1654</v>
      </c>
      <c r="AR256" s="82"/>
      <c r="AS256" s="82">
        <v>0</v>
      </c>
      <c r="AT256" s="82">
        <v>0</v>
      </c>
      <c r="AU256" s="82"/>
      <c r="AV256" s="82"/>
      <c r="AW256" s="82"/>
      <c r="AX256" s="82"/>
      <c r="AY256" s="82"/>
      <c r="AZ256" s="82"/>
      <c r="BA256" s="82"/>
      <c r="BB256" s="82"/>
      <c r="BC256">
        <v>1</v>
      </c>
      <c r="BD256" s="81" t="str">
        <f>REPLACE(INDEX(GroupVertices[Group],MATCH(Edges[[#This Row],[Vertex 1]],GroupVertices[Vertex],0)),1,1,"")</f>
        <v>4</v>
      </c>
      <c r="BE256" s="81" t="str">
        <f>REPLACE(INDEX(GroupVertices[Group],MATCH(Edges[[#This Row],[Vertex 2]],GroupVertices[Vertex],0)),1,1,"")</f>
        <v>4</v>
      </c>
      <c r="BF256" s="49">
        <v>1</v>
      </c>
      <c r="BG256" s="50">
        <v>3.125</v>
      </c>
      <c r="BH256" s="49">
        <v>1</v>
      </c>
      <c r="BI256" s="50">
        <v>3.125</v>
      </c>
      <c r="BJ256" s="49">
        <v>0</v>
      </c>
      <c r="BK256" s="50">
        <v>0</v>
      </c>
      <c r="BL256" s="49">
        <v>30</v>
      </c>
      <c r="BM256" s="50">
        <v>93.75</v>
      </c>
      <c r="BN256" s="49">
        <v>32</v>
      </c>
    </row>
    <row r="257" spans="1:66" ht="15">
      <c r="A257" s="66" t="s">
        <v>385</v>
      </c>
      <c r="B257" s="66" t="s">
        <v>387</v>
      </c>
      <c r="C257" s="67" t="s">
        <v>4509</v>
      </c>
      <c r="D257" s="68">
        <v>3</v>
      </c>
      <c r="E257" s="69" t="s">
        <v>132</v>
      </c>
      <c r="F257" s="70">
        <v>32</v>
      </c>
      <c r="G257" s="67"/>
      <c r="H257" s="71"/>
      <c r="I257" s="72"/>
      <c r="J257" s="72"/>
      <c r="K257" s="35" t="s">
        <v>65</v>
      </c>
      <c r="L257" s="80">
        <v>257</v>
      </c>
      <c r="M257" s="80"/>
      <c r="N257" s="74"/>
      <c r="O257" s="82" t="s">
        <v>528</v>
      </c>
      <c r="P257" s="84">
        <v>44518.63402777778</v>
      </c>
      <c r="Q257" s="82" t="s">
        <v>738</v>
      </c>
      <c r="R257" s="82"/>
      <c r="S257" s="82"/>
      <c r="T257" s="87" t="s">
        <v>1061</v>
      </c>
      <c r="U257" s="82"/>
      <c r="V257" s="85" t="str">
        <f>HYPERLINK("https://pbs.twimg.com/profile_images/1058719862040784896/zm0I75Iz_normal.jpg")</f>
        <v>https://pbs.twimg.com/profile_images/1058719862040784896/zm0I75Iz_normal.jpg</v>
      </c>
      <c r="W257" s="84">
        <v>44518.63402777778</v>
      </c>
      <c r="X257" s="90">
        <v>44518</v>
      </c>
      <c r="Y257" s="87" t="s">
        <v>1321</v>
      </c>
      <c r="Z257" s="85" t="str">
        <f>HYPERLINK("https://twitter.com/microblog_me_uk/status/1461351741035724811")</f>
        <v>https://twitter.com/microblog_me_uk/status/1461351741035724811</v>
      </c>
      <c r="AA257" s="82"/>
      <c r="AB257" s="82"/>
      <c r="AC257" s="87" t="s">
        <v>1655</v>
      </c>
      <c r="AD257" s="82"/>
      <c r="AE257" s="82" t="b">
        <v>0</v>
      </c>
      <c r="AF257" s="82">
        <v>2</v>
      </c>
      <c r="AG257" s="87" t="s">
        <v>1815</v>
      </c>
      <c r="AH257" s="82" t="b">
        <v>0</v>
      </c>
      <c r="AI257" s="82" t="s">
        <v>1826</v>
      </c>
      <c r="AJ257" s="82"/>
      <c r="AK257" s="87" t="s">
        <v>1815</v>
      </c>
      <c r="AL257" s="82" t="b">
        <v>0</v>
      </c>
      <c r="AM257" s="82">
        <v>0</v>
      </c>
      <c r="AN257" s="87" t="s">
        <v>1815</v>
      </c>
      <c r="AO257" s="87" t="s">
        <v>1853</v>
      </c>
      <c r="AP257" s="82" t="b">
        <v>0</v>
      </c>
      <c r="AQ257" s="87" t="s">
        <v>1655</v>
      </c>
      <c r="AR257" s="82"/>
      <c r="AS257" s="82">
        <v>0</v>
      </c>
      <c r="AT257" s="82">
        <v>0</v>
      </c>
      <c r="AU257" s="82"/>
      <c r="AV257" s="82"/>
      <c r="AW257" s="82"/>
      <c r="AX257" s="82"/>
      <c r="AY257" s="82"/>
      <c r="AZ257" s="82"/>
      <c r="BA257" s="82"/>
      <c r="BB257" s="82"/>
      <c r="BC257">
        <v>1</v>
      </c>
      <c r="BD257" s="81" t="str">
        <f>REPLACE(INDEX(GroupVertices[Group],MATCH(Edges[[#This Row],[Vertex 1]],GroupVertices[Vertex],0)),1,1,"")</f>
        <v>4</v>
      </c>
      <c r="BE257" s="81" t="str">
        <f>REPLACE(INDEX(GroupVertices[Group],MATCH(Edges[[#This Row],[Vertex 2]],GroupVertices[Vertex],0)),1,1,"")</f>
        <v>4</v>
      </c>
      <c r="BF257" s="49">
        <v>2</v>
      </c>
      <c r="BG257" s="50">
        <v>5.555555555555555</v>
      </c>
      <c r="BH257" s="49">
        <v>2</v>
      </c>
      <c r="BI257" s="50">
        <v>5.555555555555555</v>
      </c>
      <c r="BJ257" s="49">
        <v>0</v>
      </c>
      <c r="BK257" s="50">
        <v>0</v>
      </c>
      <c r="BL257" s="49">
        <v>32</v>
      </c>
      <c r="BM257" s="50">
        <v>88.88888888888889</v>
      </c>
      <c r="BN257" s="49">
        <v>36</v>
      </c>
    </row>
    <row r="258" spans="1:66" ht="15">
      <c r="A258" s="66" t="s">
        <v>385</v>
      </c>
      <c r="B258" s="66" t="s">
        <v>502</v>
      </c>
      <c r="C258" s="67" t="s">
        <v>4510</v>
      </c>
      <c r="D258" s="68">
        <v>3.6363636363636362</v>
      </c>
      <c r="E258" s="69" t="s">
        <v>136</v>
      </c>
      <c r="F258" s="70">
        <v>31.2972972972973</v>
      </c>
      <c r="G258" s="67"/>
      <c r="H258" s="71"/>
      <c r="I258" s="72"/>
      <c r="J258" s="72"/>
      <c r="K258" s="35" t="s">
        <v>65</v>
      </c>
      <c r="L258" s="80">
        <v>258</v>
      </c>
      <c r="M258" s="80"/>
      <c r="N258" s="74"/>
      <c r="O258" s="82" t="s">
        <v>528</v>
      </c>
      <c r="P258" s="84">
        <v>44518.66527777778</v>
      </c>
      <c r="Q258" s="82" t="s">
        <v>729</v>
      </c>
      <c r="R258" s="85" t="str">
        <f>HYPERLINK("https://academic.oup.com/jacamr/article/1/2/dlz026/5554098")</f>
        <v>https://academic.oup.com/jacamr/article/1/2/dlz026/5554098</v>
      </c>
      <c r="S258" s="82" t="s">
        <v>931</v>
      </c>
      <c r="T258" s="87" t="s">
        <v>1054</v>
      </c>
      <c r="U258" s="82"/>
      <c r="V258" s="85" t="str">
        <f>HYPERLINK("https://pbs.twimg.com/profile_images/1058719862040784896/zm0I75Iz_normal.jpg")</f>
        <v>https://pbs.twimg.com/profile_images/1058719862040784896/zm0I75Iz_normal.jpg</v>
      </c>
      <c r="W258" s="84">
        <v>44518.66527777778</v>
      </c>
      <c r="X258" s="90">
        <v>44518</v>
      </c>
      <c r="Y258" s="87" t="s">
        <v>1315</v>
      </c>
      <c r="Z258" s="85" t="str">
        <f>HYPERLINK("https://twitter.com/microblog_me_uk/status/1461363065463750656")</f>
        <v>https://twitter.com/microblog_me_uk/status/1461363065463750656</v>
      </c>
      <c r="AA258" s="82"/>
      <c r="AB258" s="82"/>
      <c r="AC258" s="87" t="s">
        <v>1646</v>
      </c>
      <c r="AD258" s="82"/>
      <c r="AE258" s="82" t="b">
        <v>0</v>
      </c>
      <c r="AF258" s="82">
        <v>0</v>
      </c>
      <c r="AG258" s="87" t="s">
        <v>1815</v>
      </c>
      <c r="AH258" s="82" t="b">
        <v>0</v>
      </c>
      <c r="AI258" s="82" t="s">
        <v>1826</v>
      </c>
      <c r="AJ258" s="82"/>
      <c r="AK258" s="87" t="s">
        <v>1815</v>
      </c>
      <c r="AL258" s="82" t="b">
        <v>0</v>
      </c>
      <c r="AM258" s="82">
        <v>0</v>
      </c>
      <c r="AN258" s="87" t="s">
        <v>1815</v>
      </c>
      <c r="AO258" s="87" t="s">
        <v>1853</v>
      </c>
      <c r="AP258" s="82" t="b">
        <v>0</v>
      </c>
      <c r="AQ258" s="87" t="s">
        <v>1646</v>
      </c>
      <c r="AR258" s="82"/>
      <c r="AS258" s="82">
        <v>0</v>
      </c>
      <c r="AT258" s="82">
        <v>0</v>
      </c>
      <c r="AU258" s="82"/>
      <c r="AV258" s="82"/>
      <c r="AW258" s="82"/>
      <c r="AX258" s="82"/>
      <c r="AY258" s="82"/>
      <c r="AZ258" s="82"/>
      <c r="BA258" s="82"/>
      <c r="BB258" s="82"/>
      <c r="BC258">
        <v>2</v>
      </c>
      <c r="BD258" s="81" t="str">
        <f>REPLACE(INDEX(GroupVertices[Group],MATCH(Edges[[#This Row],[Vertex 1]],GroupVertices[Vertex],0)),1,1,"")</f>
        <v>4</v>
      </c>
      <c r="BE258" s="81" t="str">
        <f>REPLACE(INDEX(GroupVertices[Group],MATCH(Edges[[#This Row],[Vertex 2]],GroupVertices[Vertex],0)),1,1,"")</f>
        <v>4</v>
      </c>
      <c r="BF258" s="49">
        <v>2</v>
      </c>
      <c r="BG258" s="50">
        <v>7.407407407407407</v>
      </c>
      <c r="BH258" s="49">
        <v>0</v>
      </c>
      <c r="BI258" s="50">
        <v>0</v>
      </c>
      <c r="BJ258" s="49">
        <v>0</v>
      </c>
      <c r="BK258" s="50">
        <v>0</v>
      </c>
      <c r="BL258" s="49">
        <v>25</v>
      </c>
      <c r="BM258" s="50">
        <v>92.5925925925926</v>
      </c>
      <c r="BN258" s="49">
        <v>27</v>
      </c>
    </row>
    <row r="259" spans="1:66" ht="15">
      <c r="A259" s="66" t="s">
        <v>385</v>
      </c>
      <c r="B259" s="66" t="s">
        <v>502</v>
      </c>
      <c r="C259" s="67" t="s">
        <v>4510</v>
      </c>
      <c r="D259" s="68">
        <v>3.6363636363636362</v>
      </c>
      <c r="E259" s="69" t="s">
        <v>136</v>
      </c>
      <c r="F259" s="70">
        <v>31.2972972972973</v>
      </c>
      <c r="G259" s="67"/>
      <c r="H259" s="71"/>
      <c r="I259" s="72"/>
      <c r="J259" s="72"/>
      <c r="K259" s="35" t="s">
        <v>65</v>
      </c>
      <c r="L259" s="80">
        <v>259</v>
      </c>
      <c r="M259" s="80"/>
      <c r="N259" s="74"/>
      <c r="O259" s="82" t="s">
        <v>528</v>
      </c>
      <c r="P259" s="84">
        <v>44518.64236111111</v>
      </c>
      <c r="Q259" s="82" t="s">
        <v>739</v>
      </c>
      <c r="R259" s="82"/>
      <c r="S259" s="82"/>
      <c r="T259" s="87" t="s">
        <v>1062</v>
      </c>
      <c r="U259" s="82"/>
      <c r="V259" s="85" t="str">
        <f>HYPERLINK("https://pbs.twimg.com/profile_images/1058719862040784896/zm0I75Iz_normal.jpg")</f>
        <v>https://pbs.twimg.com/profile_images/1058719862040784896/zm0I75Iz_normal.jpg</v>
      </c>
      <c r="W259" s="84">
        <v>44518.64236111111</v>
      </c>
      <c r="X259" s="90">
        <v>44518</v>
      </c>
      <c r="Y259" s="87" t="s">
        <v>1322</v>
      </c>
      <c r="Z259" s="85" t="str">
        <f>HYPERLINK("https://twitter.com/microblog_me_uk/status/1461354760934543374")</f>
        <v>https://twitter.com/microblog_me_uk/status/1461354760934543374</v>
      </c>
      <c r="AA259" s="82"/>
      <c r="AB259" s="82"/>
      <c r="AC259" s="87" t="s">
        <v>1656</v>
      </c>
      <c r="AD259" s="82"/>
      <c r="AE259" s="82" t="b">
        <v>0</v>
      </c>
      <c r="AF259" s="82">
        <v>0</v>
      </c>
      <c r="AG259" s="87" t="s">
        <v>1815</v>
      </c>
      <c r="AH259" s="82" t="b">
        <v>0</v>
      </c>
      <c r="AI259" s="82" t="s">
        <v>1826</v>
      </c>
      <c r="AJ259" s="82"/>
      <c r="AK259" s="87" t="s">
        <v>1815</v>
      </c>
      <c r="AL259" s="82" t="b">
        <v>0</v>
      </c>
      <c r="AM259" s="82">
        <v>0</v>
      </c>
      <c r="AN259" s="87" t="s">
        <v>1815</v>
      </c>
      <c r="AO259" s="87" t="s">
        <v>1853</v>
      </c>
      <c r="AP259" s="82" t="b">
        <v>0</v>
      </c>
      <c r="AQ259" s="87" t="s">
        <v>1656</v>
      </c>
      <c r="AR259" s="82"/>
      <c r="AS259" s="82">
        <v>0</v>
      </c>
      <c r="AT259" s="82">
        <v>0</v>
      </c>
      <c r="AU259" s="82"/>
      <c r="AV259" s="82"/>
      <c r="AW259" s="82"/>
      <c r="AX259" s="82"/>
      <c r="AY259" s="82"/>
      <c r="AZ259" s="82"/>
      <c r="BA259" s="82"/>
      <c r="BB259" s="82"/>
      <c r="BC259">
        <v>2</v>
      </c>
      <c r="BD259" s="81" t="str">
        <f>REPLACE(INDEX(GroupVertices[Group],MATCH(Edges[[#This Row],[Vertex 1]],GroupVertices[Vertex],0)),1,1,"")</f>
        <v>4</v>
      </c>
      <c r="BE259" s="81" t="str">
        <f>REPLACE(INDEX(GroupVertices[Group],MATCH(Edges[[#This Row],[Vertex 2]],GroupVertices[Vertex],0)),1,1,"")</f>
        <v>4</v>
      </c>
      <c r="BF259" s="49">
        <v>0</v>
      </c>
      <c r="BG259" s="50">
        <v>0</v>
      </c>
      <c r="BH259" s="49">
        <v>0</v>
      </c>
      <c r="BI259" s="50">
        <v>0</v>
      </c>
      <c r="BJ259" s="49">
        <v>0</v>
      </c>
      <c r="BK259" s="50">
        <v>0</v>
      </c>
      <c r="BL259" s="49">
        <v>28</v>
      </c>
      <c r="BM259" s="50">
        <v>100</v>
      </c>
      <c r="BN259" s="49">
        <v>28</v>
      </c>
    </row>
    <row r="260" spans="1:66" ht="15">
      <c r="A260" s="66" t="s">
        <v>385</v>
      </c>
      <c r="B260" s="66" t="s">
        <v>503</v>
      </c>
      <c r="C260" s="67" t="s">
        <v>4512</v>
      </c>
      <c r="D260" s="68">
        <v>4.2727272727272725</v>
      </c>
      <c r="E260" s="69" t="s">
        <v>136</v>
      </c>
      <c r="F260" s="70">
        <v>30.594594594594593</v>
      </c>
      <c r="G260" s="67"/>
      <c r="H260" s="71"/>
      <c r="I260" s="72"/>
      <c r="J260" s="72"/>
      <c r="K260" s="35" t="s">
        <v>65</v>
      </c>
      <c r="L260" s="80">
        <v>260</v>
      </c>
      <c r="M260" s="80"/>
      <c r="N260" s="74"/>
      <c r="O260" s="82" t="s">
        <v>528</v>
      </c>
      <c r="P260" s="84">
        <v>44518.65416666667</v>
      </c>
      <c r="Q260" s="82" t="s">
        <v>740</v>
      </c>
      <c r="R260" s="85" t="str">
        <f>HYPERLINK("https://www.uhb.nhs.uk/coronavirus-staff/clinical-info-pathways/clinical-info-pathways-downloads/UHBCOVID19SepsisInfographic.pdf")</f>
        <v>https://www.uhb.nhs.uk/coronavirus-staff/clinical-info-pathways/clinical-info-pathways-downloads/UHBCOVID19SepsisInfographic.pdf</v>
      </c>
      <c r="S260" s="82" t="s">
        <v>910</v>
      </c>
      <c r="T260" s="87" t="s">
        <v>1063</v>
      </c>
      <c r="U260" s="82"/>
      <c r="V260" s="85" t="str">
        <f>HYPERLINK("https://pbs.twimg.com/profile_images/1058719862040784896/zm0I75Iz_normal.jpg")</f>
        <v>https://pbs.twimg.com/profile_images/1058719862040784896/zm0I75Iz_normal.jpg</v>
      </c>
      <c r="W260" s="84">
        <v>44518.65416666667</v>
      </c>
      <c r="X260" s="90">
        <v>44518</v>
      </c>
      <c r="Y260" s="87" t="s">
        <v>1323</v>
      </c>
      <c r="Z260" s="85" t="str">
        <f>HYPERLINK("https://twitter.com/microblog_me_uk/status/1461359038998867974")</f>
        <v>https://twitter.com/microblog_me_uk/status/1461359038998867974</v>
      </c>
      <c r="AA260" s="82"/>
      <c r="AB260" s="82"/>
      <c r="AC260" s="87" t="s">
        <v>1657</v>
      </c>
      <c r="AD260" s="82"/>
      <c r="AE260" s="82" t="b">
        <v>0</v>
      </c>
      <c r="AF260" s="82">
        <v>0</v>
      </c>
      <c r="AG260" s="87" t="s">
        <v>1815</v>
      </c>
      <c r="AH260" s="82" t="b">
        <v>0</v>
      </c>
      <c r="AI260" s="82" t="s">
        <v>1826</v>
      </c>
      <c r="AJ260" s="82"/>
      <c r="AK260" s="87" t="s">
        <v>1815</v>
      </c>
      <c r="AL260" s="82" t="b">
        <v>0</v>
      </c>
      <c r="AM260" s="82">
        <v>1</v>
      </c>
      <c r="AN260" s="87" t="s">
        <v>1815</v>
      </c>
      <c r="AO260" s="87" t="s">
        <v>1853</v>
      </c>
      <c r="AP260" s="82" t="b">
        <v>0</v>
      </c>
      <c r="AQ260" s="87" t="s">
        <v>1657</v>
      </c>
      <c r="AR260" s="82"/>
      <c r="AS260" s="82">
        <v>0</v>
      </c>
      <c r="AT260" s="82">
        <v>0</v>
      </c>
      <c r="AU260" s="82"/>
      <c r="AV260" s="82"/>
      <c r="AW260" s="82"/>
      <c r="AX260" s="82"/>
      <c r="AY260" s="82"/>
      <c r="AZ260" s="82"/>
      <c r="BA260" s="82"/>
      <c r="BB260" s="82"/>
      <c r="BC260">
        <v>3</v>
      </c>
      <c r="BD260" s="81" t="str">
        <f>REPLACE(INDEX(GroupVertices[Group],MATCH(Edges[[#This Row],[Vertex 1]],GroupVertices[Vertex],0)),1,1,"")</f>
        <v>4</v>
      </c>
      <c r="BE260" s="81" t="str">
        <f>REPLACE(INDEX(GroupVertices[Group],MATCH(Edges[[#This Row],[Vertex 2]],GroupVertices[Vertex],0)),1,1,"")</f>
        <v>4</v>
      </c>
      <c r="BF260" s="49">
        <v>0</v>
      </c>
      <c r="BG260" s="50">
        <v>0</v>
      </c>
      <c r="BH260" s="49">
        <v>0</v>
      </c>
      <c r="BI260" s="50">
        <v>0</v>
      </c>
      <c r="BJ260" s="49">
        <v>0</v>
      </c>
      <c r="BK260" s="50">
        <v>0</v>
      </c>
      <c r="BL260" s="49">
        <v>16</v>
      </c>
      <c r="BM260" s="50">
        <v>100</v>
      </c>
      <c r="BN260" s="49">
        <v>16</v>
      </c>
    </row>
    <row r="261" spans="1:66" ht="15">
      <c r="A261" s="66" t="s">
        <v>385</v>
      </c>
      <c r="B261" s="66" t="s">
        <v>503</v>
      </c>
      <c r="C261" s="67" t="s">
        <v>4512</v>
      </c>
      <c r="D261" s="68">
        <v>4.2727272727272725</v>
      </c>
      <c r="E261" s="69" t="s">
        <v>136</v>
      </c>
      <c r="F261" s="70">
        <v>30.594594594594593</v>
      </c>
      <c r="G261" s="67"/>
      <c r="H261" s="71"/>
      <c r="I261" s="72"/>
      <c r="J261" s="72"/>
      <c r="K261" s="35" t="s">
        <v>65</v>
      </c>
      <c r="L261" s="80">
        <v>261</v>
      </c>
      <c r="M261" s="80"/>
      <c r="N261" s="74"/>
      <c r="O261" s="82" t="s">
        <v>528</v>
      </c>
      <c r="P261" s="84">
        <v>44518.65277777778</v>
      </c>
      <c r="Q261" s="82" t="s">
        <v>741</v>
      </c>
      <c r="R261" s="85" t="str">
        <f>HYPERLINK("https://heftpathology.com/Microbiology/Microbiology-Home/")</f>
        <v>https://heftpathology.com/Microbiology/Microbiology-Home/</v>
      </c>
      <c r="S261" s="82" t="s">
        <v>932</v>
      </c>
      <c r="T261" s="87" t="s">
        <v>1064</v>
      </c>
      <c r="U261" s="82"/>
      <c r="V261" s="85" t="str">
        <f>HYPERLINK("https://pbs.twimg.com/profile_images/1058719862040784896/zm0I75Iz_normal.jpg")</f>
        <v>https://pbs.twimg.com/profile_images/1058719862040784896/zm0I75Iz_normal.jpg</v>
      </c>
      <c r="W261" s="84">
        <v>44518.65277777778</v>
      </c>
      <c r="X261" s="90">
        <v>44518</v>
      </c>
      <c r="Y261" s="87" t="s">
        <v>1178</v>
      </c>
      <c r="Z261" s="85" t="str">
        <f>HYPERLINK("https://twitter.com/microblog_me_uk/status/1461358535925649424")</f>
        <v>https://twitter.com/microblog_me_uk/status/1461358535925649424</v>
      </c>
      <c r="AA261" s="82"/>
      <c r="AB261" s="82"/>
      <c r="AC261" s="87" t="s">
        <v>1658</v>
      </c>
      <c r="AD261" s="82"/>
      <c r="AE261" s="82" t="b">
        <v>0</v>
      </c>
      <c r="AF261" s="82">
        <v>0</v>
      </c>
      <c r="AG261" s="87" t="s">
        <v>1815</v>
      </c>
      <c r="AH261" s="82" t="b">
        <v>0</v>
      </c>
      <c r="AI261" s="82" t="s">
        <v>1826</v>
      </c>
      <c r="AJ261" s="82"/>
      <c r="AK261" s="87" t="s">
        <v>1815</v>
      </c>
      <c r="AL261" s="82" t="b">
        <v>0</v>
      </c>
      <c r="AM261" s="82">
        <v>1</v>
      </c>
      <c r="AN261" s="87" t="s">
        <v>1815</v>
      </c>
      <c r="AO261" s="87" t="s">
        <v>1853</v>
      </c>
      <c r="AP261" s="82" t="b">
        <v>0</v>
      </c>
      <c r="AQ261" s="87" t="s">
        <v>1658</v>
      </c>
      <c r="AR261" s="82"/>
      <c r="AS261" s="82">
        <v>0</v>
      </c>
      <c r="AT261" s="82">
        <v>0</v>
      </c>
      <c r="AU261" s="82"/>
      <c r="AV261" s="82"/>
      <c r="AW261" s="82"/>
      <c r="AX261" s="82"/>
      <c r="AY261" s="82"/>
      <c r="AZ261" s="82"/>
      <c r="BA261" s="82"/>
      <c r="BB261" s="82"/>
      <c r="BC261">
        <v>3</v>
      </c>
      <c r="BD261" s="81" t="str">
        <f>REPLACE(INDEX(GroupVertices[Group],MATCH(Edges[[#This Row],[Vertex 1]],GroupVertices[Vertex],0)),1,1,"")</f>
        <v>4</v>
      </c>
      <c r="BE261" s="81" t="str">
        <f>REPLACE(INDEX(GroupVertices[Group],MATCH(Edges[[#This Row],[Vertex 2]],GroupVertices[Vertex],0)),1,1,"")</f>
        <v>4</v>
      </c>
      <c r="BF261" s="49">
        <v>0</v>
      </c>
      <c r="BG261" s="50">
        <v>0</v>
      </c>
      <c r="BH261" s="49">
        <v>0</v>
      </c>
      <c r="BI261" s="50">
        <v>0</v>
      </c>
      <c r="BJ261" s="49">
        <v>0</v>
      </c>
      <c r="BK261" s="50">
        <v>0</v>
      </c>
      <c r="BL261" s="49">
        <v>20</v>
      </c>
      <c r="BM261" s="50">
        <v>100</v>
      </c>
      <c r="BN261" s="49">
        <v>20</v>
      </c>
    </row>
    <row r="262" spans="1:66" ht="15">
      <c r="A262" s="66" t="s">
        <v>385</v>
      </c>
      <c r="B262" s="66" t="s">
        <v>503</v>
      </c>
      <c r="C262" s="67" t="s">
        <v>4512</v>
      </c>
      <c r="D262" s="68">
        <v>4.2727272727272725</v>
      </c>
      <c r="E262" s="69" t="s">
        <v>136</v>
      </c>
      <c r="F262" s="70">
        <v>30.594594594594593</v>
      </c>
      <c r="G262" s="67"/>
      <c r="H262" s="71"/>
      <c r="I262" s="72"/>
      <c r="J262" s="72"/>
      <c r="K262" s="35" t="s">
        <v>65</v>
      </c>
      <c r="L262" s="80">
        <v>262</v>
      </c>
      <c r="M262" s="80"/>
      <c r="N262" s="74"/>
      <c r="O262" s="82" t="s">
        <v>528</v>
      </c>
      <c r="P262" s="84">
        <v>44518.63333333333</v>
      </c>
      <c r="Q262" s="82" t="s">
        <v>742</v>
      </c>
      <c r="R262" s="82"/>
      <c r="S262" s="82"/>
      <c r="T262" s="87" t="s">
        <v>1065</v>
      </c>
      <c r="U262" s="82"/>
      <c r="V262" s="85" t="str">
        <f>HYPERLINK("https://pbs.twimg.com/profile_images/1058719862040784896/zm0I75Iz_normal.jpg")</f>
        <v>https://pbs.twimg.com/profile_images/1058719862040784896/zm0I75Iz_normal.jpg</v>
      </c>
      <c r="W262" s="84">
        <v>44518.63333333333</v>
      </c>
      <c r="X262" s="90">
        <v>44518</v>
      </c>
      <c r="Y262" s="87" t="s">
        <v>1324</v>
      </c>
      <c r="Z262" s="85" t="str">
        <f>HYPERLINK("https://twitter.com/microblog_me_uk/status/1461351489134383105")</f>
        <v>https://twitter.com/microblog_me_uk/status/1461351489134383105</v>
      </c>
      <c r="AA262" s="82"/>
      <c r="AB262" s="82"/>
      <c r="AC262" s="87" t="s">
        <v>1659</v>
      </c>
      <c r="AD262" s="82"/>
      <c r="AE262" s="82" t="b">
        <v>0</v>
      </c>
      <c r="AF262" s="82">
        <v>1</v>
      </c>
      <c r="AG262" s="87" t="s">
        <v>1815</v>
      </c>
      <c r="AH262" s="82" t="b">
        <v>0</v>
      </c>
      <c r="AI262" s="82" t="s">
        <v>1826</v>
      </c>
      <c r="AJ262" s="82"/>
      <c r="AK262" s="87" t="s">
        <v>1815</v>
      </c>
      <c r="AL262" s="82" t="b">
        <v>0</v>
      </c>
      <c r="AM262" s="82">
        <v>1</v>
      </c>
      <c r="AN262" s="87" t="s">
        <v>1815</v>
      </c>
      <c r="AO262" s="87" t="s">
        <v>1853</v>
      </c>
      <c r="AP262" s="82" t="b">
        <v>0</v>
      </c>
      <c r="AQ262" s="87" t="s">
        <v>1659</v>
      </c>
      <c r="AR262" s="82"/>
      <c r="AS262" s="82">
        <v>0</v>
      </c>
      <c r="AT262" s="82">
        <v>0</v>
      </c>
      <c r="AU262" s="82"/>
      <c r="AV262" s="82"/>
      <c r="AW262" s="82"/>
      <c r="AX262" s="82"/>
      <c r="AY262" s="82"/>
      <c r="AZ262" s="82"/>
      <c r="BA262" s="82"/>
      <c r="BB262" s="82"/>
      <c r="BC262">
        <v>3</v>
      </c>
      <c r="BD262" s="81" t="str">
        <f>REPLACE(INDEX(GroupVertices[Group],MATCH(Edges[[#This Row],[Vertex 1]],GroupVertices[Vertex],0)),1,1,"")</f>
        <v>4</v>
      </c>
      <c r="BE262" s="81" t="str">
        <f>REPLACE(INDEX(GroupVertices[Group],MATCH(Edges[[#This Row],[Vertex 2]],GroupVertices[Vertex],0)),1,1,"")</f>
        <v>4</v>
      </c>
      <c r="BF262" s="49">
        <v>0</v>
      </c>
      <c r="BG262" s="50">
        <v>0</v>
      </c>
      <c r="BH262" s="49">
        <v>0</v>
      </c>
      <c r="BI262" s="50">
        <v>0</v>
      </c>
      <c r="BJ262" s="49">
        <v>0</v>
      </c>
      <c r="BK262" s="50">
        <v>0</v>
      </c>
      <c r="BL262" s="49">
        <v>30</v>
      </c>
      <c r="BM262" s="50">
        <v>100</v>
      </c>
      <c r="BN262" s="49">
        <v>30</v>
      </c>
    </row>
    <row r="263" spans="1:66" ht="15">
      <c r="A263" s="66" t="s">
        <v>385</v>
      </c>
      <c r="B263" s="66" t="s">
        <v>481</v>
      </c>
      <c r="C263" s="67" t="s">
        <v>4509</v>
      </c>
      <c r="D263" s="68">
        <v>3</v>
      </c>
      <c r="E263" s="69" t="s">
        <v>132</v>
      </c>
      <c r="F263" s="70">
        <v>32</v>
      </c>
      <c r="G263" s="67"/>
      <c r="H263" s="71"/>
      <c r="I263" s="72"/>
      <c r="J263" s="72"/>
      <c r="K263" s="35" t="s">
        <v>65</v>
      </c>
      <c r="L263" s="80">
        <v>263</v>
      </c>
      <c r="M263" s="80"/>
      <c r="N263" s="74"/>
      <c r="O263" s="82" t="s">
        <v>528</v>
      </c>
      <c r="P263" s="84">
        <v>44518.63680555556</v>
      </c>
      <c r="Q263" s="82" t="s">
        <v>743</v>
      </c>
      <c r="R263" s="85" t="str">
        <f>HYPERLINK("https://www.bradspellberg.com/shorter-is-better")</f>
        <v>https://www.bradspellberg.com/shorter-is-better</v>
      </c>
      <c r="S263" s="82" t="s">
        <v>922</v>
      </c>
      <c r="T263" s="87" t="s">
        <v>1066</v>
      </c>
      <c r="U263" s="82"/>
      <c r="V263" s="85" t="str">
        <f>HYPERLINK("https://pbs.twimg.com/profile_images/1058719862040784896/zm0I75Iz_normal.jpg")</f>
        <v>https://pbs.twimg.com/profile_images/1058719862040784896/zm0I75Iz_normal.jpg</v>
      </c>
      <c r="W263" s="84">
        <v>44518.63680555556</v>
      </c>
      <c r="X263" s="90">
        <v>44518</v>
      </c>
      <c r="Y263" s="87" t="s">
        <v>1325</v>
      </c>
      <c r="Z263" s="85" t="str">
        <f>HYPERLINK("https://twitter.com/microblog_me_uk/status/1461352747429625869")</f>
        <v>https://twitter.com/microblog_me_uk/status/1461352747429625869</v>
      </c>
      <c r="AA263" s="82"/>
      <c r="AB263" s="82"/>
      <c r="AC263" s="87" t="s">
        <v>1660</v>
      </c>
      <c r="AD263" s="82"/>
      <c r="AE263" s="82" t="b">
        <v>0</v>
      </c>
      <c r="AF263" s="82">
        <v>4</v>
      </c>
      <c r="AG263" s="87" t="s">
        <v>1815</v>
      </c>
      <c r="AH263" s="82" t="b">
        <v>0</v>
      </c>
      <c r="AI263" s="82" t="s">
        <v>1826</v>
      </c>
      <c r="AJ263" s="82"/>
      <c r="AK263" s="87" t="s">
        <v>1815</v>
      </c>
      <c r="AL263" s="82" t="b">
        <v>0</v>
      </c>
      <c r="AM263" s="82">
        <v>1</v>
      </c>
      <c r="AN263" s="87" t="s">
        <v>1815</v>
      </c>
      <c r="AO263" s="87" t="s">
        <v>1853</v>
      </c>
      <c r="AP263" s="82" t="b">
        <v>0</v>
      </c>
      <c r="AQ263" s="87" t="s">
        <v>1660</v>
      </c>
      <c r="AR263" s="82"/>
      <c r="AS263" s="82">
        <v>0</v>
      </c>
      <c r="AT263" s="82">
        <v>0</v>
      </c>
      <c r="AU263" s="82"/>
      <c r="AV263" s="82"/>
      <c r="AW263" s="82"/>
      <c r="AX263" s="82"/>
      <c r="AY263" s="82"/>
      <c r="AZ263" s="82"/>
      <c r="BA263" s="82"/>
      <c r="BB263" s="82"/>
      <c r="BC263">
        <v>1</v>
      </c>
      <c r="BD263" s="81" t="str">
        <f>REPLACE(INDEX(GroupVertices[Group],MATCH(Edges[[#This Row],[Vertex 1]],GroupVertices[Vertex],0)),1,1,"")</f>
        <v>4</v>
      </c>
      <c r="BE263" s="81" t="str">
        <f>REPLACE(INDEX(GroupVertices[Group],MATCH(Edges[[#This Row],[Vertex 2]],GroupVertices[Vertex],0)),1,1,"")</f>
        <v>3</v>
      </c>
      <c r="BF263" s="49">
        <v>2</v>
      </c>
      <c r="BG263" s="50">
        <v>11.764705882352942</v>
      </c>
      <c r="BH263" s="49">
        <v>0</v>
      </c>
      <c r="BI263" s="50">
        <v>0</v>
      </c>
      <c r="BJ263" s="49">
        <v>0</v>
      </c>
      <c r="BK263" s="50">
        <v>0</v>
      </c>
      <c r="BL263" s="49">
        <v>15</v>
      </c>
      <c r="BM263" s="50">
        <v>88.23529411764706</v>
      </c>
      <c r="BN263" s="49">
        <v>17</v>
      </c>
    </row>
    <row r="264" spans="1:66" ht="15">
      <c r="A264" s="66" t="s">
        <v>385</v>
      </c>
      <c r="B264" s="66" t="s">
        <v>385</v>
      </c>
      <c r="C264" s="67" t="s">
        <v>4516</v>
      </c>
      <c r="D264" s="68">
        <v>10</v>
      </c>
      <c r="E264" s="69" t="s">
        <v>136</v>
      </c>
      <c r="F264" s="70">
        <v>6</v>
      </c>
      <c r="G264" s="67"/>
      <c r="H264" s="71"/>
      <c r="I264" s="72"/>
      <c r="J264" s="72"/>
      <c r="K264" s="35" t="s">
        <v>65</v>
      </c>
      <c r="L264" s="80">
        <v>264</v>
      </c>
      <c r="M264" s="80"/>
      <c r="N264" s="74"/>
      <c r="O264" s="82" t="s">
        <v>214</v>
      </c>
      <c r="P264" s="84">
        <v>44518.65347222222</v>
      </c>
      <c r="Q264" s="82" t="s">
        <v>744</v>
      </c>
      <c r="R264" s="82"/>
      <c r="S264" s="82"/>
      <c r="T264" s="87" t="s">
        <v>1067</v>
      </c>
      <c r="U264" s="85" t="str">
        <f>HYPERLINK("https://pbs.twimg.com/media/FEd9pUKXoAEI75N.png")</f>
        <v>https://pbs.twimg.com/media/FEd9pUKXoAEI75N.png</v>
      </c>
      <c r="V264" s="85" t="str">
        <f>HYPERLINK("https://pbs.twimg.com/media/FEd9pUKXoAEI75N.png")</f>
        <v>https://pbs.twimg.com/media/FEd9pUKXoAEI75N.png</v>
      </c>
      <c r="W264" s="84">
        <v>44518.65347222222</v>
      </c>
      <c r="X264" s="90">
        <v>44518</v>
      </c>
      <c r="Y264" s="87" t="s">
        <v>1326</v>
      </c>
      <c r="Z264" s="85" t="str">
        <f>HYPERLINK("https://twitter.com/microblog_me_uk/status/1461358787386691599")</f>
        <v>https://twitter.com/microblog_me_uk/status/1461358787386691599</v>
      </c>
      <c r="AA264" s="82"/>
      <c r="AB264" s="82"/>
      <c r="AC264" s="87" t="s">
        <v>1661</v>
      </c>
      <c r="AD264" s="82"/>
      <c r="AE264" s="82" t="b">
        <v>0</v>
      </c>
      <c r="AF264" s="82">
        <v>0</v>
      </c>
      <c r="AG264" s="87" t="s">
        <v>1815</v>
      </c>
      <c r="AH264" s="82" t="b">
        <v>0</v>
      </c>
      <c r="AI264" s="82" t="s">
        <v>1826</v>
      </c>
      <c r="AJ264" s="82"/>
      <c r="AK264" s="87" t="s">
        <v>1815</v>
      </c>
      <c r="AL264" s="82" t="b">
        <v>0</v>
      </c>
      <c r="AM264" s="82">
        <v>0</v>
      </c>
      <c r="AN264" s="87" t="s">
        <v>1815</v>
      </c>
      <c r="AO264" s="87" t="s">
        <v>1853</v>
      </c>
      <c r="AP264" s="82" t="b">
        <v>0</v>
      </c>
      <c r="AQ264" s="87" t="s">
        <v>1661</v>
      </c>
      <c r="AR264" s="82"/>
      <c r="AS264" s="82">
        <v>0</v>
      </c>
      <c r="AT264" s="82">
        <v>0</v>
      </c>
      <c r="AU264" s="82"/>
      <c r="AV264" s="82"/>
      <c r="AW264" s="82"/>
      <c r="AX264" s="82"/>
      <c r="AY264" s="82"/>
      <c r="AZ264" s="82"/>
      <c r="BA264" s="82"/>
      <c r="BB264" s="82"/>
      <c r="BC264">
        <v>38</v>
      </c>
      <c r="BD264" s="81" t="str">
        <f>REPLACE(INDEX(GroupVertices[Group],MATCH(Edges[[#This Row],[Vertex 1]],GroupVertices[Vertex],0)),1,1,"")</f>
        <v>4</v>
      </c>
      <c r="BE264" s="81" t="str">
        <f>REPLACE(INDEX(GroupVertices[Group],MATCH(Edges[[#This Row],[Vertex 2]],GroupVertices[Vertex],0)),1,1,"")</f>
        <v>4</v>
      </c>
      <c r="BF264" s="49">
        <v>1</v>
      </c>
      <c r="BG264" s="50">
        <v>3.3333333333333335</v>
      </c>
      <c r="BH264" s="49">
        <v>0</v>
      </c>
      <c r="BI264" s="50">
        <v>0</v>
      </c>
      <c r="BJ264" s="49">
        <v>0</v>
      </c>
      <c r="BK264" s="50">
        <v>0</v>
      </c>
      <c r="BL264" s="49">
        <v>29</v>
      </c>
      <c r="BM264" s="50">
        <v>96.66666666666667</v>
      </c>
      <c r="BN264" s="49">
        <v>30</v>
      </c>
    </row>
    <row r="265" spans="1:66" ht="15">
      <c r="A265" s="66" t="s">
        <v>385</v>
      </c>
      <c r="B265" s="66" t="s">
        <v>385</v>
      </c>
      <c r="C265" s="67" t="s">
        <v>4516</v>
      </c>
      <c r="D265" s="68">
        <v>10</v>
      </c>
      <c r="E265" s="69" t="s">
        <v>136</v>
      </c>
      <c r="F265" s="70">
        <v>6</v>
      </c>
      <c r="G265" s="67"/>
      <c r="H265" s="71"/>
      <c r="I265" s="72"/>
      <c r="J265" s="72"/>
      <c r="K265" s="35" t="s">
        <v>65</v>
      </c>
      <c r="L265" s="80">
        <v>265</v>
      </c>
      <c r="M265" s="80"/>
      <c r="N265" s="74"/>
      <c r="O265" s="82" t="s">
        <v>214</v>
      </c>
      <c r="P265" s="84">
        <v>44518.65902777778</v>
      </c>
      <c r="Q265" s="82" t="s">
        <v>745</v>
      </c>
      <c r="R265" s="82"/>
      <c r="S265" s="82"/>
      <c r="T265" s="87" t="s">
        <v>1054</v>
      </c>
      <c r="U265" s="85" t="str">
        <f>HYPERLINK("https://pbs.twimg.com/media/FEeFmPdXwAYs4xd.jpg")</f>
        <v>https://pbs.twimg.com/media/FEeFmPdXwAYs4xd.jpg</v>
      </c>
      <c r="V265" s="85" t="str">
        <f>HYPERLINK("https://pbs.twimg.com/media/FEeFmPdXwAYs4xd.jpg")</f>
        <v>https://pbs.twimg.com/media/FEeFmPdXwAYs4xd.jpg</v>
      </c>
      <c r="W265" s="84">
        <v>44518.65902777778</v>
      </c>
      <c r="X265" s="90">
        <v>44518</v>
      </c>
      <c r="Y265" s="87" t="s">
        <v>1327</v>
      </c>
      <c r="Z265" s="85" t="str">
        <f>HYPERLINK("https://twitter.com/microblog_me_uk/status/1461360800577163270")</f>
        <v>https://twitter.com/microblog_me_uk/status/1461360800577163270</v>
      </c>
      <c r="AA265" s="82"/>
      <c r="AB265" s="82"/>
      <c r="AC265" s="87" t="s">
        <v>1662</v>
      </c>
      <c r="AD265" s="82"/>
      <c r="AE265" s="82" t="b">
        <v>0</v>
      </c>
      <c r="AF265" s="82">
        <v>1</v>
      </c>
      <c r="AG265" s="87" t="s">
        <v>1815</v>
      </c>
      <c r="AH265" s="82" t="b">
        <v>0</v>
      </c>
      <c r="AI265" s="82" t="s">
        <v>1826</v>
      </c>
      <c r="AJ265" s="82"/>
      <c r="AK265" s="87" t="s">
        <v>1815</v>
      </c>
      <c r="AL265" s="82" t="b">
        <v>0</v>
      </c>
      <c r="AM265" s="82">
        <v>2</v>
      </c>
      <c r="AN265" s="87" t="s">
        <v>1815</v>
      </c>
      <c r="AO265" s="87" t="s">
        <v>1853</v>
      </c>
      <c r="AP265" s="82" t="b">
        <v>0</v>
      </c>
      <c r="AQ265" s="87" t="s">
        <v>1662</v>
      </c>
      <c r="AR265" s="82"/>
      <c r="AS265" s="82">
        <v>0</v>
      </c>
      <c r="AT265" s="82">
        <v>0</v>
      </c>
      <c r="AU265" s="82"/>
      <c r="AV265" s="82"/>
      <c r="AW265" s="82"/>
      <c r="AX265" s="82"/>
      <c r="AY265" s="82"/>
      <c r="AZ265" s="82"/>
      <c r="BA265" s="82"/>
      <c r="BB265" s="82"/>
      <c r="BC265">
        <v>38</v>
      </c>
      <c r="BD265" s="81" t="str">
        <f>REPLACE(INDEX(GroupVertices[Group],MATCH(Edges[[#This Row],[Vertex 1]],GroupVertices[Vertex],0)),1,1,"")</f>
        <v>4</v>
      </c>
      <c r="BE265" s="81" t="str">
        <f>REPLACE(INDEX(GroupVertices[Group],MATCH(Edges[[#This Row],[Vertex 2]],GroupVertices[Vertex],0)),1,1,"")</f>
        <v>4</v>
      </c>
      <c r="BF265" s="49">
        <v>0</v>
      </c>
      <c r="BG265" s="50">
        <v>0</v>
      </c>
      <c r="BH265" s="49">
        <v>0</v>
      </c>
      <c r="BI265" s="50">
        <v>0</v>
      </c>
      <c r="BJ265" s="49">
        <v>0</v>
      </c>
      <c r="BK265" s="50">
        <v>0</v>
      </c>
      <c r="BL265" s="49">
        <v>16</v>
      </c>
      <c r="BM265" s="50">
        <v>100</v>
      </c>
      <c r="BN265" s="49">
        <v>16</v>
      </c>
    </row>
    <row r="266" spans="1:66" ht="15">
      <c r="A266" s="66" t="s">
        <v>385</v>
      </c>
      <c r="B266" s="66" t="s">
        <v>385</v>
      </c>
      <c r="C266" s="67" t="s">
        <v>4516</v>
      </c>
      <c r="D266" s="68">
        <v>10</v>
      </c>
      <c r="E266" s="69" t="s">
        <v>136</v>
      </c>
      <c r="F266" s="70">
        <v>6</v>
      </c>
      <c r="G266" s="67"/>
      <c r="H266" s="71"/>
      <c r="I266" s="72"/>
      <c r="J266" s="72"/>
      <c r="K266" s="35" t="s">
        <v>65</v>
      </c>
      <c r="L266" s="80">
        <v>266</v>
      </c>
      <c r="M266" s="80"/>
      <c r="N266" s="74"/>
      <c r="O266" s="82" t="s">
        <v>214</v>
      </c>
      <c r="P266" s="84">
        <v>44518.65138888889</v>
      </c>
      <c r="Q266" s="82" t="s">
        <v>746</v>
      </c>
      <c r="R266" s="82"/>
      <c r="S266" s="82"/>
      <c r="T266" s="87" t="s">
        <v>1068</v>
      </c>
      <c r="U266" s="82"/>
      <c r="V266" s="85" t="str">
        <f>HYPERLINK("https://pbs.twimg.com/profile_images/1058719862040784896/zm0I75Iz_normal.jpg")</f>
        <v>https://pbs.twimg.com/profile_images/1058719862040784896/zm0I75Iz_normal.jpg</v>
      </c>
      <c r="W266" s="84">
        <v>44518.65138888889</v>
      </c>
      <c r="X266" s="90">
        <v>44518</v>
      </c>
      <c r="Y266" s="87" t="s">
        <v>1328</v>
      </c>
      <c r="Z266" s="85" t="str">
        <f>HYPERLINK("https://twitter.com/microblog_me_uk/status/1461358032634273801")</f>
        <v>https://twitter.com/microblog_me_uk/status/1461358032634273801</v>
      </c>
      <c r="AA266" s="82"/>
      <c r="AB266" s="82"/>
      <c r="AC266" s="87" t="s">
        <v>1663</v>
      </c>
      <c r="AD266" s="82"/>
      <c r="AE266" s="82" t="b">
        <v>0</v>
      </c>
      <c r="AF266" s="82">
        <v>0</v>
      </c>
      <c r="AG266" s="87" t="s">
        <v>1815</v>
      </c>
      <c r="AH266" s="82" t="b">
        <v>0</v>
      </c>
      <c r="AI266" s="82" t="s">
        <v>1826</v>
      </c>
      <c r="AJ266" s="82"/>
      <c r="AK266" s="87" t="s">
        <v>1815</v>
      </c>
      <c r="AL266" s="82" t="b">
        <v>0</v>
      </c>
      <c r="AM266" s="82">
        <v>0</v>
      </c>
      <c r="AN266" s="87" t="s">
        <v>1815</v>
      </c>
      <c r="AO266" s="87" t="s">
        <v>1853</v>
      </c>
      <c r="AP266" s="82" t="b">
        <v>0</v>
      </c>
      <c r="AQ266" s="87" t="s">
        <v>1663</v>
      </c>
      <c r="AR266" s="82"/>
      <c r="AS266" s="82">
        <v>0</v>
      </c>
      <c r="AT266" s="82">
        <v>0</v>
      </c>
      <c r="AU266" s="82"/>
      <c r="AV266" s="82"/>
      <c r="AW266" s="82"/>
      <c r="AX266" s="82"/>
      <c r="AY266" s="82"/>
      <c r="AZ266" s="82"/>
      <c r="BA266" s="82"/>
      <c r="BB266" s="82"/>
      <c r="BC266">
        <v>38</v>
      </c>
      <c r="BD266" s="81" t="str">
        <f>REPLACE(INDEX(GroupVertices[Group],MATCH(Edges[[#This Row],[Vertex 1]],GroupVertices[Vertex],0)),1,1,"")</f>
        <v>4</v>
      </c>
      <c r="BE266" s="81" t="str">
        <f>REPLACE(INDEX(GroupVertices[Group],MATCH(Edges[[#This Row],[Vertex 2]],GroupVertices[Vertex],0)),1,1,"")</f>
        <v>4</v>
      </c>
      <c r="BF266" s="49">
        <v>2</v>
      </c>
      <c r="BG266" s="50">
        <v>6.451612903225806</v>
      </c>
      <c r="BH266" s="49">
        <v>2</v>
      </c>
      <c r="BI266" s="50">
        <v>6.451612903225806</v>
      </c>
      <c r="BJ266" s="49">
        <v>0</v>
      </c>
      <c r="BK266" s="50">
        <v>0</v>
      </c>
      <c r="BL266" s="49">
        <v>27</v>
      </c>
      <c r="BM266" s="50">
        <v>87.09677419354838</v>
      </c>
      <c r="BN266" s="49">
        <v>31</v>
      </c>
    </row>
    <row r="267" spans="1:66" ht="15">
      <c r="A267" s="66" t="s">
        <v>385</v>
      </c>
      <c r="B267" s="66" t="s">
        <v>385</v>
      </c>
      <c r="C267" s="67" t="s">
        <v>4516</v>
      </c>
      <c r="D267" s="68">
        <v>10</v>
      </c>
      <c r="E267" s="69" t="s">
        <v>136</v>
      </c>
      <c r="F267" s="70">
        <v>6</v>
      </c>
      <c r="G267" s="67"/>
      <c r="H267" s="71"/>
      <c r="I267" s="72"/>
      <c r="J267" s="72"/>
      <c r="K267" s="35" t="s">
        <v>65</v>
      </c>
      <c r="L267" s="80">
        <v>267</v>
      </c>
      <c r="M267" s="80"/>
      <c r="N267" s="74"/>
      <c r="O267" s="82" t="s">
        <v>214</v>
      </c>
      <c r="P267" s="84">
        <v>44518.65833333333</v>
      </c>
      <c r="Q267" s="82" t="s">
        <v>747</v>
      </c>
      <c r="R267" s="82"/>
      <c r="S267" s="82"/>
      <c r="T267" s="87" t="s">
        <v>1069</v>
      </c>
      <c r="U267" s="85" t="str">
        <f>HYPERLINK("https://pbs.twimg.com/media/FEeFI_NXEAcZcv8.jpg")</f>
        <v>https://pbs.twimg.com/media/FEeFI_NXEAcZcv8.jpg</v>
      </c>
      <c r="V267" s="85" t="str">
        <f>HYPERLINK("https://pbs.twimg.com/media/FEeFI_NXEAcZcv8.jpg")</f>
        <v>https://pbs.twimg.com/media/FEeFI_NXEAcZcv8.jpg</v>
      </c>
      <c r="W267" s="84">
        <v>44518.65833333333</v>
      </c>
      <c r="X267" s="90">
        <v>44518</v>
      </c>
      <c r="Y267" s="87" t="s">
        <v>1329</v>
      </c>
      <c r="Z267" s="85" t="str">
        <f>HYPERLINK("https://twitter.com/microblog_me_uk/status/1461360548923150339")</f>
        <v>https://twitter.com/microblog_me_uk/status/1461360548923150339</v>
      </c>
      <c r="AA267" s="82"/>
      <c r="AB267" s="82"/>
      <c r="AC267" s="87" t="s">
        <v>1664</v>
      </c>
      <c r="AD267" s="82"/>
      <c r="AE267" s="82" t="b">
        <v>0</v>
      </c>
      <c r="AF267" s="82">
        <v>1</v>
      </c>
      <c r="AG267" s="87" t="s">
        <v>1815</v>
      </c>
      <c r="AH267" s="82" t="b">
        <v>0</v>
      </c>
      <c r="AI267" s="82" t="s">
        <v>1826</v>
      </c>
      <c r="AJ267" s="82"/>
      <c r="AK267" s="87" t="s">
        <v>1815</v>
      </c>
      <c r="AL267" s="82" t="b">
        <v>0</v>
      </c>
      <c r="AM267" s="82">
        <v>1</v>
      </c>
      <c r="AN267" s="87" t="s">
        <v>1815</v>
      </c>
      <c r="AO267" s="87" t="s">
        <v>1853</v>
      </c>
      <c r="AP267" s="82" t="b">
        <v>0</v>
      </c>
      <c r="AQ267" s="87" t="s">
        <v>1664</v>
      </c>
      <c r="AR267" s="82"/>
      <c r="AS267" s="82">
        <v>0</v>
      </c>
      <c r="AT267" s="82">
        <v>0</v>
      </c>
      <c r="AU267" s="82"/>
      <c r="AV267" s="82"/>
      <c r="AW267" s="82"/>
      <c r="AX267" s="82"/>
      <c r="AY267" s="82"/>
      <c r="AZ267" s="82"/>
      <c r="BA267" s="82"/>
      <c r="BB267" s="82"/>
      <c r="BC267">
        <v>38</v>
      </c>
      <c r="BD267" s="81" t="str">
        <f>REPLACE(INDEX(GroupVertices[Group],MATCH(Edges[[#This Row],[Vertex 1]],GroupVertices[Vertex],0)),1,1,"")</f>
        <v>4</v>
      </c>
      <c r="BE267" s="81" t="str">
        <f>REPLACE(INDEX(GroupVertices[Group],MATCH(Edges[[#This Row],[Vertex 2]],GroupVertices[Vertex],0)),1,1,"")</f>
        <v>4</v>
      </c>
      <c r="BF267" s="49">
        <v>0</v>
      </c>
      <c r="BG267" s="50">
        <v>0</v>
      </c>
      <c r="BH267" s="49">
        <v>0</v>
      </c>
      <c r="BI267" s="50">
        <v>0</v>
      </c>
      <c r="BJ267" s="49">
        <v>0</v>
      </c>
      <c r="BK267" s="50">
        <v>0</v>
      </c>
      <c r="BL267" s="49">
        <v>25</v>
      </c>
      <c r="BM267" s="50">
        <v>100</v>
      </c>
      <c r="BN267" s="49">
        <v>25</v>
      </c>
    </row>
    <row r="268" spans="1:66" ht="15">
      <c r="A268" s="66" t="s">
        <v>385</v>
      </c>
      <c r="B268" s="66" t="s">
        <v>385</v>
      </c>
      <c r="C268" s="67" t="s">
        <v>4516</v>
      </c>
      <c r="D268" s="68">
        <v>10</v>
      </c>
      <c r="E268" s="69" t="s">
        <v>136</v>
      </c>
      <c r="F268" s="70">
        <v>6</v>
      </c>
      <c r="G268" s="67"/>
      <c r="H268" s="71"/>
      <c r="I268" s="72"/>
      <c r="J268" s="72"/>
      <c r="K268" s="35" t="s">
        <v>65</v>
      </c>
      <c r="L268" s="80">
        <v>268</v>
      </c>
      <c r="M268" s="80"/>
      <c r="N268" s="74"/>
      <c r="O268" s="82" t="s">
        <v>214</v>
      </c>
      <c r="P268" s="84">
        <v>44518.652083333334</v>
      </c>
      <c r="Q268" s="82" t="s">
        <v>748</v>
      </c>
      <c r="R268" s="85" t="str">
        <f>HYPERLINK("https://www.sciencedirect.com/science/article/pii/S2590088919300071?via%3Dihub")</f>
        <v>https://www.sciencedirect.com/science/article/pii/S2590088919300071?via%3Dihub</v>
      </c>
      <c r="S268" s="82" t="s">
        <v>933</v>
      </c>
      <c r="T268" s="87" t="s">
        <v>1054</v>
      </c>
      <c r="U268" s="82"/>
      <c r="V268" s="85" t="str">
        <f>HYPERLINK("https://pbs.twimg.com/profile_images/1058719862040784896/zm0I75Iz_normal.jpg")</f>
        <v>https://pbs.twimg.com/profile_images/1058719862040784896/zm0I75Iz_normal.jpg</v>
      </c>
      <c r="W268" s="84">
        <v>44518.652083333334</v>
      </c>
      <c r="X268" s="90">
        <v>44518</v>
      </c>
      <c r="Y268" s="87" t="s">
        <v>1330</v>
      </c>
      <c r="Z268" s="85" t="str">
        <f>HYPERLINK("https://twitter.com/microblog_me_uk/status/1461358283818553360")</f>
        <v>https://twitter.com/microblog_me_uk/status/1461358283818553360</v>
      </c>
      <c r="AA268" s="82"/>
      <c r="AB268" s="82"/>
      <c r="AC268" s="87" t="s">
        <v>1665</v>
      </c>
      <c r="AD268" s="82"/>
      <c r="AE268" s="82" t="b">
        <v>0</v>
      </c>
      <c r="AF268" s="82">
        <v>0</v>
      </c>
      <c r="AG268" s="87" t="s">
        <v>1815</v>
      </c>
      <c r="AH268" s="82" t="b">
        <v>0</v>
      </c>
      <c r="AI268" s="82" t="s">
        <v>1826</v>
      </c>
      <c r="AJ268" s="82"/>
      <c r="AK268" s="87" t="s">
        <v>1815</v>
      </c>
      <c r="AL268" s="82" t="b">
        <v>0</v>
      </c>
      <c r="AM268" s="82">
        <v>1</v>
      </c>
      <c r="AN268" s="87" t="s">
        <v>1815</v>
      </c>
      <c r="AO268" s="87" t="s">
        <v>1853</v>
      </c>
      <c r="AP268" s="82" t="b">
        <v>0</v>
      </c>
      <c r="AQ268" s="87" t="s">
        <v>1665</v>
      </c>
      <c r="AR268" s="82"/>
      <c r="AS268" s="82">
        <v>0</v>
      </c>
      <c r="AT268" s="82">
        <v>0</v>
      </c>
      <c r="AU268" s="82"/>
      <c r="AV268" s="82"/>
      <c r="AW268" s="82"/>
      <c r="AX268" s="82"/>
      <c r="AY268" s="82"/>
      <c r="AZ268" s="82"/>
      <c r="BA268" s="82"/>
      <c r="BB268" s="82"/>
      <c r="BC268">
        <v>38</v>
      </c>
      <c r="BD268" s="81" t="str">
        <f>REPLACE(INDEX(GroupVertices[Group],MATCH(Edges[[#This Row],[Vertex 1]],GroupVertices[Vertex],0)),1,1,"")</f>
        <v>4</v>
      </c>
      <c r="BE268" s="81" t="str">
        <f>REPLACE(INDEX(GroupVertices[Group],MATCH(Edges[[#This Row],[Vertex 2]],GroupVertices[Vertex],0)),1,1,"")</f>
        <v>4</v>
      </c>
      <c r="BF268" s="49">
        <v>0</v>
      </c>
      <c r="BG268" s="50">
        <v>0</v>
      </c>
      <c r="BH268" s="49">
        <v>0</v>
      </c>
      <c r="BI268" s="50">
        <v>0</v>
      </c>
      <c r="BJ268" s="49">
        <v>0</v>
      </c>
      <c r="BK268" s="50">
        <v>0</v>
      </c>
      <c r="BL268" s="49">
        <v>19</v>
      </c>
      <c r="BM268" s="50">
        <v>100</v>
      </c>
      <c r="BN268" s="49">
        <v>19</v>
      </c>
    </row>
    <row r="269" spans="1:66" ht="15">
      <c r="A269" s="66" t="s">
        <v>385</v>
      </c>
      <c r="B269" s="66" t="s">
        <v>385</v>
      </c>
      <c r="C269" s="67" t="s">
        <v>4516</v>
      </c>
      <c r="D269" s="68">
        <v>10</v>
      </c>
      <c r="E269" s="69" t="s">
        <v>136</v>
      </c>
      <c r="F269" s="70">
        <v>6</v>
      </c>
      <c r="G269" s="67"/>
      <c r="H269" s="71"/>
      <c r="I269" s="72"/>
      <c r="J269" s="72"/>
      <c r="K269" s="35" t="s">
        <v>65</v>
      </c>
      <c r="L269" s="80">
        <v>269</v>
      </c>
      <c r="M269" s="80"/>
      <c r="N269" s="74"/>
      <c r="O269" s="82" t="s">
        <v>214</v>
      </c>
      <c r="P269" s="84">
        <v>44518.649305555555</v>
      </c>
      <c r="Q269" s="82" t="s">
        <v>749</v>
      </c>
      <c r="R269" s="82"/>
      <c r="S269" s="82"/>
      <c r="T269" s="87" t="s">
        <v>1070</v>
      </c>
      <c r="U269" s="82"/>
      <c r="V269" s="85" t="str">
        <f>HYPERLINK("https://pbs.twimg.com/profile_images/1058719862040784896/zm0I75Iz_normal.jpg")</f>
        <v>https://pbs.twimg.com/profile_images/1058719862040784896/zm0I75Iz_normal.jpg</v>
      </c>
      <c r="W269" s="84">
        <v>44518.649305555555</v>
      </c>
      <c r="X269" s="90">
        <v>44518</v>
      </c>
      <c r="Y269" s="87" t="s">
        <v>1307</v>
      </c>
      <c r="Z269" s="85" t="str">
        <f>HYPERLINK("https://twitter.com/microblog_me_uk/status/1461357277387145216")</f>
        <v>https://twitter.com/microblog_me_uk/status/1461357277387145216</v>
      </c>
      <c r="AA269" s="82"/>
      <c r="AB269" s="82"/>
      <c r="AC269" s="87" t="s">
        <v>1666</v>
      </c>
      <c r="AD269" s="82"/>
      <c r="AE269" s="82" t="b">
        <v>0</v>
      </c>
      <c r="AF269" s="82">
        <v>0</v>
      </c>
      <c r="AG269" s="87" t="s">
        <v>1815</v>
      </c>
      <c r="AH269" s="82" t="b">
        <v>0</v>
      </c>
      <c r="AI269" s="82" t="s">
        <v>1826</v>
      </c>
      <c r="AJ269" s="82"/>
      <c r="AK269" s="87" t="s">
        <v>1815</v>
      </c>
      <c r="AL269" s="82" t="b">
        <v>0</v>
      </c>
      <c r="AM269" s="82">
        <v>0</v>
      </c>
      <c r="AN269" s="87" t="s">
        <v>1815</v>
      </c>
      <c r="AO269" s="87" t="s">
        <v>1853</v>
      </c>
      <c r="AP269" s="82" t="b">
        <v>0</v>
      </c>
      <c r="AQ269" s="87" t="s">
        <v>1666</v>
      </c>
      <c r="AR269" s="82"/>
      <c r="AS269" s="82">
        <v>0</v>
      </c>
      <c r="AT269" s="82">
        <v>0</v>
      </c>
      <c r="AU269" s="82"/>
      <c r="AV269" s="82"/>
      <c r="AW269" s="82"/>
      <c r="AX269" s="82"/>
      <c r="AY269" s="82"/>
      <c r="AZ269" s="82"/>
      <c r="BA269" s="82"/>
      <c r="BB269" s="82"/>
      <c r="BC269">
        <v>38</v>
      </c>
      <c r="BD269" s="81" t="str">
        <f>REPLACE(INDEX(GroupVertices[Group],MATCH(Edges[[#This Row],[Vertex 1]],GroupVertices[Vertex],0)),1,1,"")</f>
        <v>4</v>
      </c>
      <c r="BE269" s="81" t="str">
        <f>REPLACE(INDEX(GroupVertices[Group],MATCH(Edges[[#This Row],[Vertex 2]],GroupVertices[Vertex],0)),1,1,"")</f>
        <v>4</v>
      </c>
      <c r="BF269" s="49">
        <v>3</v>
      </c>
      <c r="BG269" s="50">
        <v>9.090909090909092</v>
      </c>
      <c r="BH269" s="49">
        <v>1</v>
      </c>
      <c r="BI269" s="50">
        <v>3.0303030303030303</v>
      </c>
      <c r="BJ269" s="49">
        <v>0</v>
      </c>
      <c r="BK269" s="50">
        <v>0</v>
      </c>
      <c r="BL269" s="49">
        <v>29</v>
      </c>
      <c r="BM269" s="50">
        <v>87.87878787878788</v>
      </c>
      <c r="BN269" s="49">
        <v>33</v>
      </c>
    </row>
    <row r="270" spans="1:66" ht="15">
      <c r="A270" s="66" t="s">
        <v>385</v>
      </c>
      <c r="B270" s="66" t="s">
        <v>409</v>
      </c>
      <c r="C270" s="67" t="s">
        <v>4509</v>
      </c>
      <c r="D270" s="68">
        <v>3</v>
      </c>
      <c r="E270" s="69" t="s">
        <v>132</v>
      </c>
      <c r="F270" s="70">
        <v>32</v>
      </c>
      <c r="G270" s="67"/>
      <c r="H270" s="71"/>
      <c r="I270" s="72"/>
      <c r="J270" s="72"/>
      <c r="K270" s="35" t="s">
        <v>65</v>
      </c>
      <c r="L270" s="80">
        <v>270</v>
      </c>
      <c r="M270" s="80"/>
      <c r="N270" s="74"/>
      <c r="O270" s="82" t="s">
        <v>528</v>
      </c>
      <c r="P270" s="84">
        <v>44518.65069444444</v>
      </c>
      <c r="Q270" s="82" t="s">
        <v>750</v>
      </c>
      <c r="R270" s="82"/>
      <c r="S270" s="82"/>
      <c r="T270" s="87" t="s">
        <v>1071</v>
      </c>
      <c r="U270" s="85" t="str">
        <f>HYPERLINK("https://pbs.twimg.com/media/FEd6EJNXsAMrHoo.jpg")</f>
        <v>https://pbs.twimg.com/media/FEd6EJNXsAMrHoo.jpg</v>
      </c>
      <c r="V270" s="85" t="str">
        <f>HYPERLINK("https://pbs.twimg.com/media/FEd6EJNXsAMrHoo.jpg")</f>
        <v>https://pbs.twimg.com/media/FEd6EJNXsAMrHoo.jpg</v>
      </c>
      <c r="W270" s="84">
        <v>44518.65069444444</v>
      </c>
      <c r="X270" s="90">
        <v>44518</v>
      </c>
      <c r="Y270" s="87" t="s">
        <v>1331</v>
      </c>
      <c r="Z270" s="85" t="str">
        <f>HYPERLINK("https://twitter.com/microblog_me_uk/status/1461357780338622464")</f>
        <v>https://twitter.com/microblog_me_uk/status/1461357780338622464</v>
      </c>
      <c r="AA270" s="82"/>
      <c r="AB270" s="82"/>
      <c r="AC270" s="87" t="s">
        <v>1667</v>
      </c>
      <c r="AD270" s="82"/>
      <c r="AE270" s="82" t="b">
        <v>0</v>
      </c>
      <c r="AF270" s="82">
        <v>215</v>
      </c>
      <c r="AG270" s="87" t="s">
        <v>1815</v>
      </c>
      <c r="AH270" s="82" t="b">
        <v>0</v>
      </c>
      <c r="AI270" s="82" t="s">
        <v>1826</v>
      </c>
      <c r="AJ270" s="82"/>
      <c r="AK270" s="87" t="s">
        <v>1815</v>
      </c>
      <c r="AL270" s="82" t="b">
        <v>0</v>
      </c>
      <c r="AM270" s="82">
        <v>114</v>
      </c>
      <c r="AN270" s="87" t="s">
        <v>1815</v>
      </c>
      <c r="AO270" s="87" t="s">
        <v>1853</v>
      </c>
      <c r="AP270" s="82" t="b">
        <v>0</v>
      </c>
      <c r="AQ270" s="87" t="s">
        <v>1667</v>
      </c>
      <c r="AR270" s="82"/>
      <c r="AS270" s="82">
        <v>0</v>
      </c>
      <c r="AT270" s="82">
        <v>0</v>
      </c>
      <c r="AU270" s="82"/>
      <c r="AV270" s="82"/>
      <c r="AW270" s="82"/>
      <c r="AX270" s="82"/>
      <c r="AY270" s="82"/>
      <c r="AZ270" s="82"/>
      <c r="BA270" s="82"/>
      <c r="BB270" s="82"/>
      <c r="BC270">
        <v>1</v>
      </c>
      <c r="BD270" s="81" t="str">
        <f>REPLACE(INDEX(GroupVertices[Group],MATCH(Edges[[#This Row],[Vertex 1]],GroupVertices[Vertex],0)),1,1,"")</f>
        <v>4</v>
      </c>
      <c r="BE270" s="81" t="str">
        <f>REPLACE(INDEX(GroupVertices[Group],MATCH(Edges[[#This Row],[Vertex 2]],GroupVertices[Vertex],0)),1,1,"")</f>
        <v>6</v>
      </c>
      <c r="BF270" s="49">
        <v>1</v>
      </c>
      <c r="BG270" s="50">
        <v>7.142857142857143</v>
      </c>
      <c r="BH270" s="49">
        <v>0</v>
      </c>
      <c r="BI270" s="50">
        <v>0</v>
      </c>
      <c r="BJ270" s="49">
        <v>0</v>
      </c>
      <c r="BK270" s="50">
        <v>0</v>
      </c>
      <c r="BL270" s="49">
        <v>13</v>
      </c>
      <c r="BM270" s="50">
        <v>92.85714285714286</v>
      </c>
      <c r="BN270" s="49">
        <v>14</v>
      </c>
    </row>
    <row r="271" spans="1:66" ht="15">
      <c r="A271" s="66" t="s">
        <v>385</v>
      </c>
      <c r="B271" s="66" t="s">
        <v>385</v>
      </c>
      <c r="C271" s="67" t="s">
        <v>4516</v>
      </c>
      <c r="D271" s="68">
        <v>10</v>
      </c>
      <c r="E271" s="69" t="s">
        <v>136</v>
      </c>
      <c r="F271" s="70">
        <v>6</v>
      </c>
      <c r="G271" s="67"/>
      <c r="H271" s="71"/>
      <c r="I271" s="72"/>
      <c r="J271" s="72"/>
      <c r="K271" s="35" t="s">
        <v>65</v>
      </c>
      <c r="L271" s="80">
        <v>271</v>
      </c>
      <c r="M271" s="80"/>
      <c r="N271" s="74"/>
      <c r="O271" s="82" t="s">
        <v>214</v>
      </c>
      <c r="P271" s="84">
        <v>44518.663194444445</v>
      </c>
      <c r="Q271" s="82" t="s">
        <v>751</v>
      </c>
      <c r="R271" s="85" t="str">
        <f>HYPERLINK("https://www.sciencedirect.com/science/article/pii/S1198743X18307961")</f>
        <v>https://www.sciencedirect.com/science/article/pii/S1198743X18307961</v>
      </c>
      <c r="S271" s="82" t="s">
        <v>933</v>
      </c>
      <c r="T271" s="87" t="s">
        <v>1072</v>
      </c>
      <c r="U271" s="85" t="str">
        <f>HYPERLINK("https://pbs.twimg.com/media/FEePke6XoAI9MV0.jpg")</f>
        <v>https://pbs.twimg.com/media/FEePke6XoAI9MV0.jpg</v>
      </c>
      <c r="V271" s="85" t="str">
        <f>HYPERLINK("https://pbs.twimg.com/media/FEePke6XoAI9MV0.jpg")</f>
        <v>https://pbs.twimg.com/media/FEePke6XoAI9MV0.jpg</v>
      </c>
      <c r="W271" s="84">
        <v>44518.663194444445</v>
      </c>
      <c r="X271" s="90">
        <v>44518</v>
      </c>
      <c r="Y271" s="87" t="s">
        <v>1332</v>
      </c>
      <c r="Z271" s="85" t="str">
        <f>HYPERLINK("https://twitter.com/microblog_me_uk/status/1461362310484615189")</f>
        <v>https://twitter.com/microblog_me_uk/status/1461362310484615189</v>
      </c>
      <c r="AA271" s="82"/>
      <c r="AB271" s="82"/>
      <c r="AC271" s="87" t="s">
        <v>1668</v>
      </c>
      <c r="AD271" s="82"/>
      <c r="AE271" s="82" t="b">
        <v>0</v>
      </c>
      <c r="AF271" s="82">
        <v>3</v>
      </c>
      <c r="AG271" s="87" t="s">
        <v>1815</v>
      </c>
      <c r="AH271" s="82" t="b">
        <v>0</v>
      </c>
      <c r="AI271" s="82" t="s">
        <v>1826</v>
      </c>
      <c r="AJ271" s="82"/>
      <c r="AK271" s="87" t="s">
        <v>1815</v>
      </c>
      <c r="AL271" s="82" t="b">
        <v>0</v>
      </c>
      <c r="AM271" s="82">
        <v>1</v>
      </c>
      <c r="AN271" s="87" t="s">
        <v>1815</v>
      </c>
      <c r="AO271" s="87" t="s">
        <v>1853</v>
      </c>
      <c r="AP271" s="82" t="b">
        <v>0</v>
      </c>
      <c r="AQ271" s="87" t="s">
        <v>1668</v>
      </c>
      <c r="AR271" s="82"/>
      <c r="AS271" s="82">
        <v>0</v>
      </c>
      <c r="AT271" s="82">
        <v>0</v>
      </c>
      <c r="AU271" s="82"/>
      <c r="AV271" s="82"/>
      <c r="AW271" s="82"/>
      <c r="AX271" s="82"/>
      <c r="AY271" s="82"/>
      <c r="AZ271" s="82"/>
      <c r="BA271" s="82"/>
      <c r="BB271" s="82"/>
      <c r="BC271">
        <v>38</v>
      </c>
      <c r="BD271" s="81" t="str">
        <f>REPLACE(INDEX(GroupVertices[Group],MATCH(Edges[[#This Row],[Vertex 1]],GroupVertices[Vertex],0)),1,1,"")</f>
        <v>4</v>
      </c>
      <c r="BE271" s="81" t="str">
        <f>REPLACE(INDEX(GroupVertices[Group],MATCH(Edges[[#This Row],[Vertex 2]],GroupVertices[Vertex],0)),1,1,"")</f>
        <v>4</v>
      </c>
      <c r="BF271" s="49">
        <v>0</v>
      </c>
      <c r="BG271" s="50">
        <v>0</v>
      </c>
      <c r="BH271" s="49">
        <v>0</v>
      </c>
      <c r="BI271" s="50">
        <v>0</v>
      </c>
      <c r="BJ271" s="49">
        <v>0</v>
      </c>
      <c r="BK271" s="50">
        <v>0</v>
      </c>
      <c r="BL271" s="49">
        <v>25</v>
      </c>
      <c r="BM271" s="50">
        <v>100</v>
      </c>
      <c r="BN271" s="49">
        <v>25</v>
      </c>
    </row>
    <row r="272" spans="1:66" ht="15">
      <c r="A272" s="66" t="s">
        <v>385</v>
      </c>
      <c r="B272" s="66" t="s">
        <v>385</v>
      </c>
      <c r="C272" s="67" t="s">
        <v>4516</v>
      </c>
      <c r="D272" s="68">
        <v>10</v>
      </c>
      <c r="E272" s="69" t="s">
        <v>136</v>
      </c>
      <c r="F272" s="70">
        <v>6</v>
      </c>
      <c r="G272" s="67"/>
      <c r="H272" s="71"/>
      <c r="I272" s="72"/>
      <c r="J272" s="72"/>
      <c r="K272" s="35" t="s">
        <v>65</v>
      </c>
      <c r="L272" s="80">
        <v>272</v>
      </c>
      <c r="M272" s="80"/>
      <c r="N272" s="74"/>
      <c r="O272" s="82" t="s">
        <v>214</v>
      </c>
      <c r="P272" s="84">
        <v>44518.665972222225</v>
      </c>
      <c r="Q272" s="82" t="s">
        <v>752</v>
      </c>
      <c r="R272" s="85" t="str">
        <f>HYPERLINK("https://journals.lww.com/clinpulm/Abstract/2020/09000/Antibiotic_Use_and_Stewardship_in_Cystic_Fibrosis_.2.aspx")</f>
        <v>https://journals.lww.com/clinpulm/Abstract/2020/09000/Antibiotic_Use_and_Stewardship_in_Cystic_Fibrosis_.2.aspx</v>
      </c>
      <c r="S272" s="82" t="s">
        <v>934</v>
      </c>
      <c r="T272" s="87" t="s">
        <v>1073</v>
      </c>
      <c r="U272" s="82"/>
      <c r="V272" s="85" t="str">
        <f>HYPERLINK("https://pbs.twimg.com/profile_images/1058719862040784896/zm0I75Iz_normal.jpg")</f>
        <v>https://pbs.twimg.com/profile_images/1058719862040784896/zm0I75Iz_normal.jpg</v>
      </c>
      <c r="W272" s="84">
        <v>44518.665972222225</v>
      </c>
      <c r="X272" s="90">
        <v>44518</v>
      </c>
      <c r="Y272" s="87" t="s">
        <v>1333</v>
      </c>
      <c r="Z272" s="85" t="str">
        <f>HYPERLINK("https://twitter.com/microblog_me_uk/status/1461363316907986945")</f>
        <v>https://twitter.com/microblog_me_uk/status/1461363316907986945</v>
      </c>
      <c r="AA272" s="82"/>
      <c r="AB272" s="82"/>
      <c r="AC272" s="87" t="s">
        <v>1669</v>
      </c>
      <c r="AD272" s="82"/>
      <c r="AE272" s="82" t="b">
        <v>0</v>
      </c>
      <c r="AF272" s="82">
        <v>0</v>
      </c>
      <c r="AG272" s="87" t="s">
        <v>1815</v>
      </c>
      <c r="AH272" s="82" t="b">
        <v>0</v>
      </c>
      <c r="AI272" s="82" t="s">
        <v>1826</v>
      </c>
      <c r="AJ272" s="82"/>
      <c r="AK272" s="87" t="s">
        <v>1815</v>
      </c>
      <c r="AL272" s="82" t="b">
        <v>0</v>
      </c>
      <c r="AM272" s="82">
        <v>0</v>
      </c>
      <c r="AN272" s="87" t="s">
        <v>1815</v>
      </c>
      <c r="AO272" s="87" t="s">
        <v>1853</v>
      </c>
      <c r="AP272" s="82" t="b">
        <v>0</v>
      </c>
      <c r="AQ272" s="87" t="s">
        <v>1669</v>
      </c>
      <c r="AR272" s="82"/>
      <c r="AS272" s="82">
        <v>0</v>
      </c>
      <c r="AT272" s="82">
        <v>0</v>
      </c>
      <c r="AU272" s="82"/>
      <c r="AV272" s="82"/>
      <c r="AW272" s="82"/>
      <c r="AX272" s="82"/>
      <c r="AY272" s="82"/>
      <c r="AZ272" s="82"/>
      <c r="BA272" s="82"/>
      <c r="BB272" s="82"/>
      <c r="BC272">
        <v>38</v>
      </c>
      <c r="BD272" s="81" t="str">
        <f>REPLACE(INDEX(GroupVertices[Group],MATCH(Edges[[#This Row],[Vertex 1]],GroupVertices[Vertex],0)),1,1,"")</f>
        <v>4</v>
      </c>
      <c r="BE272" s="81" t="str">
        <f>REPLACE(INDEX(GroupVertices[Group],MATCH(Edges[[#This Row],[Vertex 2]],GroupVertices[Vertex],0)),1,1,"")</f>
        <v>4</v>
      </c>
      <c r="BF272" s="49">
        <v>0</v>
      </c>
      <c r="BG272" s="50">
        <v>0</v>
      </c>
      <c r="BH272" s="49">
        <v>1</v>
      </c>
      <c r="BI272" s="50">
        <v>5.2631578947368425</v>
      </c>
      <c r="BJ272" s="49">
        <v>0</v>
      </c>
      <c r="BK272" s="50">
        <v>0</v>
      </c>
      <c r="BL272" s="49">
        <v>18</v>
      </c>
      <c r="BM272" s="50">
        <v>94.73684210526316</v>
      </c>
      <c r="BN272" s="49">
        <v>19</v>
      </c>
    </row>
    <row r="273" spans="1:66" ht="15">
      <c r="A273" s="66" t="s">
        <v>385</v>
      </c>
      <c r="B273" s="66" t="s">
        <v>385</v>
      </c>
      <c r="C273" s="67" t="s">
        <v>4516</v>
      </c>
      <c r="D273" s="68">
        <v>10</v>
      </c>
      <c r="E273" s="69" t="s">
        <v>136</v>
      </c>
      <c r="F273" s="70">
        <v>6</v>
      </c>
      <c r="G273" s="67"/>
      <c r="H273" s="71"/>
      <c r="I273" s="72"/>
      <c r="J273" s="72"/>
      <c r="K273" s="35" t="s">
        <v>65</v>
      </c>
      <c r="L273" s="80">
        <v>273</v>
      </c>
      <c r="M273" s="80"/>
      <c r="N273" s="74"/>
      <c r="O273" s="82" t="s">
        <v>214</v>
      </c>
      <c r="P273" s="84">
        <v>44518.65694444445</v>
      </c>
      <c r="Q273" s="82" t="s">
        <v>753</v>
      </c>
      <c r="R273" s="82"/>
      <c r="S273" s="82"/>
      <c r="T273" s="87" t="s">
        <v>1074</v>
      </c>
      <c r="U273" s="85" t="str">
        <f>HYPERLINK("https://pbs.twimg.com/media/FEeCgiTXMAQCAQ0.jpg")</f>
        <v>https://pbs.twimg.com/media/FEeCgiTXMAQCAQ0.jpg</v>
      </c>
      <c r="V273" s="85" t="str">
        <f>HYPERLINK("https://pbs.twimg.com/media/FEeCgiTXMAQCAQ0.jpg")</f>
        <v>https://pbs.twimg.com/media/FEeCgiTXMAQCAQ0.jpg</v>
      </c>
      <c r="W273" s="84">
        <v>44518.65694444445</v>
      </c>
      <c r="X273" s="90">
        <v>44518</v>
      </c>
      <c r="Y273" s="87" t="s">
        <v>1334</v>
      </c>
      <c r="Z273" s="85" t="str">
        <f>HYPERLINK("https://twitter.com/microblog_me_uk/status/1461360045820506128")</f>
        <v>https://twitter.com/microblog_me_uk/status/1461360045820506128</v>
      </c>
      <c r="AA273" s="82"/>
      <c r="AB273" s="82"/>
      <c r="AC273" s="87" t="s">
        <v>1670</v>
      </c>
      <c r="AD273" s="82"/>
      <c r="AE273" s="82" t="b">
        <v>0</v>
      </c>
      <c r="AF273" s="82">
        <v>9</v>
      </c>
      <c r="AG273" s="87" t="s">
        <v>1815</v>
      </c>
      <c r="AH273" s="82" t="b">
        <v>0</v>
      </c>
      <c r="AI273" s="82" t="s">
        <v>1826</v>
      </c>
      <c r="AJ273" s="82"/>
      <c r="AK273" s="87" t="s">
        <v>1815</v>
      </c>
      <c r="AL273" s="82" t="b">
        <v>0</v>
      </c>
      <c r="AM273" s="82">
        <v>5</v>
      </c>
      <c r="AN273" s="87" t="s">
        <v>1815</v>
      </c>
      <c r="AO273" s="87" t="s">
        <v>1853</v>
      </c>
      <c r="AP273" s="82" t="b">
        <v>0</v>
      </c>
      <c r="AQ273" s="87" t="s">
        <v>1670</v>
      </c>
      <c r="AR273" s="82"/>
      <c r="AS273" s="82">
        <v>0</v>
      </c>
      <c r="AT273" s="82">
        <v>0</v>
      </c>
      <c r="AU273" s="82"/>
      <c r="AV273" s="82"/>
      <c r="AW273" s="82"/>
      <c r="AX273" s="82"/>
      <c r="AY273" s="82"/>
      <c r="AZ273" s="82"/>
      <c r="BA273" s="82"/>
      <c r="BB273" s="82"/>
      <c r="BC273">
        <v>38</v>
      </c>
      <c r="BD273" s="81" t="str">
        <f>REPLACE(INDEX(GroupVertices[Group],MATCH(Edges[[#This Row],[Vertex 1]],GroupVertices[Vertex],0)),1,1,"")</f>
        <v>4</v>
      </c>
      <c r="BE273" s="81" t="str">
        <f>REPLACE(INDEX(GroupVertices[Group],MATCH(Edges[[#This Row],[Vertex 2]],GroupVertices[Vertex],0)),1,1,"")</f>
        <v>4</v>
      </c>
      <c r="BF273" s="49">
        <v>0</v>
      </c>
      <c r="BG273" s="50">
        <v>0</v>
      </c>
      <c r="BH273" s="49">
        <v>0</v>
      </c>
      <c r="BI273" s="50">
        <v>0</v>
      </c>
      <c r="BJ273" s="49">
        <v>0</v>
      </c>
      <c r="BK273" s="50">
        <v>0</v>
      </c>
      <c r="BL273" s="49">
        <v>10</v>
      </c>
      <c r="BM273" s="50">
        <v>100</v>
      </c>
      <c r="BN273" s="49">
        <v>10</v>
      </c>
    </row>
    <row r="274" spans="1:66" ht="15">
      <c r="A274" s="66" t="s">
        <v>385</v>
      </c>
      <c r="B274" s="66" t="s">
        <v>385</v>
      </c>
      <c r="C274" s="67" t="s">
        <v>4516</v>
      </c>
      <c r="D274" s="68">
        <v>10</v>
      </c>
      <c r="E274" s="69" t="s">
        <v>136</v>
      </c>
      <c r="F274" s="70">
        <v>6</v>
      </c>
      <c r="G274" s="67"/>
      <c r="H274" s="71"/>
      <c r="I274" s="72"/>
      <c r="J274" s="72"/>
      <c r="K274" s="35" t="s">
        <v>65</v>
      </c>
      <c r="L274" s="80">
        <v>274</v>
      </c>
      <c r="M274" s="80"/>
      <c r="N274" s="74"/>
      <c r="O274" s="82" t="s">
        <v>214</v>
      </c>
      <c r="P274" s="84">
        <v>44518.66180555556</v>
      </c>
      <c r="Q274" s="82" t="s">
        <v>754</v>
      </c>
      <c r="R274" s="82"/>
      <c r="S274" s="82"/>
      <c r="T274" s="87" t="s">
        <v>1075</v>
      </c>
      <c r="U274" s="85" t="str">
        <f>HYPERLINK("https://pbs.twimg.com/media/FEeNYZxXIAI3Lj7.jpg")</f>
        <v>https://pbs.twimg.com/media/FEeNYZxXIAI3Lj7.jpg</v>
      </c>
      <c r="V274" s="85" t="str">
        <f>HYPERLINK("https://pbs.twimg.com/media/FEeNYZxXIAI3Lj7.jpg")</f>
        <v>https://pbs.twimg.com/media/FEeNYZxXIAI3Lj7.jpg</v>
      </c>
      <c r="W274" s="84">
        <v>44518.66180555556</v>
      </c>
      <c r="X274" s="90">
        <v>44518</v>
      </c>
      <c r="Y274" s="87" t="s">
        <v>1335</v>
      </c>
      <c r="Z274" s="85" t="str">
        <f>HYPERLINK("https://twitter.com/microblog_me_uk/status/1461361807281451018")</f>
        <v>https://twitter.com/microblog_me_uk/status/1461361807281451018</v>
      </c>
      <c r="AA274" s="82"/>
      <c r="AB274" s="82"/>
      <c r="AC274" s="87" t="s">
        <v>1671</v>
      </c>
      <c r="AD274" s="82"/>
      <c r="AE274" s="82" t="b">
        <v>0</v>
      </c>
      <c r="AF274" s="82">
        <v>2</v>
      </c>
      <c r="AG274" s="87" t="s">
        <v>1815</v>
      </c>
      <c r="AH274" s="82" t="b">
        <v>0</v>
      </c>
      <c r="AI274" s="82" t="s">
        <v>1826</v>
      </c>
      <c r="AJ274" s="82"/>
      <c r="AK274" s="87" t="s">
        <v>1815</v>
      </c>
      <c r="AL274" s="82" t="b">
        <v>0</v>
      </c>
      <c r="AM274" s="82">
        <v>0</v>
      </c>
      <c r="AN274" s="87" t="s">
        <v>1815</v>
      </c>
      <c r="AO274" s="87" t="s">
        <v>1853</v>
      </c>
      <c r="AP274" s="82" t="b">
        <v>0</v>
      </c>
      <c r="AQ274" s="87" t="s">
        <v>1671</v>
      </c>
      <c r="AR274" s="82"/>
      <c r="AS274" s="82">
        <v>0</v>
      </c>
      <c r="AT274" s="82">
        <v>0</v>
      </c>
      <c r="AU274" s="82"/>
      <c r="AV274" s="82"/>
      <c r="AW274" s="82"/>
      <c r="AX274" s="82"/>
      <c r="AY274" s="82"/>
      <c r="AZ274" s="82"/>
      <c r="BA274" s="82"/>
      <c r="BB274" s="82"/>
      <c r="BC274">
        <v>38</v>
      </c>
      <c r="BD274" s="81" t="str">
        <f>REPLACE(INDEX(GroupVertices[Group],MATCH(Edges[[#This Row],[Vertex 1]],GroupVertices[Vertex],0)),1,1,"")</f>
        <v>4</v>
      </c>
      <c r="BE274" s="81" t="str">
        <f>REPLACE(INDEX(GroupVertices[Group],MATCH(Edges[[#This Row],[Vertex 2]],GroupVertices[Vertex],0)),1,1,"")</f>
        <v>4</v>
      </c>
      <c r="BF274" s="49">
        <v>0</v>
      </c>
      <c r="BG274" s="50">
        <v>0</v>
      </c>
      <c r="BH274" s="49">
        <v>0</v>
      </c>
      <c r="BI274" s="50">
        <v>0</v>
      </c>
      <c r="BJ274" s="49">
        <v>0</v>
      </c>
      <c r="BK274" s="50">
        <v>0</v>
      </c>
      <c r="BL274" s="49">
        <v>14</v>
      </c>
      <c r="BM274" s="50">
        <v>100</v>
      </c>
      <c r="BN274" s="49">
        <v>14</v>
      </c>
    </row>
    <row r="275" spans="1:66" ht="15">
      <c r="A275" s="66" t="s">
        <v>385</v>
      </c>
      <c r="B275" s="66" t="s">
        <v>385</v>
      </c>
      <c r="C275" s="67" t="s">
        <v>4516</v>
      </c>
      <c r="D275" s="68">
        <v>10</v>
      </c>
      <c r="E275" s="69" t="s">
        <v>136</v>
      </c>
      <c r="F275" s="70">
        <v>6</v>
      </c>
      <c r="G275" s="67"/>
      <c r="H275" s="71"/>
      <c r="I275" s="72"/>
      <c r="J275" s="72"/>
      <c r="K275" s="35" t="s">
        <v>65</v>
      </c>
      <c r="L275" s="80">
        <v>275</v>
      </c>
      <c r="M275" s="80"/>
      <c r="N275" s="74"/>
      <c r="O275" s="82" t="s">
        <v>214</v>
      </c>
      <c r="P275" s="84">
        <v>44518.654861111114</v>
      </c>
      <c r="Q275" s="82" t="s">
        <v>755</v>
      </c>
      <c r="R275" s="82"/>
      <c r="S275" s="82"/>
      <c r="T275" s="87" t="s">
        <v>1070</v>
      </c>
      <c r="U275" s="85" t="str">
        <f>HYPERLINK("https://pbs.twimg.com/media/FEd_X7AXMAI3H8i.jpg")</f>
        <v>https://pbs.twimg.com/media/FEd_X7AXMAI3H8i.jpg</v>
      </c>
      <c r="V275" s="85" t="str">
        <f>HYPERLINK("https://pbs.twimg.com/media/FEd_X7AXMAI3H8i.jpg")</f>
        <v>https://pbs.twimg.com/media/FEd_X7AXMAI3H8i.jpg</v>
      </c>
      <c r="W275" s="84">
        <v>44518.654861111114</v>
      </c>
      <c r="X275" s="90">
        <v>44518</v>
      </c>
      <c r="Y275" s="87" t="s">
        <v>1336</v>
      </c>
      <c r="Z275" s="85" t="str">
        <f>HYPERLINK("https://twitter.com/microblog_me_uk/status/1461359290372046849")</f>
        <v>https://twitter.com/microblog_me_uk/status/1461359290372046849</v>
      </c>
      <c r="AA275" s="82"/>
      <c r="AB275" s="82"/>
      <c r="AC275" s="87" t="s">
        <v>1672</v>
      </c>
      <c r="AD275" s="82"/>
      <c r="AE275" s="82" t="b">
        <v>0</v>
      </c>
      <c r="AF275" s="82">
        <v>0</v>
      </c>
      <c r="AG275" s="87" t="s">
        <v>1815</v>
      </c>
      <c r="AH275" s="82" t="b">
        <v>0</v>
      </c>
      <c r="AI275" s="82" t="s">
        <v>1826</v>
      </c>
      <c r="AJ275" s="82"/>
      <c r="AK275" s="87" t="s">
        <v>1815</v>
      </c>
      <c r="AL275" s="82" t="b">
        <v>0</v>
      </c>
      <c r="AM275" s="82">
        <v>0</v>
      </c>
      <c r="AN275" s="87" t="s">
        <v>1815</v>
      </c>
      <c r="AO275" s="87" t="s">
        <v>1853</v>
      </c>
      <c r="AP275" s="82" t="b">
        <v>0</v>
      </c>
      <c r="AQ275" s="87" t="s">
        <v>1672</v>
      </c>
      <c r="AR275" s="82"/>
      <c r="AS275" s="82">
        <v>0</v>
      </c>
      <c r="AT275" s="82">
        <v>0</v>
      </c>
      <c r="AU275" s="82"/>
      <c r="AV275" s="82"/>
      <c r="AW275" s="82"/>
      <c r="AX275" s="82"/>
      <c r="AY275" s="82"/>
      <c r="AZ275" s="82"/>
      <c r="BA275" s="82"/>
      <c r="BB275" s="82"/>
      <c r="BC275">
        <v>38</v>
      </c>
      <c r="BD275" s="81" t="str">
        <f>REPLACE(INDEX(GroupVertices[Group],MATCH(Edges[[#This Row],[Vertex 1]],GroupVertices[Vertex],0)),1,1,"")</f>
        <v>4</v>
      </c>
      <c r="BE275" s="81" t="str">
        <f>REPLACE(INDEX(GroupVertices[Group],MATCH(Edges[[#This Row],[Vertex 2]],GroupVertices[Vertex],0)),1,1,"")</f>
        <v>4</v>
      </c>
      <c r="BF275" s="49">
        <v>0</v>
      </c>
      <c r="BG275" s="50">
        <v>0</v>
      </c>
      <c r="BH275" s="49">
        <v>1</v>
      </c>
      <c r="BI275" s="50">
        <v>7.142857142857143</v>
      </c>
      <c r="BJ275" s="49">
        <v>0</v>
      </c>
      <c r="BK275" s="50">
        <v>0</v>
      </c>
      <c r="BL275" s="49">
        <v>13</v>
      </c>
      <c r="BM275" s="50">
        <v>92.85714285714286</v>
      </c>
      <c r="BN275" s="49">
        <v>14</v>
      </c>
    </row>
    <row r="276" spans="1:66" ht="15">
      <c r="A276" s="66" t="s">
        <v>385</v>
      </c>
      <c r="B276" s="66" t="s">
        <v>385</v>
      </c>
      <c r="C276" s="67" t="s">
        <v>4516</v>
      </c>
      <c r="D276" s="68">
        <v>10</v>
      </c>
      <c r="E276" s="69" t="s">
        <v>136</v>
      </c>
      <c r="F276" s="70">
        <v>6</v>
      </c>
      <c r="G276" s="67"/>
      <c r="H276" s="71"/>
      <c r="I276" s="72"/>
      <c r="J276" s="72"/>
      <c r="K276" s="35" t="s">
        <v>65</v>
      </c>
      <c r="L276" s="80">
        <v>276</v>
      </c>
      <c r="M276" s="80"/>
      <c r="N276" s="74"/>
      <c r="O276" s="82" t="s">
        <v>214</v>
      </c>
      <c r="P276" s="84">
        <v>44518.65625</v>
      </c>
      <c r="Q276" s="82" t="s">
        <v>756</v>
      </c>
      <c r="R276" s="82"/>
      <c r="S276" s="82"/>
      <c r="T276" s="87" t="s">
        <v>1076</v>
      </c>
      <c r="U276" s="85" t="str">
        <f>HYPERLINK("https://pbs.twimg.com/media/FEeByYqXMAILXkP.jpg")</f>
        <v>https://pbs.twimg.com/media/FEeByYqXMAILXkP.jpg</v>
      </c>
      <c r="V276" s="85" t="str">
        <f>HYPERLINK("https://pbs.twimg.com/media/FEeByYqXMAILXkP.jpg")</f>
        <v>https://pbs.twimg.com/media/FEeByYqXMAILXkP.jpg</v>
      </c>
      <c r="W276" s="84">
        <v>44518.65625</v>
      </c>
      <c r="X276" s="90">
        <v>44518</v>
      </c>
      <c r="Y276" s="87" t="s">
        <v>1200</v>
      </c>
      <c r="Z276" s="85" t="str">
        <f>HYPERLINK("https://twitter.com/microblog_me_uk/status/1461359794367832073")</f>
        <v>https://twitter.com/microblog_me_uk/status/1461359794367832073</v>
      </c>
      <c r="AA276" s="82"/>
      <c r="AB276" s="82"/>
      <c r="AC276" s="87" t="s">
        <v>1673</v>
      </c>
      <c r="AD276" s="82"/>
      <c r="AE276" s="82" t="b">
        <v>0</v>
      </c>
      <c r="AF276" s="82">
        <v>4</v>
      </c>
      <c r="AG276" s="87" t="s">
        <v>1815</v>
      </c>
      <c r="AH276" s="82" t="b">
        <v>0</v>
      </c>
      <c r="AI276" s="82" t="s">
        <v>1826</v>
      </c>
      <c r="AJ276" s="82"/>
      <c r="AK276" s="87" t="s">
        <v>1815</v>
      </c>
      <c r="AL276" s="82" t="b">
        <v>0</v>
      </c>
      <c r="AM276" s="82">
        <v>2</v>
      </c>
      <c r="AN276" s="87" t="s">
        <v>1815</v>
      </c>
      <c r="AO276" s="87" t="s">
        <v>1853</v>
      </c>
      <c r="AP276" s="82" t="b">
        <v>0</v>
      </c>
      <c r="AQ276" s="87" t="s">
        <v>1673</v>
      </c>
      <c r="AR276" s="82"/>
      <c r="AS276" s="82">
        <v>0</v>
      </c>
      <c r="AT276" s="82">
        <v>0</v>
      </c>
      <c r="AU276" s="82"/>
      <c r="AV276" s="82"/>
      <c r="AW276" s="82"/>
      <c r="AX276" s="82"/>
      <c r="AY276" s="82"/>
      <c r="AZ276" s="82"/>
      <c r="BA276" s="82"/>
      <c r="BB276" s="82"/>
      <c r="BC276">
        <v>38</v>
      </c>
      <c r="BD276" s="81" t="str">
        <f>REPLACE(INDEX(GroupVertices[Group],MATCH(Edges[[#This Row],[Vertex 1]],GroupVertices[Vertex],0)),1,1,"")</f>
        <v>4</v>
      </c>
      <c r="BE276" s="81" t="str">
        <f>REPLACE(INDEX(GroupVertices[Group],MATCH(Edges[[#This Row],[Vertex 2]],GroupVertices[Vertex],0)),1,1,"")</f>
        <v>4</v>
      </c>
      <c r="BF276" s="49">
        <v>0</v>
      </c>
      <c r="BG276" s="50">
        <v>0</v>
      </c>
      <c r="BH276" s="49">
        <v>0</v>
      </c>
      <c r="BI276" s="50">
        <v>0</v>
      </c>
      <c r="BJ276" s="49">
        <v>0</v>
      </c>
      <c r="BK276" s="50">
        <v>0</v>
      </c>
      <c r="BL276" s="49">
        <v>10</v>
      </c>
      <c r="BM276" s="50">
        <v>100</v>
      </c>
      <c r="BN276" s="49">
        <v>10</v>
      </c>
    </row>
    <row r="277" spans="1:66" ht="15">
      <c r="A277" s="66" t="s">
        <v>385</v>
      </c>
      <c r="B277" s="66" t="s">
        <v>385</v>
      </c>
      <c r="C277" s="67" t="s">
        <v>4516</v>
      </c>
      <c r="D277" s="68">
        <v>10</v>
      </c>
      <c r="E277" s="69" t="s">
        <v>136</v>
      </c>
      <c r="F277" s="70">
        <v>6</v>
      </c>
      <c r="G277" s="67"/>
      <c r="H277" s="71"/>
      <c r="I277" s="72"/>
      <c r="J277" s="72"/>
      <c r="K277" s="35" t="s">
        <v>65</v>
      </c>
      <c r="L277" s="80">
        <v>277</v>
      </c>
      <c r="M277" s="80"/>
      <c r="N277" s="74"/>
      <c r="O277" s="82" t="s">
        <v>214</v>
      </c>
      <c r="P277" s="84">
        <v>44518.65972222222</v>
      </c>
      <c r="Q277" s="82" t="s">
        <v>757</v>
      </c>
      <c r="R277" s="85" t="str">
        <f>HYPERLINK("https://idp.nature.com/authorize?response_type=cookie&amp;client_id=grover&amp;redirect_uri=https%3A%2F%2Fwww.nature.com%2Farticles%2Fs41579-019-0288-0")</f>
        <v>https://idp.nature.com/authorize?response_type=cookie&amp;client_id=grover&amp;redirect_uri=https%3A%2F%2Fwww.nature.com%2Farticles%2Fs41579-019-0288-0</v>
      </c>
      <c r="S277" s="82" t="s">
        <v>935</v>
      </c>
      <c r="T277" s="87" t="s">
        <v>1070</v>
      </c>
      <c r="U277" s="85" t="str">
        <f>HYPERLINK("https://pbs.twimg.com/media/FEeGPsFXwAQX_wQ.png")</f>
        <v>https://pbs.twimg.com/media/FEeGPsFXwAQX_wQ.png</v>
      </c>
      <c r="V277" s="85" t="str">
        <f>HYPERLINK("https://pbs.twimg.com/media/FEeGPsFXwAQX_wQ.png")</f>
        <v>https://pbs.twimg.com/media/FEeGPsFXwAQX_wQ.png</v>
      </c>
      <c r="W277" s="84">
        <v>44518.65972222222</v>
      </c>
      <c r="X277" s="90">
        <v>44518</v>
      </c>
      <c r="Y277" s="87" t="s">
        <v>1337</v>
      </c>
      <c r="Z277" s="85" t="str">
        <f>HYPERLINK("https://twitter.com/microblog_me_uk/status/1461361052201881617")</f>
        <v>https://twitter.com/microblog_me_uk/status/1461361052201881617</v>
      </c>
      <c r="AA277" s="82"/>
      <c r="AB277" s="82"/>
      <c r="AC277" s="87" t="s">
        <v>1674</v>
      </c>
      <c r="AD277" s="82"/>
      <c r="AE277" s="82" t="b">
        <v>0</v>
      </c>
      <c r="AF277" s="82">
        <v>1</v>
      </c>
      <c r="AG277" s="87" t="s">
        <v>1815</v>
      </c>
      <c r="AH277" s="82" t="b">
        <v>0</v>
      </c>
      <c r="AI277" s="82" t="s">
        <v>1826</v>
      </c>
      <c r="AJ277" s="82"/>
      <c r="AK277" s="87" t="s">
        <v>1815</v>
      </c>
      <c r="AL277" s="82" t="b">
        <v>0</v>
      </c>
      <c r="AM277" s="82">
        <v>0</v>
      </c>
      <c r="AN277" s="87" t="s">
        <v>1815</v>
      </c>
      <c r="AO277" s="87" t="s">
        <v>1853</v>
      </c>
      <c r="AP277" s="82" t="b">
        <v>0</v>
      </c>
      <c r="AQ277" s="87" t="s">
        <v>1674</v>
      </c>
      <c r="AR277" s="82"/>
      <c r="AS277" s="82">
        <v>0</v>
      </c>
      <c r="AT277" s="82">
        <v>0</v>
      </c>
      <c r="AU277" s="82"/>
      <c r="AV277" s="82"/>
      <c r="AW277" s="82"/>
      <c r="AX277" s="82"/>
      <c r="AY277" s="82"/>
      <c r="AZ277" s="82"/>
      <c r="BA277" s="82"/>
      <c r="BB277" s="82"/>
      <c r="BC277">
        <v>38</v>
      </c>
      <c r="BD277" s="81" t="str">
        <f>REPLACE(INDEX(GroupVertices[Group],MATCH(Edges[[#This Row],[Vertex 1]],GroupVertices[Vertex],0)),1,1,"")</f>
        <v>4</v>
      </c>
      <c r="BE277" s="81" t="str">
        <f>REPLACE(INDEX(GroupVertices[Group],MATCH(Edges[[#This Row],[Vertex 2]],GroupVertices[Vertex],0)),1,1,"")</f>
        <v>4</v>
      </c>
      <c r="BF277" s="49">
        <v>0</v>
      </c>
      <c r="BG277" s="50">
        <v>0</v>
      </c>
      <c r="BH277" s="49">
        <v>0</v>
      </c>
      <c r="BI277" s="50">
        <v>0</v>
      </c>
      <c r="BJ277" s="49">
        <v>0</v>
      </c>
      <c r="BK277" s="50">
        <v>0</v>
      </c>
      <c r="BL277" s="49">
        <v>24</v>
      </c>
      <c r="BM277" s="50">
        <v>100</v>
      </c>
      <c r="BN277" s="49">
        <v>24</v>
      </c>
    </row>
    <row r="278" spans="1:66" ht="15">
      <c r="A278" s="66" t="s">
        <v>385</v>
      </c>
      <c r="B278" s="66" t="s">
        <v>385</v>
      </c>
      <c r="C278" s="67" t="s">
        <v>4516</v>
      </c>
      <c r="D278" s="68">
        <v>10</v>
      </c>
      <c r="E278" s="69" t="s">
        <v>136</v>
      </c>
      <c r="F278" s="70">
        <v>6</v>
      </c>
      <c r="G278" s="67"/>
      <c r="H278" s="71"/>
      <c r="I278" s="72"/>
      <c r="J278" s="72"/>
      <c r="K278" s="35" t="s">
        <v>65</v>
      </c>
      <c r="L278" s="80">
        <v>278</v>
      </c>
      <c r="M278" s="80"/>
      <c r="N278" s="74"/>
      <c r="O278" s="82" t="s">
        <v>214</v>
      </c>
      <c r="P278" s="84">
        <v>44518.657638888886</v>
      </c>
      <c r="Q278" s="82" t="s">
        <v>758</v>
      </c>
      <c r="R278" s="82"/>
      <c r="S278" s="82"/>
      <c r="T278" s="87" t="s">
        <v>1077</v>
      </c>
      <c r="U278" s="85" t="str">
        <f>HYPERLINK("https://pbs.twimg.com/media/FEeDr1xWQAQhJYZ.jpg")</f>
        <v>https://pbs.twimg.com/media/FEeDr1xWQAQhJYZ.jpg</v>
      </c>
      <c r="V278" s="85" t="str">
        <f>HYPERLINK("https://pbs.twimg.com/media/FEeDr1xWQAQhJYZ.jpg")</f>
        <v>https://pbs.twimg.com/media/FEeDr1xWQAQhJYZ.jpg</v>
      </c>
      <c r="W278" s="84">
        <v>44518.657638888886</v>
      </c>
      <c r="X278" s="90">
        <v>44518</v>
      </c>
      <c r="Y278" s="87" t="s">
        <v>1338</v>
      </c>
      <c r="Z278" s="85" t="str">
        <f>HYPERLINK("https://twitter.com/microblog_me_uk/status/1461360296967163904")</f>
        <v>https://twitter.com/microblog_me_uk/status/1461360296967163904</v>
      </c>
      <c r="AA278" s="82"/>
      <c r="AB278" s="82"/>
      <c r="AC278" s="87" t="s">
        <v>1675</v>
      </c>
      <c r="AD278" s="82"/>
      <c r="AE278" s="82" t="b">
        <v>0</v>
      </c>
      <c r="AF278" s="82">
        <v>1</v>
      </c>
      <c r="AG278" s="87" t="s">
        <v>1815</v>
      </c>
      <c r="AH278" s="82" t="b">
        <v>0</v>
      </c>
      <c r="AI278" s="82" t="s">
        <v>1826</v>
      </c>
      <c r="AJ278" s="82"/>
      <c r="AK278" s="87" t="s">
        <v>1815</v>
      </c>
      <c r="AL278" s="82" t="b">
        <v>0</v>
      </c>
      <c r="AM278" s="82">
        <v>1</v>
      </c>
      <c r="AN278" s="87" t="s">
        <v>1815</v>
      </c>
      <c r="AO278" s="87" t="s">
        <v>1853</v>
      </c>
      <c r="AP278" s="82" t="b">
        <v>0</v>
      </c>
      <c r="AQ278" s="87" t="s">
        <v>1675</v>
      </c>
      <c r="AR278" s="82"/>
      <c r="AS278" s="82">
        <v>0</v>
      </c>
      <c r="AT278" s="82">
        <v>0</v>
      </c>
      <c r="AU278" s="82"/>
      <c r="AV278" s="82"/>
      <c r="AW278" s="82"/>
      <c r="AX278" s="82"/>
      <c r="AY278" s="82"/>
      <c r="AZ278" s="82"/>
      <c r="BA278" s="82"/>
      <c r="BB278" s="82"/>
      <c r="BC278">
        <v>38</v>
      </c>
      <c r="BD278" s="81" t="str">
        <f>REPLACE(INDEX(GroupVertices[Group],MATCH(Edges[[#This Row],[Vertex 1]],GroupVertices[Vertex],0)),1,1,"")</f>
        <v>4</v>
      </c>
      <c r="BE278" s="81" t="str">
        <f>REPLACE(INDEX(GroupVertices[Group],MATCH(Edges[[#This Row],[Vertex 2]],GroupVertices[Vertex],0)),1,1,"")</f>
        <v>4</v>
      </c>
      <c r="BF278" s="49">
        <v>0</v>
      </c>
      <c r="BG278" s="50">
        <v>0</v>
      </c>
      <c r="BH278" s="49">
        <v>0</v>
      </c>
      <c r="BI278" s="50">
        <v>0</v>
      </c>
      <c r="BJ278" s="49">
        <v>0</v>
      </c>
      <c r="BK278" s="50">
        <v>0</v>
      </c>
      <c r="BL278" s="49">
        <v>10</v>
      </c>
      <c r="BM278" s="50">
        <v>100</v>
      </c>
      <c r="BN278" s="49">
        <v>10</v>
      </c>
    </row>
    <row r="279" spans="1:66" ht="15">
      <c r="A279" s="66" t="s">
        <v>385</v>
      </c>
      <c r="B279" s="66" t="s">
        <v>385</v>
      </c>
      <c r="C279" s="67" t="s">
        <v>4516</v>
      </c>
      <c r="D279" s="68">
        <v>10</v>
      </c>
      <c r="E279" s="69" t="s">
        <v>136</v>
      </c>
      <c r="F279" s="70">
        <v>6</v>
      </c>
      <c r="G279" s="67"/>
      <c r="H279" s="71"/>
      <c r="I279" s="72"/>
      <c r="J279" s="72"/>
      <c r="K279" s="35" t="s">
        <v>65</v>
      </c>
      <c r="L279" s="80">
        <v>279</v>
      </c>
      <c r="M279" s="80"/>
      <c r="N279" s="74"/>
      <c r="O279" s="82" t="s">
        <v>214</v>
      </c>
      <c r="P279" s="84">
        <v>44518.65</v>
      </c>
      <c r="Q279" s="82" t="s">
        <v>759</v>
      </c>
      <c r="R279" s="82"/>
      <c r="S279" s="82"/>
      <c r="T279" s="87" t="s">
        <v>1054</v>
      </c>
      <c r="U279" s="82"/>
      <c r="V279" s="85" t="str">
        <f>HYPERLINK("https://pbs.twimg.com/profile_images/1058719862040784896/zm0I75Iz_normal.jpg")</f>
        <v>https://pbs.twimg.com/profile_images/1058719862040784896/zm0I75Iz_normal.jpg</v>
      </c>
      <c r="W279" s="84">
        <v>44518.65</v>
      </c>
      <c r="X279" s="90">
        <v>44518</v>
      </c>
      <c r="Y279" s="87" t="s">
        <v>1339</v>
      </c>
      <c r="Z279" s="85" t="str">
        <f>HYPERLINK("https://twitter.com/microblog_me_uk/status/1461357528726528000")</f>
        <v>https://twitter.com/microblog_me_uk/status/1461357528726528000</v>
      </c>
      <c r="AA279" s="82"/>
      <c r="AB279" s="82"/>
      <c r="AC279" s="87" t="s">
        <v>1676</v>
      </c>
      <c r="AD279" s="82"/>
      <c r="AE279" s="82" t="b">
        <v>0</v>
      </c>
      <c r="AF279" s="82">
        <v>0</v>
      </c>
      <c r="AG279" s="87" t="s">
        <v>1815</v>
      </c>
      <c r="AH279" s="82" t="b">
        <v>0</v>
      </c>
      <c r="AI279" s="82" t="s">
        <v>1826</v>
      </c>
      <c r="AJ279" s="82"/>
      <c r="AK279" s="87" t="s">
        <v>1815</v>
      </c>
      <c r="AL279" s="82" t="b">
        <v>0</v>
      </c>
      <c r="AM279" s="82">
        <v>0</v>
      </c>
      <c r="AN279" s="87" t="s">
        <v>1815</v>
      </c>
      <c r="AO279" s="87" t="s">
        <v>1853</v>
      </c>
      <c r="AP279" s="82" t="b">
        <v>0</v>
      </c>
      <c r="AQ279" s="87" t="s">
        <v>1676</v>
      </c>
      <c r="AR279" s="82"/>
      <c r="AS279" s="82">
        <v>0</v>
      </c>
      <c r="AT279" s="82">
        <v>0</v>
      </c>
      <c r="AU279" s="82"/>
      <c r="AV279" s="82"/>
      <c r="AW279" s="82"/>
      <c r="AX279" s="82"/>
      <c r="AY279" s="82"/>
      <c r="AZ279" s="82"/>
      <c r="BA279" s="82"/>
      <c r="BB279" s="82"/>
      <c r="BC279">
        <v>38</v>
      </c>
      <c r="BD279" s="81" t="str">
        <f>REPLACE(INDEX(GroupVertices[Group],MATCH(Edges[[#This Row],[Vertex 1]],GroupVertices[Vertex],0)),1,1,"")</f>
        <v>4</v>
      </c>
      <c r="BE279" s="81" t="str">
        <f>REPLACE(INDEX(GroupVertices[Group],MATCH(Edges[[#This Row],[Vertex 2]],GroupVertices[Vertex],0)),1,1,"")</f>
        <v>4</v>
      </c>
      <c r="BF279" s="49">
        <v>0</v>
      </c>
      <c r="BG279" s="50">
        <v>0</v>
      </c>
      <c r="BH279" s="49">
        <v>0</v>
      </c>
      <c r="BI279" s="50">
        <v>0</v>
      </c>
      <c r="BJ279" s="49">
        <v>0</v>
      </c>
      <c r="BK279" s="50">
        <v>0</v>
      </c>
      <c r="BL279" s="49">
        <v>22</v>
      </c>
      <c r="BM279" s="50">
        <v>100</v>
      </c>
      <c r="BN279" s="49">
        <v>22</v>
      </c>
    </row>
    <row r="280" spans="1:66" ht="15">
      <c r="A280" s="66" t="s">
        <v>385</v>
      </c>
      <c r="B280" s="66" t="s">
        <v>385</v>
      </c>
      <c r="C280" s="67" t="s">
        <v>4516</v>
      </c>
      <c r="D280" s="68">
        <v>10</v>
      </c>
      <c r="E280" s="69" t="s">
        <v>136</v>
      </c>
      <c r="F280" s="70">
        <v>6</v>
      </c>
      <c r="G280" s="67"/>
      <c r="H280" s="71"/>
      <c r="I280" s="72"/>
      <c r="J280" s="72"/>
      <c r="K280" s="35" t="s">
        <v>65</v>
      </c>
      <c r="L280" s="80">
        <v>280</v>
      </c>
      <c r="M280" s="80"/>
      <c r="N280" s="74"/>
      <c r="O280" s="82" t="s">
        <v>214</v>
      </c>
      <c r="P280" s="84">
        <v>44518.66111111111</v>
      </c>
      <c r="Q280" s="82" t="s">
        <v>760</v>
      </c>
      <c r="R280" s="82"/>
      <c r="S280" s="82"/>
      <c r="T280" s="87" t="s">
        <v>1054</v>
      </c>
      <c r="U280" s="85" t="str">
        <f>HYPERLINK("https://pbs.twimg.com/media/FEeHj2gWUAQ-Ox2.jpg")</f>
        <v>https://pbs.twimg.com/media/FEeHj2gWUAQ-Ox2.jpg</v>
      </c>
      <c r="V280" s="85" t="str">
        <f>HYPERLINK("https://pbs.twimg.com/media/FEeHj2gWUAQ-Ox2.jpg")</f>
        <v>https://pbs.twimg.com/media/FEeHj2gWUAQ-Ox2.jpg</v>
      </c>
      <c r="W280" s="84">
        <v>44518.66111111111</v>
      </c>
      <c r="X280" s="90">
        <v>44518</v>
      </c>
      <c r="Y280" s="87" t="s">
        <v>1340</v>
      </c>
      <c r="Z280" s="85" t="str">
        <f>HYPERLINK("https://twitter.com/microblog_me_uk/status/1461361555195547648")</f>
        <v>https://twitter.com/microblog_me_uk/status/1461361555195547648</v>
      </c>
      <c r="AA280" s="82"/>
      <c r="AB280" s="82"/>
      <c r="AC280" s="87" t="s">
        <v>1677</v>
      </c>
      <c r="AD280" s="82"/>
      <c r="AE280" s="82" t="b">
        <v>0</v>
      </c>
      <c r="AF280" s="82">
        <v>1</v>
      </c>
      <c r="AG280" s="87" t="s">
        <v>1815</v>
      </c>
      <c r="AH280" s="82" t="b">
        <v>0</v>
      </c>
      <c r="AI280" s="82" t="s">
        <v>1826</v>
      </c>
      <c r="AJ280" s="82"/>
      <c r="AK280" s="87" t="s">
        <v>1815</v>
      </c>
      <c r="AL280" s="82" t="b">
        <v>0</v>
      </c>
      <c r="AM280" s="82">
        <v>0</v>
      </c>
      <c r="AN280" s="87" t="s">
        <v>1815</v>
      </c>
      <c r="AO280" s="87" t="s">
        <v>1853</v>
      </c>
      <c r="AP280" s="82" t="b">
        <v>0</v>
      </c>
      <c r="AQ280" s="87" t="s">
        <v>1677</v>
      </c>
      <c r="AR280" s="82"/>
      <c r="AS280" s="82">
        <v>0</v>
      </c>
      <c r="AT280" s="82">
        <v>0</v>
      </c>
      <c r="AU280" s="82"/>
      <c r="AV280" s="82"/>
      <c r="AW280" s="82"/>
      <c r="AX280" s="82"/>
      <c r="AY280" s="82"/>
      <c r="AZ280" s="82"/>
      <c r="BA280" s="82"/>
      <c r="BB280" s="82"/>
      <c r="BC280">
        <v>38</v>
      </c>
      <c r="BD280" s="81" t="str">
        <f>REPLACE(INDEX(GroupVertices[Group],MATCH(Edges[[#This Row],[Vertex 1]],GroupVertices[Vertex],0)),1,1,"")</f>
        <v>4</v>
      </c>
      <c r="BE280" s="81" t="str">
        <f>REPLACE(INDEX(GroupVertices[Group],MATCH(Edges[[#This Row],[Vertex 2]],GroupVertices[Vertex],0)),1,1,"")</f>
        <v>4</v>
      </c>
      <c r="BF280" s="49">
        <v>1</v>
      </c>
      <c r="BG280" s="50">
        <v>5.2631578947368425</v>
      </c>
      <c r="BH280" s="49">
        <v>0</v>
      </c>
      <c r="BI280" s="50">
        <v>0</v>
      </c>
      <c r="BJ280" s="49">
        <v>0</v>
      </c>
      <c r="BK280" s="50">
        <v>0</v>
      </c>
      <c r="BL280" s="49">
        <v>18</v>
      </c>
      <c r="BM280" s="50">
        <v>94.73684210526316</v>
      </c>
      <c r="BN280" s="49">
        <v>19</v>
      </c>
    </row>
    <row r="281" spans="1:66" ht="15">
      <c r="A281" s="66" t="s">
        <v>385</v>
      </c>
      <c r="B281" s="66" t="s">
        <v>385</v>
      </c>
      <c r="C281" s="67" t="s">
        <v>4516</v>
      </c>
      <c r="D281" s="68">
        <v>10</v>
      </c>
      <c r="E281" s="69" t="s">
        <v>136</v>
      </c>
      <c r="F281" s="70">
        <v>6</v>
      </c>
      <c r="G281" s="67"/>
      <c r="H281" s="71"/>
      <c r="I281" s="72"/>
      <c r="J281" s="72"/>
      <c r="K281" s="35" t="s">
        <v>65</v>
      </c>
      <c r="L281" s="80">
        <v>281</v>
      </c>
      <c r="M281" s="80"/>
      <c r="N281" s="74"/>
      <c r="O281" s="82" t="s">
        <v>214</v>
      </c>
      <c r="P281" s="84">
        <v>44518.66458333333</v>
      </c>
      <c r="Q281" s="82" t="s">
        <v>761</v>
      </c>
      <c r="R281" s="82"/>
      <c r="S281" s="82"/>
      <c r="T281" s="87" t="s">
        <v>1078</v>
      </c>
      <c r="U281" s="85" t="str">
        <f>HYPERLINK("https://pbs.twimg.com/media/FEeRUwKXsAQYaSK.png")</f>
        <v>https://pbs.twimg.com/media/FEeRUwKXsAQYaSK.png</v>
      </c>
      <c r="V281" s="85" t="str">
        <f>HYPERLINK("https://pbs.twimg.com/media/FEeRUwKXsAQYaSK.png")</f>
        <v>https://pbs.twimg.com/media/FEeRUwKXsAQYaSK.png</v>
      </c>
      <c r="W281" s="84">
        <v>44518.66458333333</v>
      </c>
      <c r="X281" s="90">
        <v>44518</v>
      </c>
      <c r="Y281" s="87" t="s">
        <v>1341</v>
      </c>
      <c r="Z281" s="85" t="str">
        <f>HYPERLINK("https://twitter.com/microblog_me_uk/status/1461362813805285396")</f>
        <v>https://twitter.com/microblog_me_uk/status/1461362813805285396</v>
      </c>
      <c r="AA281" s="82"/>
      <c r="AB281" s="82"/>
      <c r="AC281" s="87" t="s">
        <v>1678</v>
      </c>
      <c r="AD281" s="82"/>
      <c r="AE281" s="82" t="b">
        <v>0</v>
      </c>
      <c r="AF281" s="82">
        <v>3</v>
      </c>
      <c r="AG281" s="87" t="s">
        <v>1815</v>
      </c>
      <c r="AH281" s="82" t="b">
        <v>0</v>
      </c>
      <c r="AI281" s="82" t="s">
        <v>1826</v>
      </c>
      <c r="AJ281" s="82"/>
      <c r="AK281" s="87" t="s">
        <v>1815</v>
      </c>
      <c r="AL281" s="82" t="b">
        <v>0</v>
      </c>
      <c r="AM281" s="82">
        <v>2</v>
      </c>
      <c r="AN281" s="87" t="s">
        <v>1815</v>
      </c>
      <c r="AO281" s="87" t="s">
        <v>1853</v>
      </c>
      <c r="AP281" s="82" t="b">
        <v>0</v>
      </c>
      <c r="AQ281" s="87" t="s">
        <v>1678</v>
      </c>
      <c r="AR281" s="82"/>
      <c r="AS281" s="82">
        <v>0</v>
      </c>
      <c r="AT281" s="82">
        <v>0</v>
      </c>
      <c r="AU281" s="82"/>
      <c r="AV281" s="82"/>
      <c r="AW281" s="82"/>
      <c r="AX281" s="82"/>
      <c r="AY281" s="82"/>
      <c r="AZ281" s="82"/>
      <c r="BA281" s="82"/>
      <c r="BB281" s="82"/>
      <c r="BC281">
        <v>38</v>
      </c>
      <c r="BD281" s="81" t="str">
        <f>REPLACE(INDEX(GroupVertices[Group],MATCH(Edges[[#This Row],[Vertex 1]],GroupVertices[Vertex],0)),1,1,"")</f>
        <v>4</v>
      </c>
      <c r="BE281" s="81" t="str">
        <f>REPLACE(INDEX(GroupVertices[Group],MATCH(Edges[[#This Row],[Vertex 2]],GroupVertices[Vertex],0)),1,1,"")</f>
        <v>4</v>
      </c>
      <c r="BF281" s="49">
        <v>1</v>
      </c>
      <c r="BG281" s="50">
        <v>3.3333333333333335</v>
      </c>
      <c r="BH281" s="49">
        <v>0</v>
      </c>
      <c r="BI281" s="50">
        <v>0</v>
      </c>
      <c r="BJ281" s="49">
        <v>0</v>
      </c>
      <c r="BK281" s="50">
        <v>0</v>
      </c>
      <c r="BL281" s="49">
        <v>29</v>
      </c>
      <c r="BM281" s="50">
        <v>96.66666666666667</v>
      </c>
      <c r="BN281" s="49">
        <v>30</v>
      </c>
    </row>
    <row r="282" spans="1:66" ht="15">
      <c r="A282" s="66" t="s">
        <v>385</v>
      </c>
      <c r="B282" s="66" t="s">
        <v>385</v>
      </c>
      <c r="C282" s="67" t="s">
        <v>4516</v>
      </c>
      <c r="D282" s="68">
        <v>10</v>
      </c>
      <c r="E282" s="69" t="s">
        <v>136</v>
      </c>
      <c r="F282" s="70">
        <v>6</v>
      </c>
      <c r="G282" s="67"/>
      <c r="H282" s="71"/>
      <c r="I282" s="72"/>
      <c r="J282" s="72"/>
      <c r="K282" s="35" t="s">
        <v>65</v>
      </c>
      <c r="L282" s="80">
        <v>282</v>
      </c>
      <c r="M282" s="80"/>
      <c r="N282" s="74"/>
      <c r="O282" s="82" t="s">
        <v>214</v>
      </c>
      <c r="P282" s="84">
        <v>44518.65555555555</v>
      </c>
      <c r="Q282" s="82" t="s">
        <v>762</v>
      </c>
      <c r="R282" s="82"/>
      <c r="S282" s="82"/>
      <c r="T282" s="87" t="s">
        <v>1079</v>
      </c>
      <c r="U282" s="82"/>
      <c r="V282" s="85" t="str">
        <f>HYPERLINK("https://pbs.twimg.com/profile_images/1058719862040784896/zm0I75Iz_normal.jpg")</f>
        <v>https://pbs.twimg.com/profile_images/1058719862040784896/zm0I75Iz_normal.jpg</v>
      </c>
      <c r="W282" s="84">
        <v>44518.65555555555</v>
      </c>
      <c r="X282" s="90">
        <v>44518</v>
      </c>
      <c r="Y282" s="87" t="s">
        <v>1342</v>
      </c>
      <c r="Z282" s="85" t="str">
        <f>HYPERLINK("https://twitter.com/microblog_me_uk/status/1461359542285967369")</f>
        <v>https://twitter.com/microblog_me_uk/status/1461359542285967369</v>
      </c>
      <c r="AA282" s="82"/>
      <c r="AB282" s="82"/>
      <c r="AC282" s="87" t="s">
        <v>1679</v>
      </c>
      <c r="AD282" s="82"/>
      <c r="AE282" s="82" t="b">
        <v>0</v>
      </c>
      <c r="AF282" s="82">
        <v>0</v>
      </c>
      <c r="AG282" s="87" t="s">
        <v>1815</v>
      </c>
      <c r="AH282" s="82" t="b">
        <v>0</v>
      </c>
      <c r="AI282" s="82" t="s">
        <v>1826</v>
      </c>
      <c r="AJ282" s="82"/>
      <c r="AK282" s="87" t="s">
        <v>1815</v>
      </c>
      <c r="AL282" s="82" t="b">
        <v>0</v>
      </c>
      <c r="AM282" s="82">
        <v>0</v>
      </c>
      <c r="AN282" s="87" t="s">
        <v>1815</v>
      </c>
      <c r="AO282" s="87" t="s">
        <v>1853</v>
      </c>
      <c r="AP282" s="82" t="b">
        <v>0</v>
      </c>
      <c r="AQ282" s="87" t="s">
        <v>1679</v>
      </c>
      <c r="AR282" s="82"/>
      <c r="AS282" s="82">
        <v>0</v>
      </c>
      <c r="AT282" s="82">
        <v>0</v>
      </c>
      <c r="AU282" s="82"/>
      <c r="AV282" s="82"/>
      <c r="AW282" s="82"/>
      <c r="AX282" s="82"/>
      <c r="AY282" s="82"/>
      <c r="AZ282" s="82"/>
      <c r="BA282" s="82"/>
      <c r="BB282" s="82"/>
      <c r="BC282">
        <v>38</v>
      </c>
      <c r="BD282" s="81" t="str">
        <f>REPLACE(INDEX(GroupVertices[Group],MATCH(Edges[[#This Row],[Vertex 1]],GroupVertices[Vertex],0)),1,1,"")</f>
        <v>4</v>
      </c>
      <c r="BE282" s="81" t="str">
        <f>REPLACE(INDEX(GroupVertices[Group],MATCH(Edges[[#This Row],[Vertex 2]],GroupVertices[Vertex],0)),1,1,"")</f>
        <v>4</v>
      </c>
      <c r="BF282" s="49">
        <v>0</v>
      </c>
      <c r="BG282" s="50">
        <v>0</v>
      </c>
      <c r="BH282" s="49">
        <v>2</v>
      </c>
      <c r="BI282" s="50">
        <v>8.695652173913043</v>
      </c>
      <c r="BJ282" s="49">
        <v>0</v>
      </c>
      <c r="BK282" s="50">
        <v>0</v>
      </c>
      <c r="BL282" s="49">
        <v>21</v>
      </c>
      <c r="BM282" s="50">
        <v>91.30434782608695</v>
      </c>
      <c r="BN282" s="49">
        <v>23</v>
      </c>
    </row>
    <row r="283" spans="1:66" ht="15">
      <c r="A283" s="66" t="s">
        <v>385</v>
      </c>
      <c r="B283" s="66" t="s">
        <v>385</v>
      </c>
      <c r="C283" s="67" t="s">
        <v>4516</v>
      </c>
      <c r="D283" s="68">
        <v>10</v>
      </c>
      <c r="E283" s="69" t="s">
        <v>136</v>
      </c>
      <c r="F283" s="70">
        <v>6</v>
      </c>
      <c r="G283" s="67"/>
      <c r="H283" s="71"/>
      <c r="I283" s="72"/>
      <c r="J283" s="72"/>
      <c r="K283" s="35" t="s">
        <v>65</v>
      </c>
      <c r="L283" s="80">
        <v>283</v>
      </c>
      <c r="M283" s="80"/>
      <c r="N283" s="74"/>
      <c r="O283" s="82" t="s">
        <v>214</v>
      </c>
      <c r="P283" s="84">
        <v>44518.66388888889</v>
      </c>
      <c r="Q283" s="82" t="s">
        <v>763</v>
      </c>
      <c r="R283" s="82"/>
      <c r="S283" s="82"/>
      <c r="T283" s="87" t="s">
        <v>1080</v>
      </c>
      <c r="U283" s="85" t="str">
        <f>HYPERLINK("https://pbs.twimg.com/media/FEeQUtRWYAMi5-w.jpg")</f>
        <v>https://pbs.twimg.com/media/FEeQUtRWYAMi5-w.jpg</v>
      </c>
      <c r="V283" s="85" t="str">
        <f>HYPERLINK("https://pbs.twimg.com/media/FEeQUtRWYAMi5-w.jpg")</f>
        <v>https://pbs.twimg.com/media/FEeQUtRWYAMi5-w.jpg</v>
      </c>
      <c r="W283" s="84">
        <v>44518.66388888889</v>
      </c>
      <c r="X283" s="90">
        <v>44518</v>
      </c>
      <c r="Y283" s="87" t="s">
        <v>1343</v>
      </c>
      <c r="Z283" s="85" t="str">
        <f>HYPERLINK("https://twitter.com/microblog_me_uk/status/1461362561945849856")</f>
        <v>https://twitter.com/microblog_me_uk/status/1461362561945849856</v>
      </c>
      <c r="AA283" s="82"/>
      <c r="AB283" s="82"/>
      <c r="AC283" s="87" t="s">
        <v>1680</v>
      </c>
      <c r="AD283" s="82"/>
      <c r="AE283" s="82" t="b">
        <v>0</v>
      </c>
      <c r="AF283" s="82">
        <v>2</v>
      </c>
      <c r="AG283" s="87" t="s">
        <v>1815</v>
      </c>
      <c r="AH283" s="82" t="b">
        <v>0</v>
      </c>
      <c r="AI283" s="82" t="s">
        <v>1826</v>
      </c>
      <c r="AJ283" s="82"/>
      <c r="AK283" s="87" t="s">
        <v>1815</v>
      </c>
      <c r="AL283" s="82" t="b">
        <v>0</v>
      </c>
      <c r="AM283" s="82">
        <v>1</v>
      </c>
      <c r="AN283" s="87" t="s">
        <v>1815</v>
      </c>
      <c r="AO283" s="87" t="s">
        <v>1853</v>
      </c>
      <c r="AP283" s="82" t="b">
        <v>0</v>
      </c>
      <c r="AQ283" s="87" t="s">
        <v>1680</v>
      </c>
      <c r="AR283" s="82"/>
      <c r="AS283" s="82">
        <v>0</v>
      </c>
      <c r="AT283" s="82">
        <v>0</v>
      </c>
      <c r="AU283" s="82"/>
      <c r="AV283" s="82"/>
      <c r="AW283" s="82"/>
      <c r="AX283" s="82"/>
      <c r="AY283" s="82"/>
      <c r="AZ283" s="82"/>
      <c r="BA283" s="82"/>
      <c r="BB283" s="82"/>
      <c r="BC283">
        <v>38</v>
      </c>
      <c r="BD283" s="81" t="str">
        <f>REPLACE(INDEX(GroupVertices[Group],MATCH(Edges[[#This Row],[Vertex 1]],GroupVertices[Vertex],0)),1,1,"")</f>
        <v>4</v>
      </c>
      <c r="BE283" s="81" t="str">
        <f>REPLACE(INDEX(GroupVertices[Group],MATCH(Edges[[#This Row],[Vertex 2]],GroupVertices[Vertex],0)),1,1,"")</f>
        <v>4</v>
      </c>
      <c r="BF283" s="49">
        <v>1</v>
      </c>
      <c r="BG283" s="50">
        <v>5.2631578947368425</v>
      </c>
      <c r="BH283" s="49">
        <v>0</v>
      </c>
      <c r="BI283" s="50">
        <v>0</v>
      </c>
      <c r="BJ283" s="49">
        <v>0</v>
      </c>
      <c r="BK283" s="50">
        <v>0</v>
      </c>
      <c r="BL283" s="49">
        <v>18</v>
      </c>
      <c r="BM283" s="50">
        <v>94.73684210526316</v>
      </c>
      <c r="BN283" s="49">
        <v>19</v>
      </c>
    </row>
    <row r="284" spans="1:66" ht="15">
      <c r="A284" s="66" t="s">
        <v>385</v>
      </c>
      <c r="B284" s="66" t="s">
        <v>504</v>
      </c>
      <c r="C284" s="67" t="s">
        <v>4511</v>
      </c>
      <c r="D284" s="68">
        <v>5.545454545454545</v>
      </c>
      <c r="E284" s="69" t="s">
        <v>136</v>
      </c>
      <c r="F284" s="70">
        <v>29.18918918918919</v>
      </c>
      <c r="G284" s="67"/>
      <c r="H284" s="71"/>
      <c r="I284" s="72"/>
      <c r="J284" s="72"/>
      <c r="K284" s="35" t="s">
        <v>65</v>
      </c>
      <c r="L284" s="80">
        <v>284</v>
      </c>
      <c r="M284" s="80"/>
      <c r="N284" s="74"/>
      <c r="O284" s="82" t="s">
        <v>528</v>
      </c>
      <c r="P284" s="84">
        <v>44518.64513888889</v>
      </c>
      <c r="Q284" s="82" t="s">
        <v>764</v>
      </c>
      <c r="R284" s="82"/>
      <c r="S284" s="82"/>
      <c r="T284" s="87" t="s">
        <v>1058</v>
      </c>
      <c r="U284" s="82"/>
      <c r="V284" s="85" t="str">
        <f>HYPERLINK("https://pbs.twimg.com/profile_images/1058719862040784896/zm0I75Iz_normal.jpg")</f>
        <v>https://pbs.twimg.com/profile_images/1058719862040784896/zm0I75Iz_normal.jpg</v>
      </c>
      <c r="W284" s="84">
        <v>44518.64513888889</v>
      </c>
      <c r="X284" s="90">
        <v>44518</v>
      </c>
      <c r="Y284" s="87" t="s">
        <v>1344</v>
      </c>
      <c r="Z284" s="85" t="str">
        <f>HYPERLINK("https://twitter.com/microblog_me_uk/status/1461355767177441289")</f>
        <v>https://twitter.com/microblog_me_uk/status/1461355767177441289</v>
      </c>
      <c r="AA284" s="82"/>
      <c r="AB284" s="82"/>
      <c r="AC284" s="87" t="s">
        <v>1681</v>
      </c>
      <c r="AD284" s="82"/>
      <c r="AE284" s="82" t="b">
        <v>0</v>
      </c>
      <c r="AF284" s="82">
        <v>0</v>
      </c>
      <c r="AG284" s="87" t="s">
        <v>1815</v>
      </c>
      <c r="AH284" s="82" t="b">
        <v>0</v>
      </c>
      <c r="AI284" s="82" t="s">
        <v>1826</v>
      </c>
      <c r="AJ284" s="82"/>
      <c r="AK284" s="87" t="s">
        <v>1815</v>
      </c>
      <c r="AL284" s="82" t="b">
        <v>0</v>
      </c>
      <c r="AM284" s="82">
        <v>0</v>
      </c>
      <c r="AN284" s="87" t="s">
        <v>1815</v>
      </c>
      <c r="AO284" s="87" t="s">
        <v>1853</v>
      </c>
      <c r="AP284" s="82" t="b">
        <v>0</v>
      </c>
      <c r="AQ284" s="87" t="s">
        <v>1681</v>
      </c>
      <c r="AR284" s="82"/>
      <c r="AS284" s="82">
        <v>0</v>
      </c>
      <c r="AT284" s="82">
        <v>0</v>
      </c>
      <c r="AU284" s="82"/>
      <c r="AV284" s="82"/>
      <c r="AW284" s="82"/>
      <c r="AX284" s="82"/>
      <c r="AY284" s="82"/>
      <c r="AZ284" s="82"/>
      <c r="BA284" s="82"/>
      <c r="BB284" s="82"/>
      <c r="BC284">
        <v>5</v>
      </c>
      <c r="BD284" s="81" t="str">
        <f>REPLACE(INDEX(GroupVertices[Group],MATCH(Edges[[#This Row],[Vertex 1]],GroupVertices[Vertex],0)),1,1,"")</f>
        <v>4</v>
      </c>
      <c r="BE284" s="81" t="str">
        <f>REPLACE(INDEX(GroupVertices[Group],MATCH(Edges[[#This Row],[Vertex 2]],GroupVertices[Vertex],0)),1,1,"")</f>
        <v>2</v>
      </c>
      <c r="BF284" s="49">
        <v>1</v>
      </c>
      <c r="BG284" s="50">
        <v>2.857142857142857</v>
      </c>
      <c r="BH284" s="49">
        <v>2</v>
      </c>
      <c r="BI284" s="50">
        <v>5.714285714285714</v>
      </c>
      <c r="BJ284" s="49">
        <v>0</v>
      </c>
      <c r="BK284" s="50">
        <v>0</v>
      </c>
      <c r="BL284" s="49">
        <v>32</v>
      </c>
      <c r="BM284" s="50">
        <v>91.42857142857143</v>
      </c>
      <c r="BN284" s="49">
        <v>35</v>
      </c>
    </row>
    <row r="285" spans="1:66" ht="15">
      <c r="A285" s="66" t="s">
        <v>385</v>
      </c>
      <c r="B285" s="66" t="s">
        <v>385</v>
      </c>
      <c r="C285" s="67" t="s">
        <v>4516</v>
      </c>
      <c r="D285" s="68">
        <v>10</v>
      </c>
      <c r="E285" s="69" t="s">
        <v>136</v>
      </c>
      <c r="F285" s="70">
        <v>6</v>
      </c>
      <c r="G285" s="67"/>
      <c r="H285" s="71"/>
      <c r="I285" s="72"/>
      <c r="J285" s="72"/>
      <c r="K285" s="35" t="s">
        <v>65</v>
      </c>
      <c r="L285" s="80">
        <v>285</v>
      </c>
      <c r="M285" s="80"/>
      <c r="N285" s="74"/>
      <c r="O285" s="82" t="s">
        <v>214</v>
      </c>
      <c r="P285" s="84">
        <v>44518.6375</v>
      </c>
      <c r="Q285" s="82" t="s">
        <v>765</v>
      </c>
      <c r="R285" s="85" t="str">
        <f>HYPERLINK("https://www.gov.uk/government/publications/antimicrobial-stewardship-start-smart-then-focus")</f>
        <v>https://www.gov.uk/government/publications/antimicrobial-stewardship-start-smart-then-focus</v>
      </c>
      <c r="S285" s="82" t="s">
        <v>909</v>
      </c>
      <c r="T285" s="87" t="s">
        <v>1058</v>
      </c>
      <c r="U285" s="82"/>
      <c r="V285" s="85" t="str">
        <f>HYPERLINK("https://pbs.twimg.com/profile_images/1058719862040784896/zm0I75Iz_normal.jpg")</f>
        <v>https://pbs.twimg.com/profile_images/1058719862040784896/zm0I75Iz_normal.jpg</v>
      </c>
      <c r="W285" s="84">
        <v>44518.6375</v>
      </c>
      <c r="X285" s="90">
        <v>44518</v>
      </c>
      <c r="Y285" s="87" t="s">
        <v>1345</v>
      </c>
      <c r="Z285" s="85" t="str">
        <f>HYPERLINK("https://twitter.com/microblog_me_uk/status/1461352999108841479")</f>
        <v>https://twitter.com/microblog_me_uk/status/1461352999108841479</v>
      </c>
      <c r="AA285" s="82"/>
      <c r="AB285" s="82"/>
      <c r="AC285" s="87" t="s">
        <v>1682</v>
      </c>
      <c r="AD285" s="82"/>
      <c r="AE285" s="82" t="b">
        <v>0</v>
      </c>
      <c r="AF285" s="82">
        <v>0</v>
      </c>
      <c r="AG285" s="87" t="s">
        <v>1815</v>
      </c>
      <c r="AH285" s="82" t="b">
        <v>0</v>
      </c>
      <c r="AI285" s="82" t="s">
        <v>1826</v>
      </c>
      <c r="AJ285" s="82"/>
      <c r="AK285" s="87" t="s">
        <v>1815</v>
      </c>
      <c r="AL285" s="82" t="b">
        <v>0</v>
      </c>
      <c r="AM285" s="82">
        <v>0</v>
      </c>
      <c r="AN285" s="87" t="s">
        <v>1815</v>
      </c>
      <c r="AO285" s="87" t="s">
        <v>1853</v>
      </c>
      <c r="AP285" s="82" t="b">
        <v>0</v>
      </c>
      <c r="AQ285" s="87" t="s">
        <v>1682</v>
      </c>
      <c r="AR285" s="82"/>
      <c r="AS285" s="82">
        <v>0</v>
      </c>
      <c r="AT285" s="82">
        <v>0</v>
      </c>
      <c r="AU285" s="82"/>
      <c r="AV285" s="82"/>
      <c r="AW285" s="82"/>
      <c r="AX285" s="82"/>
      <c r="AY285" s="82"/>
      <c r="AZ285" s="82"/>
      <c r="BA285" s="82"/>
      <c r="BB285" s="82"/>
      <c r="BC285">
        <v>38</v>
      </c>
      <c r="BD285" s="81" t="str">
        <f>REPLACE(INDEX(GroupVertices[Group],MATCH(Edges[[#This Row],[Vertex 1]],GroupVertices[Vertex],0)),1,1,"")</f>
        <v>4</v>
      </c>
      <c r="BE285" s="81" t="str">
        <f>REPLACE(INDEX(GroupVertices[Group],MATCH(Edges[[#This Row],[Vertex 2]],GroupVertices[Vertex],0)),1,1,"")</f>
        <v>4</v>
      </c>
      <c r="BF285" s="49">
        <v>1</v>
      </c>
      <c r="BG285" s="50">
        <v>6.25</v>
      </c>
      <c r="BH285" s="49">
        <v>0</v>
      </c>
      <c r="BI285" s="50">
        <v>0</v>
      </c>
      <c r="BJ285" s="49">
        <v>0</v>
      </c>
      <c r="BK285" s="50">
        <v>0</v>
      </c>
      <c r="BL285" s="49">
        <v>15</v>
      </c>
      <c r="BM285" s="50">
        <v>93.75</v>
      </c>
      <c r="BN285" s="49">
        <v>16</v>
      </c>
    </row>
    <row r="286" spans="1:66" ht="15">
      <c r="A286" s="66" t="s">
        <v>385</v>
      </c>
      <c r="B286" s="66" t="s">
        <v>385</v>
      </c>
      <c r="C286" s="67" t="s">
        <v>4516</v>
      </c>
      <c r="D286" s="68">
        <v>10</v>
      </c>
      <c r="E286" s="69" t="s">
        <v>136</v>
      </c>
      <c r="F286" s="70">
        <v>6</v>
      </c>
      <c r="G286" s="67"/>
      <c r="H286" s="71"/>
      <c r="I286" s="72"/>
      <c r="J286" s="72"/>
      <c r="K286" s="35" t="s">
        <v>65</v>
      </c>
      <c r="L286" s="80">
        <v>286</v>
      </c>
      <c r="M286" s="80"/>
      <c r="N286" s="74"/>
      <c r="O286" s="82" t="s">
        <v>214</v>
      </c>
      <c r="P286" s="84">
        <v>44518.629166666666</v>
      </c>
      <c r="Q286" s="82" t="s">
        <v>766</v>
      </c>
      <c r="R286" s="82" t="s">
        <v>898</v>
      </c>
      <c r="S286" s="82" t="s">
        <v>936</v>
      </c>
      <c r="T286" s="87" t="s">
        <v>1058</v>
      </c>
      <c r="U286" s="82"/>
      <c r="V286" s="85" t="str">
        <f>HYPERLINK("https://pbs.twimg.com/profile_images/1058719862040784896/zm0I75Iz_normal.jpg")</f>
        <v>https://pbs.twimg.com/profile_images/1058719862040784896/zm0I75Iz_normal.jpg</v>
      </c>
      <c r="W286" s="84">
        <v>44518.629166666666</v>
      </c>
      <c r="X286" s="90">
        <v>44518</v>
      </c>
      <c r="Y286" s="87" t="s">
        <v>1346</v>
      </c>
      <c r="Z286" s="85" t="str">
        <f>HYPERLINK("https://twitter.com/microblog_me_uk/status/1461349979075883008")</f>
        <v>https://twitter.com/microblog_me_uk/status/1461349979075883008</v>
      </c>
      <c r="AA286" s="82"/>
      <c r="AB286" s="82"/>
      <c r="AC286" s="87" t="s">
        <v>1683</v>
      </c>
      <c r="AD286" s="82"/>
      <c r="AE286" s="82" t="b">
        <v>0</v>
      </c>
      <c r="AF286" s="82">
        <v>1</v>
      </c>
      <c r="AG286" s="87" t="s">
        <v>1815</v>
      </c>
      <c r="AH286" s="82" t="b">
        <v>0</v>
      </c>
      <c r="AI286" s="82" t="s">
        <v>1826</v>
      </c>
      <c r="AJ286" s="82"/>
      <c r="AK286" s="87" t="s">
        <v>1815</v>
      </c>
      <c r="AL286" s="82" t="b">
        <v>0</v>
      </c>
      <c r="AM286" s="82">
        <v>0</v>
      </c>
      <c r="AN286" s="87" t="s">
        <v>1815</v>
      </c>
      <c r="AO286" s="87" t="s">
        <v>1853</v>
      </c>
      <c r="AP286" s="82" t="b">
        <v>0</v>
      </c>
      <c r="AQ286" s="87" t="s">
        <v>1683</v>
      </c>
      <c r="AR286" s="82"/>
      <c r="AS286" s="82">
        <v>0</v>
      </c>
      <c r="AT286" s="82">
        <v>0</v>
      </c>
      <c r="AU286" s="82"/>
      <c r="AV286" s="82"/>
      <c r="AW286" s="82"/>
      <c r="AX286" s="82"/>
      <c r="AY286" s="82"/>
      <c r="AZ286" s="82"/>
      <c r="BA286" s="82"/>
      <c r="BB286" s="82"/>
      <c r="BC286">
        <v>38</v>
      </c>
      <c r="BD286" s="81" t="str">
        <f>REPLACE(INDEX(GroupVertices[Group],MATCH(Edges[[#This Row],[Vertex 1]],GroupVertices[Vertex],0)),1,1,"")</f>
        <v>4</v>
      </c>
      <c r="BE286" s="81" t="str">
        <f>REPLACE(INDEX(GroupVertices[Group],MATCH(Edges[[#This Row],[Vertex 2]],GroupVertices[Vertex],0)),1,1,"")</f>
        <v>4</v>
      </c>
      <c r="BF286" s="49">
        <v>1</v>
      </c>
      <c r="BG286" s="50">
        <v>4.3478260869565215</v>
      </c>
      <c r="BH286" s="49">
        <v>0</v>
      </c>
      <c r="BI286" s="50">
        <v>0</v>
      </c>
      <c r="BJ286" s="49">
        <v>0</v>
      </c>
      <c r="BK286" s="50">
        <v>0</v>
      </c>
      <c r="BL286" s="49">
        <v>22</v>
      </c>
      <c r="BM286" s="50">
        <v>95.65217391304348</v>
      </c>
      <c r="BN286" s="49">
        <v>23</v>
      </c>
    </row>
    <row r="287" spans="1:66" ht="15">
      <c r="A287" s="66" t="s">
        <v>385</v>
      </c>
      <c r="B287" s="66" t="s">
        <v>385</v>
      </c>
      <c r="C287" s="67" t="s">
        <v>4516</v>
      </c>
      <c r="D287" s="68">
        <v>10</v>
      </c>
      <c r="E287" s="69" t="s">
        <v>136</v>
      </c>
      <c r="F287" s="70">
        <v>6</v>
      </c>
      <c r="G287" s="67"/>
      <c r="H287" s="71"/>
      <c r="I287" s="72"/>
      <c r="J287" s="72"/>
      <c r="K287" s="35" t="s">
        <v>65</v>
      </c>
      <c r="L287" s="80">
        <v>287</v>
      </c>
      <c r="M287" s="80"/>
      <c r="N287" s="74"/>
      <c r="O287" s="82" t="s">
        <v>214</v>
      </c>
      <c r="P287" s="84">
        <v>44518.646527777775</v>
      </c>
      <c r="Q287" s="82" t="s">
        <v>767</v>
      </c>
      <c r="R287" s="82"/>
      <c r="S287" s="82"/>
      <c r="T287" s="87" t="s">
        <v>1054</v>
      </c>
      <c r="U287" s="82"/>
      <c r="V287" s="85" t="str">
        <f>HYPERLINK("https://pbs.twimg.com/profile_images/1058719862040784896/zm0I75Iz_normal.jpg")</f>
        <v>https://pbs.twimg.com/profile_images/1058719862040784896/zm0I75Iz_normal.jpg</v>
      </c>
      <c r="W287" s="84">
        <v>44518.646527777775</v>
      </c>
      <c r="X287" s="90">
        <v>44518</v>
      </c>
      <c r="Y287" s="87" t="s">
        <v>1347</v>
      </c>
      <c r="Z287" s="85" t="str">
        <f>HYPERLINK("https://twitter.com/microblog_me_uk/status/1461356271232176129")</f>
        <v>https://twitter.com/microblog_me_uk/status/1461356271232176129</v>
      </c>
      <c r="AA287" s="82"/>
      <c r="AB287" s="82"/>
      <c r="AC287" s="87" t="s">
        <v>1684</v>
      </c>
      <c r="AD287" s="82"/>
      <c r="AE287" s="82" t="b">
        <v>0</v>
      </c>
      <c r="AF287" s="82">
        <v>0</v>
      </c>
      <c r="AG287" s="87" t="s">
        <v>1815</v>
      </c>
      <c r="AH287" s="82" t="b">
        <v>0</v>
      </c>
      <c r="AI287" s="82" t="s">
        <v>1826</v>
      </c>
      <c r="AJ287" s="82"/>
      <c r="AK287" s="87" t="s">
        <v>1815</v>
      </c>
      <c r="AL287" s="82" t="b">
        <v>0</v>
      </c>
      <c r="AM287" s="82">
        <v>0</v>
      </c>
      <c r="AN287" s="87" t="s">
        <v>1815</v>
      </c>
      <c r="AO287" s="87" t="s">
        <v>1853</v>
      </c>
      <c r="AP287" s="82" t="b">
        <v>0</v>
      </c>
      <c r="AQ287" s="87" t="s">
        <v>1684</v>
      </c>
      <c r="AR287" s="82"/>
      <c r="AS287" s="82">
        <v>0</v>
      </c>
      <c r="AT287" s="82">
        <v>0</v>
      </c>
      <c r="AU287" s="82"/>
      <c r="AV287" s="82"/>
      <c r="AW287" s="82"/>
      <c r="AX287" s="82"/>
      <c r="AY287" s="82"/>
      <c r="AZ287" s="82"/>
      <c r="BA287" s="82"/>
      <c r="BB287" s="82"/>
      <c r="BC287">
        <v>38</v>
      </c>
      <c r="BD287" s="81" t="str">
        <f>REPLACE(INDEX(GroupVertices[Group],MATCH(Edges[[#This Row],[Vertex 1]],GroupVertices[Vertex],0)),1,1,"")</f>
        <v>4</v>
      </c>
      <c r="BE287" s="81" t="str">
        <f>REPLACE(INDEX(GroupVertices[Group],MATCH(Edges[[#This Row],[Vertex 2]],GroupVertices[Vertex],0)),1,1,"")</f>
        <v>4</v>
      </c>
      <c r="BF287" s="49">
        <v>3</v>
      </c>
      <c r="BG287" s="50">
        <v>12.5</v>
      </c>
      <c r="BH287" s="49">
        <v>1</v>
      </c>
      <c r="BI287" s="50">
        <v>4.166666666666667</v>
      </c>
      <c r="BJ287" s="49">
        <v>0</v>
      </c>
      <c r="BK287" s="50">
        <v>0</v>
      </c>
      <c r="BL287" s="49">
        <v>20</v>
      </c>
      <c r="BM287" s="50">
        <v>83.33333333333333</v>
      </c>
      <c r="BN287" s="49">
        <v>24</v>
      </c>
    </row>
    <row r="288" spans="1:66" ht="15">
      <c r="A288" s="66" t="s">
        <v>385</v>
      </c>
      <c r="B288" s="66" t="s">
        <v>385</v>
      </c>
      <c r="C288" s="67" t="s">
        <v>4516</v>
      </c>
      <c r="D288" s="68">
        <v>10</v>
      </c>
      <c r="E288" s="69" t="s">
        <v>136</v>
      </c>
      <c r="F288" s="70">
        <v>6</v>
      </c>
      <c r="G288" s="67"/>
      <c r="H288" s="71"/>
      <c r="I288" s="72"/>
      <c r="J288" s="72"/>
      <c r="K288" s="35" t="s">
        <v>65</v>
      </c>
      <c r="L288" s="80">
        <v>288</v>
      </c>
      <c r="M288" s="80"/>
      <c r="N288" s="74"/>
      <c r="O288" s="82" t="s">
        <v>214</v>
      </c>
      <c r="P288" s="84">
        <v>44518.64027777778</v>
      </c>
      <c r="Q288" s="82" t="s">
        <v>768</v>
      </c>
      <c r="R288" s="82"/>
      <c r="S288" s="82"/>
      <c r="T288" s="87" t="s">
        <v>1066</v>
      </c>
      <c r="U288" s="85" t="str">
        <f>HYPERLINK("https://pbs.twimg.com/media/FEbQZMZWYAIe0r6.jpg")</f>
        <v>https://pbs.twimg.com/media/FEbQZMZWYAIe0r6.jpg</v>
      </c>
      <c r="V288" s="85" t="str">
        <f>HYPERLINK("https://pbs.twimg.com/media/FEbQZMZWYAIe0r6.jpg")</f>
        <v>https://pbs.twimg.com/media/FEbQZMZWYAIe0r6.jpg</v>
      </c>
      <c r="W288" s="84">
        <v>44518.64027777778</v>
      </c>
      <c r="X288" s="90">
        <v>44518</v>
      </c>
      <c r="Y288" s="87" t="s">
        <v>1348</v>
      </c>
      <c r="Z288" s="85" t="str">
        <f>HYPERLINK("https://twitter.com/microblog_me_uk/status/1461354006110900231")</f>
        <v>https://twitter.com/microblog_me_uk/status/1461354006110900231</v>
      </c>
      <c r="AA288" s="82"/>
      <c r="AB288" s="82"/>
      <c r="AC288" s="87" t="s">
        <v>1685</v>
      </c>
      <c r="AD288" s="82"/>
      <c r="AE288" s="82" t="b">
        <v>0</v>
      </c>
      <c r="AF288" s="82">
        <v>11</v>
      </c>
      <c r="AG288" s="87" t="s">
        <v>1815</v>
      </c>
      <c r="AH288" s="82" t="b">
        <v>0</v>
      </c>
      <c r="AI288" s="82" t="s">
        <v>1826</v>
      </c>
      <c r="AJ288" s="82"/>
      <c r="AK288" s="87" t="s">
        <v>1815</v>
      </c>
      <c r="AL288" s="82" t="b">
        <v>0</v>
      </c>
      <c r="AM288" s="82">
        <v>5</v>
      </c>
      <c r="AN288" s="87" t="s">
        <v>1815</v>
      </c>
      <c r="AO288" s="87" t="s">
        <v>1853</v>
      </c>
      <c r="AP288" s="82" t="b">
        <v>0</v>
      </c>
      <c r="AQ288" s="87" t="s">
        <v>1685</v>
      </c>
      <c r="AR288" s="82"/>
      <c r="AS288" s="82">
        <v>0</v>
      </c>
      <c r="AT288" s="82">
        <v>0</v>
      </c>
      <c r="AU288" s="82"/>
      <c r="AV288" s="82"/>
      <c r="AW288" s="82"/>
      <c r="AX288" s="82"/>
      <c r="AY288" s="82"/>
      <c r="AZ288" s="82"/>
      <c r="BA288" s="82"/>
      <c r="BB288" s="82"/>
      <c r="BC288">
        <v>38</v>
      </c>
      <c r="BD288" s="81" t="str">
        <f>REPLACE(INDEX(GroupVertices[Group],MATCH(Edges[[#This Row],[Vertex 1]],GroupVertices[Vertex],0)),1,1,"")</f>
        <v>4</v>
      </c>
      <c r="BE288" s="81" t="str">
        <f>REPLACE(INDEX(GroupVertices[Group],MATCH(Edges[[#This Row],[Vertex 2]],GroupVertices[Vertex],0)),1,1,"")</f>
        <v>4</v>
      </c>
      <c r="BF288" s="49">
        <v>1</v>
      </c>
      <c r="BG288" s="50">
        <v>9.090909090909092</v>
      </c>
      <c r="BH288" s="49">
        <v>0</v>
      </c>
      <c r="BI288" s="50">
        <v>0</v>
      </c>
      <c r="BJ288" s="49">
        <v>0</v>
      </c>
      <c r="BK288" s="50">
        <v>0</v>
      </c>
      <c r="BL288" s="49">
        <v>10</v>
      </c>
      <c r="BM288" s="50">
        <v>90.9090909090909</v>
      </c>
      <c r="BN288" s="49">
        <v>11</v>
      </c>
    </row>
    <row r="289" spans="1:66" ht="15">
      <c r="A289" s="66" t="s">
        <v>385</v>
      </c>
      <c r="B289" s="66" t="s">
        <v>430</v>
      </c>
      <c r="C289" s="67" t="s">
        <v>4509</v>
      </c>
      <c r="D289" s="68">
        <v>3</v>
      </c>
      <c r="E289" s="69" t="s">
        <v>132</v>
      </c>
      <c r="F289" s="70">
        <v>32</v>
      </c>
      <c r="G289" s="67"/>
      <c r="H289" s="71"/>
      <c r="I289" s="72"/>
      <c r="J289" s="72"/>
      <c r="K289" s="35" t="s">
        <v>65</v>
      </c>
      <c r="L289" s="80">
        <v>289</v>
      </c>
      <c r="M289" s="80"/>
      <c r="N289" s="74"/>
      <c r="O289" s="82" t="s">
        <v>528</v>
      </c>
      <c r="P289" s="84">
        <v>44518.62708333333</v>
      </c>
      <c r="Q289" s="82" t="s">
        <v>734</v>
      </c>
      <c r="R289" s="85" t="str">
        <f>HYPERLINK("https://assets.publishing.service.gov.uk/government/uploads/system/uploads/attachment_data/file/1033851/espaur-report-2020-to-2021-16-Nov.pdf")</f>
        <v>https://assets.publishing.service.gov.uk/government/uploads/system/uploads/attachment_data/file/1033851/espaur-report-2020-to-2021-16-Nov.pdf</v>
      </c>
      <c r="S289" s="82" t="s">
        <v>909</v>
      </c>
      <c r="T289" s="87" t="s">
        <v>1057</v>
      </c>
      <c r="U289" s="82"/>
      <c r="V289" s="85" t="str">
        <f>HYPERLINK("https://pbs.twimg.com/profile_images/1058719862040784896/zm0I75Iz_normal.jpg")</f>
        <v>https://pbs.twimg.com/profile_images/1058719862040784896/zm0I75Iz_normal.jpg</v>
      </c>
      <c r="W289" s="84">
        <v>44518.62708333333</v>
      </c>
      <c r="X289" s="90">
        <v>44518</v>
      </c>
      <c r="Y289" s="87" t="s">
        <v>1319</v>
      </c>
      <c r="Z289" s="85" t="str">
        <f>HYPERLINK("https://twitter.com/microblog_me_uk/status/1461349224952467462")</f>
        <v>https://twitter.com/microblog_me_uk/status/1461349224952467462</v>
      </c>
      <c r="AA289" s="82"/>
      <c r="AB289" s="82"/>
      <c r="AC289" s="87" t="s">
        <v>1651</v>
      </c>
      <c r="AD289" s="82"/>
      <c r="AE289" s="82" t="b">
        <v>0</v>
      </c>
      <c r="AF289" s="82">
        <v>2</v>
      </c>
      <c r="AG289" s="87" t="s">
        <v>1815</v>
      </c>
      <c r="AH289" s="82" t="b">
        <v>0</v>
      </c>
      <c r="AI289" s="82" t="s">
        <v>1826</v>
      </c>
      <c r="AJ289" s="82"/>
      <c r="AK289" s="87" t="s">
        <v>1815</v>
      </c>
      <c r="AL289" s="82" t="b">
        <v>0</v>
      </c>
      <c r="AM289" s="82">
        <v>0</v>
      </c>
      <c r="AN289" s="87" t="s">
        <v>1815</v>
      </c>
      <c r="AO289" s="87" t="s">
        <v>1853</v>
      </c>
      <c r="AP289" s="82" t="b">
        <v>0</v>
      </c>
      <c r="AQ289" s="87" t="s">
        <v>1651</v>
      </c>
      <c r="AR289" s="82"/>
      <c r="AS289" s="82">
        <v>0</v>
      </c>
      <c r="AT289" s="82">
        <v>0</v>
      </c>
      <c r="AU289" s="82"/>
      <c r="AV289" s="82"/>
      <c r="AW289" s="82"/>
      <c r="AX289" s="82"/>
      <c r="AY289" s="82"/>
      <c r="AZ289" s="82"/>
      <c r="BA289" s="82"/>
      <c r="BB289" s="82"/>
      <c r="BC289">
        <v>1</v>
      </c>
      <c r="BD289" s="81" t="str">
        <f>REPLACE(INDEX(GroupVertices[Group],MATCH(Edges[[#This Row],[Vertex 1]],GroupVertices[Vertex],0)),1,1,"")</f>
        <v>4</v>
      </c>
      <c r="BE289" s="81" t="str">
        <f>REPLACE(INDEX(GroupVertices[Group],MATCH(Edges[[#This Row],[Vertex 2]],GroupVertices[Vertex],0)),1,1,"")</f>
        <v>2</v>
      </c>
      <c r="BF289" s="49"/>
      <c r="BG289" s="50"/>
      <c r="BH289" s="49"/>
      <c r="BI289" s="50"/>
      <c r="BJ289" s="49"/>
      <c r="BK289" s="50"/>
      <c r="BL289" s="49"/>
      <c r="BM289" s="50"/>
      <c r="BN289" s="49"/>
    </row>
    <row r="290" spans="1:66" ht="15">
      <c r="A290" s="66" t="s">
        <v>385</v>
      </c>
      <c r="B290" s="66" t="s">
        <v>504</v>
      </c>
      <c r="C290" s="67" t="s">
        <v>4511</v>
      </c>
      <c r="D290" s="68">
        <v>5.545454545454545</v>
      </c>
      <c r="E290" s="69" t="s">
        <v>136</v>
      </c>
      <c r="F290" s="70">
        <v>29.18918918918919</v>
      </c>
      <c r="G290" s="67"/>
      <c r="H290" s="71"/>
      <c r="I290" s="72"/>
      <c r="J290" s="72"/>
      <c r="K290" s="35" t="s">
        <v>65</v>
      </c>
      <c r="L290" s="80">
        <v>290</v>
      </c>
      <c r="M290" s="80"/>
      <c r="N290" s="74"/>
      <c r="O290" s="82" t="s">
        <v>528</v>
      </c>
      <c r="P290" s="84">
        <v>44518.645833333336</v>
      </c>
      <c r="Q290" s="82" t="s">
        <v>769</v>
      </c>
      <c r="R290" s="85" t="str">
        <f>HYPERLINK("https://www.youtube.com/watch?v=-ZX97bIbZBQ&amp;feature=youtu.be")</f>
        <v>https://www.youtube.com/watch?v=-ZX97bIbZBQ&amp;feature=youtu.be</v>
      </c>
      <c r="S290" s="82" t="s">
        <v>912</v>
      </c>
      <c r="T290" s="87" t="s">
        <v>1066</v>
      </c>
      <c r="U290" s="82"/>
      <c r="V290" s="85" t="str">
        <f>HYPERLINK("https://pbs.twimg.com/profile_images/1058719862040784896/zm0I75Iz_normal.jpg")</f>
        <v>https://pbs.twimg.com/profile_images/1058719862040784896/zm0I75Iz_normal.jpg</v>
      </c>
      <c r="W290" s="84">
        <v>44518.645833333336</v>
      </c>
      <c r="X290" s="90">
        <v>44518</v>
      </c>
      <c r="Y290" s="87" t="s">
        <v>1291</v>
      </c>
      <c r="Z290" s="85" t="str">
        <f>HYPERLINK("https://twitter.com/microblog_me_uk/status/1461356019016163328")</f>
        <v>https://twitter.com/microblog_me_uk/status/1461356019016163328</v>
      </c>
      <c r="AA290" s="82"/>
      <c r="AB290" s="82"/>
      <c r="AC290" s="87" t="s">
        <v>1686</v>
      </c>
      <c r="AD290" s="82"/>
      <c r="AE290" s="82" t="b">
        <v>0</v>
      </c>
      <c r="AF290" s="82">
        <v>0</v>
      </c>
      <c r="AG290" s="87" t="s">
        <v>1815</v>
      </c>
      <c r="AH290" s="82" t="b">
        <v>0</v>
      </c>
      <c r="AI290" s="82" t="s">
        <v>1826</v>
      </c>
      <c r="AJ290" s="82"/>
      <c r="AK290" s="87" t="s">
        <v>1815</v>
      </c>
      <c r="AL290" s="82" t="b">
        <v>0</v>
      </c>
      <c r="AM290" s="82">
        <v>0</v>
      </c>
      <c r="AN290" s="87" t="s">
        <v>1815</v>
      </c>
      <c r="AO290" s="87" t="s">
        <v>1853</v>
      </c>
      <c r="AP290" s="82" t="b">
        <v>0</v>
      </c>
      <c r="AQ290" s="87" t="s">
        <v>1686</v>
      </c>
      <c r="AR290" s="82"/>
      <c r="AS290" s="82">
        <v>0</v>
      </c>
      <c r="AT290" s="82">
        <v>0</v>
      </c>
      <c r="AU290" s="82"/>
      <c r="AV290" s="82"/>
      <c r="AW290" s="82"/>
      <c r="AX290" s="82"/>
      <c r="AY290" s="82"/>
      <c r="AZ290" s="82"/>
      <c r="BA290" s="82"/>
      <c r="BB290" s="82"/>
      <c r="BC290">
        <v>5</v>
      </c>
      <c r="BD290" s="81" t="str">
        <f>REPLACE(INDEX(GroupVertices[Group],MATCH(Edges[[#This Row],[Vertex 1]],GroupVertices[Vertex],0)),1,1,"")</f>
        <v>4</v>
      </c>
      <c r="BE290" s="81" t="str">
        <f>REPLACE(INDEX(GroupVertices[Group],MATCH(Edges[[#This Row],[Vertex 2]],GroupVertices[Vertex],0)),1,1,"")</f>
        <v>2</v>
      </c>
      <c r="BF290" s="49">
        <v>0</v>
      </c>
      <c r="BG290" s="50">
        <v>0</v>
      </c>
      <c r="BH290" s="49">
        <v>0</v>
      </c>
      <c r="BI290" s="50">
        <v>0</v>
      </c>
      <c r="BJ290" s="49">
        <v>0</v>
      </c>
      <c r="BK290" s="50">
        <v>0</v>
      </c>
      <c r="BL290" s="49">
        <v>11</v>
      </c>
      <c r="BM290" s="50">
        <v>100</v>
      </c>
      <c r="BN290" s="49">
        <v>11</v>
      </c>
    </row>
    <row r="291" spans="1:66" ht="15">
      <c r="A291" s="66" t="s">
        <v>385</v>
      </c>
      <c r="B291" s="66" t="s">
        <v>385</v>
      </c>
      <c r="C291" s="67" t="s">
        <v>4516</v>
      </c>
      <c r="D291" s="68">
        <v>10</v>
      </c>
      <c r="E291" s="69" t="s">
        <v>136</v>
      </c>
      <c r="F291" s="70">
        <v>6</v>
      </c>
      <c r="G291" s="67"/>
      <c r="H291" s="71"/>
      <c r="I291" s="72"/>
      <c r="J291" s="72"/>
      <c r="K291" s="35" t="s">
        <v>65</v>
      </c>
      <c r="L291" s="80">
        <v>291</v>
      </c>
      <c r="M291" s="80"/>
      <c r="N291" s="74"/>
      <c r="O291" s="82" t="s">
        <v>214</v>
      </c>
      <c r="P291" s="84">
        <v>44518.64791666667</v>
      </c>
      <c r="Q291" s="82" t="s">
        <v>770</v>
      </c>
      <c r="R291" s="82"/>
      <c r="S291" s="82"/>
      <c r="T291" s="87" t="s">
        <v>1054</v>
      </c>
      <c r="U291" s="82"/>
      <c r="V291" s="85" t="str">
        <f>HYPERLINK("https://pbs.twimg.com/profile_images/1058719862040784896/zm0I75Iz_normal.jpg")</f>
        <v>https://pbs.twimg.com/profile_images/1058719862040784896/zm0I75Iz_normal.jpg</v>
      </c>
      <c r="W291" s="84">
        <v>44518.64791666667</v>
      </c>
      <c r="X291" s="90">
        <v>44518</v>
      </c>
      <c r="Y291" s="87" t="s">
        <v>1349</v>
      </c>
      <c r="Z291" s="85" t="str">
        <f>HYPERLINK("https://twitter.com/microblog_me_uk/status/1461356774003462144")</f>
        <v>https://twitter.com/microblog_me_uk/status/1461356774003462144</v>
      </c>
      <c r="AA291" s="82"/>
      <c r="AB291" s="82"/>
      <c r="AC291" s="87" t="s">
        <v>1687</v>
      </c>
      <c r="AD291" s="82"/>
      <c r="AE291" s="82" t="b">
        <v>0</v>
      </c>
      <c r="AF291" s="82">
        <v>1</v>
      </c>
      <c r="AG291" s="87" t="s">
        <v>1815</v>
      </c>
      <c r="AH291" s="82" t="b">
        <v>0</v>
      </c>
      <c r="AI291" s="82" t="s">
        <v>1826</v>
      </c>
      <c r="AJ291" s="82"/>
      <c r="AK291" s="87" t="s">
        <v>1815</v>
      </c>
      <c r="AL291" s="82" t="b">
        <v>0</v>
      </c>
      <c r="AM291" s="82">
        <v>0</v>
      </c>
      <c r="AN291" s="87" t="s">
        <v>1815</v>
      </c>
      <c r="AO291" s="87" t="s">
        <v>1853</v>
      </c>
      <c r="AP291" s="82" t="b">
        <v>0</v>
      </c>
      <c r="AQ291" s="87" t="s">
        <v>1687</v>
      </c>
      <c r="AR291" s="82"/>
      <c r="AS291" s="82">
        <v>0</v>
      </c>
      <c r="AT291" s="82">
        <v>0</v>
      </c>
      <c r="AU291" s="82"/>
      <c r="AV291" s="82"/>
      <c r="AW291" s="82"/>
      <c r="AX291" s="82"/>
      <c r="AY291" s="82"/>
      <c r="AZ291" s="82"/>
      <c r="BA291" s="82"/>
      <c r="BB291" s="82"/>
      <c r="BC291">
        <v>38</v>
      </c>
      <c r="BD291" s="81" t="str">
        <f>REPLACE(INDEX(GroupVertices[Group],MATCH(Edges[[#This Row],[Vertex 1]],GroupVertices[Vertex],0)),1,1,"")</f>
        <v>4</v>
      </c>
      <c r="BE291" s="81" t="str">
        <f>REPLACE(INDEX(GroupVertices[Group],MATCH(Edges[[#This Row],[Vertex 2]],GroupVertices[Vertex],0)),1,1,"")</f>
        <v>4</v>
      </c>
      <c r="BF291" s="49">
        <v>1</v>
      </c>
      <c r="BG291" s="50">
        <v>3.7037037037037037</v>
      </c>
      <c r="BH291" s="49">
        <v>0</v>
      </c>
      <c r="BI291" s="50">
        <v>0</v>
      </c>
      <c r="BJ291" s="49">
        <v>0</v>
      </c>
      <c r="BK291" s="50">
        <v>0</v>
      </c>
      <c r="BL291" s="49">
        <v>26</v>
      </c>
      <c r="BM291" s="50">
        <v>96.29629629629629</v>
      </c>
      <c r="BN291" s="49">
        <v>27</v>
      </c>
    </row>
    <row r="292" spans="1:66" ht="15">
      <c r="A292" s="66" t="s">
        <v>385</v>
      </c>
      <c r="B292" s="66" t="s">
        <v>385</v>
      </c>
      <c r="C292" s="67" t="s">
        <v>4516</v>
      </c>
      <c r="D292" s="68">
        <v>10</v>
      </c>
      <c r="E292" s="69" t="s">
        <v>136</v>
      </c>
      <c r="F292" s="70">
        <v>6</v>
      </c>
      <c r="G292" s="67"/>
      <c r="H292" s="71"/>
      <c r="I292" s="72"/>
      <c r="J292" s="72"/>
      <c r="K292" s="35" t="s">
        <v>65</v>
      </c>
      <c r="L292" s="80">
        <v>292</v>
      </c>
      <c r="M292" s="80"/>
      <c r="N292" s="74"/>
      <c r="O292" s="82" t="s">
        <v>214</v>
      </c>
      <c r="P292" s="84">
        <v>44518.63263888889</v>
      </c>
      <c r="Q292" s="82" t="s">
        <v>771</v>
      </c>
      <c r="R292" s="82"/>
      <c r="S292" s="82"/>
      <c r="T292" s="87" t="s">
        <v>1066</v>
      </c>
      <c r="U292" s="82"/>
      <c r="V292" s="85" t="str">
        <f>HYPERLINK("https://pbs.twimg.com/profile_images/1058719862040784896/zm0I75Iz_normal.jpg")</f>
        <v>https://pbs.twimg.com/profile_images/1058719862040784896/zm0I75Iz_normal.jpg</v>
      </c>
      <c r="W292" s="84">
        <v>44518.63263888889</v>
      </c>
      <c r="X292" s="90">
        <v>44518</v>
      </c>
      <c r="Y292" s="87" t="s">
        <v>1350</v>
      </c>
      <c r="Z292" s="85" t="str">
        <f>HYPERLINK("https://twitter.com/microblog_me_uk/status/1461351237442580480")</f>
        <v>https://twitter.com/microblog_me_uk/status/1461351237442580480</v>
      </c>
      <c r="AA292" s="82"/>
      <c r="AB292" s="82"/>
      <c r="AC292" s="87" t="s">
        <v>1688</v>
      </c>
      <c r="AD292" s="82"/>
      <c r="AE292" s="82" t="b">
        <v>0</v>
      </c>
      <c r="AF292" s="82">
        <v>6</v>
      </c>
      <c r="AG292" s="87" t="s">
        <v>1815</v>
      </c>
      <c r="AH292" s="82" t="b">
        <v>0</v>
      </c>
      <c r="AI292" s="82" t="s">
        <v>1826</v>
      </c>
      <c r="AJ292" s="82"/>
      <c r="AK292" s="87" t="s">
        <v>1815</v>
      </c>
      <c r="AL292" s="82" t="b">
        <v>0</v>
      </c>
      <c r="AM292" s="82">
        <v>1</v>
      </c>
      <c r="AN292" s="87" t="s">
        <v>1815</v>
      </c>
      <c r="AO292" s="87" t="s">
        <v>1853</v>
      </c>
      <c r="AP292" s="82" t="b">
        <v>0</v>
      </c>
      <c r="AQ292" s="87" t="s">
        <v>1688</v>
      </c>
      <c r="AR292" s="82"/>
      <c r="AS292" s="82">
        <v>0</v>
      </c>
      <c r="AT292" s="82">
        <v>0</v>
      </c>
      <c r="AU292" s="82"/>
      <c r="AV292" s="82"/>
      <c r="AW292" s="82"/>
      <c r="AX292" s="82"/>
      <c r="AY292" s="82"/>
      <c r="AZ292" s="82"/>
      <c r="BA292" s="82"/>
      <c r="BB292" s="82"/>
      <c r="BC292">
        <v>38</v>
      </c>
      <c r="BD292" s="81" t="str">
        <f>REPLACE(INDEX(GroupVertices[Group],MATCH(Edges[[#This Row],[Vertex 1]],GroupVertices[Vertex],0)),1,1,"")</f>
        <v>4</v>
      </c>
      <c r="BE292" s="81" t="str">
        <f>REPLACE(INDEX(GroupVertices[Group],MATCH(Edges[[#This Row],[Vertex 2]],GroupVertices[Vertex],0)),1,1,"")</f>
        <v>4</v>
      </c>
      <c r="BF292" s="49">
        <v>1</v>
      </c>
      <c r="BG292" s="50">
        <v>3.5714285714285716</v>
      </c>
      <c r="BH292" s="49">
        <v>0</v>
      </c>
      <c r="BI292" s="50">
        <v>0</v>
      </c>
      <c r="BJ292" s="49">
        <v>0</v>
      </c>
      <c r="BK292" s="50">
        <v>0</v>
      </c>
      <c r="BL292" s="49">
        <v>27</v>
      </c>
      <c r="BM292" s="50">
        <v>96.42857142857143</v>
      </c>
      <c r="BN292" s="49">
        <v>28</v>
      </c>
    </row>
    <row r="293" spans="1:66" ht="15">
      <c r="A293" s="66" t="s">
        <v>385</v>
      </c>
      <c r="B293" s="66" t="s">
        <v>385</v>
      </c>
      <c r="C293" s="67" t="s">
        <v>4516</v>
      </c>
      <c r="D293" s="68">
        <v>10</v>
      </c>
      <c r="E293" s="69" t="s">
        <v>136</v>
      </c>
      <c r="F293" s="70">
        <v>6</v>
      </c>
      <c r="G293" s="67"/>
      <c r="H293" s="71"/>
      <c r="I293" s="72"/>
      <c r="J293" s="72"/>
      <c r="K293" s="35" t="s">
        <v>65</v>
      </c>
      <c r="L293" s="80">
        <v>293</v>
      </c>
      <c r="M293" s="80"/>
      <c r="N293" s="74"/>
      <c r="O293" s="82" t="s">
        <v>214</v>
      </c>
      <c r="P293" s="84">
        <v>44518.626388888886</v>
      </c>
      <c r="Q293" s="82" t="s">
        <v>772</v>
      </c>
      <c r="R293" s="82"/>
      <c r="S293" s="82"/>
      <c r="T293" s="87" t="s">
        <v>1058</v>
      </c>
      <c r="U293" s="82"/>
      <c r="V293" s="85" t="str">
        <f>HYPERLINK("https://pbs.twimg.com/profile_images/1058719862040784896/zm0I75Iz_normal.jpg")</f>
        <v>https://pbs.twimg.com/profile_images/1058719862040784896/zm0I75Iz_normal.jpg</v>
      </c>
      <c r="W293" s="84">
        <v>44518.626388888886</v>
      </c>
      <c r="X293" s="90">
        <v>44518</v>
      </c>
      <c r="Y293" s="87" t="s">
        <v>1351</v>
      </c>
      <c r="Z293" s="85" t="str">
        <f>HYPERLINK("https://twitter.com/microblog_me_uk/status/1461348972887375889")</f>
        <v>https://twitter.com/microblog_me_uk/status/1461348972887375889</v>
      </c>
      <c r="AA293" s="82"/>
      <c r="AB293" s="82"/>
      <c r="AC293" s="87" t="s">
        <v>1689</v>
      </c>
      <c r="AD293" s="82"/>
      <c r="AE293" s="82" t="b">
        <v>0</v>
      </c>
      <c r="AF293" s="82">
        <v>1</v>
      </c>
      <c r="AG293" s="87" t="s">
        <v>1815</v>
      </c>
      <c r="AH293" s="82" t="b">
        <v>0</v>
      </c>
      <c r="AI293" s="82" t="s">
        <v>1826</v>
      </c>
      <c r="AJ293" s="82"/>
      <c r="AK293" s="87" t="s">
        <v>1815</v>
      </c>
      <c r="AL293" s="82" t="b">
        <v>0</v>
      </c>
      <c r="AM293" s="82">
        <v>0</v>
      </c>
      <c r="AN293" s="87" t="s">
        <v>1815</v>
      </c>
      <c r="AO293" s="87" t="s">
        <v>1853</v>
      </c>
      <c r="AP293" s="82" t="b">
        <v>0</v>
      </c>
      <c r="AQ293" s="87" t="s">
        <v>1689</v>
      </c>
      <c r="AR293" s="82"/>
      <c r="AS293" s="82">
        <v>0</v>
      </c>
      <c r="AT293" s="82">
        <v>0</v>
      </c>
      <c r="AU293" s="82"/>
      <c r="AV293" s="82"/>
      <c r="AW293" s="82"/>
      <c r="AX293" s="82"/>
      <c r="AY293" s="82"/>
      <c r="AZ293" s="82"/>
      <c r="BA293" s="82"/>
      <c r="BB293" s="82"/>
      <c r="BC293">
        <v>38</v>
      </c>
      <c r="BD293" s="81" t="str">
        <f>REPLACE(INDEX(GroupVertices[Group],MATCH(Edges[[#This Row],[Vertex 1]],GroupVertices[Vertex],0)),1,1,"")</f>
        <v>4</v>
      </c>
      <c r="BE293" s="81" t="str">
        <f>REPLACE(INDEX(GroupVertices[Group],MATCH(Edges[[#This Row],[Vertex 2]],GroupVertices[Vertex],0)),1,1,"")</f>
        <v>4</v>
      </c>
      <c r="BF293" s="49">
        <v>2</v>
      </c>
      <c r="BG293" s="50">
        <v>5.2631578947368425</v>
      </c>
      <c r="BH293" s="49">
        <v>0</v>
      </c>
      <c r="BI293" s="50">
        <v>0</v>
      </c>
      <c r="BJ293" s="49">
        <v>0</v>
      </c>
      <c r="BK293" s="50">
        <v>0</v>
      </c>
      <c r="BL293" s="49">
        <v>36</v>
      </c>
      <c r="BM293" s="50">
        <v>94.73684210526316</v>
      </c>
      <c r="BN293" s="49">
        <v>38</v>
      </c>
    </row>
    <row r="294" spans="1:66" ht="15">
      <c r="A294" s="66" t="s">
        <v>385</v>
      </c>
      <c r="B294" s="66" t="s">
        <v>385</v>
      </c>
      <c r="C294" s="67" t="s">
        <v>4516</v>
      </c>
      <c r="D294" s="68">
        <v>10</v>
      </c>
      <c r="E294" s="69" t="s">
        <v>136</v>
      </c>
      <c r="F294" s="70">
        <v>6</v>
      </c>
      <c r="G294" s="67"/>
      <c r="H294" s="71"/>
      <c r="I294" s="72"/>
      <c r="J294" s="72"/>
      <c r="K294" s="35" t="s">
        <v>65</v>
      </c>
      <c r="L294" s="80">
        <v>294</v>
      </c>
      <c r="M294" s="80"/>
      <c r="N294" s="74"/>
      <c r="O294" s="82" t="s">
        <v>214</v>
      </c>
      <c r="P294" s="84">
        <v>44518.634722222225</v>
      </c>
      <c r="Q294" s="82" t="s">
        <v>773</v>
      </c>
      <c r="R294" s="85" t="str">
        <f>HYPERLINK("https://secure.jbs.elsevierhealth.com/action/getSharedSiteSession?redirect=https%3A%2F%2Fwww.thelancet.com%2Fjournals%2Flancet%2Farticle%2FPIIS0140-6736%2812%2960192-5%2Ffulltext&amp;rc=0")</f>
        <v>https://secure.jbs.elsevierhealth.com/action/getSharedSiteSession?redirect=https%3A%2F%2Fwww.thelancet.com%2Fjournals%2Flancet%2Farticle%2FPIIS0140-6736%2812%2960192-5%2Ffulltext&amp;rc=0</v>
      </c>
      <c r="S294" s="82" t="s">
        <v>937</v>
      </c>
      <c r="T294" s="87" t="s">
        <v>1066</v>
      </c>
      <c r="U294" s="82"/>
      <c r="V294" s="85" t="str">
        <f>HYPERLINK("https://pbs.twimg.com/profile_images/1058719862040784896/zm0I75Iz_normal.jpg")</f>
        <v>https://pbs.twimg.com/profile_images/1058719862040784896/zm0I75Iz_normal.jpg</v>
      </c>
      <c r="W294" s="84">
        <v>44518.634722222225</v>
      </c>
      <c r="X294" s="90">
        <v>44518</v>
      </c>
      <c r="Y294" s="87" t="s">
        <v>1352</v>
      </c>
      <c r="Z294" s="85" t="str">
        <f>HYPERLINK("https://twitter.com/microblog_me_uk/status/1461351992387727368")</f>
        <v>https://twitter.com/microblog_me_uk/status/1461351992387727368</v>
      </c>
      <c r="AA294" s="82"/>
      <c r="AB294" s="82"/>
      <c r="AC294" s="87" t="s">
        <v>1690</v>
      </c>
      <c r="AD294" s="82"/>
      <c r="AE294" s="82" t="b">
        <v>0</v>
      </c>
      <c r="AF294" s="82">
        <v>0</v>
      </c>
      <c r="AG294" s="87" t="s">
        <v>1815</v>
      </c>
      <c r="AH294" s="82" t="b">
        <v>0</v>
      </c>
      <c r="AI294" s="82" t="s">
        <v>1826</v>
      </c>
      <c r="AJ294" s="82"/>
      <c r="AK294" s="87" t="s">
        <v>1815</v>
      </c>
      <c r="AL294" s="82" t="b">
        <v>0</v>
      </c>
      <c r="AM294" s="82">
        <v>0</v>
      </c>
      <c r="AN294" s="87" t="s">
        <v>1815</v>
      </c>
      <c r="AO294" s="87" t="s">
        <v>1853</v>
      </c>
      <c r="AP294" s="82" t="b">
        <v>0</v>
      </c>
      <c r="AQ294" s="87" t="s">
        <v>1690</v>
      </c>
      <c r="AR294" s="82"/>
      <c r="AS294" s="82">
        <v>0</v>
      </c>
      <c r="AT294" s="82">
        <v>0</v>
      </c>
      <c r="AU294" s="82"/>
      <c r="AV294" s="82"/>
      <c r="AW294" s="82"/>
      <c r="AX294" s="82"/>
      <c r="AY294" s="82"/>
      <c r="AZ294" s="82"/>
      <c r="BA294" s="82"/>
      <c r="BB294" s="82"/>
      <c r="BC294">
        <v>38</v>
      </c>
      <c r="BD294" s="81" t="str">
        <f>REPLACE(INDEX(GroupVertices[Group],MATCH(Edges[[#This Row],[Vertex 1]],GroupVertices[Vertex],0)),1,1,"")</f>
        <v>4</v>
      </c>
      <c r="BE294" s="81" t="str">
        <f>REPLACE(INDEX(GroupVertices[Group],MATCH(Edges[[#This Row],[Vertex 2]],GroupVertices[Vertex],0)),1,1,"")</f>
        <v>4</v>
      </c>
      <c r="BF294" s="49">
        <v>0</v>
      </c>
      <c r="BG294" s="50">
        <v>0</v>
      </c>
      <c r="BH294" s="49">
        <v>1</v>
      </c>
      <c r="BI294" s="50">
        <v>5.882352941176471</v>
      </c>
      <c r="BJ294" s="49">
        <v>0</v>
      </c>
      <c r="BK294" s="50">
        <v>0</v>
      </c>
      <c r="BL294" s="49">
        <v>16</v>
      </c>
      <c r="BM294" s="50">
        <v>94.11764705882354</v>
      </c>
      <c r="BN294" s="49">
        <v>17</v>
      </c>
    </row>
    <row r="295" spans="1:66" ht="15">
      <c r="A295" s="66" t="s">
        <v>385</v>
      </c>
      <c r="B295" s="66" t="s">
        <v>504</v>
      </c>
      <c r="C295" s="67" t="s">
        <v>4511</v>
      </c>
      <c r="D295" s="68">
        <v>5.545454545454545</v>
      </c>
      <c r="E295" s="69" t="s">
        <v>136</v>
      </c>
      <c r="F295" s="70">
        <v>29.18918918918919</v>
      </c>
      <c r="G295" s="67"/>
      <c r="H295" s="71"/>
      <c r="I295" s="72"/>
      <c r="J295" s="72"/>
      <c r="K295" s="35" t="s">
        <v>65</v>
      </c>
      <c r="L295" s="80">
        <v>295</v>
      </c>
      <c r="M295" s="80"/>
      <c r="N295" s="74"/>
      <c r="O295" s="82" t="s">
        <v>528</v>
      </c>
      <c r="P295" s="84">
        <v>44518.643055555556</v>
      </c>
      <c r="Q295" s="82" t="s">
        <v>774</v>
      </c>
      <c r="R295" s="82"/>
      <c r="S295" s="82"/>
      <c r="T295" s="87" t="s">
        <v>1066</v>
      </c>
      <c r="U295" s="82"/>
      <c r="V295" s="85" t="str">
        <f>HYPERLINK("https://pbs.twimg.com/profile_images/1058719862040784896/zm0I75Iz_normal.jpg")</f>
        <v>https://pbs.twimg.com/profile_images/1058719862040784896/zm0I75Iz_normal.jpg</v>
      </c>
      <c r="W295" s="84">
        <v>44518.643055555556</v>
      </c>
      <c r="X295" s="90">
        <v>44518</v>
      </c>
      <c r="Y295" s="87" t="s">
        <v>1353</v>
      </c>
      <c r="Z295" s="85" t="str">
        <f>HYPERLINK("https://twitter.com/microblog_me_uk/status/1461355012186066944")</f>
        <v>https://twitter.com/microblog_me_uk/status/1461355012186066944</v>
      </c>
      <c r="AA295" s="82"/>
      <c r="AB295" s="82"/>
      <c r="AC295" s="87" t="s">
        <v>1691</v>
      </c>
      <c r="AD295" s="82"/>
      <c r="AE295" s="82" t="b">
        <v>0</v>
      </c>
      <c r="AF295" s="82">
        <v>0</v>
      </c>
      <c r="AG295" s="87" t="s">
        <v>1815</v>
      </c>
      <c r="AH295" s="82" t="b">
        <v>0</v>
      </c>
      <c r="AI295" s="82" t="s">
        <v>1826</v>
      </c>
      <c r="AJ295" s="82"/>
      <c r="AK295" s="87" t="s">
        <v>1815</v>
      </c>
      <c r="AL295" s="82" t="b">
        <v>0</v>
      </c>
      <c r="AM295" s="82">
        <v>0</v>
      </c>
      <c r="AN295" s="87" t="s">
        <v>1815</v>
      </c>
      <c r="AO295" s="87" t="s">
        <v>1853</v>
      </c>
      <c r="AP295" s="82" t="b">
        <v>0</v>
      </c>
      <c r="AQ295" s="87" t="s">
        <v>1691</v>
      </c>
      <c r="AR295" s="82"/>
      <c r="AS295" s="82">
        <v>0</v>
      </c>
      <c r="AT295" s="82">
        <v>0</v>
      </c>
      <c r="AU295" s="82"/>
      <c r="AV295" s="82"/>
      <c r="AW295" s="82"/>
      <c r="AX295" s="82"/>
      <c r="AY295" s="82"/>
      <c r="AZ295" s="82"/>
      <c r="BA295" s="82"/>
      <c r="BB295" s="82"/>
      <c r="BC295">
        <v>5</v>
      </c>
      <c r="BD295" s="81" t="str">
        <f>REPLACE(INDEX(GroupVertices[Group],MATCH(Edges[[#This Row],[Vertex 1]],GroupVertices[Vertex],0)),1,1,"")</f>
        <v>4</v>
      </c>
      <c r="BE295" s="81" t="str">
        <f>REPLACE(INDEX(GroupVertices[Group],MATCH(Edges[[#This Row],[Vertex 2]],GroupVertices[Vertex],0)),1,1,"")</f>
        <v>2</v>
      </c>
      <c r="BF295" s="49">
        <v>0</v>
      </c>
      <c r="BG295" s="50">
        <v>0</v>
      </c>
      <c r="BH295" s="49">
        <v>1</v>
      </c>
      <c r="BI295" s="50">
        <v>2.5641025641025643</v>
      </c>
      <c r="BJ295" s="49">
        <v>0</v>
      </c>
      <c r="BK295" s="50">
        <v>0</v>
      </c>
      <c r="BL295" s="49">
        <v>38</v>
      </c>
      <c r="BM295" s="50">
        <v>97.43589743589743</v>
      </c>
      <c r="BN295" s="49">
        <v>39</v>
      </c>
    </row>
    <row r="296" spans="1:66" ht="15">
      <c r="A296" s="66" t="s">
        <v>385</v>
      </c>
      <c r="B296" s="66" t="s">
        <v>385</v>
      </c>
      <c r="C296" s="67" t="s">
        <v>4516</v>
      </c>
      <c r="D296" s="68">
        <v>10</v>
      </c>
      <c r="E296" s="69" t="s">
        <v>136</v>
      </c>
      <c r="F296" s="70">
        <v>6</v>
      </c>
      <c r="G296" s="67"/>
      <c r="H296" s="71"/>
      <c r="I296" s="72"/>
      <c r="J296" s="72"/>
      <c r="K296" s="35" t="s">
        <v>65</v>
      </c>
      <c r="L296" s="80">
        <v>296</v>
      </c>
      <c r="M296" s="80"/>
      <c r="N296" s="74"/>
      <c r="O296" s="82" t="s">
        <v>214</v>
      </c>
      <c r="P296" s="84">
        <v>44518.63611111111</v>
      </c>
      <c r="Q296" s="82" t="s">
        <v>775</v>
      </c>
      <c r="R296" s="85" t="str">
        <f>HYPERLINK("https://twitter.com/MicrobLog_me_uk/status/1064116004094136320?s=20")</f>
        <v>https://twitter.com/MicrobLog_me_uk/status/1064116004094136320?s=20</v>
      </c>
      <c r="S296" s="82" t="s">
        <v>914</v>
      </c>
      <c r="T296" s="87" t="s">
        <v>1066</v>
      </c>
      <c r="U296" s="82"/>
      <c r="V296" s="85" t="str">
        <f>HYPERLINK("https://pbs.twimg.com/profile_images/1058719862040784896/zm0I75Iz_normal.jpg")</f>
        <v>https://pbs.twimg.com/profile_images/1058719862040784896/zm0I75Iz_normal.jpg</v>
      </c>
      <c r="W296" s="84">
        <v>44518.63611111111</v>
      </c>
      <c r="X296" s="90">
        <v>44518</v>
      </c>
      <c r="Y296" s="87" t="s">
        <v>1354</v>
      </c>
      <c r="Z296" s="85" t="str">
        <f>HYPERLINK("https://twitter.com/microblog_me_uk/status/1461352496064991241")</f>
        <v>https://twitter.com/microblog_me_uk/status/1461352496064991241</v>
      </c>
      <c r="AA296" s="82"/>
      <c r="AB296" s="82"/>
      <c r="AC296" s="87" t="s">
        <v>1692</v>
      </c>
      <c r="AD296" s="82"/>
      <c r="AE296" s="82" t="b">
        <v>0</v>
      </c>
      <c r="AF296" s="82">
        <v>2</v>
      </c>
      <c r="AG296" s="87" t="s">
        <v>1815</v>
      </c>
      <c r="AH296" s="82" t="b">
        <v>1</v>
      </c>
      <c r="AI296" s="82" t="s">
        <v>1826</v>
      </c>
      <c r="AJ296" s="82"/>
      <c r="AK296" s="87" t="s">
        <v>1844</v>
      </c>
      <c r="AL296" s="82" t="b">
        <v>0</v>
      </c>
      <c r="AM296" s="82">
        <v>0</v>
      </c>
      <c r="AN296" s="87" t="s">
        <v>1815</v>
      </c>
      <c r="AO296" s="87" t="s">
        <v>1853</v>
      </c>
      <c r="AP296" s="82" t="b">
        <v>0</v>
      </c>
      <c r="AQ296" s="87" t="s">
        <v>1692</v>
      </c>
      <c r="AR296" s="82"/>
      <c r="AS296" s="82">
        <v>0</v>
      </c>
      <c r="AT296" s="82">
        <v>0</v>
      </c>
      <c r="AU296" s="82"/>
      <c r="AV296" s="82"/>
      <c r="AW296" s="82"/>
      <c r="AX296" s="82"/>
      <c r="AY296" s="82"/>
      <c r="AZ296" s="82"/>
      <c r="BA296" s="82"/>
      <c r="BB296" s="82"/>
      <c r="BC296">
        <v>38</v>
      </c>
      <c r="BD296" s="81" t="str">
        <f>REPLACE(INDEX(GroupVertices[Group],MATCH(Edges[[#This Row],[Vertex 1]],GroupVertices[Vertex],0)),1,1,"")</f>
        <v>4</v>
      </c>
      <c r="BE296" s="81" t="str">
        <f>REPLACE(INDEX(GroupVertices[Group],MATCH(Edges[[#This Row],[Vertex 2]],GroupVertices[Vertex],0)),1,1,"")</f>
        <v>4</v>
      </c>
      <c r="BF296" s="49">
        <v>0</v>
      </c>
      <c r="BG296" s="50">
        <v>0</v>
      </c>
      <c r="BH296" s="49">
        <v>0</v>
      </c>
      <c r="BI296" s="50">
        <v>0</v>
      </c>
      <c r="BJ296" s="49">
        <v>0</v>
      </c>
      <c r="BK296" s="50">
        <v>0</v>
      </c>
      <c r="BL296" s="49">
        <v>10</v>
      </c>
      <c r="BM296" s="50">
        <v>100</v>
      </c>
      <c r="BN296" s="49">
        <v>10</v>
      </c>
    </row>
    <row r="297" spans="1:66" ht="15">
      <c r="A297" s="66" t="s">
        <v>385</v>
      </c>
      <c r="B297" s="66" t="s">
        <v>385</v>
      </c>
      <c r="C297" s="67" t="s">
        <v>4516</v>
      </c>
      <c r="D297" s="68">
        <v>10</v>
      </c>
      <c r="E297" s="69" t="s">
        <v>136</v>
      </c>
      <c r="F297" s="70">
        <v>6</v>
      </c>
      <c r="G297" s="67"/>
      <c r="H297" s="71"/>
      <c r="I297" s="72"/>
      <c r="J297" s="72"/>
      <c r="K297" s="35" t="s">
        <v>65</v>
      </c>
      <c r="L297" s="80">
        <v>297</v>
      </c>
      <c r="M297" s="80"/>
      <c r="N297" s="74"/>
      <c r="O297" s="82" t="s">
        <v>214</v>
      </c>
      <c r="P297" s="84">
        <v>44518.63958333333</v>
      </c>
      <c r="Q297" s="82" t="s">
        <v>776</v>
      </c>
      <c r="R297" s="85" t="str">
        <f>HYPERLINK("https://www.routledge.com/Kucers-The-Use-of-Antibiotics-A-Clinical-Review-of-Antibacterial-Antifungal/Grayson-Cosgrove-Crowe-Hope-McCarthy-Mills-Mouton-Paterson/p/book/9781498747950")</f>
        <v>https://www.routledge.com/Kucers-The-Use-of-Antibiotics-A-Clinical-Review-of-Antibacterial-Antifungal/Grayson-Cosgrove-Crowe-Hope-McCarthy-Mills-Mouton-Paterson/p/book/9781498747950</v>
      </c>
      <c r="S297" s="82" t="s">
        <v>938</v>
      </c>
      <c r="T297" s="87" t="s">
        <v>1066</v>
      </c>
      <c r="U297" s="82"/>
      <c r="V297" s="85" t="str">
        <f>HYPERLINK("https://pbs.twimg.com/profile_images/1058719862040784896/zm0I75Iz_normal.jpg")</f>
        <v>https://pbs.twimg.com/profile_images/1058719862040784896/zm0I75Iz_normal.jpg</v>
      </c>
      <c r="W297" s="84">
        <v>44518.63958333333</v>
      </c>
      <c r="X297" s="90">
        <v>44518</v>
      </c>
      <c r="Y297" s="87" t="s">
        <v>1355</v>
      </c>
      <c r="Z297" s="85" t="str">
        <f>HYPERLINK("https://twitter.com/microblog_me_uk/status/1461353753903304704")</f>
        <v>https://twitter.com/microblog_me_uk/status/1461353753903304704</v>
      </c>
      <c r="AA297" s="82"/>
      <c r="AB297" s="82"/>
      <c r="AC297" s="87" t="s">
        <v>1693</v>
      </c>
      <c r="AD297" s="82"/>
      <c r="AE297" s="82" t="b">
        <v>0</v>
      </c>
      <c r="AF297" s="82">
        <v>1</v>
      </c>
      <c r="AG297" s="87" t="s">
        <v>1815</v>
      </c>
      <c r="AH297" s="82" t="b">
        <v>0</v>
      </c>
      <c r="AI297" s="82" t="s">
        <v>1826</v>
      </c>
      <c r="AJ297" s="82"/>
      <c r="AK297" s="87" t="s">
        <v>1815</v>
      </c>
      <c r="AL297" s="82" t="b">
        <v>0</v>
      </c>
      <c r="AM297" s="82">
        <v>0</v>
      </c>
      <c r="AN297" s="87" t="s">
        <v>1815</v>
      </c>
      <c r="AO297" s="87" t="s">
        <v>1853</v>
      </c>
      <c r="AP297" s="82" t="b">
        <v>0</v>
      </c>
      <c r="AQ297" s="87" t="s">
        <v>1693</v>
      </c>
      <c r="AR297" s="82"/>
      <c r="AS297" s="82">
        <v>0</v>
      </c>
      <c r="AT297" s="82">
        <v>0</v>
      </c>
      <c r="AU297" s="82"/>
      <c r="AV297" s="82"/>
      <c r="AW297" s="82"/>
      <c r="AX297" s="82"/>
      <c r="AY297" s="82"/>
      <c r="AZ297" s="82"/>
      <c r="BA297" s="82"/>
      <c r="BB297" s="82"/>
      <c r="BC297">
        <v>38</v>
      </c>
      <c r="BD297" s="81" t="str">
        <f>REPLACE(INDEX(GroupVertices[Group],MATCH(Edges[[#This Row],[Vertex 1]],GroupVertices[Vertex],0)),1,1,"")</f>
        <v>4</v>
      </c>
      <c r="BE297" s="81" t="str">
        <f>REPLACE(INDEX(GroupVertices[Group],MATCH(Edges[[#This Row],[Vertex 2]],GroupVertices[Vertex],0)),1,1,"")</f>
        <v>4</v>
      </c>
      <c r="BF297" s="49">
        <v>1</v>
      </c>
      <c r="BG297" s="50">
        <v>4.166666666666667</v>
      </c>
      <c r="BH297" s="49">
        <v>0</v>
      </c>
      <c r="BI297" s="50">
        <v>0</v>
      </c>
      <c r="BJ297" s="49">
        <v>0</v>
      </c>
      <c r="BK297" s="50">
        <v>0</v>
      </c>
      <c r="BL297" s="49">
        <v>23</v>
      </c>
      <c r="BM297" s="50">
        <v>95.83333333333333</v>
      </c>
      <c r="BN297" s="49">
        <v>24</v>
      </c>
    </row>
    <row r="298" spans="1:66" ht="15">
      <c r="A298" s="66" t="s">
        <v>385</v>
      </c>
      <c r="B298" s="66" t="s">
        <v>385</v>
      </c>
      <c r="C298" s="67" t="s">
        <v>4516</v>
      </c>
      <c r="D298" s="68">
        <v>10</v>
      </c>
      <c r="E298" s="69" t="s">
        <v>136</v>
      </c>
      <c r="F298" s="70">
        <v>6</v>
      </c>
      <c r="G298" s="67"/>
      <c r="H298" s="71"/>
      <c r="I298" s="72"/>
      <c r="J298" s="72"/>
      <c r="K298" s="35" t="s">
        <v>65</v>
      </c>
      <c r="L298" s="80">
        <v>298</v>
      </c>
      <c r="M298" s="80"/>
      <c r="N298" s="74"/>
      <c r="O298" s="82" t="s">
        <v>214</v>
      </c>
      <c r="P298" s="84">
        <v>44518.62986111111</v>
      </c>
      <c r="Q298" s="82" t="s">
        <v>777</v>
      </c>
      <c r="R298" s="82" t="s">
        <v>899</v>
      </c>
      <c r="S298" s="82" t="s">
        <v>939</v>
      </c>
      <c r="T298" s="87" t="s">
        <v>1066</v>
      </c>
      <c r="U298" s="82"/>
      <c r="V298" s="85" t="str">
        <f>HYPERLINK("https://pbs.twimg.com/profile_images/1058719862040784896/zm0I75Iz_normal.jpg")</f>
        <v>https://pbs.twimg.com/profile_images/1058719862040784896/zm0I75Iz_normal.jpg</v>
      </c>
      <c r="W298" s="84">
        <v>44518.62986111111</v>
      </c>
      <c r="X298" s="90">
        <v>44518</v>
      </c>
      <c r="Y298" s="87" t="s">
        <v>1356</v>
      </c>
      <c r="Z298" s="85" t="str">
        <f>HYPERLINK("https://twitter.com/microblog_me_uk/status/1461350230755008512")</f>
        <v>https://twitter.com/microblog_me_uk/status/1461350230755008512</v>
      </c>
      <c r="AA298" s="82"/>
      <c r="AB298" s="82"/>
      <c r="AC298" s="87" t="s">
        <v>1694</v>
      </c>
      <c r="AD298" s="82"/>
      <c r="AE298" s="82" t="b">
        <v>0</v>
      </c>
      <c r="AF298" s="82">
        <v>2</v>
      </c>
      <c r="AG298" s="87" t="s">
        <v>1815</v>
      </c>
      <c r="AH298" s="82" t="b">
        <v>0</v>
      </c>
      <c r="AI298" s="82" t="s">
        <v>1826</v>
      </c>
      <c r="AJ298" s="82"/>
      <c r="AK298" s="87" t="s">
        <v>1815</v>
      </c>
      <c r="AL298" s="82" t="b">
        <v>0</v>
      </c>
      <c r="AM298" s="82">
        <v>0</v>
      </c>
      <c r="AN298" s="87" t="s">
        <v>1815</v>
      </c>
      <c r="AO298" s="87" t="s">
        <v>1853</v>
      </c>
      <c r="AP298" s="82" t="b">
        <v>0</v>
      </c>
      <c r="AQ298" s="87" t="s">
        <v>1694</v>
      </c>
      <c r="AR298" s="82"/>
      <c r="AS298" s="82">
        <v>0</v>
      </c>
      <c r="AT298" s="82">
        <v>0</v>
      </c>
      <c r="AU298" s="82"/>
      <c r="AV298" s="82"/>
      <c r="AW298" s="82"/>
      <c r="AX298" s="82"/>
      <c r="AY298" s="82"/>
      <c r="AZ298" s="82"/>
      <c r="BA298" s="82"/>
      <c r="BB298" s="82"/>
      <c r="BC298">
        <v>38</v>
      </c>
      <c r="BD298" s="81" t="str">
        <f>REPLACE(INDEX(GroupVertices[Group],MATCH(Edges[[#This Row],[Vertex 1]],GroupVertices[Vertex],0)),1,1,"")</f>
        <v>4</v>
      </c>
      <c r="BE298" s="81" t="str">
        <f>REPLACE(INDEX(GroupVertices[Group],MATCH(Edges[[#This Row],[Vertex 2]],GroupVertices[Vertex],0)),1,1,"")</f>
        <v>4</v>
      </c>
      <c r="BF298" s="49">
        <v>1</v>
      </c>
      <c r="BG298" s="50">
        <v>7.142857142857143</v>
      </c>
      <c r="BH298" s="49">
        <v>0</v>
      </c>
      <c r="BI298" s="50">
        <v>0</v>
      </c>
      <c r="BJ298" s="49">
        <v>0</v>
      </c>
      <c r="BK298" s="50">
        <v>0</v>
      </c>
      <c r="BL298" s="49">
        <v>13</v>
      </c>
      <c r="BM298" s="50">
        <v>92.85714285714286</v>
      </c>
      <c r="BN298" s="49">
        <v>14</v>
      </c>
    </row>
    <row r="299" spans="1:66" ht="15">
      <c r="A299" s="66" t="s">
        <v>385</v>
      </c>
      <c r="B299" s="66" t="s">
        <v>385</v>
      </c>
      <c r="C299" s="67" t="s">
        <v>4516</v>
      </c>
      <c r="D299" s="68">
        <v>10</v>
      </c>
      <c r="E299" s="69" t="s">
        <v>136</v>
      </c>
      <c r="F299" s="70">
        <v>6</v>
      </c>
      <c r="G299" s="67"/>
      <c r="H299" s="71"/>
      <c r="I299" s="72"/>
      <c r="J299" s="72"/>
      <c r="K299" s="35" t="s">
        <v>65</v>
      </c>
      <c r="L299" s="80">
        <v>299</v>
      </c>
      <c r="M299" s="80"/>
      <c r="N299" s="74"/>
      <c r="O299" s="82" t="s">
        <v>214</v>
      </c>
      <c r="P299" s="84">
        <v>44518.64861111111</v>
      </c>
      <c r="Q299" s="82" t="s">
        <v>778</v>
      </c>
      <c r="R299" s="82"/>
      <c r="S299" s="82"/>
      <c r="T299" s="87" t="s">
        <v>1054</v>
      </c>
      <c r="U299" s="82"/>
      <c r="V299" s="85" t="str">
        <f>HYPERLINK("https://pbs.twimg.com/profile_images/1058719862040784896/zm0I75Iz_normal.jpg")</f>
        <v>https://pbs.twimg.com/profile_images/1058719862040784896/zm0I75Iz_normal.jpg</v>
      </c>
      <c r="W299" s="84">
        <v>44518.64861111111</v>
      </c>
      <c r="X299" s="90">
        <v>44518</v>
      </c>
      <c r="Y299" s="87" t="s">
        <v>1357</v>
      </c>
      <c r="Z299" s="85" t="str">
        <f>HYPERLINK("https://twitter.com/microblog_me_uk/status/1461357025795788805")</f>
        <v>https://twitter.com/microblog_me_uk/status/1461357025795788805</v>
      </c>
      <c r="AA299" s="82"/>
      <c r="AB299" s="82"/>
      <c r="AC299" s="87" t="s">
        <v>1695</v>
      </c>
      <c r="AD299" s="82"/>
      <c r="AE299" s="82" t="b">
        <v>0</v>
      </c>
      <c r="AF299" s="82">
        <v>0</v>
      </c>
      <c r="AG299" s="87" t="s">
        <v>1815</v>
      </c>
      <c r="AH299" s="82" t="b">
        <v>0</v>
      </c>
      <c r="AI299" s="82" t="s">
        <v>1826</v>
      </c>
      <c r="AJ299" s="82"/>
      <c r="AK299" s="87" t="s">
        <v>1815</v>
      </c>
      <c r="AL299" s="82" t="b">
        <v>0</v>
      </c>
      <c r="AM299" s="82">
        <v>0</v>
      </c>
      <c r="AN299" s="87" t="s">
        <v>1815</v>
      </c>
      <c r="AO299" s="87" t="s">
        <v>1853</v>
      </c>
      <c r="AP299" s="82" t="b">
        <v>0</v>
      </c>
      <c r="AQ299" s="87" t="s">
        <v>1695</v>
      </c>
      <c r="AR299" s="82"/>
      <c r="AS299" s="82">
        <v>0</v>
      </c>
      <c r="AT299" s="82">
        <v>0</v>
      </c>
      <c r="AU299" s="82"/>
      <c r="AV299" s="82"/>
      <c r="AW299" s="82"/>
      <c r="AX299" s="82"/>
      <c r="AY299" s="82"/>
      <c r="AZ299" s="82"/>
      <c r="BA299" s="82"/>
      <c r="BB299" s="82"/>
      <c r="BC299">
        <v>38</v>
      </c>
      <c r="BD299" s="81" t="str">
        <f>REPLACE(INDEX(GroupVertices[Group],MATCH(Edges[[#This Row],[Vertex 1]],GroupVertices[Vertex],0)),1,1,"")</f>
        <v>4</v>
      </c>
      <c r="BE299" s="81" t="str">
        <f>REPLACE(INDEX(GroupVertices[Group],MATCH(Edges[[#This Row],[Vertex 2]],GroupVertices[Vertex],0)),1,1,"")</f>
        <v>4</v>
      </c>
      <c r="BF299" s="49">
        <v>2</v>
      </c>
      <c r="BG299" s="50">
        <v>7.6923076923076925</v>
      </c>
      <c r="BH299" s="49">
        <v>1</v>
      </c>
      <c r="BI299" s="50">
        <v>3.8461538461538463</v>
      </c>
      <c r="BJ299" s="49">
        <v>0</v>
      </c>
      <c r="BK299" s="50">
        <v>0</v>
      </c>
      <c r="BL299" s="49">
        <v>23</v>
      </c>
      <c r="BM299" s="50">
        <v>88.46153846153847</v>
      </c>
      <c r="BN299" s="49">
        <v>26</v>
      </c>
    </row>
    <row r="300" spans="1:66" ht="15">
      <c r="A300" s="66" t="s">
        <v>385</v>
      </c>
      <c r="B300" s="66" t="s">
        <v>385</v>
      </c>
      <c r="C300" s="67" t="s">
        <v>4516</v>
      </c>
      <c r="D300" s="68">
        <v>10</v>
      </c>
      <c r="E300" s="69" t="s">
        <v>136</v>
      </c>
      <c r="F300" s="70">
        <v>6</v>
      </c>
      <c r="G300" s="67"/>
      <c r="H300" s="71"/>
      <c r="I300" s="72"/>
      <c r="J300" s="72"/>
      <c r="K300" s="35" t="s">
        <v>65</v>
      </c>
      <c r="L300" s="80">
        <v>300</v>
      </c>
      <c r="M300" s="80"/>
      <c r="N300" s="74"/>
      <c r="O300" s="82" t="s">
        <v>214</v>
      </c>
      <c r="P300" s="84">
        <v>44518.635416666664</v>
      </c>
      <c r="Q300" s="82" t="s">
        <v>779</v>
      </c>
      <c r="R300" s="82"/>
      <c r="S300" s="82"/>
      <c r="T300" s="87" t="s">
        <v>1081</v>
      </c>
      <c r="U300" s="85" t="str">
        <f>HYPERLINK("https://pbs.twimg.com/media/FEbHM6NWQA4SoMK.jpg")</f>
        <v>https://pbs.twimg.com/media/FEbHM6NWQA4SoMK.jpg</v>
      </c>
      <c r="V300" s="85" t="str">
        <f>HYPERLINK("https://pbs.twimg.com/media/FEbHM6NWQA4SoMK.jpg")</f>
        <v>https://pbs.twimg.com/media/FEbHM6NWQA4SoMK.jpg</v>
      </c>
      <c r="W300" s="84">
        <v>44518.635416666664</v>
      </c>
      <c r="X300" s="90">
        <v>44518</v>
      </c>
      <c r="Y300" s="87" t="s">
        <v>1214</v>
      </c>
      <c r="Z300" s="85" t="str">
        <f>HYPERLINK("https://twitter.com/microblog_me_uk/status/1461352244352225291")</f>
        <v>https://twitter.com/microblog_me_uk/status/1461352244352225291</v>
      </c>
      <c r="AA300" s="82"/>
      <c r="AB300" s="82"/>
      <c r="AC300" s="87" t="s">
        <v>1696</v>
      </c>
      <c r="AD300" s="82"/>
      <c r="AE300" s="82" t="b">
        <v>0</v>
      </c>
      <c r="AF300" s="82">
        <v>0</v>
      </c>
      <c r="AG300" s="87" t="s">
        <v>1815</v>
      </c>
      <c r="AH300" s="82" t="b">
        <v>0</v>
      </c>
      <c r="AI300" s="82" t="s">
        <v>1826</v>
      </c>
      <c r="AJ300" s="82"/>
      <c r="AK300" s="87" t="s">
        <v>1815</v>
      </c>
      <c r="AL300" s="82" t="b">
        <v>0</v>
      </c>
      <c r="AM300" s="82">
        <v>0</v>
      </c>
      <c r="AN300" s="87" t="s">
        <v>1815</v>
      </c>
      <c r="AO300" s="87" t="s">
        <v>1853</v>
      </c>
      <c r="AP300" s="82" t="b">
        <v>0</v>
      </c>
      <c r="AQ300" s="87" t="s">
        <v>1696</v>
      </c>
      <c r="AR300" s="82"/>
      <c r="AS300" s="82">
        <v>0</v>
      </c>
      <c r="AT300" s="82">
        <v>0</v>
      </c>
      <c r="AU300" s="82"/>
      <c r="AV300" s="82"/>
      <c r="AW300" s="82"/>
      <c r="AX300" s="82"/>
      <c r="AY300" s="82"/>
      <c r="AZ300" s="82"/>
      <c r="BA300" s="82"/>
      <c r="BB300" s="82"/>
      <c r="BC300">
        <v>38</v>
      </c>
      <c r="BD300" s="81" t="str">
        <f>REPLACE(INDEX(GroupVertices[Group],MATCH(Edges[[#This Row],[Vertex 1]],GroupVertices[Vertex],0)),1,1,"")</f>
        <v>4</v>
      </c>
      <c r="BE300" s="81" t="str">
        <f>REPLACE(INDEX(GroupVertices[Group],MATCH(Edges[[#This Row],[Vertex 2]],GroupVertices[Vertex],0)),1,1,"")</f>
        <v>4</v>
      </c>
      <c r="BF300" s="49">
        <v>0</v>
      </c>
      <c r="BG300" s="50">
        <v>0</v>
      </c>
      <c r="BH300" s="49">
        <v>0</v>
      </c>
      <c r="BI300" s="50">
        <v>0</v>
      </c>
      <c r="BJ300" s="49">
        <v>0</v>
      </c>
      <c r="BK300" s="50">
        <v>0</v>
      </c>
      <c r="BL300" s="49">
        <v>22</v>
      </c>
      <c r="BM300" s="50">
        <v>100</v>
      </c>
      <c r="BN300" s="49">
        <v>22</v>
      </c>
    </row>
    <row r="301" spans="1:66" ht="15">
      <c r="A301" s="66" t="s">
        <v>385</v>
      </c>
      <c r="B301" s="66" t="s">
        <v>385</v>
      </c>
      <c r="C301" s="67" t="s">
        <v>4516</v>
      </c>
      <c r="D301" s="68">
        <v>10</v>
      </c>
      <c r="E301" s="69" t="s">
        <v>136</v>
      </c>
      <c r="F301" s="70">
        <v>6</v>
      </c>
      <c r="G301" s="67"/>
      <c r="H301" s="71"/>
      <c r="I301" s="72"/>
      <c r="J301" s="72"/>
      <c r="K301" s="35" t="s">
        <v>65</v>
      </c>
      <c r="L301" s="80">
        <v>301</v>
      </c>
      <c r="M301" s="80"/>
      <c r="N301" s="74"/>
      <c r="O301" s="82" t="s">
        <v>214</v>
      </c>
      <c r="P301" s="84">
        <v>44518.638194444444</v>
      </c>
      <c r="Q301" s="82" t="s">
        <v>780</v>
      </c>
      <c r="R301" s="82"/>
      <c r="S301" s="82"/>
      <c r="T301" s="87" t="s">
        <v>1066</v>
      </c>
      <c r="U301" s="85" t="str">
        <f>HYPERLINK("https://pbs.twimg.com/media/FEbMZniWYAYwig8.jpg")</f>
        <v>https://pbs.twimg.com/media/FEbMZniWYAYwig8.jpg</v>
      </c>
      <c r="V301" s="85" t="str">
        <f>HYPERLINK("https://pbs.twimg.com/media/FEbMZniWYAYwig8.jpg")</f>
        <v>https://pbs.twimg.com/media/FEbMZniWYAYwig8.jpg</v>
      </c>
      <c r="W301" s="84">
        <v>44518.638194444444</v>
      </c>
      <c r="X301" s="90">
        <v>44518</v>
      </c>
      <c r="Y301" s="87" t="s">
        <v>1358</v>
      </c>
      <c r="Z301" s="85" t="str">
        <f>HYPERLINK("https://twitter.com/microblog_me_uk/status/1461353250842558464")</f>
        <v>https://twitter.com/microblog_me_uk/status/1461353250842558464</v>
      </c>
      <c r="AA301" s="82"/>
      <c r="AB301" s="82"/>
      <c r="AC301" s="87" t="s">
        <v>1697</v>
      </c>
      <c r="AD301" s="82"/>
      <c r="AE301" s="82" t="b">
        <v>0</v>
      </c>
      <c r="AF301" s="82">
        <v>11</v>
      </c>
      <c r="AG301" s="87" t="s">
        <v>1815</v>
      </c>
      <c r="AH301" s="82" t="b">
        <v>0</v>
      </c>
      <c r="AI301" s="82" t="s">
        <v>1826</v>
      </c>
      <c r="AJ301" s="82"/>
      <c r="AK301" s="87" t="s">
        <v>1815</v>
      </c>
      <c r="AL301" s="82" t="b">
        <v>0</v>
      </c>
      <c r="AM301" s="82">
        <v>5</v>
      </c>
      <c r="AN301" s="87" t="s">
        <v>1815</v>
      </c>
      <c r="AO301" s="87" t="s">
        <v>1853</v>
      </c>
      <c r="AP301" s="82" t="b">
        <v>0</v>
      </c>
      <c r="AQ301" s="87" t="s">
        <v>1697</v>
      </c>
      <c r="AR301" s="82"/>
      <c r="AS301" s="82">
        <v>0</v>
      </c>
      <c r="AT301" s="82">
        <v>0</v>
      </c>
      <c r="AU301" s="82"/>
      <c r="AV301" s="82"/>
      <c r="AW301" s="82"/>
      <c r="AX301" s="82"/>
      <c r="AY301" s="82"/>
      <c r="AZ301" s="82"/>
      <c r="BA301" s="82"/>
      <c r="BB301" s="82"/>
      <c r="BC301">
        <v>38</v>
      </c>
      <c r="BD301" s="81" t="str">
        <f>REPLACE(INDEX(GroupVertices[Group],MATCH(Edges[[#This Row],[Vertex 1]],GroupVertices[Vertex],0)),1,1,"")</f>
        <v>4</v>
      </c>
      <c r="BE301" s="81" t="str">
        <f>REPLACE(INDEX(GroupVertices[Group],MATCH(Edges[[#This Row],[Vertex 2]],GroupVertices[Vertex],0)),1,1,"")</f>
        <v>4</v>
      </c>
      <c r="BF301" s="49">
        <v>0</v>
      </c>
      <c r="BG301" s="50">
        <v>0</v>
      </c>
      <c r="BH301" s="49">
        <v>0</v>
      </c>
      <c r="BI301" s="50">
        <v>0</v>
      </c>
      <c r="BJ301" s="49">
        <v>0</v>
      </c>
      <c r="BK301" s="50">
        <v>0</v>
      </c>
      <c r="BL301" s="49">
        <v>16</v>
      </c>
      <c r="BM301" s="50">
        <v>100</v>
      </c>
      <c r="BN301" s="49">
        <v>16</v>
      </c>
    </row>
    <row r="302" spans="1:66" ht="15">
      <c r="A302" s="66" t="s">
        <v>385</v>
      </c>
      <c r="B302" s="66" t="s">
        <v>429</v>
      </c>
      <c r="C302" s="67" t="s">
        <v>4510</v>
      </c>
      <c r="D302" s="68">
        <v>3.6363636363636362</v>
      </c>
      <c r="E302" s="69" t="s">
        <v>136</v>
      </c>
      <c r="F302" s="70">
        <v>31.2972972972973</v>
      </c>
      <c r="G302" s="67"/>
      <c r="H302" s="71"/>
      <c r="I302" s="72"/>
      <c r="J302" s="72"/>
      <c r="K302" s="35" t="s">
        <v>65</v>
      </c>
      <c r="L302" s="80">
        <v>302</v>
      </c>
      <c r="M302" s="80"/>
      <c r="N302" s="74"/>
      <c r="O302" s="82" t="s">
        <v>528</v>
      </c>
      <c r="P302" s="84">
        <v>44518.62777777778</v>
      </c>
      <c r="Q302" s="82" t="s">
        <v>781</v>
      </c>
      <c r="R302" s="85" t="str">
        <f>HYPERLINK("https://fingertips.phe.org.uk/profile/amr-local-indicators")</f>
        <v>https://fingertips.phe.org.uk/profile/amr-local-indicators</v>
      </c>
      <c r="S302" s="82" t="s">
        <v>921</v>
      </c>
      <c r="T302" s="87" t="s">
        <v>1082</v>
      </c>
      <c r="U302" s="82"/>
      <c r="V302" s="85" t="str">
        <f>HYPERLINK("https://pbs.twimg.com/profile_images/1058719862040784896/zm0I75Iz_normal.jpg")</f>
        <v>https://pbs.twimg.com/profile_images/1058719862040784896/zm0I75Iz_normal.jpg</v>
      </c>
      <c r="W302" s="84">
        <v>44518.62777777778</v>
      </c>
      <c r="X302" s="90">
        <v>44518</v>
      </c>
      <c r="Y302" s="87" t="s">
        <v>1359</v>
      </c>
      <c r="Z302" s="85" t="str">
        <f>HYPERLINK("https://twitter.com/microblog_me_uk/status/1461349476711350280")</f>
        <v>https://twitter.com/microblog_me_uk/status/1461349476711350280</v>
      </c>
      <c r="AA302" s="82"/>
      <c r="AB302" s="82"/>
      <c r="AC302" s="87" t="s">
        <v>1698</v>
      </c>
      <c r="AD302" s="82"/>
      <c r="AE302" s="82" t="b">
        <v>0</v>
      </c>
      <c r="AF302" s="82">
        <v>1</v>
      </c>
      <c r="AG302" s="87" t="s">
        <v>1815</v>
      </c>
      <c r="AH302" s="82" t="b">
        <v>0</v>
      </c>
      <c r="AI302" s="82" t="s">
        <v>1826</v>
      </c>
      <c r="AJ302" s="82"/>
      <c r="AK302" s="87" t="s">
        <v>1815</v>
      </c>
      <c r="AL302" s="82" t="b">
        <v>0</v>
      </c>
      <c r="AM302" s="82">
        <v>0</v>
      </c>
      <c r="AN302" s="87" t="s">
        <v>1815</v>
      </c>
      <c r="AO302" s="87" t="s">
        <v>1853</v>
      </c>
      <c r="AP302" s="82" t="b">
        <v>0</v>
      </c>
      <c r="AQ302" s="87" t="s">
        <v>1698</v>
      </c>
      <c r="AR302" s="82"/>
      <c r="AS302" s="82">
        <v>0</v>
      </c>
      <c r="AT302" s="82">
        <v>0</v>
      </c>
      <c r="AU302" s="82"/>
      <c r="AV302" s="82"/>
      <c r="AW302" s="82"/>
      <c r="AX302" s="82"/>
      <c r="AY302" s="82"/>
      <c r="AZ302" s="82"/>
      <c r="BA302" s="82"/>
      <c r="BB302" s="82"/>
      <c r="BC302">
        <v>2</v>
      </c>
      <c r="BD302" s="81" t="str">
        <f>REPLACE(INDEX(GroupVertices[Group],MATCH(Edges[[#This Row],[Vertex 1]],GroupVertices[Vertex],0)),1,1,"")</f>
        <v>4</v>
      </c>
      <c r="BE302" s="81" t="str">
        <f>REPLACE(INDEX(GroupVertices[Group],MATCH(Edges[[#This Row],[Vertex 2]],GroupVertices[Vertex],0)),1,1,"")</f>
        <v>2</v>
      </c>
      <c r="BF302" s="49">
        <v>1</v>
      </c>
      <c r="BG302" s="50">
        <v>4.761904761904762</v>
      </c>
      <c r="BH302" s="49">
        <v>0</v>
      </c>
      <c r="BI302" s="50">
        <v>0</v>
      </c>
      <c r="BJ302" s="49">
        <v>0</v>
      </c>
      <c r="BK302" s="50">
        <v>0</v>
      </c>
      <c r="BL302" s="49">
        <v>20</v>
      </c>
      <c r="BM302" s="50">
        <v>95.23809523809524</v>
      </c>
      <c r="BN302" s="49">
        <v>21</v>
      </c>
    </row>
    <row r="303" spans="1:66" ht="15">
      <c r="A303" s="66" t="s">
        <v>385</v>
      </c>
      <c r="B303" s="66" t="s">
        <v>385</v>
      </c>
      <c r="C303" s="67" t="s">
        <v>4516</v>
      </c>
      <c r="D303" s="68">
        <v>10</v>
      </c>
      <c r="E303" s="69" t="s">
        <v>136</v>
      </c>
      <c r="F303" s="70">
        <v>6</v>
      </c>
      <c r="G303" s="67"/>
      <c r="H303" s="71"/>
      <c r="I303" s="72"/>
      <c r="J303" s="72"/>
      <c r="K303" s="35" t="s">
        <v>65</v>
      </c>
      <c r="L303" s="80">
        <v>303</v>
      </c>
      <c r="M303" s="80"/>
      <c r="N303" s="74"/>
      <c r="O303" s="82" t="s">
        <v>214</v>
      </c>
      <c r="P303" s="84">
        <v>44518.64722222222</v>
      </c>
      <c r="Q303" s="82" t="s">
        <v>782</v>
      </c>
      <c r="R303" s="82"/>
      <c r="S303" s="82"/>
      <c r="T303" s="87" t="s">
        <v>1054</v>
      </c>
      <c r="U303" s="82"/>
      <c r="V303" s="85" t="str">
        <f>HYPERLINK("https://pbs.twimg.com/profile_images/1058719862040784896/zm0I75Iz_normal.jpg")</f>
        <v>https://pbs.twimg.com/profile_images/1058719862040784896/zm0I75Iz_normal.jpg</v>
      </c>
      <c r="W303" s="84">
        <v>44518.64722222222</v>
      </c>
      <c r="X303" s="90">
        <v>44518</v>
      </c>
      <c r="Y303" s="87" t="s">
        <v>1360</v>
      </c>
      <c r="Z303" s="85" t="str">
        <f>HYPERLINK("https://twitter.com/microblog_me_uk/status/1461356522257240064")</f>
        <v>https://twitter.com/microblog_me_uk/status/1461356522257240064</v>
      </c>
      <c r="AA303" s="82"/>
      <c r="AB303" s="82"/>
      <c r="AC303" s="87" t="s">
        <v>1699</v>
      </c>
      <c r="AD303" s="82"/>
      <c r="AE303" s="82" t="b">
        <v>0</v>
      </c>
      <c r="AF303" s="82">
        <v>0</v>
      </c>
      <c r="AG303" s="87" t="s">
        <v>1815</v>
      </c>
      <c r="AH303" s="82" t="b">
        <v>0</v>
      </c>
      <c r="AI303" s="82" t="s">
        <v>1826</v>
      </c>
      <c r="AJ303" s="82"/>
      <c r="AK303" s="87" t="s">
        <v>1815</v>
      </c>
      <c r="AL303" s="82" t="b">
        <v>0</v>
      </c>
      <c r="AM303" s="82">
        <v>0</v>
      </c>
      <c r="AN303" s="87" t="s">
        <v>1815</v>
      </c>
      <c r="AO303" s="87" t="s">
        <v>1853</v>
      </c>
      <c r="AP303" s="82" t="b">
        <v>0</v>
      </c>
      <c r="AQ303" s="87" t="s">
        <v>1699</v>
      </c>
      <c r="AR303" s="82"/>
      <c r="AS303" s="82">
        <v>0</v>
      </c>
      <c r="AT303" s="82">
        <v>0</v>
      </c>
      <c r="AU303" s="82"/>
      <c r="AV303" s="82"/>
      <c r="AW303" s="82"/>
      <c r="AX303" s="82"/>
      <c r="AY303" s="82"/>
      <c r="AZ303" s="82"/>
      <c r="BA303" s="82"/>
      <c r="BB303" s="82"/>
      <c r="BC303">
        <v>38</v>
      </c>
      <c r="BD303" s="81" t="str">
        <f>REPLACE(INDEX(GroupVertices[Group],MATCH(Edges[[#This Row],[Vertex 1]],GroupVertices[Vertex],0)),1,1,"")</f>
        <v>4</v>
      </c>
      <c r="BE303" s="81" t="str">
        <f>REPLACE(INDEX(GroupVertices[Group],MATCH(Edges[[#This Row],[Vertex 2]],GroupVertices[Vertex],0)),1,1,"")</f>
        <v>4</v>
      </c>
      <c r="BF303" s="49">
        <v>1</v>
      </c>
      <c r="BG303" s="50">
        <v>4.166666666666667</v>
      </c>
      <c r="BH303" s="49">
        <v>0</v>
      </c>
      <c r="BI303" s="50">
        <v>0</v>
      </c>
      <c r="BJ303" s="49">
        <v>0</v>
      </c>
      <c r="BK303" s="50">
        <v>0</v>
      </c>
      <c r="BL303" s="49">
        <v>23</v>
      </c>
      <c r="BM303" s="50">
        <v>95.83333333333333</v>
      </c>
      <c r="BN303" s="49">
        <v>24</v>
      </c>
    </row>
    <row r="304" spans="1:66" ht="15">
      <c r="A304" s="66" t="s">
        <v>385</v>
      </c>
      <c r="B304" s="66" t="s">
        <v>385</v>
      </c>
      <c r="C304" s="67" t="s">
        <v>4516</v>
      </c>
      <c r="D304" s="68">
        <v>10</v>
      </c>
      <c r="E304" s="69" t="s">
        <v>136</v>
      </c>
      <c r="F304" s="70">
        <v>6</v>
      </c>
      <c r="G304" s="67"/>
      <c r="H304" s="71"/>
      <c r="I304" s="72"/>
      <c r="J304" s="72"/>
      <c r="K304" s="35" t="s">
        <v>65</v>
      </c>
      <c r="L304" s="80">
        <v>304</v>
      </c>
      <c r="M304" s="80"/>
      <c r="N304" s="74"/>
      <c r="O304" s="82" t="s">
        <v>214</v>
      </c>
      <c r="P304" s="84">
        <v>44518.631944444445</v>
      </c>
      <c r="Q304" s="82" t="s">
        <v>783</v>
      </c>
      <c r="R304" s="82"/>
      <c r="S304" s="82"/>
      <c r="T304" s="87" t="s">
        <v>1058</v>
      </c>
      <c r="U304" s="85" t="str">
        <f>HYPERLINK("https://pbs.twimg.com/media/FEbCdf0XIAkl3PM.jpg")</f>
        <v>https://pbs.twimg.com/media/FEbCdf0XIAkl3PM.jpg</v>
      </c>
      <c r="V304" s="85" t="str">
        <f>HYPERLINK("https://pbs.twimg.com/media/FEbCdf0XIAkl3PM.jpg")</f>
        <v>https://pbs.twimg.com/media/FEbCdf0XIAkl3PM.jpg</v>
      </c>
      <c r="W304" s="84">
        <v>44518.631944444445</v>
      </c>
      <c r="X304" s="90">
        <v>44518</v>
      </c>
      <c r="Y304" s="87" t="s">
        <v>1260</v>
      </c>
      <c r="Z304" s="85" t="str">
        <f>HYPERLINK("https://twitter.com/microblog_me_uk/status/1461350985767522304")</f>
        <v>https://twitter.com/microblog_me_uk/status/1461350985767522304</v>
      </c>
      <c r="AA304" s="82"/>
      <c r="AB304" s="82"/>
      <c r="AC304" s="87" t="s">
        <v>1700</v>
      </c>
      <c r="AD304" s="82"/>
      <c r="AE304" s="82" t="b">
        <v>0</v>
      </c>
      <c r="AF304" s="82">
        <v>2</v>
      </c>
      <c r="AG304" s="87" t="s">
        <v>1815</v>
      </c>
      <c r="AH304" s="82" t="b">
        <v>0</v>
      </c>
      <c r="AI304" s="82" t="s">
        <v>1826</v>
      </c>
      <c r="AJ304" s="82"/>
      <c r="AK304" s="87" t="s">
        <v>1815</v>
      </c>
      <c r="AL304" s="82" t="b">
        <v>0</v>
      </c>
      <c r="AM304" s="82">
        <v>2</v>
      </c>
      <c r="AN304" s="87" t="s">
        <v>1815</v>
      </c>
      <c r="AO304" s="87" t="s">
        <v>1853</v>
      </c>
      <c r="AP304" s="82" t="b">
        <v>0</v>
      </c>
      <c r="AQ304" s="87" t="s">
        <v>1700</v>
      </c>
      <c r="AR304" s="82"/>
      <c r="AS304" s="82">
        <v>0</v>
      </c>
      <c r="AT304" s="82">
        <v>0</v>
      </c>
      <c r="AU304" s="82"/>
      <c r="AV304" s="82"/>
      <c r="AW304" s="82"/>
      <c r="AX304" s="82"/>
      <c r="AY304" s="82"/>
      <c r="AZ304" s="82"/>
      <c r="BA304" s="82"/>
      <c r="BB304" s="82"/>
      <c r="BC304">
        <v>38</v>
      </c>
      <c r="BD304" s="81" t="str">
        <f>REPLACE(INDEX(GroupVertices[Group],MATCH(Edges[[#This Row],[Vertex 1]],GroupVertices[Vertex],0)),1,1,"")</f>
        <v>4</v>
      </c>
      <c r="BE304" s="81" t="str">
        <f>REPLACE(INDEX(GroupVertices[Group],MATCH(Edges[[#This Row],[Vertex 2]],GroupVertices[Vertex],0)),1,1,"")</f>
        <v>4</v>
      </c>
      <c r="BF304" s="49">
        <v>0</v>
      </c>
      <c r="BG304" s="50">
        <v>0</v>
      </c>
      <c r="BH304" s="49">
        <v>0</v>
      </c>
      <c r="BI304" s="50">
        <v>0</v>
      </c>
      <c r="BJ304" s="49">
        <v>0</v>
      </c>
      <c r="BK304" s="50">
        <v>0</v>
      </c>
      <c r="BL304" s="49">
        <v>15</v>
      </c>
      <c r="BM304" s="50">
        <v>100</v>
      </c>
      <c r="BN304" s="49">
        <v>15</v>
      </c>
    </row>
    <row r="305" spans="1:66" ht="15">
      <c r="A305" s="66" t="s">
        <v>385</v>
      </c>
      <c r="B305" s="66" t="s">
        <v>504</v>
      </c>
      <c r="C305" s="67" t="s">
        <v>4511</v>
      </c>
      <c r="D305" s="68">
        <v>5.545454545454545</v>
      </c>
      <c r="E305" s="69" t="s">
        <v>136</v>
      </c>
      <c r="F305" s="70">
        <v>29.18918918918919</v>
      </c>
      <c r="G305" s="67"/>
      <c r="H305" s="71"/>
      <c r="I305" s="72"/>
      <c r="J305" s="72"/>
      <c r="K305" s="35" t="s">
        <v>65</v>
      </c>
      <c r="L305" s="80">
        <v>305</v>
      </c>
      <c r="M305" s="80"/>
      <c r="N305" s="74"/>
      <c r="O305" s="82" t="s">
        <v>528</v>
      </c>
      <c r="P305" s="84">
        <v>44518.64444444444</v>
      </c>
      <c r="Q305" s="82" t="s">
        <v>784</v>
      </c>
      <c r="R305" s="82"/>
      <c r="S305" s="82"/>
      <c r="T305" s="87" t="s">
        <v>1058</v>
      </c>
      <c r="U305" s="82"/>
      <c r="V305" s="85" t="str">
        <f>HYPERLINK("https://pbs.twimg.com/profile_images/1058719862040784896/zm0I75Iz_normal.jpg")</f>
        <v>https://pbs.twimg.com/profile_images/1058719862040784896/zm0I75Iz_normal.jpg</v>
      </c>
      <c r="W305" s="84">
        <v>44518.64444444444</v>
      </c>
      <c r="X305" s="90">
        <v>44518</v>
      </c>
      <c r="Y305" s="87" t="s">
        <v>1361</v>
      </c>
      <c r="Z305" s="85" t="str">
        <f>HYPERLINK("https://twitter.com/microblog_me_uk/status/1461355515758346246")</f>
        <v>https://twitter.com/microblog_me_uk/status/1461355515758346246</v>
      </c>
      <c r="AA305" s="82"/>
      <c r="AB305" s="82"/>
      <c r="AC305" s="87" t="s">
        <v>1701</v>
      </c>
      <c r="AD305" s="82"/>
      <c r="AE305" s="82" t="b">
        <v>0</v>
      </c>
      <c r="AF305" s="82">
        <v>0</v>
      </c>
      <c r="AG305" s="87" t="s">
        <v>1815</v>
      </c>
      <c r="AH305" s="82" t="b">
        <v>0</v>
      </c>
      <c r="AI305" s="82" t="s">
        <v>1826</v>
      </c>
      <c r="AJ305" s="82"/>
      <c r="AK305" s="87" t="s">
        <v>1815</v>
      </c>
      <c r="AL305" s="82" t="b">
        <v>0</v>
      </c>
      <c r="AM305" s="82">
        <v>0</v>
      </c>
      <c r="AN305" s="87" t="s">
        <v>1815</v>
      </c>
      <c r="AO305" s="87" t="s">
        <v>1853</v>
      </c>
      <c r="AP305" s="82" t="b">
        <v>0</v>
      </c>
      <c r="AQ305" s="87" t="s">
        <v>1701</v>
      </c>
      <c r="AR305" s="82"/>
      <c r="AS305" s="82">
        <v>0</v>
      </c>
      <c r="AT305" s="82">
        <v>0</v>
      </c>
      <c r="AU305" s="82"/>
      <c r="AV305" s="82"/>
      <c r="AW305" s="82"/>
      <c r="AX305" s="82"/>
      <c r="AY305" s="82"/>
      <c r="AZ305" s="82"/>
      <c r="BA305" s="82"/>
      <c r="BB305" s="82"/>
      <c r="BC305">
        <v>5</v>
      </c>
      <c r="BD305" s="81" t="str">
        <f>REPLACE(INDEX(GroupVertices[Group],MATCH(Edges[[#This Row],[Vertex 1]],GroupVertices[Vertex],0)),1,1,"")</f>
        <v>4</v>
      </c>
      <c r="BE305" s="81" t="str">
        <f>REPLACE(INDEX(GroupVertices[Group],MATCH(Edges[[#This Row],[Vertex 2]],GroupVertices[Vertex],0)),1,1,"")</f>
        <v>2</v>
      </c>
      <c r="BF305" s="49">
        <v>0</v>
      </c>
      <c r="BG305" s="50">
        <v>0</v>
      </c>
      <c r="BH305" s="49">
        <v>2</v>
      </c>
      <c r="BI305" s="50">
        <v>5.128205128205129</v>
      </c>
      <c r="BJ305" s="49">
        <v>0</v>
      </c>
      <c r="BK305" s="50">
        <v>0</v>
      </c>
      <c r="BL305" s="49">
        <v>37</v>
      </c>
      <c r="BM305" s="50">
        <v>94.87179487179488</v>
      </c>
      <c r="BN305" s="49">
        <v>39</v>
      </c>
    </row>
    <row r="306" spans="1:66" ht="15">
      <c r="A306" s="66" t="s">
        <v>385</v>
      </c>
      <c r="B306" s="66" t="s">
        <v>429</v>
      </c>
      <c r="C306" s="67" t="s">
        <v>4510</v>
      </c>
      <c r="D306" s="68">
        <v>3.6363636363636362</v>
      </c>
      <c r="E306" s="69" t="s">
        <v>136</v>
      </c>
      <c r="F306" s="70">
        <v>31.2972972972973</v>
      </c>
      <c r="G306" s="67"/>
      <c r="H306" s="71"/>
      <c r="I306" s="72"/>
      <c r="J306" s="72"/>
      <c r="K306" s="35" t="s">
        <v>65</v>
      </c>
      <c r="L306" s="80">
        <v>306</v>
      </c>
      <c r="M306" s="80"/>
      <c r="N306" s="74"/>
      <c r="O306" s="82" t="s">
        <v>528</v>
      </c>
      <c r="P306" s="84">
        <v>44518.64097222222</v>
      </c>
      <c r="Q306" s="82" t="s">
        <v>785</v>
      </c>
      <c r="R306" s="82"/>
      <c r="S306" s="82"/>
      <c r="T306" s="87" t="s">
        <v>1083</v>
      </c>
      <c r="U306" s="82"/>
      <c r="V306" s="85" t="str">
        <f>HYPERLINK("https://pbs.twimg.com/profile_images/1058719862040784896/zm0I75Iz_normal.jpg")</f>
        <v>https://pbs.twimg.com/profile_images/1058719862040784896/zm0I75Iz_normal.jpg</v>
      </c>
      <c r="W306" s="84">
        <v>44518.64097222222</v>
      </c>
      <c r="X306" s="90">
        <v>44518</v>
      </c>
      <c r="Y306" s="87" t="s">
        <v>1362</v>
      </c>
      <c r="Z306" s="85" t="str">
        <f>HYPERLINK("https://twitter.com/microblog_me_uk/status/1461354257123356675")</f>
        <v>https://twitter.com/microblog_me_uk/status/1461354257123356675</v>
      </c>
      <c r="AA306" s="82"/>
      <c r="AB306" s="82"/>
      <c r="AC306" s="87" t="s">
        <v>1702</v>
      </c>
      <c r="AD306" s="82"/>
      <c r="AE306" s="82" t="b">
        <v>0</v>
      </c>
      <c r="AF306" s="82">
        <v>3</v>
      </c>
      <c r="AG306" s="87" t="s">
        <v>1815</v>
      </c>
      <c r="AH306" s="82" t="b">
        <v>0</v>
      </c>
      <c r="AI306" s="82" t="s">
        <v>1826</v>
      </c>
      <c r="AJ306" s="82"/>
      <c r="AK306" s="87" t="s">
        <v>1815</v>
      </c>
      <c r="AL306" s="82" t="b">
        <v>0</v>
      </c>
      <c r="AM306" s="82">
        <v>1</v>
      </c>
      <c r="AN306" s="87" t="s">
        <v>1815</v>
      </c>
      <c r="AO306" s="87" t="s">
        <v>1853</v>
      </c>
      <c r="AP306" s="82" t="b">
        <v>0</v>
      </c>
      <c r="AQ306" s="87" t="s">
        <v>1702</v>
      </c>
      <c r="AR306" s="82"/>
      <c r="AS306" s="82">
        <v>0</v>
      </c>
      <c r="AT306" s="82">
        <v>0</v>
      </c>
      <c r="AU306" s="82"/>
      <c r="AV306" s="82"/>
      <c r="AW306" s="82"/>
      <c r="AX306" s="82"/>
      <c r="AY306" s="82"/>
      <c r="AZ306" s="82"/>
      <c r="BA306" s="82"/>
      <c r="BB306" s="82"/>
      <c r="BC306">
        <v>2</v>
      </c>
      <c r="BD306" s="81" t="str">
        <f>REPLACE(INDEX(GroupVertices[Group],MATCH(Edges[[#This Row],[Vertex 1]],GroupVertices[Vertex],0)),1,1,"")</f>
        <v>4</v>
      </c>
      <c r="BE306" s="81" t="str">
        <f>REPLACE(INDEX(GroupVertices[Group],MATCH(Edges[[#This Row],[Vertex 2]],GroupVertices[Vertex],0)),1,1,"")</f>
        <v>2</v>
      </c>
      <c r="BF306" s="49">
        <v>3</v>
      </c>
      <c r="BG306" s="50">
        <v>7.894736842105263</v>
      </c>
      <c r="BH306" s="49">
        <v>2</v>
      </c>
      <c r="BI306" s="50">
        <v>5.2631578947368425</v>
      </c>
      <c r="BJ306" s="49">
        <v>0</v>
      </c>
      <c r="BK306" s="50">
        <v>0</v>
      </c>
      <c r="BL306" s="49">
        <v>33</v>
      </c>
      <c r="BM306" s="50">
        <v>86.84210526315789</v>
      </c>
      <c r="BN306" s="49">
        <v>38</v>
      </c>
    </row>
    <row r="307" spans="1:66" ht="15">
      <c r="A307" s="66" t="s">
        <v>385</v>
      </c>
      <c r="B307" s="66" t="s">
        <v>385</v>
      </c>
      <c r="C307" s="67" t="s">
        <v>4516</v>
      </c>
      <c r="D307" s="68">
        <v>10</v>
      </c>
      <c r="E307" s="69" t="s">
        <v>136</v>
      </c>
      <c r="F307" s="70">
        <v>6</v>
      </c>
      <c r="G307" s="67"/>
      <c r="H307" s="71"/>
      <c r="I307" s="72"/>
      <c r="J307" s="72"/>
      <c r="K307" s="35" t="s">
        <v>65</v>
      </c>
      <c r="L307" s="80">
        <v>307</v>
      </c>
      <c r="M307" s="80"/>
      <c r="N307" s="74"/>
      <c r="O307" s="82" t="s">
        <v>214</v>
      </c>
      <c r="P307" s="84">
        <v>44518.63888888889</v>
      </c>
      <c r="Q307" s="82" t="s">
        <v>786</v>
      </c>
      <c r="R307" s="82"/>
      <c r="S307" s="82"/>
      <c r="T307" s="87" t="s">
        <v>1066</v>
      </c>
      <c r="U307" s="85" t="str">
        <f>HYPERLINK("https://pbs.twimg.com/media/FEbNF3CXoAEXW8M.png")</f>
        <v>https://pbs.twimg.com/media/FEbNF3CXoAEXW8M.png</v>
      </c>
      <c r="V307" s="85" t="str">
        <f>HYPERLINK("https://pbs.twimg.com/media/FEbNF3CXoAEXW8M.png")</f>
        <v>https://pbs.twimg.com/media/FEbNF3CXoAEXW8M.png</v>
      </c>
      <c r="W307" s="84">
        <v>44518.63888888889</v>
      </c>
      <c r="X307" s="90">
        <v>44518</v>
      </c>
      <c r="Y307" s="87" t="s">
        <v>1199</v>
      </c>
      <c r="Z307" s="85" t="str">
        <f>HYPERLINK("https://twitter.com/microblog_me_uk/status/1461353502714773504")</f>
        <v>https://twitter.com/microblog_me_uk/status/1461353502714773504</v>
      </c>
      <c r="AA307" s="82"/>
      <c r="AB307" s="82"/>
      <c r="AC307" s="87" t="s">
        <v>1703</v>
      </c>
      <c r="AD307" s="82"/>
      <c r="AE307" s="82" t="b">
        <v>0</v>
      </c>
      <c r="AF307" s="82">
        <v>7</v>
      </c>
      <c r="AG307" s="87" t="s">
        <v>1815</v>
      </c>
      <c r="AH307" s="82" t="b">
        <v>0</v>
      </c>
      <c r="AI307" s="82" t="s">
        <v>1826</v>
      </c>
      <c r="AJ307" s="82"/>
      <c r="AK307" s="87" t="s">
        <v>1815</v>
      </c>
      <c r="AL307" s="82" t="b">
        <v>0</v>
      </c>
      <c r="AM307" s="82">
        <v>3</v>
      </c>
      <c r="AN307" s="87" t="s">
        <v>1815</v>
      </c>
      <c r="AO307" s="87" t="s">
        <v>1853</v>
      </c>
      <c r="AP307" s="82" t="b">
        <v>0</v>
      </c>
      <c r="AQ307" s="87" t="s">
        <v>1703</v>
      </c>
      <c r="AR307" s="82"/>
      <c r="AS307" s="82">
        <v>0</v>
      </c>
      <c r="AT307" s="82">
        <v>0</v>
      </c>
      <c r="AU307" s="82"/>
      <c r="AV307" s="82"/>
      <c r="AW307" s="82"/>
      <c r="AX307" s="82"/>
      <c r="AY307" s="82"/>
      <c r="AZ307" s="82"/>
      <c r="BA307" s="82"/>
      <c r="BB307" s="82"/>
      <c r="BC307">
        <v>38</v>
      </c>
      <c r="BD307" s="81" t="str">
        <f>REPLACE(INDEX(GroupVertices[Group],MATCH(Edges[[#This Row],[Vertex 1]],GroupVertices[Vertex],0)),1,1,"")</f>
        <v>4</v>
      </c>
      <c r="BE307" s="81" t="str">
        <f>REPLACE(INDEX(GroupVertices[Group],MATCH(Edges[[#This Row],[Vertex 2]],GroupVertices[Vertex],0)),1,1,"")</f>
        <v>4</v>
      </c>
      <c r="BF307" s="49">
        <v>0</v>
      </c>
      <c r="BG307" s="50">
        <v>0</v>
      </c>
      <c r="BH307" s="49">
        <v>1</v>
      </c>
      <c r="BI307" s="50">
        <v>6.25</v>
      </c>
      <c r="BJ307" s="49">
        <v>0</v>
      </c>
      <c r="BK307" s="50">
        <v>0</v>
      </c>
      <c r="BL307" s="49">
        <v>15</v>
      </c>
      <c r="BM307" s="50">
        <v>93.75</v>
      </c>
      <c r="BN307" s="49">
        <v>16</v>
      </c>
    </row>
    <row r="308" spans="1:66" ht="15">
      <c r="A308" s="66" t="s">
        <v>385</v>
      </c>
      <c r="B308" s="66" t="s">
        <v>385</v>
      </c>
      <c r="C308" s="67" t="s">
        <v>4516</v>
      </c>
      <c r="D308" s="68">
        <v>10</v>
      </c>
      <c r="E308" s="69" t="s">
        <v>136</v>
      </c>
      <c r="F308" s="70">
        <v>6</v>
      </c>
      <c r="G308" s="67"/>
      <c r="H308" s="71"/>
      <c r="I308" s="72"/>
      <c r="J308" s="72"/>
      <c r="K308" s="35" t="s">
        <v>65</v>
      </c>
      <c r="L308" s="80">
        <v>308</v>
      </c>
      <c r="M308" s="80"/>
      <c r="N308" s="74"/>
      <c r="O308" s="82" t="s">
        <v>214</v>
      </c>
      <c r="P308" s="84">
        <v>44518.62569444445</v>
      </c>
      <c r="Q308" s="82" t="s">
        <v>787</v>
      </c>
      <c r="R308" s="82"/>
      <c r="S308" s="82"/>
      <c r="T308" s="87" t="s">
        <v>1084</v>
      </c>
      <c r="U308" s="82"/>
      <c r="V308" s="85" t="str">
        <f>HYPERLINK("https://pbs.twimg.com/profile_images/1058719862040784896/zm0I75Iz_normal.jpg")</f>
        <v>https://pbs.twimg.com/profile_images/1058719862040784896/zm0I75Iz_normal.jpg</v>
      </c>
      <c r="W308" s="84">
        <v>44518.62569444445</v>
      </c>
      <c r="X308" s="90">
        <v>44518</v>
      </c>
      <c r="Y308" s="87" t="s">
        <v>1235</v>
      </c>
      <c r="Z308" s="85" t="str">
        <f>HYPERLINK("https://twitter.com/microblog_me_uk/status/1461348720990113792")</f>
        <v>https://twitter.com/microblog_me_uk/status/1461348720990113792</v>
      </c>
      <c r="AA308" s="82"/>
      <c r="AB308" s="82"/>
      <c r="AC308" s="87" t="s">
        <v>1704</v>
      </c>
      <c r="AD308" s="82"/>
      <c r="AE308" s="82" t="b">
        <v>0</v>
      </c>
      <c r="AF308" s="82">
        <v>1</v>
      </c>
      <c r="AG308" s="87" t="s">
        <v>1815</v>
      </c>
      <c r="AH308" s="82" t="b">
        <v>0</v>
      </c>
      <c r="AI308" s="82" t="s">
        <v>1826</v>
      </c>
      <c r="AJ308" s="82"/>
      <c r="AK308" s="87" t="s">
        <v>1815</v>
      </c>
      <c r="AL308" s="82" t="b">
        <v>0</v>
      </c>
      <c r="AM308" s="82">
        <v>0</v>
      </c>
      <c r="AN308" s="87" t="s">
        <v>1815</v>
      </c>
      <c r="AO308" s="87" t="s">
        <v>1853</v>
      </c>
      <c r="AP308" s="82" t="b">
        <v>0</v>
      </c>
      <c r="AQ308" s="87" t="s">
        <v>1704</v>
      </c>
      <c r="AR308" s="82"/>
      <c r="AS308" s="82">
        <v>0</v>
      </c>
      <c r="AT308" s="82">
        <v>0</v>
      </c>
      <c r="AU308" s="82"/>
      <c r="AV308" s="82"/>
      <c r="AW308" s="82"/>
      <c r="AX308" s="82"/>
      <c r="AY308" s="82"/>
      <c r="AZ308" s="82"/>
      <c r="BA308" s="82"/>
      <c r="BB308" s="82"/>
      <c r="BC308">
        <v>38</v>
      </c>
      <c r="BD308" s="81" t="str">
        <f>REPLACE(INDEX(GroupVertices[Group],MATCH(Edges[[#This Row],[Vertex 1]],GroupVertices[Vertex],0)),1,1,"")</f>
        <v>4</v>
      </c>
      <c r="BE308" s="81" t="str">
        <f>REPLACE(INDEX(GroupVertices[Group],MATCH(Edges[[#This Row],[Vertex 2]],GroupVertices[Vertex],0)),1,1,"")</f>
        <v>4</v>
      </c>
      <c r="BF308" s="49">
        <v>1</v>
      </c>
      <c r="BG308" s="50">
        <v>3.8461538461538463</v>
      </c>
      <c r="BH308" s="49">
        <v>0</v>
      </c>
      <c r="BI308" s="50">
        <v>0</v>
      </c>
      <c r="BJ308" s="49">
        <v>0</v>
      </c>
      <c r="BK308" s="50">
        <v>0</v>
      </c>
      <c r="BL308" s="49">
        <v>25</v>
      </c>
      <c r="BM308" s="50">
        <v>96.15384615384616</v>
      </c>
      <c r="BN308" s="49">
        <v>26</v>
      </c>
    </row>
    <row r="309" spans="1:66" ht="15">
      <c r="A309" s="66" t="s">
        <v>385</v>
      </c>
      <c r="B309" s="66" t="s">
        <v>504</v>
      </c>
      <c r="C309" s="67" t="s">
        <v>4511</v>
      </c>
      <c r="D309" s="68">
        <v>5.545454545454545</v>
      </c>
      <c r="E309" s="69" t="s">
        <v>136</v>
      </c>
      <c r="F309" s="70">
        <v>29.18918918918919</v>
      </c>
      <c r="G309" s="67"/>
      <c r="H309" s="71"/>
      <c r="I309" s="72"/>
      <c r="J309" s="72"/>
      <c r="K309" s="35" t="s">
        <v>65</v>
      </c>
      <c r="L309" s="80">
        <v>309</v>
      </c>
      <c r="M309" s="80"/>
      <c r="N309" s="74"/>
      <c r="O309" s="82" t="s">
        <v>528</v>
      </c>
      <c r="P309" s="84">
        <v>44518.64375</v>
      </c>
      <c r="Q309" s="82" t="s">
        <v>788</v>
      </c>
      <c r="R309" s="82"/>
      <c r="S309" s="82"/>
      <c r="T309" s="87" t="s">
        <v>1066</v>
      </c>
      <c r="U309" s="82"/>
      <c r="V309" s="85" t="str">
        <f>HYPERLINK("https://pbs.twimg.com/profile_images/1058719862040784896/zm0I75Iz_normal.jpg")</f>
        <v>https://pbs.twimg.com/profile_images/1058719862040784896/zm0I75Iz_normal.jpg</v>
      </c>
      <c r="W309" s="84">
        <v>44518.64375</v>
      </c>
      <c r="X309" s="90">
        <v>44518</v>
      </c>
      <c r="Y309" s="87" t="s">
        <v>1363</v>
      </c>
      <c r="Z309" s="85" t="str">
        <f>HYPERLINK("https://twitter.com/microblog_me_uk/status/1461355263831674880")</f>
        <v>https://twitter.com/microblog_me_uk/status/1461355263831674880</v>
      </c>
      <c r="AA309" s="82"/>
      <c r="AB309" s="82"/>
      <c r="AC309" s="87" t="s">
        <v>1705</v>
      </c>
      <c r="AD309" s="82"/>
      <c r="AE309" s="82" t="b">
        <v>0</v>
      </c>
      <c r="AF309" s="82">
        <v>2</v>
      </c>
      <c r="AG309" s="87" t="s">
        <v>1815</v>
      </c>
      <c r="AH309" s="82" t="b">
        <v>0</v>
      </c>
      <c r="AI309" s="82" t="s">
        <v>1826</v>
      </c>
      <c r="AJ309" s="82"/>
      <c r="AK309" s="87" t="s">
        <v>1815</v>
      </c>
      <c r="AL309" s="82" t="b">
        <v>0</v>
      </c>
      <c r="AM309" s="82">
        <v>0</v>
      </c>
      <c r="AN309" s="87" t="s">
        <v>1815</v>
      </c>
      <c r="AO309" s="87" t="s">
        <v>1853</v>
      </c>
      <c r="AP309" s="82" t="b">
        <v>0</v>
      </c>
      <c r="AQ309" s="87" t="s">
        <v>1705</v>
      </c>
      <c r="AR309" s="82"/>
      <c r="AS309" s="82">
        <v>0</v>
      </c>
      <c r="AT309" s="82">
        <v>0</v>
      </c>
      <c r="AU309" s="82"/>
      <c r="AV309" s="82"/>
      <c r="AW309" s="82"/>
      <c r="AX309" s="82"/>
      <c r="AY309" s="82"/>
      <c r="AZ309" s="82"/>
      <c r="BA309" s="82"/>
      <c r="BB309" s="82"/>
      <c r="BC309">
        <v>5</v>
      </c>
      <c r="BD309" s="81" t="str">
        <f>REPLACE(INDEX(GroupVertices[Group],MATCH(Edges[[#This Row],[Vertex 1]],GroupVertices[Vertex],0)),1,1,"")</f>
        <v>4</v>
      </c>
      <c r="BE309" s="81" t="str">
        <f>REPLACE(INDEX(GroupVertices[Group],MATCH(Edges[[#This Row],[Vertex 2]],GroupVertices[Vertex],0)),1,1,"")</f>
        <v>2</v>
      </c>
      <c r="BF309" s="49">
        <v>1</v>
      </c>
      <c r="BG309" s="50">
        <v>3.8461538461538463</v>
      </c>
      <c r="BH309" s="49">
        <v>1</v>
      </c>
      <c r="BI309" s="50">
        <v>3.8461538461538463</v>
      </c>
      <c r="BJ309" s="49">
        <v>0</v>
      </c>
      <c r="BK309" s="50">
        <v>0</v>
      </c>
      <c r="BL309" s="49">
        <v>24</v>
      </c>
      <c r="BM309" s="50">
        <v>92.3076923076923</v>
      </c>
      <c r="BN309" s="49">
        <v>26</v>
      </c>
    </row>
    <row r="310" spans="1:66" ht="15">
      <c r="A310" s="66" t="s">
        <v>385</v>
      </c>
      <c r="B310" s="66" t="s">
        <v>385</v>
      </c>
      <c r="C310" s="67" t="s">
        <v>4516</v>
      </c>
      <c r="D310" s="68">
        <v>10</v>
      </c>
      <c r="E310" s="69" t="s">
        <v>136</v>
      </c>
      <c r="F310" s="70">
        <v>6</v>
      </c>
      <c r="G310" s="67"/>
      <c r="H310" s="71"/>
      <c r="I310" s="72"/>
      <c r="J310" s="72"/>
      <c r="K310" s="35" t="s">
        <v>65</v>
      </c>
      <c r="L310" s="80">
        <v>310</v>
      </c>
      <c r="M310" s="80"/>
      <c r="N310" s="74"/>
      <c r="O310" s="82" t="s">
        <v>214</v>
      </c>
      <c r="P310" s="84">
        <v>44518.64166666667</v>
      </c>
      <c r="Q310" s="82" t="s">
        <v>789</v>
      </c>
      <c r="R310" s="82"/>
      <c r="S310" s="82"/>
      <c r="T310" s="87" t="s">
        <v>1085</v>
      </c>
      <c r="U310" s="82"/>
      <c r="V310" s="85" t="str">
        <f>HYPERLINK("https://pbs.twimg.com/profile_images/1058719862040784896/zm0I75Iz_normal.jpg")</f>
        <v>https://pbs.twimg.com/profile_images/1058719862040784896/zm0I75Iz_normal.jpg</v>
      </c>
      <c r="W310" s="84">
        <v>44518.64166666667</v>
      </c>
      <c r="X310" s="90">
        <v>44518</v>
      </c>
      <c r="Y310" s="87" t="s">
        <v>1364</v>
      </c>
      <c r="Z310" s="85" t="str">
        <f>HYPERLINK("https://twitter.com/microblog_me_uk/status/1461354509054083086")</f>
        <v>https://twitter.com/microblog_me_uk/status/1461354509054083086</v>
      </c>
      <c r="AA310" s="82"/>
      <c r="AB310" s="82"/>
      <c r="AC310" s="87" t="s">
        <v>1706</v>
      </c>
      <c r="AD310" s="82"/>
      <c r="AE310" s="82" t="b">
        <v>0</v>
      </c>
      <c r="AF310" s="82">
        <v>0</v>
      </c>
      <c r="AG310" s="87" t="s">
        <v>1815</v>
      </c>
      <c r="AH310" s="82" t="b">
        <v>0</v>
      </c>
      <c r="AI310" s="82" t="s">
        <v>1826</v>
      </c>
      <c r="AJ310" s="82"/>
      <c r="AK310" s="87" t="s">
        <v>1815</v>
      </c>
      <c r="AL310" s="82" t="b">
        <v>0</v>
      </c>
      <c r="AM310" s="82">
        <v>1</v>
      </c>
      <c r="AN310" s="87" t="s">
        <v>1815</v>
      </c>
      <c r="AO310" s="87" t="s">
        <v>1853</v>
      </c>
      <c r="AP310" s="82" t="b">
        <v>0</v>
      </c>
      <c r="AQ310" s="87" t="s">
        <v>1706</v>
      </c>
      <c r="AR310" s="82"/>
      <c r="AS310" s="82">
        <v>0</v>
      </c>
      <c r="AT310" s="82">
        <v>0</v>
      </c>
      <c r="AU310" s="82"/>
      <c r="AV310" s="82"/>
      <c r="AW310" s="82"/>
      <c r="AX310" s="82"/>
      <c r="AY310" s="82"/>
      <c r="AZ310" s="82"/>
      <c r="BA310" s="82"/>
      <c r="BB310" s="82"/>
      <c r="BC310">
        <v>38</v>
      </c>
      <c r="BD310" s="81" t="str">
        <f>REPLACE(INDEX(GroupVertices[Group],MATCH(Edges[[#This Row],[Vertex 1]],GroupVertices[Vertex],0)),1,1,"")</f>
        <v>4</v>
      </c>
      <c r="BE310" s="81" t="str">
        <f>REPLACE(INDEX(GroupVertices[Group],MATCH(Edges[[#This Row],[Vertex 2]],GroupVertices[Vertex],0)),1,1,"")</f>
        <v>4</v>
      </c>
      <c r="BF310" s="49">
        <v>0</v>
      </c>
      <c r="BG310" s="50">
        <v>0</v>
      </c>
      <c r="BH310" s="49">
        <v>1</v>
      </c>
      <c r="BI310" s="50">
        <v>2.857142857142857</v>
      </c>
      <c r="BJ310" s="49">
        <v>0</v>
      </c>
      <c r="BK310" s="50">
        <v>0</v>
      </c>
      <c r="BL310" s="49">
        <v>34</v>
      </c>
      <c r="BM310" s="50">
        <v>97.14285714285714</v>
      </c>
      <c r="BN310" s="49">
        <v>35</v>
      </c>
    </row>
    <row r="311" spans="1:66" ht="15">
      <c r="A311" s="66" t="s">
        <v>388</v>
      </c>
      <c r="B311" s="66" t="s">
        <v>505</v>
      </c>
      <c r="C311" s="67" t="s">
        <v>4509</v>
      </c>
      <c r="D311" s="68">
        <v>3</v>
      </c>
      <c r="E311" s="69" t="s">
        <v>132</v>
      </c>
      <c r="F311" s="70">
        <v>32</v>
      </c>
      <c r="G311" s="67"/>
      <c r="H311" s="71"/>
      <c r="I311" s="72"/>
      <c r="J311" s="72"/>
      <c r="K311" s="35" t="s">
        <v>65</v>
      </c>
      <c r="L311" s="80">
        <v>311</v>
      </c>
      <c r="M311" s="80"/>
      <c r="N311" s="74"/>
      <c r="O311" s="82" t="s">
        <v>528</v>
      </c>
      <c r="P311" s="84">
        <v>44518.63162037037</v>
      </c>
      <c r="Q311" s="82" t="s">
        <v>790</v>
      </c>
      <c r="R311" s="82"/>
      <c r="S311" s="82"/>
      <c r="T311" s="87" t="s">
        <v>1086</v>
      </c>
      <c r="U311" s="82"/>
      <c r="V311" s="85" t="str">
        <f>HYPERLINK("https://pbs.twimg.com/profile_images/608573209559097344/wk2yMfY-_normal.png")</f>
        <v>https://pbs.twimg.com/profile_images/608573209559097344/wk2yMfY-_normal.png</v>
      </c>
      <c r="W311" s="84">
        <v>44518.63162037037</v>
      </c>
      <c r="X311" s="90">
        <v>44518</v>
      </c>
      <c r="Y311" s="87" t="s">
        <v>1365</v>
      </c>
      <c r="Z311" s="85" t="str">
        <f>HYPERLINK("https://twitter.com/behalalorg/status/1461350869010509838")</f>
        <v>https://twitter.com/behalalorg/status/1461350869010509838</v>
      </c>
      <c r="AA311" s="82"/>
      <c r="AB311" s="82"/>
      <c r="AC311" s="87" t="s">
        <v>1707</v>
      </c>
      <c r="AD311" s="87" t="s">
        <v>1708</v>
      </c>
      <c r="AE311" s="82" t="b">
        <v>0</v>
      </c>
      <c r="AF311" s="82">
        <v>0</v>
      </c>
      <c r="AG311" s="87" t="s">
        <v>1822</v>
      </c>
      <c r="AH311" s="82" t="b">
        <v>0</v>
      </c>
      <c r="AI311" s="82" t="s">
        <v>1826</v>
      </c>
      <c r="AJ311" s="82"/>
      <c r="AK311" s="87" t="s">
        <v>1815</v>
      </c>
      <c r="AL311" s="82" t="b">
        <v>0</v>
      </c>
      <c r="AM311" s="82">
        <v>0</v>
      </c>
      <c r="AN311" s="87" t="s">
        <v>1815</v>
      </c>
      <c r="AO311" s="87" t="s">
        <v>1852</v>
      </c>
      <c r="AP311" s="82" t="b">
        <v>0</v>
      </c>
      <c r="AQ311" s="87" t="s">
        <v>1708</v>
      </c>
      <c r="AR311" s="82"/>
      <c r="AS311" s="82">
        <v>0</v>
      </c>
      <c r="AT311" s="82">
        <v>0</v>
      </c>
      <c r="AU311" s="82"/>
      <c r="AV311" s="82"/>
      <c r="AW311" s="82"/>
      <c r="AX311" s="82"/>
      <c r="AY311" s="82"/>
      <c r="AZ311" s="82"/>
      <c r="BA311" s="82"/>
      <c r="BB311" s="82"/>
      <c r="BC311">
        <v>1</v>
      </c>
      <c r="BD311" s="81" t="str">
        <f>REPLACE(INDEX(GroupVertices[Group],MATCH(Edges[[#This Row],[Vertex 1]],GroupVertices[Vertex],0)),1,1,"")</f>
        <v>12</v>
      </c>
      <c r="BE311" s="81" t="str">
        <f>REPLACE(INDEX(GroupVertices[Group],MATCH(Edges[[#This Row],[Vertex 2]],GroupVertices[Vertex],0)),1,1,"")</f>
        <v>12</v>
      </c>
      <c r="BF311" s="49"/>
      <c r="BG311" s="50"/>
      <c r="BH311" s="49"/>
      <c r="BI311" s="50"/>
      <c r="BJ311" s="49"/>
      <c r="BK311" s="50"/>
      <c r="BL311" s="49"/>
      <c r="BM311" s="50"/>
      <c r="BN311" s="49"/>
    </row>
    <row r="312" spans="1:66" ht="15">
      <c r="A312" s="66" t="s">
        <v>388</v>
      </c>
      <c r="B312" s="66" t="s">
        <v>506</v>
      </c>
      <c r="C312" s="67" t="s">
        <v>4509</v>
      </c>
      <c r="D312" s="68">
        <v>3</v>
      </c>
      <c r="E312" s="69" t="s">
        <v>132</v>
      </c>
      <c r="F312" s="70">
        <v>32</v>
      </c>
      <c r="G312" s="67"/>
      <c r="H312" s="71"/>
      <c r="I312" s="72"/>
      <c r="J312" s="72"/>
      <c r="K312" s="35" t="s">
        <v>65</v>
      </c>
      <c r="L312" s="80">
        <v>312</v>
      </c>
      <c r="M312" s="80"/>
      <c r="N312" s="74"/>
      <c r="O312" s="82" t="s">
        <v>528</v>
      </c>
      <c r="P312" s="84">
        <v>44518.63162037037</v>
      </c>
      <c r="Q312" s="82" t="s">
        <v>790</v>
      </c>
      <c r="R312" s="82"/>
      <c r="S312" s="82"/>
      <c r="T312" s="87" t="s">
        <v>1086</v>
      </c>
      <c r="U312" s="82"/>
      <c r="V312" s="85" t="str">
        <f>HYPERLINK("https://pbs.twimg.com/profile_images/608573209559097344/wk2yMfY-_normal.png")</f>
        <v>https://pbs.twimg.com/profile_images/608573209559097344/wk2yMfY-_normal.png</v>
      </c>
      <c r="W312" s="84">
        <v>44518.63162037037</v>
      </c>
      <c r="X312" s="90">
        <v>44518</v>
      </c>
      <c r="Y312" s="87" t="s">
        <v>1365</v>
      </c>
      <c r="Z312" s="85" t="str">
        <f>HYPERLINK("https://twitter.com/behalalorg/status/1461350869010509838")</f>
        <v>https://twitter.com/behalalorg/status/1461350869010509838</v>
      </c>
      <c r="AA312" s="82"/>
      <c r="AB312" s="82"/>
      <c r="AC312" s="87" t="s">
        <v>1707</v>
      </c>
      <c r="AD312" s="87" t="s">
        <v>1708</v>
      </c>
      <c r="AE312" s="82" t="b">
        <v>0</v>
      </c>
      <c r="AF312" s="82">
        <v>0</v>
      </c>
      <c r="AG312" s="87" t="s">
        <v>1822</v>
      </c>
      <c r="AH312" s="82" t="b">
        <v>0</v>
      </c>
      <c r="AI312" s="82" t="s">
        <v>1826</v>
      </c>
      <c r="AJ312" s="82"/>
      <c r="AK312" s="87" t="s">
        <v>1815</v>
      </c>
      <c r="AL312" s="82" t="b">
        <v>0</v>
      </c>
      <c r="AM312" s="82">
        <v>0</v>
      </c>
      <c r="AN312" s="87" t="s">
        <v>1815</v>
      </c>
      <c r="AO312" s="87" t="s">
        <v>1852</v>
      </c>
      <c r="AP312" s="82" t="b">
        <v>0</v>
      </c>
      <c r="AQ312" s="87" t="s">
        <v>1708</v>
      </c>
      <c r="AR312" s="82"/>
      <c r="AS312" s="82">
        <v>0</v>
      </c>
      <c r="AT312" s="82">
        <v>0</v>
      </c>
      <c r="AU312" s="82"/>
      <c r="AV312" s="82"/>
      <c r="AW312" s="82"/>
      <c r="AX312" s="82"/>
      <c r="AY312" s="82"/>
      <c r="AZ312" s="82"/>
      <c r="BA312" s="82"/>
      <c r="BB312" s="82"/>
      <c r="BC312">
        <v>1</v>
      </c>
      <c r="BD312" s="81" t="str">
        <f>REPLACE(INDEX(GroupVertices[Group],MATCH(Edges[[#This Row],[Vertex 1]],GroupVertices[Vertex],0)),1,1,"")</f>
        <v>12</v>
      </c>
      <c r="BE312" s="81" t="str">
        <f>REPLACE(INDEX(GroupVertices[Group],MATCH(Edges[[#This Row],[Vertex 2]],GroupVertices[Vertex],0)),1,1,"")</f>
        <v>12</v>
      </c>
      <c r="BF312" s="49"/>
      <c r="BG312" s="50"/>
      <c r="BH312" s="49"/>
      <c r="BI312" s="50"/>
      <c r="BJ312" s="49"/>
      <c r="BK312" s="50"/>
      <c r="BL312" s="49"/>
      <c r="BM312" s="50"/>
      <c r="BN312" s="49"/>
    </row>
    <row r="313" spans="1:66" ht="15">
      <c r="A313" s="66" t="s">
        <v>389</v>
      </c>
      <c r="B313" s="66" t="s">
        <v>389</v>
      </c>
      <c r="C313" s="67" t="s">
        <v>4509</v>
      </c>
      <c r="D313" s="68">
        <v>3</v>
      </c>
      <c r="E313" s="69" t="s">
        <v>132</v>
      </c>
      <c r="F313" s="70">
        <v>32</v>
      </c>
      <c r="G313" s="67"/>
      <c r="H313" s="71"/>
      <c r="I313" s="72"/>
      <c r="J313" s="72"/>
      <c r="K313" s="35" t="s">
        <v>65</v>
      </c>
      <c r="L313" s="80">
        <v>313</v>
      </c>
      <c r="M313" s="80"/>
      <c r="N313" s="74"/>
      <c r="O313" s="82" t="s">
        <v>214</v>
      </c>
      <c r="P313" s="84">
        <v>44518.62767361111</v>
      </c>
      <c r="Q313" s="82" t="s">
        <v>791</v>
      </c>
      <c r="R313" s="82"/>
      <c r="S313" s="82"/>
      <c r="T313" s="87" t="s">
        <v>955</v>
      </c>
      <c r="U313" s="85" t="str">
        <f>HYPERLINK("https://pbs.twimg.com/media/FEfBkSrVQAUisds.jpg")</f>
        <v>https://pbs.twimg.com/media/FEfBkSrVQAUisds.jpg</v>
      </c>
      <c r="V313" s="85" t="str">
        <f>HYPERLINK("https://pbs.twimg.com/media/FEfBkSrVQAUisds.jpg")</f>
        <v>https://pbs.twimg.com/media/FEfBkSrVQAUisds.jpg</v>
      </c>
      <c r="W313" s="84">
        <v>44518.62767361111</v>
      </c>
      <c r="X313" s="90">
        <v>44518</v>
      </c>
      <c r="Y313" s="87" t="s">
        <v>1366</v>
      </c>
      <c r="Z313" s="85" t="str">
        <f>HYPERLINK("https://twitter.com/foodgov/status/1461349438367039497")</f>
        <v>https://twitter.com/foodgov/status/1461349438367039497</v>
      </c>
      <c r="AA313" s="82"/>
      <c r="AB313" s="82"/>
      <c r="AC313" s="87" t="s">
        <v>1708</v>
      </c>
      <c r="AD313" s="82"/>
      <c r="AE313" s="82" t="b">
        <v>0</v>
      </c>
      <c r="AF313" s="82">
        <v>11</v>
      </c>
      <c r="AG313" s="87" t="s">
        <v>1815</v>
      </c>
      <c r="AH313" s="82" t="b">
        <v>0</v>
      </c>
      <c r="AI313" s="82" t="s">
        <v>1826</v>
      </c>
      <c r="AJ313" s="82"/>
      <c r="AK313" s="87" t="s">
        <v>1815</v>
      </c>
      <c r="AL313" s="82" t="b">
        <v>0</v>
      </c>
      <c r="AM313" s="82">
        <v>6</v>
      </c>
      <c r="AN313" s="87" t="s">
        <v>1815</v>
      </c>
      <c r="AO313" s="87" t="s">
        <v>1855</v>
      </c>
      <c r="AP313" s="82" t="b">
        <v>0</v>
      </c>
      <c r="AQ313" s="87" t="s">
        <v>1708</v>
      </c>
      <c r="AR313" s="82"/>
      <c r="AS313" s="82">
        <v>0</v>
      </c>
      <c r="AT313" s="82">
        <v>0</v>
      </c>
      <c r="AU313" s="82"/>
      <c r="AV313" s="82"/>
      <c r="AW313" s="82"/>
      <c r="AX313" s="82"/>
      <c r="AY313" s="82"/>
      <c r="AZ313" s="82"/>
      <c r="BA313" s="82"/>
      <c r="BB313" s="82"/>
      <c r="BC313">
        <v>1</v>
      </c>
      <c r="BD313" s="81" t="str">
        <f>REPLACE(INDEX(GroupVertices[Group],MATCH(Edges[[#This Row],[Vertex 1]],GroupVertices[Vertex],0)),1,1,"")</f>
        <v>12</v>
      </c>
      <c r="BE313" s="81" t="str">
        <f>REPLACE(INDEX(GroupVertices[Group],MATCH(Edges[[#This Row],[Vertex 2]],GroupVertices[Vertex],0)),1,1,"")</f>
        <v>12</v>
      </c>
      <c r="BF313" s="49">
        <v>0</v>
      </c>
      <c r="BG313" s="50">
        <v>0</v>
      </c>
      <c r="BH313" s="49">
        <v>2</v>
      </c>
      <c r="BI313" s="50">
        <v>6.0606060606060606</v>
      </c>
      <c r="BJ313" s="49">
        <v>0</v>
      </c>
      <c r="BK313" s="50">
        <v>0</v>
      </c>
      <c r="BL313" s="49">
        <v>31</v>
      </c>
      <c r="BM313" s="50">
        <v>93.93939393939394</v>
      </c>
      <c r="BN313" s="49">
        <v>33</v>
      </c>
    </row>
    <row r="314" spans="1:66" ht="15">
      <c r="A314" s="66" t="s">
        <v>388</v>
      </c>
      <c r="B314" s="66" t="s">
        <v>389</v>
      </c>
      <c r="C314" s="67" t="s">
        <v>4509</v>
      </c>
      <c r="D314" s="68">
        <v>3</v>
      </c>
      <c r="E314" s="69" t="s">
        <v>132</v>
      </c>
      <c r="F314" s="70">
        <v>32</v>
      </c>
      <c r="G314" s="67"/>
      <c r="H314" s="71"/>
      <c r="I314" s="72"/>
      <c r="J314" s="72"/>
      <c r="K314" s="35" t="s">
        <v>65</v>
      </c>
      <c r="L314" s="80">
        <v>314</v>
      </c>
      <c r="M314" s="80"/>
      <c r="N314" s="74"/>
      <c r="O314" s="82" t="s">
        <v>529</v>
      </c>
      <c r="P314" s="84">
        <v>44518.63162037037</v>
      </c>
      <c r="Q314" s="82" t="s">
        <v>790</v>
      </c>
      <c r="R314" s="82"/>
      <c r="S314" s="82"/>
      <c r="T314" s="87" t="s">
        <v>1086</v>
      </c>
      <c r="U314" s="82"/>
      <c r="V314" s="85" t="str">
        <f>HYPERLINK("https://pbs.twimg.com/profile_images/608573209559097344/wk2yMfY-_normal.png")</f>
        <v>https://pbs.twimg.com/profile_images/608573209559097344/wk2yMfY-_normal.png</v>
      </c>
      <c r="W314" s="84">
        <v>44518.63162037037</v>
      </c>
      <c r="X314" s="90">
        <v>44518</v>
      </c>
      <c r="Y314" s="87" t="s">
        <v>1365</v>
      </c>
      <c r="Z314" s="85" t="str">
        <f>HYPERLINK("https://twitter.com/behalalorg/status/1461350869010509838")</f>
        <v>https://twitter.com/behalalorg/status/1461350869010509838</v>
      </c>
      <c r="AA314" s="82"/>
      <c r="AB314" s="82"/>
      <c r="AC314" s="87" t="s">
        <v>1707</v>
      </c>
      <c r="AD314" s="87" t="s">
        <v>1708</v>
      </c>
      <c r="AE314" s="82" t="b">
        <v>0</v>
      </c>
      <c r="AF314" s="82">
        <v>0</v>
      </c>
      <c r="AG314" s="87" t="s">
        <v>1822</v>
      </c>
      <c r="AH314" s="82" t="b">
        <v>0</v>
      </c>
      <c r="AI314" s="82" t="s">
        <v>1826</v>
      </c>
      <c r="AJ314" s="82"/>
      <c r="AK314" s="87" t="s">
        <v>1815</v>
      </c>
      <c r="AL314" s="82" t="b">
        <v>0</v>
      </c>
      <c r="AM314" s="82">
        <v>0</v>
      </c>
      <c r="AN314" s="87" t="s">
        <v>1815</v>
      </c>
      <c r="AO314" s="87" t="s">
        <v>1852</v>
      </c>
      <c r="AP314" s="82" t="b">
        <v>0</v>
      </c>
      <c r="AQ314" s="87" t="s">
        <v>1708</v>
      </c>
      <c r="AR314" s="82"/>
      <c r="AS314" s="82">
        <v>0</v>
      </c>
      <c r="AT314" s="82">
        <v>0</v>
      </c>
      <c r="AU314" s="82"/>
      <c r="AV314" s="82"/>
      <c r="AW314" s="82"/>
      <c r="AX314" s="82"/>
      <c r="AY314" s="82"/>
      <c r="AZ314" s="82"/>
      <c r="BA314" s="82"/>
      <c r="BB314" s="82"/>
      <c r="BC314">
        <v>1</v>
      </c>
      <c r="BD314" s="81" t="str">
        <f>REPLACE(INDEX(GroupVertices[Group],MATCH(Edges[[#This Row],[Vertex 1]],GroupVertices[Vertex],0)),1,1,"")</f>
        <v>12</v>
      </c>
      <c r="BE314" s="81" t="str">
        <f>REPLACE(INDEX(GroupVertices[Group],MATCH(Edges[[#This Row],[Vertex 2]],GroupVertices[Vertex],0)),1,1,"")</f>
        <v>12</v>
      </c>
      <c r="BF314" s="49">
        <v>2</v>
      </c>
      <c r="BG314" s="50">
        <v>7.142857142857143</v>
      </c>
      <c r="BH314" s="49">
        <v>2</v>
      </c>
      <c r="BI314" s="50">
        <v>7.142857142857143</v>
      </c>
      <c r="BJ314" s="49">
        <v>0</v>
      </c>
      <c r="BK314" s="50">
        <v>0</v>
      </c>
      <c r="BL314" s="49">
        <v>24</v>
      </c>
      <c r="BM314" s="50">
        <v>85.71428571428571</v>
      </c>
      <c r="BN314" s="49">
        <v>28</v>
      </c>
    </row>
    <row r="315" spans="1:66" ht="15">
      <c r="A315" s="66" t="s">
        <v>390</v>
      </c>
      <c r="B315" s="66" t="s">
        <v>390</v>
      </c>
      <c r="C315" s="67" t="s">
        <v>4509</v>
      </c>
      <c r="D315" s="68">
        <v>3</v>
      </c>
      <c r="E315" s="69" t="s">
        <v>132</v>
      </c>
      <c r="F315" s="70">
        <v>32</v>
      </c>
      <c r="G315" s="67"/>
      <c r="H315" s="71"/>
      <c r="I315" s="72"/>
      <c r="J315" s="72"/>
      <c r="K315" s="35" t="s">
        <v>65</v>
      </c>
      <c r="L315" s="80">
        <v>315</v>
      </c>
      <c r="M315" s="80"/>
      <c r="N315" s="74"/>
      <c r="O315" s="82" t="s">
        <v>214</v>
      </c>
      <c r="P315" s="84">
        <v>44518.63391203704</v>
      </c>
      <c r="Q315" s="82" t="s">
        <v>792</v>
      </c>
      <c r="R315" s="82"/>
      <c r="S315" s="82"/>
      <c r="T315" s="87" t="s">
        <v>966</v>
      </c>
      <c r="U315" s="85" t="str">
        <f>HYPERLINK("https://pbs.twimg.com/media/FEfDlZLVEBAXxog.jpg")</f>
        <v>https://pbs.twimg.com/media/FEfDlZLVEBAXxog.jpg</v>
      </c>
      <c r="V315" s="85" t="str">
        <f>HYPERLINK("https://pbs.twimg.com/media/FEfDlZLVEBAXxog.jpg")</f>
        <v>https://pbs.twimg.com/media/FEfDlZLVEBAXxog.jpg</v>
      </c>
      <c r="W315" s="84">
        <v>44518.63391203704</v>
      </c>
      <c r="X315" s="90">
        <v>44518</v>
      </c>
      <c r="Y315" s="87" t="s">
        <v>1290</v>
      </c>
      <c r="Z315" s="85" t="str">
        <f>HYPERLINK("https://twitter.com/drnawaz888/status/1461351699017191429")</f>
        <v>https://twitter.com/drnawaz888/status/1461351699017191429</v>
      </c>
      <c r="AA315" s="82"/>
      <c r="AB315" s="82"/>
      <c r="AC315" s="87" t="s">
        <v>1709</v>
      </c>
      <c r="AD315" s="82"/>
      <c r="AE315" s="82" t="b">
        <v>0</v>
      </c>
      <c r="AF315" s="82">
        <v>0</v>
      </c>
      <c r="AG315" s="87" t="s">
        <v>1815</v>
      </c>
      <c r="AH315" s="82" t="b">
        <v>0</v>
      </c>
      <c r="AI315" s="82" t="s">
        <v>1826</v>
      </c>
      <c r="AJ315" s="82"/>
      <c r="AK315" s="87" t="s">
        <v>1815</v>
      </c>
      <c r="AL315" s="82" t="b">
        <v>0</v>
      </c>
      <c r="AM315" s="82">
        <v>0</v>
      </c>
      <c r="AN315" s="87" t="s">
        <v>1815</v>
      </c>
      <c r="AO315" s="87" t="s">
        <v>1852</v>
      </c>
      <c r="AP315" s="82" t="b">
        <v>0</v>
      </c>
      <c r="AQ315" s="87" t="s">
        <v>1709</v>
      </c>
      <c r="AR315" s="82"/>
      <c r="AS315" s="82">
        <v>0</v>
      </c>
      <c r="AT315" s="82">
        <v>0</v>
      </c>
      <c r="AU315" s="82"/>
      <c r="AV315" s="82"/>
      <c r="AW315" s="82"/>
      <c r="AX315" s="82"/>
      <c r="AY315" s="82"/>
      <c r="AZ315" s="82"/>
      <c r="BA315" s="82"/>
      <c r="BB315" s="82"/>
      <c r="BC315">
        <v>1</v>
      </c>
      <c r="BD315" s="81" t="str">
        <f>REPLACE(INDEX(GroupVertices[Group],MATCH(Edges[[#This Row],[Vertex 1]],GroupVertices[Vertex],0)),1,1,"")</f>
        <v>1</v>
      </c>
      <c r="BE315" s="81" t="str">
        <f>REPLACE(INDEX(GroupVertices[Group],MATCH(Edges[[#This Row],[Vertex 2]],GroupVertices[Vertex],0)),1,1,"")</f>
        <v>1</v>
      </c>
      <c r="BF315" s="49">
        <v>1</v>
      </c>
      <c r="BG315" s="50">
        <v>3.7037037037037037</v>
      </c>
      <c r="BH315" s="49">
        <v>1</v>
      </c>
      <c r="BI315" s="50">
        <v>3.7037037037037037</v>
      </c>
      <c r="BJ315" s="49">
        <v>0</v>
      </c>
      <c r="BK315" s="50">
        <v>0</v>
      </c>
      <c r="BL315" s="49">
        <v>25</v>
      </c>
      <c r="BM315" s="50">
        <v>92.5925925925926</v>
      </c>
      <c r="BN315" s="49">
        <v>27</v>
      </c>
    </row>
    <row r="316" spans="1:66" ht="15">
      <c r="A316" s="66" t="s">
        <v>391</v>
      </c>
      <c r="B316" s="66" t="s">
        <v>507</v>
      </c>
      <c r="C316" s="67" t="s">
        <v>4509</v>
      </c>
      <c r="D316" s="68">
        <v>3</v>
      </c>
      <c r="E316" s="69" t="s">
        <v>132</v>
      </c>
      <c r="F316" s="70">
        <v>32</v>
      </c>
      <c r="G316" s="67"/>
      <c r="H316" s="71"/>
      <c r="I316" s="72"/>
      <c r="J316" s="72"/>
      <c r="K316" s="35" t="s">
        <v>65</v>
      </c>
      <c r="L316" s="80">
        <v>316</v>
      </c>
      <c r="M316" s="80"/>
      <c r="N316" s="74"/>
      <c r="O316" s="82" t="s">
        <v>528</v>
      </c>
      <c r="P316" s="84">
        <v>44518.63516203704</v>
      </c>
      <c r="Q316" s="82" t="s">
        <v>793</v>
      </c>
      <c r="R316" s="82"/>
      <c r="S316" s="82"/>
      <c r="T316" s="87" t="s">
        <v>1087</v>
      </c>
      <c r="U316" s="85" t="str">
        <f>HYPERLINK("https://pbs.twimg.com/media/FEfECEKVcAo-cHe.jpg")</f>
        <v>https://pbs.twimg.com/media/FEfECEKVcAo-cHe.jpg</v>
      </c>
      <c r="V316" s="85" t="str">
        <f>HYPERLINK("https://pbs.twimg.com/media/FEfECEKVcAo-cHe.jpg")</f>
        <v>https://pbs.twimg.com/media/FEfECEKVcAo-cHe.jpg</v>
      </c>
      <c r="W316" s="84">
        <v>44518.63516203704</v>
      </c>
      <c r="X316" s="90">
        <v>44518</v>
      </c>
      <c r="Y316" s="87" t="s">
        <v>1367</v>
      </c>
      <c r="Z316" s="85" t="str">
        <f>HYPERLINK("https://twitter.com/cuh_ams/status/1461352151452557315")</f>
        <v>https://twitter.com/cuh_ams/status/1461352151452557315</v>
      </c>
      <c r="AA316" s="82"/>
      <c r="AB316" s="82"/>
      <c r="AC316" s="87" t="s">
        <v>1710</v>
      </c>
      <c r="AD316" s="82"/>
      <c r="AE316" s="82" t="b">
        <v>0</v>
      </c>
      <c r="AF316" s="82">
        <v>35</v>
      </c>
      <c r="AG316" s="87" t="s">
        <v>1815</v>
      </c>
      <c r="AH316" s="82" t="b">
        <v>0</v>
      </c>
      <c r="AI316" s="82" t="s">
        <v>1826</v>
      </c>
      <c r="AJ316" s="82"/>
      <c r="AK316" s="87" t="s">
        <v>1815</v>
      </c>
      <c r="AL316" s="82" t="b">
        <v>0</v>
      </c>
      <c r="AM316" s="82">
        <v>10</v>
      </c>
      <c r="AN316" s="87" t="s">
        <v>1815</v>
      </c>
      <c r="AO316" s="87" t="s">
        <v>1851</v>
      </c>
      <c r="AP316" s="82" t="b">
        <v>0</v>
      </c>
      <c r="AQ316" s="87" t="s">
        <v>1710</v>
      </c>
      <c r="AR316" s="82"/>
      <c r="AS316" s="82">
        <v>0</v>
      </c>
      <c r="AT316" s="82">
        <v>0</v>
      </c>
      <c r="AU316" s="82"/>
      <c r="AV316" s="82"/>
      <c r="AW316" s="82"/>
      <c r="AX316" s="82"/>
      <c r="AY316" s="82"/>
      <c r="AZ316" s="82"/>
      <c r="BA316" s="82"/>
      <c r="BB316" s="82"/>
      <c r="BC316">
        <v>1</v>
      </c>
      <c r="BD316" s="81" t="str">
        <f>REPLACE(INDEX(GroupVertices[Group],MATCH(Edges[[#This Row],[Vertex 1]],GroupVertices[Vertex],0)),1,1,"")</f>
        <v>9</v>
      </c>
      <c r="BE316" s="81" t="str">
        <f>REPLACE(INDEX(GroupVertices[Group],MATCH(Edges[[#This Row],[Vertex 2]],GroupVertices[Vertex],0)),1,1,"")</f>
        <v>9</v>
      </c>
      <c r="BF316" s="49"/>
      <c r="BG316" s="50"/>
      <c r="BH316" s="49"/>
      <c r="BI316" s="50"/>
      <c r="BJ316" s="49"/>
      <c r="BK316" s="50"/>
      <c r="BL316" s="49"/>
      <c r="BM316" s="50"/>
      <c r="BN316" s="49"/>
    </row>
    <row r="317" spans="1:66" ht="15">
      <c r="A317" s="66" t="s">
        <v>391</v>
      </c>
      <c r="B317" s="66" t="s">
        <v>508</v>
      </c>
      <c r="C317" s="67" t="s">
        <v>4509</v>
      </c>
      <c r="D317" s="68">
        <v>3</v>
      </c>
      <c r="E317" s="69" t="s">
        <v>132</v>
      </c>
      <c r="F317" s="70">
        <v>32</v>
      </c>
      <c r="G317" s="67"/>
      <c r="H317" s="71"/>
      <c r="I317" s="72"/>
      <c r="J317" s="72"/>
      <c r="K317" s="35" t="s">
        <v>65</v>
      </c>
      <c r="L317" s="80">
        <v>317</v>
      </c>
      <c r="M317" s="80"/>
      <c r="N317" s="74"/>
      <c r="O317" s="82" t="s">
        <v>528</v>
      </c>
      <c r="P317" s="84">
        <v>44518.63516203704</v>
      </c>
      <c r="Q317" s="82" t="s">
        <v>793</v>
      </c>
      <c r="R317" s="82"/>
      <c r="S317" s="82"/>
      <c r="T317" s="87" t="s">
        <v>1087</v>
      </c>
      <c r="U317" s="85" t="str">
        <f>HYPERLINK("https://pbs.twimg.com/media/FEfECEKVcAo-cHe.jpg")</f>
        <v>https://pbs.twimg.com/media/FEfECEKVcAo-cHe.jpg</v>
      </c>
      <c r="V317" s="85" t="str">
        <f>HYPERLINK("https://pbs.twimg.com/media/FEfECEKVcAo-cHe.jpg")</f>
        <v>https://pbs.twimg.com/media/FEfECEKVcAo-cHe.jpg</v>
      </c>
      <c r="W317" s="84">
        <v>44518.63516203704</v>
      </c>
      <c r="X317" s="90">
        <v>44518</v>
      </c>
      <c r="Y317" s="87" t="s">
        <v>1367</v>
      </c>
      <c r="Z317" s="85" t="str">
        <f>HYPERLINK("https://twitter.com/cuh_ams/status/1461352151452557315")</f>
        <v>https://twitter.com/cuh_ams/status/1461352151452557315</v>
      </c>
      <c r="AA317" s="82"/>
      <c r="AB317" s="82"/>
      <c r="AC317" s="87" t="s">
        <v>1710</v>
      </c>
      <c r="AD317" s="82"/>
      <c r="AE317" s="82" t="b">
        <v>0</v>
      </c>
      <c r="AF317" s="82">
        <v>35</v>
      </c>
      <c r="AG317" s="87" t="s">
        <v>1815</v>
      </c>
      <c r="AH317" s="82" t="b">
        <v>0</v>
      </c>
      <c r="AI317" s="82" t="s">
        <v>1826</v>
      </c>
      <c r="AJ317" s="82"/>
      <c r="AK317" s="87" t="s">
        <v>1815</v>
      </c>
      <c r="AL317" s="82" t="b">
        <v>0</v>
      </c>
      <c r="AM317" s="82">
        <v>10</v>
      </c>
      <c r="AN317" s="87" t="s">
        <v>1815</v>
      </c>
      <c r="AO317" s="87" t="s">
        <v>1851</v>
      </c>
      <c r="AP317" s="82" t="b">
        <v>0</v>
      </c>
      <c r="AQ317" s="87" t="s">
        <v>1710</v>
      </c>
      <c r="AR317" s="82"/>
      <c r="AS317" s="82">
        <v>0</v>
      </c>
      <c r="AT317" s="82">
        <v>0</v>
      </c>
      <c r="AU317" s="82"/>
      <c r="AV317" s="82"/>
      <c r="AW317" s="82"/>
      <c r="AX317" s="82"/>
      <c r="AY317" s="82"/>
      <c r="AZ317" s="82"/>
      <c r="BA317" s="82"/>
      <c r="BB317" s="82"/>
      <c r="BC317">
        <v>1</v>
      </c>
      <c r="BD317" s="81" t="str">
        <f>REPLACE(INDEX(GroupVertices[Group],MATCH(Edges[[#This Row],[Vertex 1]],GroupVertices[Vertex],0)),1,1,"")</f>
        <v>9</v>
      </c>
      <c r="BE317" s="81" t="str">
        <f>REPLACE(INDEX(GroupVertices[Group],MATCH(Edges[[#This Row],[Vertex 2]],GroupVertices[Vertex],0)),1,1,"")</f>
        <v>9</v>
      </c>
      <c r="BF317" s="49"/>
      <c r="BG317" s="50"/>
      <c r="BH317" s="49"/>
      <c r="BI317" s="50"/>
      <c r="BJ317" s="49"/>
      <c r="BK317" s="50"/>
      <c r="BL317" s="49"/>
      <c r="BM317" s="50"/>
      <c r="BN317" s="49"/>
    </row>
    <row r="318" spans="1:66" ht="15">
      <c r="A318" s="66" t="s">
        <v>391</v>
      </c>
      <c r="B318" s="66" t="s">
        <v>509</v>
      </c>
      <c r="C318" s="67" t="s">
        <v>4509</v>
      </c>
      <c r="D318" s="68">
        <v>3</v>
      </c>
      <c r="E318" s="69" t="s">
        <v>132</v>
      </c>
      <c r="F318" s="70">
        <v>32</v>
      </c>
      <c r="G318" s="67"/>
      <c r="H318" s="71"/>
      <c r="I318" s="72"/>
      <c r="J318" s="72"/>
      <c r="K318" s="35" t="s">
        <v>65</v>
      </c>
      <c r="L318" s="80">
        <v>318</v>
      </c>
      <c r="M318" s="80"/>
      <c r="N318" s="74"/>
      <c r="O318" s="82" t="s">
        <v>528</v>
      </c>
      <c r="P318" s="84">
        <v>44518.63516203704</v>
      </c>
      <c r="Q318" s="82" t="s">
        <v>793</v>
      </c>
      <c r="R318" s="82"/>
      <c r="S318" s="82"/>
      <c r="T318" s="87" t="s">
        <v>1087</v>
      </c>
      <c r="U318" s="85" t="str">
        <f>HYPERLINK("https://pbs.twimg.com/media/FEfECEKVcAo-cHe.jpg")</f>
        <v>https://pbs.twimg.com/media/FEfECEKVcAo-cHe.jpg</v>
      </c>
      <c r="V318" s="85" t="str">
        <f>HYPERLINK("https://pbs.twimg.com/media/FEfECEKVcAo-cHe.jpg")</f>
        <v>https://pbs.twimg.com/media/FEfECEKVcAo-cHe.jpg</v>
      </c>
      <c r="W318" s="84">
        <v>44518.63516203704</v>
      </c>
      <c r="X318" s="90">
        <v>44518</v>
      </c>
      <c r="Y318" s="87" t="s">
        <v>1367</v>
      </c>
      <c r="Z318" s="85" t="str">
        <f>HYPERLINK("https://twitter.com/cuh_ams/status/1461352151452557315")</f>
        <v>https://twitter.com/cuh_ams/status/1461352151452557315</v>
      </c>
      <c r="AA318" s="82"/>
      <c r="AB318" s="82"/>
      <c r="AC318" s="87" t="s">
        <v>1710</v>
      </c>
      <c r="AD318" s="82"/>
      <c r="AE318" s="82" t="b">
        <v>0</v>
      </c>
      <c r="AF318" s="82">
        <v>35</v>
      </c>
      <c r="AG318" s="87" t="s">
        <v>1815</v>
      </c>
      <c r="AH318" s="82" t="b">
        <v>0</v>
      </c>
      <c r="AI318" s="82" t="s">
        <v>1826</v>
      </c>
      <c r="AJ318" s="82"/>
      <c r="AK318" s="87" t="s">
        <v>1815</v>
      </c>
      <c r="AL318" s="82" t="b">
        <v>0</v>
      </c>
      <c r="AM318" s="82">
        <v>10</v>
      </c>
      <c r="AN318" s="87" t="s">
        <v>1815</v>
      </c>
      <c r="AO318" s="87" t="s">
        <v>1851</v>
      </c>
      <c r="AP318" s="82" t="b">
        <v>0</v>
      </c>
      <c r="AQ318" s="87" t="s">
        <v>1710</v>
      </c>
      <c r="AR318" s="82"/>
      <c r="AS318" s="82">
        <v>0</v>
      </c>
      <c r="AT318" s="82">
        <v>0</v>
      </c>
      <c r="AU318" s="82"/>
      <c r="AV318" s="82"/>
      <c r="AW318" s="82"/>
      <c r="AX318" s="82"/>
      <c r="AY318" s="82"/>
      <c r="AZ318" s="82"/>
      <c r="BA318" s="82"/>
      <c r="BB318" s="82"/>
      <c r="BC318">
        <v>1</v>
      </c>
      <c r="BD318" s="81" t="str">
        <f>REPLACE(INDEX(GroupVertices[Group],MATCH(Edges[[#This Row],[Vertex 1]],GroupVertices[Vertex],0)),1,1,"")</f>
        <v>9</v>
      </c>
      <c r="BE318" s="81" t="str">
        <f>REPLACE(INDEX(GroupVertices[Group],MATCH(Edges[[#This Row],[Vertex 2]],GroupVertices[Vertex],0)),1,1,"")</f>
        <v>9</v>
      </c>
      <c r="BF318" s="49"/>
      <c r="BG318" s="50"/>
      <c r="BH318" s="49"/>
      <c r="BI318" s="50"/>
      <c r="BJ318" s="49"/>
      <c r="BK318" s="50"/>
      <c r="BL318" s="49"/>
      <c r="BM318" s="50"/>
      <c r="BN318" s="49"/>
    </row>
    <row r="319" spans="1:66" ht="15">
      <c r="A319" s="66" t="s">
        <v>391</v>
      </c>
      <c r="B319" s="66" t="s">
        <v>510</v>
      </c>
      <c r="C319" s="67" t="s">
        <v>4509</v>
      </c>
      <c r="D319" s="68">
        <v>3</v>
      </c>
      <c r="E319" s="69" t="s">
        <v>132</v>
      </c>
      <c r="F319" s="70">
        <v>32</v>
      </c>
      <c r="G319" s="67"/>
      <c r="H319" s="71"/>
      <c r="I319" s="72"/>
      <c r="J319" s="72"/>
      <c r="K319" s="35" t="s">
        <v>65</v>
      </c>
      <c r="L319" s="80">
        <v>319</v>
      </c>
      <c r="M319" s="80"/>
      <c r="N319" s="74"/>
      <c r="O319" s="82" t="s">
        <v>528</v>
      </c>
      <c r="P319" s="84">
        <v>44518.63516203704</v>
      </c>
      <c r="Q319" s="82" t="s">
        <v>793</v>
      </c>
      <c r="R319" s="82"/>
      <c r="S319" s="82"/>
      <c r="T319" s="87" t="s">
        <v>1087</v>
      </c>
      <c r="U319" s="85" t="str">
        <f>HYPERLINK("https://pbs.twimg.com/media/FEfECEKVcAo-cHe.jpg")</f>
        <v>https://pbs.twimg.com/media/FEfECEKVcAo-cHe.jpg</v>
      </c>
      <c r="V319" s="85" t="str">
        <f>HYPERLINK("https://pbs.twimg.com/media/FEfECEKVcAo-cHe.jpg")</f>
        <v>https://pbs.twimg.com/media/FEfECEKVcAo-cHe.jpg</v>
      </c>
      <c r="W319" s="84">
        <v>44518.63516203704</v>
      </c>
      <c r="X319" s="90">
        <v>44518</v>
      </c>
      <c r="Y319" s="87" t="s">
        <v>1367</v>
      </c>
      <c r="Z319" s="85" t="str">
        <f>HYPERLINK("https://twitter.com/cuh_ams/status/1461352151452557315")</f>
        <v>https://twitter.com/cuh_ams/status/1461352151452557315</v>
      </c>
      <c r="AA319" s="82"/>
      <c r="AB319" s="82"/>
      <c r="AC319" s="87" t="s">
        <v>1710</v>
      </c>
      <c r="AD319" s="82"/>
      <c r="AE319" s="82" t="b">
        <v>0</v>
      </c>
      <c r="AF319" s="82">
        <v>35</v>
      </c>
      <c r="AG319" s="87" t="s">
        <v>1815</v>
      </c>
      <c r="AH319" s="82" t="b">
        <v>0</v>
      </c>
      <c r="AI319" s="82" t="s">
        <v>1826</v>
      </c>
      <c r="AJ319" s="82"/>
      <c r="AK319" s="87" t="s">
        <v>1815</v>
      </c>
      <c r="AL319" s="82" t="b">
        <v>0</v>
      </c>
      <c r="AM319" s="82">
        <v>10</v>
      </c>
      <c r="AN319" s="87" t="s">
        <v>1815</v>
      </c>
      <c r="AO319" s="87" t="s">
        <v>1851</v>
      </c>
      <c r="AP319" s="82" t="b">
        <v>0</v>
      </c>
      <c r="AQ319" s="87" t="s">
        <v>1710</v>
      </c>
      <c r="AR319" s="82"/>
      <c r="AS319" s="82">
        <v>0</v>
      </c>
      <c r="AT319" s="82">
        <v>0</v>
      </c>
      <c r="AU319" s="82"/>
      <c r="AV319" s="82"/>
      <c r="AW319" s="82"/>
      <c r="AX319" s="82"/>
      <c r="AY319" s="82"/>
      <c r="AZ319" s="82"/>
      <c r="BA319" s="82"/>
      <c r="BB319" s="82"/>
      <c r="BC319">
        <v>1</v>
      </c>
      <c r="BD319" s="81" t="str">
        <f>REPLACE(INDEX(GroupVertices[Group],MATCH(Edges[[#This Row],[Vertex 1]],GroupVertices[Vertex],0)),1,1,"")</f>
        <v>9</v>
      </c>
      <c r="BE319" s="81" t="str">
        <f>REPLACE(INDEX(GroupVertices[Group],MATCH(Edges[[#This Row],[Vertex 2]],GroupVertices[Vertex],0)),1,1,"")</f>
        <v>9</v>
      </c>
      <c r="BF319" s="49"/>
      <c r="BG319" s="50"/>
      <c r="BH319" s="49"/>
      <c r="BI319" s="50"/>
      <c r="BJ319" s="49"/>
      <c r="BK319" s="50"/>
      <c r="BL319" s="49"/>
      <c r="BM319" s="50"/>
      <c r="BN319" s="49"/>
    </row>
    <row r="320" spans="1:66" ht="15">
      <c r="A320" s="66" t="s">
        <v>391</v>
      </c>
      <c r="B320" s="66" t="s">
        <v>511</v>
      </c>
      <c r="C320" s="67" t="s">
        <v>4509</v>
      </c>
      <c r="D320" s="68">
        <v>3</v>
      </c>
      <c r="E320" s="69" t="s">
        <v>132</v>
      </c>
      <c r="F320" s="70">
        <v>32</v>
      </c>
      <c r="G320" s="67"/>
      <c r="H320" s="71"/>
      <c r="I320" s="72"/>
      <c r="J320" s="72"/>
      <c r="K320" s="35" t="s">
        <v>65</v>
      </c>
      <c r="L320" s="80">
        <v>320</v>
      </c>
      <c r="M320" s="80"/>
      <c r="N320" s="74"/>
      <c r="O320" s="82" t="s">
        <v>528</v>
      </c>
      <c r="P320" s="84">
        <v>44518.63516203704</v>
      </c>
      <c r="Q320" s="82" t="s">
        <v>793</v>
      </c>
      <c r="R320" s="82"/>
      <c r="S320" s="82"/>
      <c r="T320" s="87" t="s">
        <v>1087</v>
      </c>
      <c r="U320" s="85" t="str">
        <f>HYPERLINK("https://pbs.twimg.com/media/FEfECEKVcAo-cHe.jpg")</f>
        <v>https://pbs.twimg.com/media/FEfECEKVcAo-cHe.jpg</v>
      </c>
      <c r="V320" s="85" t="str">
        <f>HYPERLINK("https://pbs.twimg.com/media/FEfECEKVcAo-cHe.jpg")</f>
        <v>https://pbs.twimg.com/media/FEfECEKVcAo-cHe.jpg</v>
      </c>
      <c r="W320" s="84">
        <v>44518.63516203704</v>
      </c>
      <c r="X320" s="90">
        <v>44518</v>
      </c>
      <c r="Y320" s="87" t="s">
        <v>1367</v>
      </c>
      <c r="Z320" s="85" t="str">
        <f>HYPERLINK("https://twitter.com/cuh_ams/status/1461352151452557315")</f>
        <v>https://twitter.com/cuh_ams/status/1461352151452557315</v>
      </c>
      <c r="AA320" s="82"/>
      <c r="AB320" s="82"/>
      <c r="AC320" s="87" t="s">
        <v>1710</v>
      </c>
      <c r="AD320" s="82"/>
      <c r="AE320" s="82" t="b">
        <v>0</v>
      </c>
      <c r="AF320" s="82">
        <v>35</v>
      </c>
      <c r="AG320" s="87" t="s">
        <v>1815</v>
      </c>
      <c r="AH320" s="82" t="b">
        <v>0</v>
      </c>
      <c r="AI320" s="82" t="s">
        <v>1826</v>
      </c>
      <c r="AJ320" s="82"/>
      <c r="AK320" s="87" t="s">
        <v>1815</v>
      </c>
      <c r="AL320" s="82" t="b">
        <v>0</v>
      </c>
      <c r="AM320" s="82">
        <v>10</v>
      </c>
      <c r="AN320" s="87" t="s">
        <v>1815</v>
      </c>
      <c r="AO320" s="87" t="s">
        <v>1851</v>
      </c>
      <c r="AP320" s="82" t="b">
        <v>0</v>
      </c>
      <c r="AQ320" s="87" t="s">
        <v>1710</v>
      </c>
      <c r="AR320" s="82"/>
      <c r="AS320" s="82">
        <v>0</v>
      </c>
      <c r="AT320" s="82">
        <v>0</v>
      </c>
      <c r="AU320" s="82"/>
      <c r="AV320" s="82"/>
      <c r="AW320" s="82"/>
      <c r="AX320" s="82"/>
      <c r="AY320" s="82"/>
      <c r="AZ320" s="82"/>
      <c r="BA320" s="82"/>
      <c r="BB320" s="82"/>
      <c r="BC320">
        <v>1</v>
      </c>
      <c r="BD320" s="81" t="str">
        <f>REPLACE(INDEX(GroupVertices[Group],MATCH(Edges[[#This Row],[Vertex 1]],GroupVertices[Vertex],0)),1,1,"")</f>
        <v>9</v>
      </c>
      <c r="BE320" s="81" t="str">
        <f>REPLACE(INDEX(GroupVertices[Group],MATCH(Edges[[#This Row],[Vertex 2]],GroupVertices[Vertex],0)),1,1,"")</f>
        <v>9</v>
      </c>
      <c r="BF320" s="49">
        <v>0</v>
      </c>
      <c r="BG320" s="50">
        <v>0</v>
      </c>
      <c r="BH320" s="49">
        <v>0</v>
      </c>
      <c r="BI320" s="50">
        <v>0</v>
      </c>
      <c r="BJ320" s="49">
        <v>0</v>
      </c>
      <c r="BK320" s="50">
        <v>0</v>
      </c>
      <c r="BL320" s="49">
        <v>15</v>
      </c>
      <c r="BM320" s="50">
        <v>100</v>
      </c>
      <c r="BN320" s="49">
        <v>15</v>
      </c>
    </row>
    <row r="321" spans="1:66" ht="15">
      <c r="A321" s="66" t="s">
        <v>392</v>
      </c>
      <c r="B321" s="66" t="s">
        <v>512</v>
      </c>
      <c r="C321" s="67" t="s">
        <v>4509</v>
      </c>
      <c r="D321" s="68">
        <v>3</v>
      </c>
      <c r="E321" s="69" t="s">
        <v>132</v>
      </c>
      <c r="F321" s="70">
        <v>32</v>
      </c>
      <c r="G321" s="67"/>
      <c r="H321" s="71"/>
      <c r="I321" s="72"/>
      <c r="J321" s="72"/>
      <c r="K321" s="35" t="s">
        <v>65</v>
      </c>
      <c r="L321" s="80">
        <v>321</v>
      </c>
      <c r="M321" s="80"/>
      <c r="N321" s="74"/>
      <c r="O321" s="82" t="s">
        <v>528</v>
      </c>
      <c r="P321" s="84">
        <v>44518.64275462963</v>
      </c>
      <c r="Q321" s="82" t="s">
        <v>794</v>
      </c>
      <c r="R321" s="82"/>
      <c r="S321" s="82"/>
      <c r="T321" s="87" t="s">
        <v>1088</v>
      </c>
      <c r="U321" s="85" t="str">
        <f>HYPERLINK("https://pbs.twimg.com/media/FEfFFSBUcAAbJiK.jpg")</f>
        <v>https://pbs.twimg.com/media/FEfFFSBUcAAbJiK.jpg</v>
      </c>
      <c r="V321" s="85" t="str">
        <f>HYPERLINK("https://pbs.twimg.com/media/FEfFFSBUcAAbJiK.jpg")</f>
        <v>https://pbs.twimg.com/media/FEfFFSBUcAAbJiK.jpg</v>
      </c>
      <c r="W321" s="84">
        <v>44518.64275462963</v>
      </c>
      <c r="X321" s="90">
        <v>44518</v>
      </c>
      <c r="Y321" s="87" t="s">
        <v>1368</v>
      </c>
      <c r="Z321" s="85" t="str">
        <f>HYPERLINK("https://twitter.com/ekhuftpathology/status/1461354904056844306")</f>
        <v>https://twitter.com/ekhuftpathology/status/1461354904056844306</v>
      </c>
      <c r="AA321" s="82"/>
      <c r="AB321" s="82"/>
      <c r="AC321" s="87" t="s">
        <v>1711</v>
      </c>
      <c r="AD321" s="82"/>
      <c r="AE321" s="82" t="b">
        <v>0</v>
      </c>
      <c r="AF321" s="82">
        <v>20</v>
      </c>
      <c r="AG321" s="87" t="s">
        <v>1815</v>
      </c>
      <c r="AH321" s="82" t="b">
        <v>0</v>
      </c>
      <c r="AI321" s="82" t="s">
        <v>1826</v>
      </c>
      <c r="AJ321" s="82"/>
      <c r="AK321" s="87" t="s">
        <v>1815</v>
      </c>
      <c r="AL321" s="82" t="b">
        <v>0</v>
      </c>
      <c r="AM321" s="82">
        <v>5</v>
      </c>
      <c r="AN321" s="87" t="s">
        <v>1815</v>
      </c>
      <c r="AO321" s="87" t="s">
        <v>1850</v>
      </c>
      <c r="AP321" s="82" t="b">
        <v>0</v>
      </c>
      <c r="AQ321" s="87" t="s">
        <v>1711</v>
      </c>
      <c r="AR321" s="82"/>
      <c r="AS321" s="82">
        <v>0</v>
      </c>
      <c r="AT321" s="82">
        <v>0</v>
      </c>
      <c r="AU321" s="82"/>
      <c r="AV321" s="82"/>
      <c r="AW321" s="82"/>
      <c r="AX321" s="82"/>
      <c r="AY321" s="82"/>
      <c r="AZ321" s="82"/>
      <c r="BA321" s="82"/>
      <c r="BB321" s="82"/>
      <c r="BC321">
        <v>1</v>
      </c>
      <c r="BD321" s="81" t="str">
        <f>REPLACE(INDEX(GroupVertices[Group],MATCH(Edges[[#This Row],[Vertex 1]],GroupVertices[Vertex],0)),1,1,"")</f>
        <v>2</v>
      </c>
      <c r="BE321" s="81" t="str">
        <f>REPLACE(INDEX(GroupVertices[Group],MATCH(Edges[[#This Row],[Vertex 2]],GroupVertices[Vertex],0)),1,1,"")</f>
        <v>2</v>
      </c>
      <c r="BF321" s="49">
        <v>0</v>
      </c>
      <c r="BG321" s="50">
        <v>0</v>
      </c>
      <c r="BH321" s="49">
        <v>0</v>
      </c>
      <c r="BI321" s="50">
        <v>0</v>
      </c>
      <c r="BJ321" s="49">
        <v>0</v>
      </c>
      <c r="BK321" s="50">
        <v>0</v>
      </c>
      <c r="BL321" s="49">
        <v>16</v>
      </c>
      <c r="BM321" s="50">
        <v>100</v>
      </c>
      <c r="BN321" s="49">
        <v>16</v>
      </c>
    </row>
    <row r="322" spans="1:66" ht="15">
      <c r="A322" s="66" t="s">
        <v>392</v>
      </c>
      <c r="B322" s="66" t="s">
        <v>429</v>
      </c>
      <c r="C322" s="67" t="s">
        <v>4509</v>
      </c>
      <c r="D322" s="68">
        <v>3</v>
      </c>
      <c r="E322" s="69" t="s">
        <v>132</v>
      </c>
      <c r="F322" s="70">
        <v>32</v>
      </c>
      <c r="G322" s="67"/>
      <c r="H322" s="71"/>
      <c r="I322" s="72"/>
      <c r="J322" s="72"/>
      <c r="K322" s="35" t="s">
        <v>65</v>
      </c>
      <c r="L322" s="80">
        <v>322</v>
      </c>
      <c r="M322" s="80"/>
      <c r="N322" s="74"/>
      <c r="O322" s="82" t="s">
        <v>528</v>
      </c>
      <c r="P322" s="84">
        <v>44518.64275462963</v>
      </c>
      <c r="Q322" s="82" t="s">
        <v>794</v>
      </c>
      <c r="R322" s="82"/>
      <c r="S322" s="82"/>
      <c r="T322" s="87" t="s">
        <v>1088</v>
      </c>
      <c r="U322" s="85" t="str">
        <f>HYPERLINK("https://pbs.twimg.com/media/FEfFFSBUcAAbJiK.jpg")</f>
        <v>https://pbs.twimg.com/media/FEfFFSBUcAAbJiK.jpg</v>
      </c>
      <c r="V322" s="85" t="str">
        <f>HYPERLINK("https://pbs.twimg.com/media/FEfFFSBUcAAbJiK.jpg")</f>
        <v>https://pbs.twimg.com/media/FEfFFSBUcAAbJiK.jpg</v>
      </c>
      <c r="W322" s="84">
        <v>44518.64275462963</v>
      </c>
      <c r="X322" s="90">
        <v>44518</v>
      </c>
      <c r="Y322" s="87" t="s">
        <v>1368</v>
      </c>
      <c r="Z322" s="85" t="str">
        <f>HYPERLINK("https://twitter.com/ekhuftpathology/status/1461354904056844306")</f>
        <v>https://twitter.com/ekhuftpathology/status/1461354904056844306</v>
      </c>
      <c r="AA322" s="82"/>
      <c r="AB322" s="82"/>
      <c r="AC322" s="87" t="s">
        <v>1711</v>
      </c>
      <c r="AD322" s="82"/>
      <c r="AE322" s="82" t="b">
        <v>0</v>
      </c>
      <c r="AF322" s="82">
        <v>20</v>
      </c>
      <c r="AG322" s="87" t="s">
        <v>1815</v>
      </c>
      <c r="AH322" s="82" t="b">
        <v>0</v>
      </c>
      <c r="AI322" s="82" t="s">
        <v>1826</v>
      </c>
      <c r="AJ322" s="82"/>
      <c r="AK322" s="87" t="s">
        <v>1815</v>
      </c>
      <c r="AL322" s="82" t="b">
        <v>0</v>
      </c>
      <c r="AM322" s="82">
        <v>5</v>
      </c>
      <c r="AN322" s="87" t="s">
        <v>1815</v>
      </c>
      <c r="AO322" s="87" t="s">
        <v>1850</v>
      </c>
      <c r="AP322" s="82" t="b">
        <v>0</v>
      </c>
      <c r="AQ322" s="87" t="s">
        <v>1711</v>
      </c>
      <c r="AR322" s="82"/>
      <c r="AS322" s="82">
        <v>0</v>
      </c>
      <c r="AT322" s="82">
        <v>0</v>
      </c>
      <c r="AU322" s="82"/>
      <c r="AV322" s="82"/>
      <c r="AW322" s="82"/>
      <c r="AX322" s="82"/>
      <c r="AY322" s="82"/>
      <c r="AZ322" s="82"/>
      <c r="BA322" s="82"/>
      <c r="BB322" s="82"/>
      <c r="BC322">
        <v>1</v>
      </c>
      <c r="BD322" s="81" t="str">
        <f>REPLACE(INDEX(GroupVertices[Group],MATCH(Edges[[#This Row],[Vertex 1]],GroupVertices[Vertex],0)),1,1,"")</f>
        <v>2</v>
      </c>
      <c r="BE322" s="81" t="str">
        <f>REPLACE(INDEX(GroupVertices[Group],MATCH(Edges[[#This Row],[Vertex 2]],GroupVertices[Vertex],0)),1,1,"")</f>
        <v>2</v>
      </c>
      <c r="BF322" s="49"/>
      <c r="BG322" s="50"/>
      <c r="BH322" s="49"/>
      <c r="BI322" s="50"/>
      <c r="BJ322" s="49"/>
      <c r="BK322" s="50"/>
      <c r="BL322" s="49"/>
      <c r="BM322" s="50"/>
      <c r="BN322" s="49"/>
    </row>
    <row r="323" spans="1:66" ht="15">
      <c r="A323" s="66" t="s">
        <v>392</v>
      </c>
      <c r="B323" s="66" t="s">
        <v>504</v>
      </c>
      <c r="C323" s="67" t="s">
        <v>4509</v>
      </c>
      <c r="D323" s="68">
        <v>3</v>
      </c>
      <c r="E323" s="69" t="s">
        <v>132</v>
      </c>
      <c r="F323" s="70">
        <v>32</v>
      </c>
      <c r="G323" s="67"/>
      <c r="H323" s="71"/>
      <c r="I323" s="72"/>
      <c r="J323" s="72"/>
      <c r="K323" s="35" t="s">
        <v>65</v>
      </c>
      <c r="L323" s="80">
        <v>323</v>
      </c>
      <c r="M323" s="80"/>
      <c r="N323" s="74"/>
      <c r="O323" s="82" t="s">
        <v>528</v>
      </c>
      <c r="P323" s="84">
        <v>44518.64275462963</v>
      </c>
      <c r="Q323" s="82" t="s">
        <v>794</v>
      </c>
      <c r="R323" s="82"/>
      <c r="S323" s="82"/>
      <c r="T323" s="87" t="s">
        <v>1088</v>
      </c>
      <c r="U323" s="85" t="str">
        <f>HYPERLINK("https://pbs.twimg.com/media/FEfFFSBUcAAbJiK.jpg")</f>
        <v>https://pbs.twimg.com/media/FEfFFSBUcAAbJiK.jpg</v>
      </c>
      <c r="V323" s="85" t="str">
        <f>HYPERLINK("https://pbs.twimg.com/media/FEfFFSBUcAAbJiK.jpg")</f>
        <v>https://pbs.twimg.com/media/FEfFFSBUcAAbJiK.jpg</v>
      </c>
      <c r="W323" s="84">
        <v>44518.64275462963</v>
      </c>
      <c r="X323" s="90">
        <v>44518</v>
      </c>
      <c r="Y323" s="87" t="s">
        <v>1368</v>
      </c>
      <c r="Z323" s="85" t="str">
        <f>HYPERLINK("https://twitter.com/ekhuftpathology/status/1461354904056844306")</f>
        <v>https://twitter.com/ekhuftpathology/status/1461354904056844306</v>
      </c>
      <c r="AA323" s="82"/>
      <c r="AB323" s="82"/>
      <c r="AC323" s="87" t="s">
        <v>1711</v>
      </c>
      <c r="AD323" s="82"/>
      <c r="AE323" s="82" t="b">
        <v>0</v>
      </c>
      <c r="AF323" s="82">
        <v>20</v>
      </c>
      <c r="AG323" s="87" t="s">
        <v>1815</v>
      </c>
      <c r="AH323" s="82" t="b">
        <v>0</v>
      </c>
      <c r="AI323" s="82" t="s">
        <v>1826</v>
      </c>
      <c r="AJ323" s="82"/>
      <c r="AK323" s="87" t="s">
        <v>1815</v>
      </c>
      <c r="AL323" s="82" t="b">
        <v>0</v>
      </c>
      <c r="AM323" s="82">
        <v>5</v>
      </c>
      <c r="AN323" s="87" t="s">
        <v>1815</v>
      </c>
      <c r="AO323" s="87" t="s">
        <v>1850</v>
      </c>
      <c r="AP323" s="82" t="b">
        <v>0</v>
      </c>
      <c r="AQ323" s="87" t="s">
        <v>1711</v>
      </c>
      <c r="AR323" s="82"/>
      <c r="AS323" s="82">
        <v>0</v>
      </c>
      <c r="AT323" s="82">
        <v>0</v>
      </c>
      <c r="AU323" s="82"/>
      <c r="AV323" s="82"/>
      <c r="AW323" s="82"/>
      <c r="AX323" s="82"/>
      <c r="AY323" s="82"/>
      <c r="AZ323" s="82"/>
      <c r="BA323" s="82"/>
      <c r="BB323" s="82"/>
      <c r="BC323">
        <v>1</v>
      </c>
      <c r="BD323" s="81" t="str">
        <f>REPLACE(INDEX(GroupVertices[Group],MATCH(Edges[[#This Row],[Vertex 1]],GroupVertices[Vertex],0)),1,1,"")</f>
        <v>2</v>
      </c>
      <c r="BE323" s="81" t="str">
        <f>REPLACE(INDEX(GroupVertices[Group],MATCH(Edges[[#This Row],[Vertex 2]],GroupVertices[Vertex],0)),1,1,"")</f>
        <v>2</v>
      </c>
      <c r="BF323" s="49"/>
      <c r="BG323" s="50"/>
      <c r="BH323" s="49"/>
      <c r="BI323" s="50"/>
      <c r="BJ323" s="49"/>
      <c r="BK323" s="50"/>
      <c r="BL323" s="49"/>
      <c r="BM323" s="50"/>
      <c r="BN323" s="49"/>
    </row>
    <row r="324" spans="1:66" ht="15">
      <c r="A324" s="66" t="s">
        <v>393</v>
      </c>
      <c r="B324" s="66" t="s">
        <v>393</v>
      </c>
      <c r="C324" s="67" t="s">
        <v>4509</v>
      </c>
      <c r="D324" s="68">
        <v>3</v>
      </c>
      <c r="E324" s="69" t="s">
        <v>132</v>
      </c>
      <c r="F324" s="70">
        <v>32</v>
      </c>
      <c r="G324" s="67"/>
      <c r="H324" s="71"/>
      <c r="I324" s="72"/>
      <c r="J324" s="72"/>
      <c r="K324" s="35" t="s">
        <v>65</v>
      </c>
      <c r="L324" s="80">
        <v>324</v>
      </c>
      <c r="M324" s="80"/>
      <c r="N324" s="74"/>
      <c r="O324" s="82" t="s">
        <v>214</v>
      </c>
      <c r="P324" s="84">
        <v>44518.62530092592</v>
      </c>
      <c r="Q324" s="82" t="s">
        <v>795</v>
      </c>
      <c r="R324" s="85" t="str">
        <f>HYPERLINK("https://www.cdc.gov/drugresistance/covid19.html")</f>
        <v>https://www.cdc.gov/drugresistance/covid19.html</v>
      </c>
      <c r="S324" s="82" t="s">
        <v>903</v>
      </c>
      <c r="T324" s="87" t="s">
        <v>954</v>
      </c>
      <c r="U324" s="85" t="str">
        <f>HYPERLINK("https://pbs.twimg.com/media/FEfAySEVgAwC7Qc.jpg")</f>
        <v>https://pbs.twimg.com/media/FEfAySEVgAwC7Qc.jpg</v>
      </c>
      <c r="V324" s="85" t="str">
        <f>HYPERLINK("https://pbs.twimg.com/media/FEfAySEVgAwC7Qc.jpg")</f>
        <v>https://pbs.twimg.com/media/FEfAySEVgAwC7Qc.jpg</v>
      </c>
      <c r="W324" s="84">
        <v>44518.62530092592</v>
      </c>
      <c r="X324" s="90">
        <v>44518</v>
      </c>
      <c r="Y324" s="87" t="s">
        <v>1369</v>
      </c>
      <c r="Z324" s="85" t="str">
        <f>HYPERLINK("https://twitter.com/adhpio/status/1461348577918083093")</f>
        <v>https://twitter.com/adhpio/status/1461348577918083093</v>
      </c>
      <c r="AA324" s="82"/>
      <c r="AB324" s="82"/>
      <c r="AC324" s="87" t="s">
        <v>1712</v>
      </c>
      <c r="AD324" s="82"/>
      <c r="AE324" s="82" t="b">
        <v>0</v>
      </c>
      <c r="AF324" s="82">
        <v>6</v>
      </c>
      <c r="AG324" s="87" t="s">
        <v>1815</v>
      </c>
      <c r="AH324" s="82" t="b">
        <v>0</v>
      </c>
      <c r="AI324" s="82" t="s">
        <v>1826</v>
      </c>
      <c r="AJ324" s="82"/>
      <c r="AK324" s="87" t="s">
        <v>1815</v>
      </c>
      <c r="AL324" s="82" t="b">
        <v>0</v>
      </c>
      <c r="AM324" s="82">
        <v>3</v>
      </c>
      <c r="AN324" s="87" t="s">
        <v>1815</v>
      </c>
      <c r="AO324" s="87" t="s">
        <v>1864</v>
      </c>
      <c r="AP324" s="82" t="b">
        <v>0</v>
      </c>
      <c r="AQ324" s="87" t="s">
        <v>1712</v>
      </c>
      <c r="AR324" s="82"/>
      <c r="AS324" s="82">
        <v>0</v>
      </c>
      <c r="AT324" s="82">
        <v>0</v>
      </c>
      <c r="AU324" s="82"/>
      <c r="AV324" s="82"/>
      <c r="AW324" s="82"/>
      <c r="AX324" s="82"/>
      <c r="AY324" s="82"/>
      <c r="AZ324" s="82"/>
      <c r="BA324" s="82"/>
      <c r="BB324" s="82"/>
      <c r="BC324">
        <v>1</v>
      </c>
      <c r="BD324" s="81" t="str">
        <f>REPLACE(INDEX(GroupVertices[Group],MATCH(Edges[[#This Row],[Vertex 1]],GroupVertices[Vertex],0)),1,1,"")</f>
        <v>1</v>
      </c>
      <c r="BE324" s="81" t="str">
        <f>REPLACE(INDEX(GroupVertices[Group],MATCH(Edges[[#This Row],[Vertex 2]],GroupVertices[Vertex],0)),1,1,"")</f>
        <v>1</v>
      </c>
      <c r="BF324" s="49">
        <v>0</v>
      </c>
      <c r="BG324" s="50">
        <v>0</v>
      </c>
      <c r="BH324" s="49">
        <v>2</v>
      </c>
      <c r="BI324" s="50">
        <v>5.882352941176471</v>
      </c>
      <c r="BJ324" s="49">
        <v>0</v>
      </c>
      <c r="BK324" s="50">
        <v>0</v>
      </c>
      <c r="BL324" s="49">
        <v>32</v>
      </c>
      <c r="BM324" s="50">
        <v>94.11764705882354</v>
      </c>
      <c r="BN324" s="49">
        <v>34</v>
      </c>
    </row>
    <row r="325" spans="1:66" ht="15">
      <c r="A325" s="66" t="s">
        <v>394</v>
      </c>
      <c r="B325" s="66" t="s">
        <v>394</v>
      </c>
      <c r="C325" s="67" t="s">
        <v>4509</v>
      </c>
      <c r="D325" s="68">
        <v>3</v>
      </c>
      <c r="E325" s="69" t="s">
        <v>132</v>
      </c>
      <c r="F325" s="70">
        <v>32</v>
      </c>
      <c r="G325" s="67"/>
      <c r="H325" s="71"/>
      <c r="I325" s="72"/>
      <c r="J325" s="72"/>
      <c r="K325" s="35" t="s">
        <v>65</v>
      </c>
      <c r="L325" s="80">
        <v>325</v>
      </c>
      <c r="M325" s="80"/>
      <c r="N325" s="74"/>
      <c r="O325" s="82" t="s">
        <v>214</v>
      </c>
      <c r="P325" s="84">
        <v>44518.63076388889</v>
      </c>
      <c r="Q325" s="82" t="s">
        <v>796</v>
      </c>
      <c r="R325" s="85" t="str">
        <f>HYPERLINK("https://twitter.com/CDCgov/status/1461348550298587140")</f>
        <v>https://twitter.com/CDCgov/status/1461348550298587140</v>
      </c>
      <c r="S325" s="82" t="s">
        <v>914</v>
      </c>
      <c r="T325" s="87" t="s">
        <v>990</v>
      </c>
      <c r="U325" s="82"/>
      <c r="V325" s="85" t="str">
        <f>HYPERLINK("https://pbs.twimg.com/profile_images/1417970916311568389/6nWNsSAN_normal.jpg")</f>
        <v>https://pbs.twimg.com/profile_images/1417970916311568389/6nWNsSAN_normal.jpg</v>
      </c>
      <c r="W325" s="84">
        <v>44518.63076388889</v>
      </c>
      <c r="X325" s="90">
        <v>44518</v>
      </c>
      <c r="Y325" s="87" t="s">
        <v>1370</v>
      </c>
      <c r="Z325" s="85" t="str">
        <f>HYPERLINK("https://twitter.com/dirty_drinks/status/1461350557449216004")</f>
        <v>https://twitter.com/dirty_drinks/status/1461350557449216004</v>
      </c>
      <c r="AA325" s="82"/>
      <c r="AB325" s="82"/>
      <c r="AC325" s="87" t="s">
        <v>1713</v>
      </c>
      <c r="AD325" s="82"/>
      <c r="AE325" s="82" t="b">
        <v>0</v>
      </c>
      <c r="AF325" s="82">
        <v>2</v>
      </c>
      <c r="AG325" s="87" t="s">
        <v>1815</v>
      </c>
      <c r="AH325" s="82" t="b">
        <v>1</v>
      </c>
      <c r="AI325" s="82" t="s">
        <v>1826</v>
      </c>
      <c r="AJ325" s="82"/>
      <c r="AK325" s="87" t="s">
        <v>1762</v>
      </c>
      <c r="AL325" s="82" t="b">
        <v>0</v>
      </c>
      <c r="AM325" s="82">
        <v>2</v>
      </c>
      <c r="AN325" s="87" t="s">
        <v>1815</v>
      </c>
      <c r="AO325" s="87" t="s">
        <v>1850</v>
      </c>
      <c r="AP325" s="82" t="b">
        <v>0</v>
      </c>
      <c r="AQ325" s="87" t="s">
        <v>1713</v>
      </c>
      <c r="AR325" s="82"/>
      <c r="AS325" s="82">
        <v>0</v>
      </c>
      <c r="AT325" s="82">
        <v>0</v>
      </c>
      <c r="AU325" s="82"/>
      <c r="AV325" s="82"/>
      <c r="AW325" s="82"/>
      <c r="AX325" s="82"/>
      <c r="AY325" s="82"/>
      <c r="AZ325" s="82"/>
      <c r="BA325" s="82"/>
      <c r="BB325" s="82"/>
      <c r="BC325">
        <v>1</v>
      </c>
      <c r="BD325" s="81" t="str">
        <f>REPLACE(INDEX(GroupVertices[Group],MATCH(Edges[[#This Row],[Vertex 1]],GroupVertices[Vertex],0)),1,1,"")</f>
        <v>1</v>
      </c>
      <c r="BE325" s="81" t="str">
        <f>REPLACE(INDEX(GroupVertices[Group],MATCH(Edges[[#This Row],[Vertex 2]],GroupVertices[Vertex],0)),1,1,"")</f>
        <v>1</v>
      </c>
      <c r="BF325" s="49">
        <v>0</v>
      </c>
      <c r="BG325" s="50">
        <v>0</v>
      </c>
      <c r="BH325" s="49">
        <v>0</v>
      </c>
      <c r="BI325" s="50">
        <v>0</v>
      </c>
      <c r="BJ325" s="49">
        <v>0</v>
      </c>
      <c r="BK325" s="50">
        <v>0</v>
      </c>
      <c r="BL325" s="49">
        <v>13</v>
      </c>
      <c r="BM325" s="50">
        <v>100</v>
      </c>
      <c r="BN325" s="49">
        <v>13</v>
      </c>
    </row>
    <row r="326" spans="1:66" ht="15">
      <c r="A326" s="66" t="s">
        <v>395</v>
      </c>
      <c r="B326" s="66" t="s">
        <v>395</v>
      </c>
      <c r="C326" s="67" t="s">
        <v>4512</v>
      </c>
      <c r="D326" s="68">
        <v>4.2727272727272725</v>
      </c>
      <c r="E326" s="69" t="s">
        <v>136</v>
      </c>
      <c r="F326" s="70">
        <v>30.594594594594593</v>
      </c>
      <c r="G326" s="67"/>
      <c r="H326" s="71"/>
      <c r="I326" s="72"/>
      <c r="J326" s="72"/>
      <c r="K326" s="35" t="s">
        <v>65</v>
      </c>
      <c r="L326" s="80">
        <v>326</v>
      </c>
      <c r="M326" s="80"/>
      <c r="N326" s="74"/>
      <c r="O326" s="82" t="s">
        <v>214</v>
      </c>
      <c r="P326" s="84">
        <v>44518.62849537037</v>
      </c>
      <c r="Q326" s="82" t="s">
        <v>797</v>
      </c>
      <c r="R326" s="85" t="str">
        <f>HYPERLINK("https://www.cdc.gov/drugresistance/covid19.html")</f>
        <v>https://www.cdc.gov/drugresistance/covid19.html</v>
      </c>
      <c r="S326" s="82" t="s">
        <v>903</v>
      </c>
      <c r="T326" s="87" t="s">
        <v>1089</v>
      </c>
      <c r="U326" s="85" t="str">
        <f>HYPERLINK("https://pbs.twimg.com/media/FEfB1zZVEAgAeiw.jpg")</f>
        <v>https://pbs.twimg.com/media/FEfB1zZVEAgAeiw.jpg</v>
      </c>
      <c r="V326" s="85" t="str">
        <f>HYPERLINK("https://pbs.twimg.com/media/FEfB1zZVEAgAeiw.jpg")</f>
        <v>https://pbs.twimg.com/media/FEfB1zZVEAgAeiw.jpg</v>
      </c>
      <c r="W326" s="84">
        <v>44518.62849537037</v>
      </c>
      <c r="X326" s="90">
        <v>44518</v>
      </c>
      <c r="Y326" s="87" t="s">
        <v>1371</v>
      </c>
      <c r="Z326" s="85" t="str">
        <f>HYPERLINK("https://twitter.com/cdc_ncezid/status/1461349738670804996")</f>
        <v>https://twitter.com/cdc_ncezid/status/1461349738670804996</v>
      </c>
      <c r="AA326" s="82"/>
      <c r="AB326" s="82"/>
      <c r="AC326" s="87" t="s">
        <v>1714</v>
      </c>
      <c r="AD326" s="82"/>
      <c r="AE326" s="82" t="b">
        <v>0</v>
      </c>
      <c r="AF326" s="82">
        <v>29</v>
      </c>
      <c r="AG326" s="87" t="s">
        <v>1815</v>
      </c>
      <c r="AH326" s="82" t="b">
        <v>0</v>
      </c>
      <c r="AI326" s="82" t="s">
        <v>1826</v>
      </c>
      <c r="AJ326" s="82"/>
      <c r="AK326" s="87" t="s">
        <v>1815</v>
      </c>
      <c r="AL326" s="82" t="b">
        <v>0</v>
      </c>
      <c r="AM326" s="82">
        <v>26</v>
      </c>
      <c r="AN326" s="87" t="s">
        <v>1815</v>
      </c>
      <c r="AO326" s="87" t="s">
        <v>1856</v>
      </c>
      <c r="AP326" s="82" t="b">
        <v>0</v>
      </c>
      <c r="AQ326" s="87" t="s">
        <v>1714</v>
      </c>
      <c r="AR326" s="82"/>
      <c r="AS326" s="82">
        <v>0</v>
      </c>
      <c r="AT326" s="82">
        <v>0</v>
      </c>
      <c r="AU326" s="82"/>
      <c r="AV326" s="82"/>
      <c r="AW326" s="82"/>
      <c r="AX326" s="82"/>
      <c r="AY326" s="82"/>
      <c r="AZ326" s="82"/>
      <c r="BA326" s="82"/>
      <c r="BB326" s="82"/>
      <c r="BC326">
        <v>3</v>
      </c>
      <c r="BD326" s="81" t="str">
        <f>REPLACE(INDEX(GroupVertices[Group],MATCH(Edges[[#This Row],[Vertex 1]],GroupVertices[Vertex],0)),1,1,"")</f>
        <v>1</v>
      </c>
      <c r="BE326" s="81" t="str">
        <f>REPLACE(INDEX(GroupVertices[Group],MATCH(Edges[[#This Row],[Vertex 2]],GroupVertices[Vertex],0)),1,1,"")</f>
        <v>1</v>
      </c>
      <c r="BF326" s="49">
        <v>2</v>
      </c>
      <c r="BG326" s="50">
        <v>5.555555555555555</v>
      </c>
      <c r="BH326" s="49">
        <v>1</v>
      </c>
      <c r="BI326" s="50">
        <v>2.7777777777777777</v>
      </c>
      <c r="BJ326" s="49">
        <v>0</v>
      </c>
      <c r="BK326" s="50">
        <v>0</v>
      </c>
      <c r="BL326" s="49">
        <v>33</v>
      </c>
      <c r="BM326" s="50">
        <v>91.66666666666667</v>
      </c>
      <c r="BN326" s="49">
        <v>36</v>
      </c>
    </row>
    <row r="327" spans="1:66" ht="15">
      <c r="A327" s="66" t="s">
        <v>395</v>
      </c>
      <c r="B327" s="66" t="s">
        <v>395</v>
      </c>
      <c r="C327" s="67" t="s">
        <v>4512</v>
      </c>
      <c r="D327" s="68">
        <v>4.2727272727272725</v>
      </c>
      <c r="E327" s="69" t="s">
        <v>136</v>
      </c>
      <c r="F327" s="70">
        <v>30.594594594594593</v>
      </c>
      <c r="G327" s="67"/>
      <c r="H327" s="71"/>
      <c r="I327" s="72"/>
      <c r="J327" s="72"/>
      <c r="K327" s="35" t="s">
        <v>65</v>
      </c>
      <c r="L327" s="80">
        <v>327</v>
      </c>
      <c r="M327" s="80"/>
      <c r="N327" s="74"/>
      <c r="O327" s="82" t="s">
        <v>214</v>
      </c>
      <c r="P327" s="84">
        <v>44518.642384259256</v>
      </c>
      <c r="Q327" s="82" t="s">
        <v>798</v>
      </c>
      <c r="R327" s="85" t="str">
        <f>HYPERLINK("https://www.cdc.gov/antibiotic-use/q-a.html")</f>
        <v>https://www.cdc.gov/antibiotic-use/q-a.html</v>
      </c>
      <c r="S327" s="82" t="s">
        <v>903</v>
      </c>
      <c r="T327" s="87" t="s">
        <v>1090</v>
      </c>
      <c r="U327" s="85" t="str">
        <f>HYPERLINK("https://pbs.twimg.com/media/FEfGanlUcAEOpg_.jpg")</f>
        <v>https://pbs.twimg.com/media/FEfGanlUcAEOpg_.jpg</v>
      </c>
      <c r="V327" s="85" t="str">
        <f>HYPERLINK("https://pbs.twimg.com/media/FEfGanlUcAEOpg_.jpg")</f>
        <v>https://pbs.twimg.com/media/FEfGanlUcAEOpg_.jpg</v>
      </c>
      <c r="W327" s="84">
        <v>44518.642384259256</v>
      </c>
      <c r="X327" s="90">
        <v>44518</v>
      </c>
      <c r="Y327" s="87" t="s">
        <v>1372</v>
      </c>
      <c r="Z327" s="85" t="str">
        <f>HYPERLINK("https://twitter.com/cdc_ncezid/status/1461354771298750466")</f>
        <v>https://twitter.com/cdc_ncezid/status/1461354771298750466</v>
      </c>
      <c r="AA327" s="82"/>
      <c r="AB327" s="82"/>
      <c r="AC327" s="87" t="s">
        <v>1715</v>
      </c>
      <c r="AD327" s="82"/>
      <c r="AE327" s="82" t="b">
        <v>0</v>
      </c>
      <c r="AF327" s="82">
        <v>18</v>
      </c>
      <c r="AG327" s="87" t="s">
        <v>1815</v>
      </c>
      <c r="AH327" s="82" t="b">
        <v>0</v>
      </c>
      <c r="AI327" s="82" t="s">
        <v>1826</v>
      </c>
      <c r="AJ327" s="82"/>
      <c r="AK327" s="87" t="s">
        <v>1815</v>
      </c>
      <c r="AL327" s="82" t="b">
        <v>0</v>
      </c>
      <c r="AM327" s="82">
        <v>10</v>
      </c>
      <c r="AN327" s="87" t="s">
        <v>1815</v>
      </c>
      <c r="AO327" s="87" t="s">
        <v>1856</v>
      </c>
      <c r="AP327" s="82" t="b">
        <v>0</v>
      </c>
      <c r="AQ327" s="87" t="s">
        <v>1715</v>
      </c>
      <c r="AR327" s="82"/>
      <c r="AS327" s="82">
        <v>0</v>
      </c>
      <c r="AT327" s="82">
        <v>0</v>
      </c>
      <c r="AU327" s="82"/>
      <c r="AV327" s="82"/>
      <c r="AW327" s="82"/>
      <c r="AX327" s="82"/>
      <c r="AY327" s="82"/>
      <c r="AZ327" s="82"/>
      <c r="BA327" s="82"/>
      <c r="BB327" s="82"/>
      <c r="BC327">
        <v>3</v>
      </c>
      <c r="BD327" s="81" t="str">
        <f>REPLACE(INDEX(GroupVertices[Group],MATCH(Edges[[#This Row],[Vertex 1]],GroupVertices[Vertex],0)),1,1,"")</f>
        <v>1</v>
      </c>
      <c r="BE327" s="81" t="str">
        <f>REPLACE(INDEX(GroupVertices[Group],MATCH(Edges[[#This Row],[Vertex 2]],GroupVertices[Vertex],0)),1,1,"")</f>
        <v>1</v>
      </c>
      <c r="BF327" s="49">
        <v>0</v>
      </c>
      <c r="BG327" s="50">
        <v>0</v>
      </c>
      <c r="BH327" s="49">
        <v>1</v>
      </c>
      <c r="BI327" s="50">
        <v>2.9411764705882355</v>
      </c>
      <c r="BJ327" s="49">
        <v>0</v>
      </c>
      <c r="BK327" s="50">
        <v>0</v>
      </c>
      <c r="BL327" s="49">
        <v>33</v>
      </c>
      <c r="BM327" s="50">
        <v>97.05882352941177</v>
      </c>
      <c r="BN327" s="49">
        <v>34</v>
      </c>
    </row>
    <row r="328" spans="1:66" ht="15">
      <c r="A328" s="66" t="s">
        <v>395</v>
      </c>
      <c r="B328" s="66" t="s">
        <v>395</v>
      </c>
      <c r="C328" s="67" t="s">
        <v>4512</v>
      </c>
      <c r="D328" s="68">
        <v>4.2727272727272725</v>
      </c>
      <c r="E328" s="69" t="s">
        <v>136</v>
      </c>
      <c r="F328" s="70">
        <v>30.594594594594593</v>
      </c>
      <c r="G328" s="67"/>
      <c r="H328" s="71"/>
      <c r="I328" s="72"/>
      <c r="J328" s="72"/>
      <c r="K328" s="35" t="s">
        <v>65</v>
      </c>
      <c r="L328" s="80">
        <v>328</v>
      </c>
      <c r="M328" s="80"/>
      <c r="N328" s="74"/>
      <c r="O328" s="82" t="s">
        <v>214</v>
      </c>
      <c r="P328" s="84">
        <v>44518.65630787037</v>
      </c>
      <c r="Q328" s="82" t="s">
        <v>799</v>
      </c>
      <c r="R328" s="85" t="str">
        <f>HYPERLINK("https://www.cdc.gov/drugresistance/protecting_yourself_family.html")</f>
        <v>https://www.cdc.gov/drugresistance/protecting_yourself_family.html</v>
      </c>
      <c r="S328" s="82" t="s">
        <v>903</v>
      </c>
      <c r="T328" s="87" t="s">
        <v>1043</v>
      </c>
      <c r="U328" s="85" t="str">
        <f>HYPERLINK("https://pbs.twimg.com/media/FEfK_5nVcAc5bFt.jpg")</f>
        <v>https://pbs.twimg.com/media/FEfK_5nVcAc5bFt.jpg</v>
      </c>
      <c r="V328" s="85" t="str">
        <f>HYPERLINK("https://pbs.twimg.com/media/FEfK_5nVcAc5bFt.jpg")</f>
        <v>https://pbs.twimg.com/media/FEfK_5nVcAc5bFt.jpg</v>
      </c>
      <c r="W328" s="84">
        <v>44518.65630787037</v>
      </c>
      <c r="X328" s="90">
        <v>44518</v>
      </c>
      <c r="Y328" s="87" t="s">
        <v>1373</v>
      </c>
      <c r="Z328" s="85" t="str">
        <f>HYPERLINK("https://twitter.com/cdc_ncezid/status/1461359815381323776")</f>
        <v>https://twitter.com/cdc_ncezid/status/1461359815381323776</v>
      </c>
      <c r="AA328" s="82"/>
      <c r="AB328" s="82"/>
      <c r="AC328" s="87" t="s">
        <v>1716</v>
      </c>
      <c r="AD328" s="82"/>
      <c r="AE328" s="82" t="b">
        <v>0</v>
      </c>
      <c r="AF328" s="82">
        <v>11</v>
      </c>
      <c r="AG328" s="87" t="s">
        <v>1815</v>
      </c>
      <c r="AH328" s="82" t="b">
        <v>0</v>
      </c>
      <c r="AI328" s="82" t="s">
        <v>1826</v>
      </c>
      <c r="AJ328" s="82"/>
      <c r="AK328" s="87" t="s">
        <v>1815</v>
      </c>
      <c r="AL328" s="82" t="b">
        <v>0</v>
      </c>
      <c r="AM328" s="82">
        <v>10</v>
      </c>
      <c r="AN328" s="87" t="s">
        <v>1815</v>
      </c>
      <c r="AO328" s="87" t="s">
        <v>1856</v>
      </c>
      <c r="AP328" s="82" t="b">
        <v>0</v>
      </c>
      <c r="AQ328" s="87" t="s">
        <v>1716</v>
      </c>
      <c r="AR328" s="82"/>
      <c r="AS328" s="82">
        <v>0</v>
      </c>
      <c r="AT328" s="82">
        <v>0</v>
      </c>
      <c r="AU328" s="82"/>
      <c r="AV328" s="82"/>
      <c r="AW328" s="82"/>
      <c r="AX328" s="82"/>
      <c r="AY328" s="82"/>
      <c r="AZ328" s="82"/>
      <c r="BA328" s="82"/>
      <c r="BB328" s="82"/>
      <c r="BC328">
        <v>3</v>
      </c>
      <c r="BD328" s="81" t="str">
        <f>REPLACE(INDEX(GroupVertices[Group],MATCH(Edges[[#This Row],[Vertex 1]],GroupVertices[Vertex],0)),1,1,"")</f>
        <v>1</v>
      </c>
      <c r="BE328" s="81" t="str">
        <f>REPLACE(INDEX(GroupVertices[Group],MATCH(Edges[[#This Row],[Vertex 2]],GroupVertices[Vertex],0)),1,1,"")</f>
        <v>1</v>
      </c>
      <c r="BF328" s="49">
        <v>2</v>
      </c>
      <c r="BG328" s="50">
        <v>5.128205128205129</v>
      </c>
      <c r="BH328" s="49">
        <v>2</v>
      </c>
      <c r="BI328" s="50">
        <v>5.128205128205129</v>
      </c>
      <c r="BJ328" s="49">
        <v>0</v>
      </c>
      <c r="BK328" s="50">
        <v>0</v>
      </c>
      <c r="BL328" s="49">
        <v>35</v>
      </c>
      <c r="BM328" s="50">
        <v>89.74358974358974</v>
      </c>
      <c r="BN328" s="49">
        <v>39</v>
      </c>
    </row>
    <row r="329" spans="1:66" ht="15">
      <c r="A329" s="66" t="s">
        <v>396</v>
      </c>
      <c r="B329" s="66" t="s">
        <v>396</v>
      </c>
      <c r="C329" s="67" t="s">
        <v>4509</v>
      </c>
      <c r="D329" s="68">
        <v>3</v>
      </c>
      <c r="E329" s="69" t="s">
        <v>132</v>
      </c>
      <c r="F329" s="70">
        <v>32</v>
      </c>
      <c r="G329" s="67"/>
      <c r="H329" s="71"/>
      <c r="I329" s="72"/>
      <c r="J329" s="72"/>
      <c r="K329" s="35" t="s">
        <v>65</v>
      </c>
      <c r="L329" s="80">
        <v>329</v>
      </c>
      <c r="M329" s="80"/>
      <c r="N329" s="74"/>
      <c r="O329" s="82" t="s">
        <v>214</v>
      </c>
      <c r="P329" s="84">
        <v>44518.62608796296</v>
      </c>
      <c r="Q329" s="82" t="s">
        <v>800</v>
      </c>
      <c r="R329" s="85" t="str">
        <f>HYPERLINK("https://r.socialstudio.radian6.com/ad471473-3f66-4916-a42c-e59c8366baae")</f>
        <v>https://r.socialstudio.radian6.com/ad471473-3f66-4916-a42c-e59c8366baae</v>
      </c>
      <c r="S329" s="82" t="s">
        <v>940</v>
      </c>
      <c r="T329" s="87" t="s">
        <v>1091</v>
      </c>
      <c r="U329" s="82"/>
      <c r="V329" s="85" t="str">
        <f>HYPERLINK("https://pbs.twimg.com/profile_images/1410598528598962181/3jJ-9TW2_normal.jpg")</f>
        <v>https://pbs.twimg.com/profile_images/1410598528598962181/3jJ-9TW2_normal.jpg</v>
      </c>
      <c r="W329" s="84">
        <v>44518.62608796296</v>
      </c>
      <c r="X329" s="90">
        <v>44518</v>
      </c>
      <c r="Y329" s="87" t="s">
        <v>1374</v>
      </c>
      <c r="Z329" s="85" t="str">
        <f>HYPERLINK("https://twitter.com/bdandco/status/1461348864254873618")</f>
        <v>https://twitter.com/bdandco/status/1461348864254873618</v>
      </c>
      <c r="AA329" s="82"/>
      <c r="AB329" s="82"/>
      <c r="AC329" s="87" t="s">
        <v>1717</v>
      </c>
      <c r="AD329" s="82"/>
      <c r="AE329" s="82" t="b">
        <v>0</v>
      </c>
      <c r="AF329" s="82">
        <v>3</v>
      </c>
      <c r="AG329" s="87" t="s">
        <v>1815</v>
      </c>
      <c r="AH329" s="82" t="b">
        <v>0</v>
      </c>
      <c r="AI329" s="82" t="s">
        <v>1826</v>
      </c>
      <c r="AJ329" s="82"/>
      <c r="AK329" s="87" t="s">
        <v>1815</v>
      </c>
      <c r="AL329" s="82" t="b">
        <v>0</v>
      </c>
      <c r="AM329" s="82">
        <v>1</v>
      </c>
      <c r="AN329" s="87" t="s">
        <v>1815</v>
      </c>
      <c r="AO329" s="87" t="s">
        <v>1865</v>
      </c>
      <c r="AP329" s="82" t="b">
        <v>0</v>
      </c>
      <c r="AQ329" s="87" t="s">
        <v>1717</v>
      </c>
      <c r="AR329" s="82"/>
      <c r="AS329" s="82">
        <v>0</v>
      </c>
      <c r="AT329" s="82">
        <v>0</v>
      </c>
      <c r="AU329" s="82"/>
      <c r="AV329" s="82"/>
      <c r="AW329" s="82"/>
      <c r="AX329" s="82"/>
      <c r="AY329" s="82"/>
      <c r="AZ329" s="82"/>
      <c r="BA329" s="82"/>
      <c r="BB329" s="82"/>
      <c r="BC329">
        <v>1</v>
      </c>
      <c r="BD329" s="81" t="str">
        <f>REPLACE(INDEX(GroupVertices[Group],MATCH(Edges[[#This Row],[Vertex 1]],GroupVertices[Vertex],0)),1,1,"")</f>
        <v>1</v>
      </c>
      <c r="BE329" s="81" t="str">
        <f>REPLACE(INDEX(GroupVertices[Group],MATCH(Edges[[#This Row],[Vertex 2]],GroupVertices[Vertex],0)),1,1,"")</f>
        <v>1</v>
      </c>
      <c r="BF329" s="49">
        <v>0</v>
      </c>
      <c r="BG329" s="50">
        <v>0</v>
      </c>
      <c r="BH329" s="49">
        <v>1</v>
      </c>
      <c r="BI329" s="50">
        <v>2.857142857142857</v>
      </c>
      <c r="BJ329" s="49">
        <v>0</v>
      </c>
      <c r="BK329" s="50">
        <v>0</v>
      </c>
      <c r="BL329" s="49">
        <v>34</v>
      </c>
      <c r="BM329" s="50">
        <v>97.14285714285714</v>
      </c>
      <c r="BN329" s="49">
        <v>35</v>
      </c>
    </row>
    <row r="330" spans="1:66" ht="15">
      <c r="A330" s="66" t="s">
        <v>397</v>
      </c>
      <c r="B330" s="66" t="s">
        <v>397</v>
      </c>
      <c r="C330" s="67" t="s">
        <v>4510</v>
      </c>
      <c r="D330" s="68">
        <v>3.6363636363636362</v>
      </c>
      <c r="E330" s="69" t="s">
        <v>136</v>
      </c>
      <c r="F330" s="70">
        <v>31.2972972972973</v>
      </c>
      <c r="G330" s="67"/>
      <c r="H330" s="71"/>
      <c r="I330" s="72"/>
      <c r="J330" s="72"/>
      <c r="K330" s="35" t="s">
        <v>65</v>
      </c>
      <c r="L330" s="80">
        <v>330</v>
      </c>
      <c r="M330" s="80"/>
      <c r="N330" s="74"/>
      <c r="O330" s="82" t="s">
        <v>214</v>
      </c>
      <c r="P330" s="84">
        <v>44518.638287037036</v>
      </c>
      <c r="Q330" s="82" t="s">
        <v>658</v>
      </c>
      <c r="R330" s="82"/>
      <c r="S330" s="82"/>
      <c r="T330" s="87" t="s">
        <v>949</v>
      </c>
      <c r="U330" s="82"/>
      <c r="V330" s="85" t="str">
        <f>HYPERLINK("https://pbs.twimg.com/profile_images/1276858265738059778/S7j04MvZ_normal.jpg")</f>
        <v>https://pbs.twimg.com/profile_images/1276858265738059778/S7j04MvZ_normal.jpg</v>
      </c>
      <c r="W330" s="84">
        <v>44518.638287037036</v>
      </c>
      <c r="X330" s="90">
        <v>44518</v>
      </c>
      <c r="Y330" s="87" t="s">
        <v>1375</v>
      </c>
      <c r="Z330" s="85" t="str">
        <f>HYPERLINK("https://twitter.com/drhussentareq/status/1461353285147717635")</f>
        <v>https://twitter.com/drhussentareq/status/1461353285147717635</v>
      </c>
      <c r="AA330" s="82"/>
      <c r="AB330" s="82"/>
      <c r="AC330" s="87" t="s">
        <v>1718</v>
      </c>
      <c r="AD330" s="82"/>
      <c r="AE330" s="82" t="b">
        <v>0</v>
      </c>
      <c r="AF330" s="82">
        <v>8</v>
      </c>
      <c r="AG330" s="87" t="s">
        <v>1815</v>
      </c>
      <c r="AH330" s="82" t="b">
        <v>0</v>
      </c>
      <c r="AI330" s="82" t="s">
        <v>1826</v>
      </c>
      <c r="AJ330" s="82"/>
      <c r="AK330" s="87" t="s">
        <v>1815</v>
      </c>
      <c r="AL330" s="82" t="b">
        <v>0</v>
      </c>
      <c r="AM330" s="82">
        <v>11</v>
      </c>
      <c r="AN330" s="87" t="s">
        <v>1815</v>
      </c>
      <c r="AO330" s="87" t="s">
        <v>1850</v>
      </c>
      <c r="AP330" s="82" t="b">
        <v>0</v>
      </c>
      <c r="AQ330" s="87" t="s">
        <v>1718</v>
      </c>
      <c r="AR330" s="82"/>
      <c r="AS330" s="82">
        <v>0</v>
      </c>
      <c r="AT330" s="82">
        <v>0</v>
      </c>
      <c r="AU330" s="82"/>
      <c r="AV330" s="82"/>
      <c r="AW330" s="82"/>
      <c r="AX330" s="82"/>
      <c r="AY330" s="82"/>
      <c r="AZ330" s="82"/>
      <c r="BA330" s="82"/>
      <c r="BB330" s="82"/>
      <c r="BC330">
        <v>2</v>
      </c>
      <c r="BD330" s="81" t="str">
        <f>REPLACE(INDEX(GroupVertices[Group],MATCH(Edges[[#This Row],[Vertex 1]],GroupVertices[Vertex],0)),1,1,"")</f>
        <v>1</v>
      </c>
      <c r="BE330" s="81" t="str">
        <f>REPLACE(INDEX(GroupVertices[Group],MATCH(Edges[[#This Row],[Vertex 2]],GroupVertices[Vertex],0)),1,1,"")</f>
        <v>1</v>
      </c>
      <c r="BF330" s="49">
        <v>0</v>
      </c>
      <c r="BG330" s="50">
        <v>0</v>
      </c>
      <c r="BH330" s="49">
        <v>4</v>
      </c>
      <c r="BI330" s="50">
        <v>14.285714285714286</v>
      </c>
      <c r="BJ330" s="49">
        <v>0</v>
      </c>
      <c r="BK330" s="50">
        <v>0</v>
      </c>
      <c r="BL330" s="49">
        <v>24</v>
      </c>
      <c r="BM330" s="50">
        <v>85.71428571428571</v>
      </c>
      <c r="BN330" s="49">
        <v>28</v>
      </c>
    </row>
    <row r="331" spans="1:66" ht="15">
      <c r="A331" s="66" t="s">
        <v>397</v>
      </c>
      <c r="B331" s="66" t="s">
        <v>397</v>
      </c>
      <c r="C331" s="67" t="s">
        <v>4510</v>
      </c>
      <c r="D331" s="68">
        <v>3.6363636363636362</v>
      </c>
      <c r="E331" s="69" t="s">
        <v>136</v>
      </c>
      <c r="F331" s="70">
        <v>31.2972972972973</v>
      </c>
      <c r="G331" s="67"/>
      <c r="H331" s="71"/>
      <c r="I331" s="72"/>
      <c r="J331" s="72"/>
      <c r="K331" s="35" t="s">
        <v>65</v>
      </c>
      <c r="L331" s="80">
        <v>331</v>
      </c>
      <c r="M331" s="80"/>
      <c r="N331" s="74"/>
      <c r="O331" s="82" t="s">
        <v>214</v>
      </c>
      <c r="P331" s="84">
        <v>44518.63385416667</v>
      </c>
      <c r="Q331" s="82" t="s">
        <v>801</v>
      </c>
      <c r="R331" s="82"/>
      <c r="S331" s="82"/>
      <c r="T331" s="87" t="s">
        <v>949</v>
      </c>
      <c r="U331" s="82"/>
      <c r="V331" s="85" t="str">
        <f>HYPERLINK("https://pbs.twimg.com/profile_images/1276858265738059778/S7j04MvZ_normal.jpg")</f>
        <v>https://pbs.twimg.com/profile_images/1276858265738059778/S7j04MvZ_normal.jpg</v>
      </c>
      <c r="W331" s="84">
        <v>44518.63385416667</v>
      </c>
      <c r="X331" s="90">
        <v>44518</v>
      </c>
      <c r="Y331" s="87" t="s">
        <v>1376</v>
      </c>
      <c r="Z331" s="85" t="str">
        <f>HYPERLINK("https://twitter.com/drhussentareq/status/1461351679257833476")</f>
        <v>https://twitter.com/drhussentareq/status/1461351679257833476</v>
      </c>
      <c r="AA331" s="82"/>
      <c r="AB331" s="82"/>
      <c r="AC331" s="87" t="s">
        <v>1719</v>
      </c>
      <c r="AD331" s="82"/>
      <c r="AE331" s="82" t="b">
        <v>0</v>
      </c>
      <c r="AF331" s="82">
        <v>0</v>
      </c>
      <c r="AG331" s="87" t="s">
        <v>1815</v>
      </c>
      <c r="AH331" s="82" t="b">
        <v>0</v>
      </c>
      <c r="AI331" s="82" t="s">
        <v>1826</v>
      </c>
      <c r="AJ331" s="82"/>
      <c r="AK331" s="87" t="s">
        <v>1815</v>
      </c>
      <c r="AL331" s="82" t="b">
        <v>0</v>
      </c>
      <c r="AM331" s="82">
        <v>1</v>
      </c>
      <c r="AN331" s="87" t="s">
        <v>1815</v>
      </c>
      <c r="AO331" s="87" t="s">
        <v>1850</v>
      </c>
      <c r="AP331" s="82" t="b">
        <v>0</v>
      </c>
      <c r="AQ331" s="87" t="s">
        <v>1719</v>
      </c>
      <c r="AR331" s="82"/>
      <c r="AS331" s="82">
        <v>0</v>
      </c>
      <c r="AT331" s="82">
        <v>0</v>
      </c>
      <c r="AU331" s="82"/>
      <c r="AV331" s="82"/>
      <c r="AW331" s="82"/>
      <c r="AX331" s="82"/>
      <c r="AY331" s="82"/>
      <c r="AZ331" s="82"/>
      <c r="BA331" s="82"/>
      <c r="BB331" s="82"/>
      <c r="BC331">
        <v>2</v>
      </c>
      <c r="BD331" s="81" t="str">
        <f>REPLACE(INDEX(GroupVertices[Group],MATCH(Edges[[#This Row],[Vertex 1]],GroupVertices[Vertex],0)),1,1,"")</f>
        <v>1</v>
      </c>
      <c r="BE331" s="81" t="str">
        <f>REPLACE(INDEX(GroupVertices[Group],MATCH(Edges[[#This Row],[Vertex 2]],GroupVertices[Vertex],0)),1,1,"")</f>
        <v>1</v>
      </c>
      <c r="BF331" s="49">
        <v>0</v>
      </c>
      <c r="BG331" s="50">
        <v>0</v>
      </c>
      <c r="BH331" s="49">
        <v>4</v>
      </c>
      <c r="BI331" s="50">
        <v>14.285714285714286</v>
      </c>
      <c r="BJ331" s="49">
        <v>0</v>
      </c>
      <c r="BK331" s="50">
        <v>0</v>
      </c>
      <c r="BL331" s="49">
        <v>24</v>
      </c>
      <c r="BM331" s="50">
        <v>85.71428571428571</v>
      </c>
      <c r="BN331" s="49">
        <v>28</v>
      </c>
    </row>
    <row r="332" spans="1:66" ht="15">
      <c r="A332" s="66" t="s">
        <v>398</v>
      </c>
      <c r="B332" s="66" t="s">
        <v>398</v>
      </c>
      <c r="C332" s="67" t="s">
        <v>4509</v>
      </c>
      <c r="D332" s="68">
        <v>3</v>
      </c>
      <c r="E332" s="69" t="s">
        <v>132</v>
      </c>
      <c r="F332" s="70">
        <v>32</v>
      </c>
      <c r="G332" s="67"/>
      <c r="H332" s="71"/>
      <c r="I332" s="72"/>
      <c r="J332" s="72"/>
      <c r="K332" s="35" t="s">
        <v>65</v>
      </c>
      <c r="L332" s="80">
        <v>332</v>
      </c>
      <c r="M332" s="80"/>
      <c r="N332" s="74"/>
      <c r="O332" s="82" t="s">
        <v>214</v>
      </c>
      <c r="P332" s="84">
        <v>44518.62532407408</v>
      </c>
      <c r="Q332" s="82" t="s">
        <v>802</v>
      </c>
      <c r="R332" s="85" t="str">
        <f>HYPERLINK("https://www.cdc.gov/drugresistance/covid19.html")</f>
        <v>https://www.cdc.gov/drugresistance/covid19.html</v>
      </c>
      <c r="S332" s="82" t="s">
        <v>903</v>
      </c>
      <c r="T332" s="87" t="s">
        <v>954</v>
      </c>
      <c r="U332" s="82"/>
      <c r="V332" s="85" t="str">
        <f>HYPERLINK("https://pbs.twimg.com/profile_images/1346846706462240772/HTWdH2Ol_normal.png")</f>
        <v>https://pbs.twimg.com/profile_images/1346846706462240772/HTWdH2Ol_normal.png</v>
      </c>
      <c r="W332" s="84">
        <v>44518.62532407408</v>
      </c>
      <c r="X332" s="90">
        <v>44518</v>
      </c>
      <c r="Y332" s="87" t="s">
        <v>1245</v>
      </c>
      <c r="Z332" s="85" t="str">
        <f>HYPERLINK("https://twitter.com/bchpedsid/status/1461348585983803403")</f>
        <v>https://twitter.com/bchpedsid/status/1461348585983803403</v>
      </c>
      <c r="AA332" s="82"/>
      <c r="AB332" s="82"/>
      <c r="AC332" s="87" t="s">
        <v>1720</v>
      </c>
      <c r="AD332" s="82"/>
      <c r="AE332" s="82" t="b">
        <v>0</v>
      </c>
      <c r="AF332" s="82">
        <v>4</v>
      </c>
      <c r="AG332" s="87" t="s">
        <v>1815</v>
      </c>
      <c r="AH332" s="82" t="b">
        <v>0</v>
      </c>
      <c r="AI332" s="82" t="s">
        <v>1826</v>
      </c>
      <c r="AJ332" s="82"/>
      <c r="AK332" s="87" t="s">
        <v>1815</v>
      </c>
      <c r="AL332" s="82" t="b">
        <v>0</v>
      </c>
      <c r="AM332" s="82">
        <v>1</v>
      </c>
      <c r="AN332" s="87" t="s">
        <v>1815</v>
      </c>
      <c r="AO332" s="87" t="s">
        <v>1866</v>
      </c>
      <c r="AP332" s="82" t="b">
        <v>0</v>
      </c>
      <c r="AQ332" s="87" t="s">
        <v>1720</v>
      </c>
      <c r="AR332" s="82"/>
      <c r="AS332" s="82">
        <v>0</v>
      </c>
      <c r="AT332" s="82">
        <v>0</v>
      </c>
      <c r="AU332" s="82"/>
      <c r="AV332" s="82"/>
      <c r="AW332" s="82"/>
      <c r="AX332" s="82"/>
      <c r="AY332" s="82"/>
      <c r="AZ332" s="82"/>
      <c r="BA332" s="82"/>
      <c r="BB332" s="82"/>
      <c r="BC332">
        <v>1</v>
      </c>
      <c r="BD332" s="81" t="str">
        <f>REPLACE(INDEX(GroupVertices[Group],MATCH(Edges[[#This Row],[Vertex 1]],GroupVertices[Vertex],0)),1,1,"")</f>
        <v>1</v>
      </c>
      <c r="BE332" s="81" t="str">
        <f>REPLACE(INDEX(GroupVertices[Group],MATCH(Edges[[#This Row],[Vertex 2]],GroupVertices[Vertex],0)),1,1,"")</f>
        <v>1</v>
      </c>
      <c r="BF332" s="49">
        <v>0</v>
      </c>
      <c r="BG332" s="50">
        <v>0</v>
      </c>
      <c r="BH332" s="49">
        <v>1</v>
      </c>
      <c r="BI332" s="50">
        <v>3.0303030303030303</v>
      </c>
      <c r="BJ332" s="49">
        <v>0</v>
      </c>
      <c r="BK332" s="50">
        <v>0</v>
      </c>
      <c r="BL332" s="49">
        <v>32</v>
      </c>
      <c r="BM332" s="50">
        <v>96.96969696969697</v>
      </c>
      <c r="BN332" s="49">
        <v>33</v>
      </c>
    </row>
    <row r="333" spans="1:66" ht="15">
      <c r="A333" s="66" t="s">
        <v>399</v>
      </c>
      <c r="B333" s="66" t="s">
        <v>399</v>
      </c>
      <c r="C333" s="67" t="s">
        <v>4509</v>
      </c>
      <c r="D333" s="68">
        <v>3</v>
      </c>
      <c r="E333" s="69" t="s">
        <v>132</v>
      </c>
      <c r="F333" s="70">
        <v>32</v>
      </c>
      <c r="G333" s="67"/>
      <c r="H333" s="71"/>
      <c r="I333" s="72"/>
      <c r="J333" s="72"/>
      <c r="K333" s="35" t="s">
        <v>65</v>
      </c>
      <c r="L333" s="80">
        <v>333</v>
      </c>
      <c r="M333" s="80"/>
      <c r="N333" s="74"/>
      <c r="O333" s="82" t="s">
        <v>214</v>
      </c>
      <c r="P333" s="84">
        <v>44518.66508101852</v>
      </c>
      <c r="Q333" s="82" t="s">
        <v>552</v>
      </c>
      <c r="R333" s="82"/>
      <c r="S333" s="82"/>
      <c r="T333" s="87" t="s">
        <v>966</v>
      </c>
      <c r="U333" s="82"/>
      <c r="V333" s="85" t="str">
        <f>HYPERLINK("https://pbs.twimg.com/profile_images/1267753737935826947/jyWDwRAi_normal.jpg")</f>
        <v>https://pbs.twimg.com/profile_images/1267753737935826947/jyWDwRAi_normal.jpg</v>
      </c>
      <c r="W333" s="84">
        <v>44518.66508101852</v>
      </c>
      <c r="X333" s="90">
        <v>44518</v>
      </c>
      <c r="Y333" s="87" t="s">
        <v>1377</v>
      </c>
      <c r="Z333" s="85" t="str">
        <f>HYPERLINK("https://twitter.com/atikaashraf11/status/1461362995108335622")</f>
        <v>https://twitter.com/atikaashraf11/status/1461362995108335622</v>
      </c>
      <c r="AA333" s="82"/>
      <c r="AB333" s="82"/>
      <c r="AC333" s="87" t="s">
        <v>1721</v>
      </c>
      <c r="AD333" s="82"/>
      <c r="AE333" s="82" t="b">
        <v>0</v>
      </c>
      <c r="AF333" s="82">
        <v>0</v>
      </c>
      <c r="AG333" s="87" t="s">
        <v>1815</v>
      </c>
      <c r="AH333" s="82" t="b">
        <v>0</v>
      </c>
      <c r="AI333" s="82" t="s">
        <v>1826</v>
      </c>
      <c r="AJ333" s="82"/>
      <c r="AK333" s="87" t="s">
        <v>1815</v>
      </c>
      <c r="AL333" s="82" t="b">
        <v>0</v>
      </c>
      <c r="AM333" s="82">
        <v>0</v>
      </c>
      <c r="AN333" s="87" t="s">
        <v>1815</v>
      </c>
      <c r="AO333" s="87" t="s">
        <v>1852</v>
      </c>
      <c r="AP333" s="82" t="b">
        <v>0</v>
      </c>
      <c r="AQ333" s="87" t="s">
        <v>1721</v>
      </c>
      <c r="AR333" s="82"/>
      <c r="AS333" s="82">
        <v>0</v>
      </c>
      <c r="AT333" s="82">
        <v>0</v>
      </c>
      <c r="AU333" s="82"/>
      <c r="AV333" s="82"/>
      <c r="AW333" s="82"/>
      <c r="AX333" s="82"/>
      <c r="AY333" s="82"/>
      <c r="AZ333" s="82"/>
      <c r="BA333" s="82"/>
      <c r="BB333" s="82"/>
      <c r="BC333">
        <v>1</v>
      </c>
      <c r="BD333" s="81" t="str">
        <f>REPLACE(INDEX(GroupVertices[Group],MATCH(Edges[[#This Row],[Vertex 1]],GroupVertices[Vertex],0)),1,1,"")</f>
        <v>1</v>
      </c>
      <c r="BE333" s="81" t="str">
        <f>REPLACE(INDEX(GroupVertices[Group],MATCH(Edges[[#This Row],[Vertex 2]],GroupVertices[Vertex],0)),1,1,"")</f>
        <v>1</v>
      </c>
      <c r="BF333" s="49">
        <v>0</v>
      </c>
      <c r="BG333" s="50">
        <v>0</v>
      </c>
      <c r="BH333" s="49">
        <v>4</v>
      </c>
      <c r="BI333" s="50">
        <v>14.285714285714286</v>
      </c>
      <c r="BJ333" s="49">
        <v>0</v>
      </c>
      <c r="BK333" s="50">
        <v>0</v>
      </c>
      <c r="BL333" s="49">
        <v>24</v>
      </c>
      <c r="BM333" s="50">
        <v>85.71428571428571</v>
      </c>
      <c r="BN333" s="49">
        <v>28</v>
      </c>
    </row>
    <row r="334" spans="1:66" ht="15">
      <c r="A334" s="66" t="s">
        <v>400</v>
      </c>
      <c r="B334" s="66" t="s">
        <v>427</v>
      </c>
      <c r="C334" s="67" t="s">
        <v>4509</v>
      </c>
      <c r="D334" s="68">
        <v>3</v>
      </c>
      <c r="E334" s="69" t="s">
        <v>132</v>
      </c>
      <c r="F334" s="70">
        <v>32</v>
      </c>
      <c r="G334" s="67"/>
      <c r="H334" s="71"/>
      <c r="I334" s="72"/>
      <c r="J334" s="72"/>
      <c r="K334" s="35" t="s">
        <v>65</v>
      </c>
      <c r="L334" s="80">
        <v>334</v>
      </c>
      <c r="M334" s="80"/>
      <c r="N334" s="74"/>
      <c r="O334" s="82" t="s">
        <v>528</v>
      </c>
      <c r="P334" s="84">
        <v>44518.6252662037</v>
      </c>
      <c r="Q334" s="82" t="s">
        <v>803</v>
      </c>
      <c r="R334" s="82"/>
      <c r="S334" s="82"/>
      <c r="T334" s="87" t="s">
        <v>1092</v>
      </c>
      <c r="U334" s="85" t="str">
        <f>HYPERLINK("https://pbs.twimg.com/media/FEfAxihVQAEAjJy.jpg")</f>
        <v>https://pbs.twimg.com/media/FEfAxihVQAEAjJy.jpg</v>
      </c>
      <c r="V334" s="85" t="str">
        <f>HYPERLINK("https://pbs.twimg.com/media/FEfAxihVQAEAjJy.jpg")</f>
        <v>https://pbs.twimg.com/media/FEfAxihVQAEAjJy.jpg</v>
      </c>
      <c r="W334" s="84">
        <v>44518.6252662037</v>
      </c>
      <c r="X334" s="90">
        <v>44518</v>
      </c>
      <c r="Y334" s="87" t="s">
        <v>1378</v>
      </c>
      <c r="Z334" s="85" t="str">
        <f>HYPERLINK("https://twitter.com/ahrqnews/status/1461348567667277828")</f>
        <v>https://twitter.com/ahrqnews/status/1461348567667277828</v>
      </c>
      <c r="AA334" s="82"/>
      <c r="AB334" s="82"/>
      <c r="AC334" s="87" t="s">
        <v>1722</v>
      </c>
      <c r="AD334" s="82"/>
      <c r="AE334" s="82" t="b">
        <v>0</v>
      </c>
      <c r="AF334" s="82">
        <v>10</v>
      </c>
      <c r="AG334" s="87" t="s">
        <v>1815</v>
      </c>
      <c r="AH334" s="82" t="b">
        <v>0</v>
      </c>
      <c r="AI334" s="82" t="s">
        <v>1826</v>
      </c>
      <c r="AJ334" s="82"/>
      <c r="AK334" s="87" t="s">
        <v>1815</v>
      </c>
      <c r="AL334" s="82" t="b">
        <v>0</v>
      </c>
      <c r="AM334" s="82">
        <v>2</v>
      </c>
      <c r="AN334" s="87" t="s">
        <v>1815</v>
      </c>
      <c r="AO334" s="87" t="s">
        <v>1856</v>
      </c>
      <c r="AP334" s="82" t="b">
        <v>0</v>
      </c>
      <c r="AQ334" s="87" t="s">
        <v>1722</v>
      </c>
      <c r="AR334" s="82"/>
      <c r="AS334" s="82">
        <v>0</v>
      </c>
      <c r="AT334" s="82">
        <v>0</v>
      </c>
      <c r="AU334" s="82"/>
      <c r="AV334" s="82"/>
      <c r="AW334" s="82"/>
      <c r="AX334" s="82"/>
      <c r="AY334" s="82"/>
      <c r="AZ334" s="82"/>
      <c r="BA334" s="82"/>
      <c r="BB334" s="82"/>
      <c r="BC334">
        <v>1</v>
      </c>
      <c r="BD334" s="81" t="str">
        <f>REPLACE(INDEX(GroupVertices[Group],MATCH(Edges[[#This Row],[Vertex 1]],GroupVertices[Vertex],0)),1,1,"")</f>
        <v>5</v>
      </c>
      <c r="BE334" s="81" t="str">
        <f>REPLACE(INDEX(GroupVertices[Group],MATCH(Edges[[#This Row],[Vertex 2]],GroupVertices[Vertex],0)),1,1,"")</f>
        <v>5</v>
      </c>
      <c r="BF334" s="49">
        <v>0</v>
      </c>
      <c r="BG334" s="50">
        <v>0</v>
      </c>
      <c r="BH334" s="49">
        <v>3</v>
      </c>
      <c r="BI334" s="50">
        <v>8.823529411764707</v>
      </c>
      <c r="BJ334" s="49">
        <v>0</v>
      </c>
      <c r="BK334" s="50">
        <v>0</v>
      </c>
      <c r="BL334" s="49">
        <v>31</v>
      </c>
      <c r="BM334" s="50">
        <v>91.17647058823529</v>
      </c>
      <c r="BN334" s="49">
        <v>34</v>
      </c>
    </row>
    <row r="335" spans="1:66" ht="15">
      <c r="A335" s="66" t="s">
        <v>401</v>
      </c>
      <c r="B335" s="66" t="s">
        <v>401</v>
      </c>
      <c r="C335" s="67" t="s">
        <v>4509</v>
      </c>
      <c r="D335" s="68">
        <v>3</v>
      </c>
      <c r="E335" s="69" t="s">
        <v>132</v>
      </c>
      <c r="F335" s="70">
        <v>32</v>
      </c>
      <c r="G335" s="67"/>
      <c r="H335" s="71"/>
      <c r="I335" s="72"/>
      <c r="J335" s="72"/>
      <c r="K335" s="35" t="s">
        <v>65</v>
      </c>
      <c r="L335" s="80">
        <v>335</v>
      </c>
      <c r="M335" s="80"/>
      <c r="N335" s="74"/>
      <c r="O335" s="82" t="s">
        <v>214</v>
      </c>
      <c r="P335" s="84">
        <v>44518.62501157408</v>
      </c>
      <c r="Q335" s="82" t="s">
        <v>804</v>
      </c>
      <c r="R335" s="82"/>
      <c r="S335" s="82"/>
      <c r="T335" s="87" t="s">
        <v>1093</v>
      </c>
      <c r="U335" s="85" t="str">
        <f>HYPERLINK("https://pbs.twimg.com/media/FDqqn0DXMAEAooT.jpg")</f>
        <v>https://pbs.twimg.com/media/FDqqn0DXMAEAooT.jpg</v>
      </c>
      <c r="V335" s="85" t="str">
        <f>HYPERLINK("https://pbs.twimg.com/media/FDqqn0DXMAEAooT.jpg")</f>
        <v>https://pbs.twimg.com/media/FDqqn0DXMAEAooT.jpg</v>
      </c>
      <c r="W335" s="84">
        <v>44518.62501157408</v>
      </c>
      <c r="X335" s="90">
        <v>44518</v>
      </c>
      <c r="Y335" s="87" t="s">
        <v>1152</v>
      </c>
      <c r="Z335" s="85" t="str">
        <f>HYPERLINK("https://twitter.com/efnbrussels/status/1461348474947981325")</f>
        <v>https://twitter.com/efnbrussels/status/1461348474947981325</v>
      </c>
      <c r="AA335" s="82"/>
      <c r="AB335" s="82"/>
      <c r="AC335" s="87" t="s">
        <v>1723</v>
      </c>
      <c r="AD335" s="82"/>
      <c r="AE335" s="82" t="b">
        <v>0</v>
      </c>
      <c r="AF335" s="82">
        <v>2</v>
      </c>
      <c r="AG335" s="87" t="s">
        <v>1815</v>
      </c>
      <c r="AH335" s="82" t="b">
        <v>0</v>
      </c>
      <c r="AI335" s="82" t="s">
        <v>1826</v>
      </c>
      <c r="AJ335" s="82"/>
      <c r="AK335" s="87" t="s">
        <v>1815</v>
      </c>
      <c r="AL335" s="82" t="b">
        <v>0</v>
      </c>
      <c r="AM335" s="82">
        <v>1</v>
      </c>
      <c r="AN335" s="87" t="s">
        <v>1815</v>
      </c>
      <c r="AO335" s="87" t="s">
        <v>1850</v>
      </c>
      <c r="AP335" s="82" t="b">
        <v>0</v>
      </c>
      <c r="AQ335" s="87" t="s">
        <v>1723</v>
      </c>
      <c r="AR335" s="82"/>
      <c r="AS335" s="82">
        <v>0</v>
      </c>
      <c r="AT335" s="82">
        <v>0</v>
      </c>
      <c r="AU335" s="82"/>
      <c r="AV335" s="82"/>
      <c r="AW335" s="82"/>
      <c r="AX335" s="82"/>
      <c r="AY335" s="82"/>
      <c r="AZ335" s="82"/>
      <c r="BA335" s="82"/>
      <c r="BB335" s="82"/>
      <c r="BC335">
        <v>1</v>
      </c>
      <c r="BD335" s="81" t="str">
        <f>REPLACE(INDEX(GroupVertices[Group],MATCH(Edges[[#This Row],[Vertex 1]],GroupVertices[Vertex],0)),1,1,"")</f>
        <v>1</v>
      </c>
      <c r="BE335" s="81" t="str">
        <f>REPLACE(INDEX(GroupVertices[Group],MATCH(Edges[[#This Row],[Vertex 2]],GroupVertices[Vertex],0)),1,1,"")</f>
        <v>1</v>
      </c>
      <c r="BF335" s="49">
        <v>2</v>
      </c>
      <c r="BG335" s="50">
        <v>6.896551724137931</v>
      </c>
      <c r="BH335" s="49">
        <v>3</v>
      </c>
      <c r="BI335" s="50">
        <v>10.344827586206897</v>
      </c>
      <c r="BJ335" s="49">
        <v>0</v>
      </c>
      <c r="BK335" s="50">
        <v>0</v>
      </c>
      <c r="BL335" s="49">
        <v>24</v>
      </c>
      <c r="BM335" s="50">
        <v>82.75862068965517</v>
      </c>
      <c r="BN335" s="49">
        <v>29</v>
      </c>
    </row>
    <row r="336" spans="1:66" ht="15">
      <c r="A336" s="66" t="s">
        <v>402</v>
      </c>
      <c r="B336" s="66" t="s">
        <v>402</v>
      </c>
      <c r="C336" s="67" t="s">
        <v>4510</v>
      </c>
      <c r="D336" s="68">
        <v>3.6363636363636362</v>
      </c>
      <c r="E336" s="69" t="s">
        <v>136</v>
      </c>
      <c r="F336" s="70">
        <v>31.2972972972973</v>
      </c>
      <c r="G336" s="67"/>
      <c r="H336" s="71"/>
      <c r="I336" s="72"/>
      <c r="J336" s="72"/>
      <c r="K336" s="35" t="s">
        <v>65</v>
      </c>
      <c r="L336" s="80">
        <v>336</v>
      </c>
      <c r="M336" s="80"/>
      <c r="N336" s="74"/>
      <c r="O336" s="82" t="s">
        <v>214</v>
      </c>
      <c r="P336" s="84">
        <v>44518.66324074074</v>
      </c>
      <c r="Q336" s="82" t="s">
        <v>805</v>
      </c>
      <c r="R336" s="85" t="str">
        <f>HYPERLINK("https://arpsp.cdc.gov/profile/stewardship")</f>
        <v>https://arpsp.cdc.gov/profile/stewardship</v>
      </c>
      <c r="S336" s="82" t="s">
        <v>903</v>
      </c>
      <c r="T336" s="87" t="s">
        <v>1094</v>
      </c>
      <c r="U336" s="85" t="str">
        <f>HYPERLINK("https://pbs.twimg.com/media/FEfNSmgVEAA2KQl.jpg")</f>
        <v>https://pbs.twimg.com/media/FEfNSmgVEAA2KQl.jpg</v>
      </c>
      <c r="V336" s="85" t="str">
        <f>HYPERLINK("https://pbs.twimg.com/media/FEfNSmgVEAA2KQl.jpg")</f>
        <v>https://pbs.twimg.com/media/FEfNSmgVEAA2KQl.jpg</v>
      </c>
      <c r="W336" s="84">
        <v>44518.66324074074</v>
      </c>
      <c r="X336" s="90">
        <v>44518</v>
      </c>
      <c r="Y336" s="87" t="s">
        <v>1379</v>
      </c>
      <c r="Z336" s="85" t="str">
        <f>HYPERLINK("https://twitter.com/drkhabbazcdc/status/1461362328121712646")</f>
        <v>https://twitter.com/drkhabbazcdc/status/1461362328121712646</v>
      </c>
      <c r="AA336" s="82"/>
      <c r="AB336" s="82"/>
      <c r="AC336" s="87" t="s">
        <v>1724</v>
      </c>
      <c r="AD336" s="82"/>
      <c r="AE336" s="82" t="b">
        <v>0</v>
      </c>
      <c r="AF336" s="82">
        <v>4</v>
      </c>
      <c r="AG336" s="87" t="s">
        <v>1815</v>
      </c>
      <c r="AH336" s="82" t="b">
        <v>0</v>
      </c>
      <c r="AI336" s="82" t="s">
        <v>1826</v>
      </c>
      <c r="AJ336" s="82"/>
      <c r="AK336" s="87" t="s">
        <v>1815</v>
      </c>
      <c r="AL336" s="82" t="b">
        <v>0</v>
      </c>
      <c r="AM336" s="82">
        <v>1</v>
      </c>
      <c r="AN336" s="87" t="s">
        <v>1815</v>
      </c>
      <c r="AO336" s="87" t="s">
        <v>1856</v>
      </c>
      <c r="AP336" s="82" t="b">
        <v>0</v>
      </c>
      <c r="AQ336" s="87" t="s">
        <v>1724</v>
      </c>
      <c r="AR336" s="82"/>
      <c r="AS336" s="82">
        <v>0</v>
      </c>
      <c r="AT336" s="82">
        <v>0</v>
      </c>
      <c r="AU336" s="82"/>
      <c r="AV336" s="82"/>
      <c r="AW336" s="82"/>
      <c r="AX336" s="82"/>
      <c r="AY336" s="82"/>
      <c r="AZ336" s="82"/>
      <c r="BA336" s="82"/>
      <c r="BB336" s="82"/>
      <c r="BC336">
        <v>2</v>
      </c>
      <c r="BD336" s="81" t="str">
        <f>REPLACE(INDEX(GroupVertices[Group],MATCH(Edges[[#This Row],[Vertex 1]],GroupVertices[Vertex],0)),1,1,"")</f>
        <v>5</v>
      </c>
      <c r="BE336" s="81" t="str">
        <f>REPLACE(INDEX(GroupVertices[Group],MATCH(Edges[[#This Row],[Vertex 2]],GroupVertices[Vertex],0)),1,1,"")</f>
        <v>5</v>
      </c>
      <c r="BF336" s="49">
        <v>1</v>
      </c>
      <c r="BG336" s="50">
        <v>2.4390243902439024</v>
      </c>
      <c r="BH336" s="49">
        <v>0</v>
      </c>
      <c r="BI336" s="50">
        <v>0</v>
      </c>
      <c r="BJ336" s="49">
        <v>0</v>
      </c>
      <c r="BK336" s="50">
        <v>0</v>
      </c>
      <c r="BL336" s="49">
        <v>40</v>
      </c>
      <c r="BM336" s="50">
        <v>97.5609756097561</v>
      </c>
      <c r="BN336" s="49">
        <v>41</v>
      </c>
    </row>
    <row r="337" spans="1:66" ht="15">
      <c r="A337" s="66" t="s">
        <v>402</v>
      </c>
      <c r="B337" s="66" t="s">
        <v>402</v>
      </c>
      <c r="C337" s="67" t="s">
        <v>4510</v>
      </c>
      <c r="D337" s="68">
        <v>3.6363636363636362</v>
      </c>
      <c r="E337" s="69" t="s">
        <v>136</v>
      </c>
      <c r="F337" s="70">
        <v>31.2972972972973</v>
      </c>
      <c r="G337" s="67"/>
      <c r="H337" s="71"/>
      <c r="I337" s="72"/>
      <c r="J337" s="72"/>
      <c r="K337" s="35" t="s">
        <v>65</v>
      </c>
      <c r="L337" s="80">
        <v>337</v>
      </c>
      <c r="M337" s="80"/>
      <c r="N337" s="74"/>
      <c r="O337" s="82" t="s">
        <v>214</v>
      </c>
      <c r="P337" s="84">
        <v>44518.63547453703</v>
      </c>
      <c r="Q337" s="82" t="s">
        <v>806</v>
      </c>
      <c r="R337" s="85" t="str">
        <f>HYPERLINK("https://www.cdc.gov/drugresistance/covid19.html")</f>
        <v>https://www.cdc.gov/drugresistance/covid19.html</v>
      </c>
      <c r="S337" s="82" t="s">
        <v>903</v>
      </c>
      <c r="T337" s="87" t="s">
        <v>1095</v>
      </c>
      <c r="U337" s="85" t="str">
        <f>HYPERLINK("https://pbs.twimg.com/media/FEfEIsZVQAMQHkm.jpg")</f>
        <v>https://pbs.twimg.com/media/FEfEIsZVQAMQHkm.jpg</v>
      </c>
      <c r="V337" s="85" t="str">
        <f>HYPERLINK("https://pbs.twimg.com/media/FEfEIsZVQAMQHkm.jpg")</f>
        <v>https://pbs.twimg.com/media/FEfEIsZVQAMQHkm.jpg</v>
      </c>
      <c r="W337" s="84">
        <v>44518.63547453703</v>
      </c>
      <c r="X337" s="90">
        <v>44518</v>
      </c>
      <c r="Y337" s="87" t="s">
        <v>1380</v>
      </c>
      <c r="Z337" s="85" t="str">
        <f>HYPERLINK("https://twitter.com/drkhabbazcdc/status/1461352265109757955")</f>
        <v>https://twitter.com/drkhabbazcdc/status/1461352265109757955</v>
      </c>
      <c r="AA337" s="82"/>
      <c r="AB337" s="82"/>
      <c r="AC337" s="87" t="s">
        <v>1725</v>
      </c>
      <c r="AD337" s="82"/>
      <c r="AE337" s="82" t="b">
        <v>0</v>
      </c>
      <c r="AF337" s="82">
        <v>12</v>
      </c>
      <c r="AG337" s="87" t="s">
        <v>1815</v>
      </c>
      <c r="AH337" s="82" t="b">
        <v>0</v>
      </c>
      <c r="AI337" s="82" t="s">
        <v>1826</v>
      </c>
      <c r="AJ337" s="82"/>
      <c r="AK337" s="87" t="s">
        <v>1815</v>
      </c>
      <c r="AL337" s="82" t="b">
        <v>0</v>
      </c>
      <c r="AM337" s="82">
        <v>9</v>
      </c>
      <c r="AN337" s="87" t="s">
        <v>1815</v>
      </c>
      <c r="AO337" s="87" t="s">
        <v>1856</v>
      </c>
      <c r="AP337" s="82" t="b">
        <v>0</v>
      </c>
      <c r="AQ337" s="87" t="s">
        <v>1725</v>
      </c>
      <c r="AR337" s="82"/>
      <c r="AS337" s="82">
        <v>0</v>
      </c>
      <c r="AT337" s="82">
        <v>0</v>
      </c>
      <c r="AU337" s="82"/>
      <c r="AV337" s="82"/>
      <c r="AW337" s="82"/>
      <c r="AX337" s="82"/>
      <c r="AY337" s="82"/>
      <c r="AZ337" s="82"/>
      <c r="BA337" s="82"/>
      <c r="BB337" s="82"/>
      <c r="BC337">
        <v>2</v>
      </c>
      <c r="BD337" s="81" t="str">
        <f>REPLACE(INDEX(GroupVertices[Group],MATCH(Edges[[#This Row],[Vertex 1]],GroupVertices[Vertex],0)),1,1,"")</f>
        <v>5</v>
      </c>
      <c r="BE337" s="81" t="str">
        <f>REPLACE(INDEX(GroupVertices[Group],MATCH(Edges[[#This Row],[Vertex 2]],GroupVertices[Vertex],0)),1,1,"")</f>
        <v>5</v>
      </c>
      <c r="BF337" s="49">
        <v>0</v>
      </c>
      <c r="BG337" s="50">
        <v>0</v>
      </c>
      <c r="BH337" s="49">
        <v>1</v>
      </c>
      <c r="BI337" s="50">
        <v>2.9411764705882355</v>
      </c>
      <c r="BJ337" s="49">
        <v>0</v>
      </c>
      <c r="BK337" s="50">
        <v>0</v>
      </c>
      <c r="BL337" s="49">
        <v>33</v>
      </c>
      <c r="BM337" s="50">
        <v>97.05882352941177</v>
      </c>
      <c r="BN337" s="49">
        <v>34</v>
      </c>
    </row>
    <row r="338" spans="1:66" ht="15">
      <c r="A338" s="66" t="s">
        <v>402</v>
      </c>
      <c r="B338" s="66" t="s">
        <v>427</v>
      </c>
      <c r="C338" s="67" t="s">
        <v>4509</v>
      </c>
      <c r="D338" s="68">
        <v>3</v>
      </c>
      <c r="E338" s="69" t="s">
        <v>132</v>
      </c>
      <c r="F338" s="70">
        <v>32</v>
      </c>
      <c r="G338" s="67"/>
      <c r="H338" s="71"/>
      <c r="I338" s="72"/>
      <c r="J338" s="72"/>
      <c r="K338" s="35" t="s">
        <v>65</v>
      </c>
      <c r="L338" s="80">
        <v>338</v>
      </c>
      <c r="M338" s="80"/>
      <c r="N338" s="74"/>
      <c r="O338" s="82" t="s">
        <v>528</v>
      </c>
      <c r="P338" s="84">
        <v>44518.6493287037</v>
      </c>
      <c r="Q338" s="82" t="s">
        <v>807</v>
      </c>
      <c r="R338" s="85" t="str">
        <f>HYPERLINK("https://www.cdc.gov/antibiotic-use/core-elements/outpatient/implementation.html#anchor_1630602042080")</f>
        <v>https://www.cdc.gov/antibiotic-use/core-elements/outpatient/implementation.html#anchor_1630602042080</v>
      </c>
      <c r="S338" s="82" t="s">
        <v>903</v>
      </c>
      <c r="T338" s="87" t="s">
        <v>990</v>
      </c>
      <c r="U338" s="85" t="str">
        <f>HYPERLINK("https://pbs.twimg.com/media/FEfItCrVIAgz54q.png")</f>
        <v>https://pbs.twimg.com/media/FEfItCrVIAgz54q.png</v>
      </c>
      <c r="V338" s="85" t="str">
        <f>HYPERLINK("https://pbs.twimg.com/media/FEfItCrVIAgz54q.png")</f>
        <v>https://pbs.twimg.com/media/FEfItCrVIAgz54q.png</v>
      </c>
      <c r="W338" s="84">
        <v>44518.6493287037</v>
      </c>
      <c r="X338" s="90">
        <v>44518</v>
      </c>
      <c r="Y338" s="87" t="s">
        <v>1381</v>
      </c>
      <c r="Z338" s="85" t="str">
        <f>HYPERLINK("https://twitter.com/drkhabbazcdc/status/1461357284953518086")</f>
        <v>https://twitter.com/drkhabbazcdc/status/1461357284953518086</v>
      </c>
      <c r="AA338" s="82"/>
      <c r="AB338" s="82"/>
      <c r="AC338" s="87" t="s">
        <v>1726</v>
      </c>
      <c r="AD338" s="82"/>
      <c r="AE338" s="82" t="b">
        <v>0</v>
      </c>
      <c r="AF338" s="82">
        <v>2</v>
      </c>
      <c r="AG338" s="87" t="s">
        <v>1815</v>
      </c>
      <c r="AH338" s="82" t="b">
        <v>0</v>
      </c>
      <c r="AI338" s="82" t="s">
        <v>1826</v>
      </c>
      <c r="AJ338" s="82"/>
      <c r="AK338" s="87" t="s">
        <v>1815</v>
      </c>
      <c r="AL338" s="82" t="b">
        <v>0</v>
      </c>
      <c r="AM338" s="82">
        <v>2</v>
      </c>
      <c r="AN338" s="87" t="s">
        <v>1815</v>
      </c>
      <c r="AO338" s="87" t="s">
        <v>1856</v>
      </c>
      <c r="AP338" s="82" t="b">
        <v>0</v>
      </c>
      <c r="AQ338" s="87" t="s">
        <v>1726</v>
      </c>
      <c r="AR338" s="82"/>
      <c r="AS338" s="82">
        <v>0</v>
      </c>
      <c r="AT338" s="82">
        <v>0</v>
      </c>
      <c r="AU338" s="82"/>
      <c r="AV338" s="82"/>
      <c r="AW338" s="82"/>
      <c r="AX338" s="82"/>
      <c r="AY338" s="82"/>
      <c r="AZ338" s="82"/>
      <c r="BA338" s="82"/>
      <c r="BB338" s="82"/>
      <c r="BC338">
        <v>1</v>
      </c>
      <c r="BD338" s="81" t="str">
        <f>REPLACE(INDEX(GroupVertices[Group],MATCH(Edges[[#This Row],[Vertex 1]],GroupVertices[Vertex],0)),1,1,"")</f>
        <v>5</v>
      </c>
      <c r="BE338" s="81" t="str">
        <f>REPLACE(INDEX(GroupVertices[Group],MATCH(Edges[[#This Row],[Vertex 2]],GroupVertices[Vertex],0)),1,1,"")</f>
        <v>5</v>
      </c>
      <c r="BF338" s="49">
        <v>1</v>
      </c>
      <c r="BG338" s="50">
        <v>3.225806451612903</v>
      </c>
      <c r="BH338" s="49">
        <v>0</v>
      </c>
      <c r="BI338" s="50">
        <v>0</v>
      </c>
      <c r="BJ338" s="49">
        <v>0</v>
      </c>
      <c r="BK338" s="50">
        <v>0</v>
      </c>
      <c r="BL338" s="49">
        <v>30</v>
      </c>
      <c r="BM338" s="50">
        <v>96.7741935483871</v>
      </c>
      <c r="BN338" s="49">
        <v>31</v>
      </c>
    </row>
    <row r="339" spans="1:66" ht="15">
      <c r="A339" s="66" t="s">
        <v>403</v>
      </c>
      <c r="B339" s="66" t="s">
        <v>403</v>
      </c>
      <c r="C339" s="67" t="s">
        <v>4510</v>
      </c>
      <c r="D339" s="68">
        <v>3.6363636363636362</v>
      </c>
      <c r="E339" s="69" t="s">
        <v>136</v>
      </c>
      <c r="F339" s="70">
        <v>31.2972972972973</v>
      </c>
      <c r="G339" s="67"/>
      <c r="H339" s="71"/>
      <c r="I339" s="72"/>
      <c r="J339" s="72"/>
      <c r="K339" s="35" t="s">
        <v>65</v>
      </c>
      <c r="L339" s="80">
        <v>339</v>
      </c>
      <c r="M339" s="80"/>
      <c r="N339" s="74"/>
      <c r="O339" s="82" t="s">
        <v>214</v>
      </c>
      <c r="P339" s="84">
        <v>44518.631574074076</v>
      </c>
      <c r="Q339" s="82" t="s">
        <v>808</v>
      </c>
      <c r="R339" s="85" t="str">
        <f>HYPERLINK("https://twitter.com/TheLancet/status/1461341271004356618")</f>
        <v>https://twitter.com/TheLancet/status/1461341271004356618</v>
      </c>
      <c r="S339" s="82" t="s">
        <v>914</v>
      </c>
      <c r="T339" s="87" t="s">
        <v>1096</v>
      </c>
      <c r="U339" s="82"/>
      <c r="V339" s="85" t="str">
        <f>HYPERLINK("https://pbs.twimg.com/profile_images/1158891494008393729/Gu9yRvLg_normal.jpg")</f>
        <v>https://pbs.twimg.com/profile_images/1158891494008393729/Gu9yRvLg_normal.jpg</v>
      </c>
      <c r="W339" s="84">
        <v>44518.631574074076</v>
      </c>
      <c r="X339" s="90">
        <v>44518</v>
      </c>
      <c r="Y339" s="87" t="s">
        <v>1382</v>
      </c>
      <c r="Z339" s="85" t="str">
        <f>HYPERLINK("https://twitter.com/dr_pbailey/status/1461350851163791364")</f>
        <v>https://twitter.com/dr_pbailey/status/1461350851163791364</v>
      </c>
      <c r="AA339" s="82"/>
      <c r="AB339" s="82"/>
      <c r="AC339" s="87" t="s">
        <v>1727</v>
      </c>
      <c r="AD339" s="82"/>
      <c r="AE339" s="82" t="b">
        <v>0</v>
      </c>
      <c r="AF339" s="82">
        <v>3</v>
      </c>
      <c r="AG339" s="87" t="s">
        <v>1815</v>
      </c>
      <c r="AH339" s="82" t="b">
        <v>1</v>
      </c>
      <c r="AI339" s="82" t="s">
        <v>1827</v>
      </c>
      <c r="AJ339" s="82"/>
      <c r="AK339" s="87" t="s">
        <v>1845</v>
      </c>
      <c r="AL339" s="82" t="b">
        <v>0</v>
      </c>
      <c r="AM339" s="82">
        <v>0</v>
      </c>
      <c r="AN339" s="87" t="s">
        <v>1815</v>
      </c>
      <c r="AO339" s="87" t="s">
        <v>1851</v>
      </c>
      <c r="AP339" s="82" t="b">
        <v>0</v>
      </c>
      <c r="AQ339" s="87" t="s">
        <v>1727</v>
      </c>
      <c r="AR339" s="82"/>
      <c r="AS339" s="82">
        <v>0</v>
      </c>
      <c r="AT339" s="82">
        <v>0</v>
      </c>
      <c r="AU339" s="82"/>
      <c r="AV339" s="82"/>
      <c r="AW339" s="82"/>
      <c r="AX339" s="82"/>
      <c r="AY339" s="82"/>
      <c r="AZ339" s="82"/>
      <c r="BA339" s="82"/>
      <c r="BB339" s="82"/>
      <c r="BC339">
        <v>2</v>
      </c>
      <c r="BD339" s="81" t="str">
        <f>REPLACE(INDEX(GroupVertices[Group],MATCH(Edges[[#This Row],[Vertex 1]],GroupVertices[Vertex],0)),1,1,"")</f>
        <v>1</v>
      </c>
      <c r="BE339" s="81" t="str">
        <f>REPLACE(INDEX(GroupVertices[Group],MATCH(Edges[[#This Row],[Vertex 2]],GroupVertices[Vertex],0)),1,1,"")</f>
        <v>1</v>
      </c>
      <c r="BF339" s="49">
        <v>0</v>
      </c>
      <c r="BG339" s="50">
        <v>0</v>
      </c>
      <c r="BH339" s="49">
        <v>0</v>
      </c>
      <c r="BI339" s="50">
        <v>0</v>
      </c>
      <c r="BJ339" s="49">
        <v>0</v>
      </c>
      <c r="BK339" s="50">
        <v>0</v>
      </c>
      <c r="BL339" s="49">
        <v>3</v>
      </c>
      <c r="BM339" s="50">
        <v>100</v>
      </c>
      <c r="BN339" s="49">
        <v>3</v>
      </c>
    </row>
    <row r="340" spans="1:66" ht="15">
      <c r="A340" s="66" t="s">
        <v>403</v>
      </c>
      <c r="B340" s="66" t="s">
        <v>403</v>
      </c>
      <c r="C340" s="67" t="s">
        <v>4510</v>
      </c>
      <c r="D340" s="68">
        <v>3.6363636363636362</v>
      </c>
      <c r="E340" s="69" t="s">
        <v>136</v>
      </c>
      <c r="F340" s="70">
        <v>31.2972972972973</v>
      </c>
      <c r="G340" s="67"/>
      <c r="H340" s="71"/>
      <c r="I340" s="72"/>
      <c r="J340" s="72"/>
      <c r="K340" s="35" t="s">
        <v>65</v>
      </c>
      <c r="L340" s="80">
        <v>340</v>
      </c>
      <c r="M340" s="80"/>
      <c r="N340" s="74"/>
      <c r="O340" s="82" t="s">
        <v>214</v>
      </c>
      <c r="P340" s="84">
        <v>44518.629537037035</v>
      </c>
      <c r="Q340" s="82" t="s">
        <v>809</v>
      </c>
      <c r="R340" s="85" t="str">
        <f>HYPERLINK("https://twitter.com/CDCgov/status/1461349742592462858")</f>
        <v>https://twitter.com/CDCgov/status/1461349742592462858</v>
      </c>
      <c r="S340" s="82" t="s">
        <v>914</v>
      </c>
      <c r="T340" s="87" t="s">
        <v>1097</v>
      </c>
      <c r="U340" s="82"/>
      <c r="V340" s="85" t="str">
        <f>HYPERLINK("https://pbs.twimg.com/profile_images/1158891494008393729/Gu9yRvLg_normal.jpg")</f>
        <v>https://pbs.twimg.com/profile_images/1158891494008393729/Gu9yRvLg_normal.jpg</v>
      </c>
      <c r="W340" s="84">
        <v>44518.629537037035</v>
      </c>
      <c r="X340" s="90">
        <v>44518</v>
      </c>
      <c r="Y340" s="87" t="s">
        <v>1383</v>
      </c>
      <c r="Z340" s="85" t="str">
        <f>HYPERLINK("https://twitter.com/dr_pbailey/status/1461350113662496781")</f>
        <v>https://twitter.com/dr_pbailey/status/1461350113662496781</v>
      </c>
      <c r="AA340" s="82"/>
      <c r="AB340" s="82"/>
      <c r="AC340" s="87" t="s">
        <v>1728</v>
      </c>
      <c r="AD340" s="82"/>
      <c r="AE340" s="82" t="b">
        <v>0</v>
      </c>
      <c r="AF340" s="82">
        <v>1</v>
      </c>
      <c r="AG340" s="87" t="s">
        <v>1815</v>
      </c>
      <c r="AH340" s="82" t="b">
        <v>1</v>
      </c>
      <c r="AI340" s="82" t="s">
        <v>1827</v>
      </c>
      <c r="AJ340" s="82"/>
      <c r="AK340" s="87" t="s">
        <v>1763</v>
      </c>
      <c r="AL340" s="82" t="b">
        <v>0</v>
      </c>
      <c r="AM340" s="82">
        <v>0</v>
      </c>
      <c r="AN340" s="87" t="s">
        <v>1815</v>
      </c>
      <c r="AO340" s="87" t="s">
        <v>1851</v>
      </c>
      <c r="AP340" s="82" t="b">
        <v>0</v>
      </c>
      <c r="AQ340" s="87" t="s">
        <v>1728</v>
      </c>
      <c r="AR340" s="82"/>
      <c r="AS340" s="82">
        <v>0</v>
      </c>
      <c r="AT340" s="82">
        <v>0</v>
      </c>
      <c r="AU340" s="82"/>
      <c r="AV340" s="82"/>
      <c r="AW340" s="82"/>
      <c r="AX340" s="82"/>
      <c r="AY340" s="82"/>
      <c r="AZ340" s="82"/>
      <c r="BA340" s="82"/>
      <c r="BB340" s="82"/>
      <c r="BC340">
        <v>2</v>
      </c>
      <c r="BD340" s="81" t="str">
        <f>REPLACE(INDEX(GroupVertices[Group],MATCH(Edges[[#This Row],[Vertex 1]],GroupVertices[Vertex],0)),1,1,"")</f>
        <v>1</v>
      </c>
      <c r="BE340" s="81" t="str">
        <f>REPLACE(INDEX(GroupVertices[Group],MATCH(Edges[[#This Row],[Vertex 2]],GroupVertices[Vertex],0)),1,1,"")</f>
        <v>1</v>
      </c>
      <c r="BF340" s="49">
        <v>0</v>
      </c>
      <c r="BG340" s="50">
        <v>0</v>
      </c>
      <c r="BH340" s="49">
        <v>0</v>
      </c>
      <c r="BI340" s="50">
        <v>0</v>
      </c>
      <c r="BJ340" s="49">
        <v>0</v>
      </c>
      <c r="BK340" s="50">
        <v>0</v>
      </c>
      <c r="BL340" s="49">
        <v>3</v>
      </c>
      <c r="BM340" s="50">
        <v>100</v>
      </c>
      <c r="BN340" s="49">
        <v>3</v>
      </c>
    </row>
    <row r="341" spans="1:66" ht="15">
      <c r="A341" s="66" t="s">
        <v>404</v>
      </c>
      <c r="B341" s="66" t="s">
        <v>404</v>
      </c>
      <c r="C341" s="67" t="s">
        <v>4510</v>
      </c>
      <c r="D341" s="68">
        <v>3.6363636363636362</v>
      </c>
      <c r="E341" s="69" t="s">
        <v>136</v>
      </c>
      <c r="F341" s="70">
        <v>31.2972972972973</v>
      </c>
      <c r="G341" s="67"/>
      <c r="H341" s="71"/>
      <c r="I341" s="72"/>
      <c r="J341" s="72"/>
      <c r="K341" s="35" t="s">
        <v>65</v>
      </c>
      <c r="L341" s="80">
        <v>341</v>
      </c>
      <c r="M341" s="80"/>
      <c r="N341" s="74"/>
      <c r="O341" s="82" t="s">
        <v>214</v>
      </c>
      <c r="P341" s="84">
        <v>44518.63385416667</v>
      </c>
      <c r="Q341" s="82" t="s">
        <v>810</v>
      </c>
      <c r="R341" s="85" t="str">
        <f>HYPERLINK("https://www.cdc.gov/antibiotic-use/common-illnesses.html")</f>
        <v>https://www.cdc.gov/antibiotic-use/common-illnesses.html</v>
      </c>
      <c r="S341" s="82" t="s">
        <v>903</v>
      </c>
      <c r="T341" s="87" t="s">
        <v>1098</v>
      </c>
      <c r="U341" s="82"/>
      <c r="V341" s="85" t="str">
        <f>HYPERLINK("https://pbs.twimg.com/profile_images/1414579013507502080/rC6pNKsJ_normal.jpg")</f>
        <v>https://pbs.twimg.com/profile_images/1414579013507502080/rC6pNKsJ_normal.jpg</v>
      </c>
      <c r="W341" s="84">
        <v>44518.63385416667</v>
      </c>
      <c r="X341" s="90">
        <v>44518</v>
      </c>
      <c r="Y341" s="87" t="s">
        <v>1376</v>
      </c>
      <c r="Z341" s="85" t="str">
        <f>HYPERLINK("https://twitter.com/cdc_ar/status/1461351680587415556")</f>
        <v>https://twitter.com/cdc_ar/status/1461351680587415556</v>
      </c>
      <c r="AA341" s="82"/>
      <c r="AB341" s="82"/>
      <c r="AC341" s="87" t="s">
        <v>1729</v>
      </c>
      <c r="AD341" s="82"/>
      <c r="AE341" s="82" t="b">
        <v>0</v>
      </c>
      <c r="AF341" s="82">
        <v>8</v>
      </c>
      <c r="AG341" s="87" t="s">
        <v>1815</v>
      </c>
      <c r="AH341" s="82" t="b">
        <v>0</v>
      </c>
      <c r="AI341" s="82" t="s">
        <v>1826</v>
      </c>
      <c r="AJ341" s="82"/>
      <c r="AK341" s="87" t="s">
        <v>1815</v>
      </c>
      <c r="AL341" s="82" t="b">
        <v>0</v>
      </c>
      <c r="AM341" s="82">
        <v>5</v>
      </c>
      <c r="AN341" s="87" t="s">
        <v>1815</v>
      </c>
      <c r="AO341" s="87" t="s">
        <v>1850</v>
      </c>
      <c r="AP341" s="82" t="b">
        <v>0</v>
      </c>
      <c r="AQ341" s="87" t="s">
        <v>1729</v>
      </c>
      <c r="AR341" s="82"/>
      <c r="AS341" s="82">
        <v>0</v>
      </c>
      <c r="AT341" s="82">
        <v>0</v>
      </c>
      <c r="AU341" s="82"/>
      <c r="AV341" s="82"/>
      <c r="AW341" s="82"/>
      <c r="AX341" s="82"/>
      <c r="AY341" s="82"/>
      <c r="AZ341" s="82"/>
      <c r="BA341" s="82"/>
      <c r="BB341" s="82"/>
      <c r="BC341">
        <v>2</v>
      </c>
      <c r="BD341" s="81" t="str">
        <f>REPLACE(INDEX(GroupVertices[Group],MATCH(Edges[[#This Row],[Vertex 1]],GroupVertices[Vertex],0)),1,1,"")</f>
        <v>5</v>
      </c>
      <c r="BE341" s="81" t="str">
        <f>REPLACE(INDEX(GroupVertices[Group],MATCH(Edges[[#This Row],[Vertex 2]],GroupVertices[Vertex],0)),1,1,"")</f>
        <v>5</v>
      </c>
      <c r="BF341" s="49">
        <v>2</v>
      </c>
      <c r="BG341" s="50">
        <v>5.128205128205129</v>
      </c>
      <c r="BH341" s="49">
        <v>3</v>
      </c>
      <c r="BI341" s="50">
        <v>7.6923076923076925</v>
      </c>
      <c r="BJ341" s="49">
        <v>0</v>
      </c>
      <c r="BK341" s="50">
        <v>0</v>
      </c>
      <c r="BL341" s="49">
        <v>34</v>
      </c>
      <c r="BM341" s="50">
        <v>87.17948717948718</v>
      </c>
      <c r="BN341" s="49">
        <v>39</v>
      </c>
    </row>
    <row r="342" spans="1:66" ht="15">
      <c r="A342" s="66" t="s">
        <v>404</v>
      </c>
      <c r="B342" s="66" t="s">
        <v>404</v>
      </c>
      <c r="C342" s="67" t="s">
        <v>4510</v>
      </c>
      <c r="D342" s="68">
        <v>3.6363636363636362</v>
      </c>
      <c r="E342" s="69" t="s">
        <v>136</v>
      </c>
      <c r="F342" s="70">
        <v>31.2972972972973</v>
      </c>
      <c r="G342" s="67"/>
      <c r="H342" s="71"/>
      <c r="I342" s="72"/>
      <c r="J342" s="72"/>
      <c r="K342" s="35" t="s">
        <v>65</v>
      </c>
      <c r="L342" s="80">
        <v>342</v>
      </c>
      <c r="M342" s="80"/>
      <c r="N342" s="74"/>
      <c r="O342" s="82" t="s">
        <v>214</v>
      </c>
      <c r="P342" s="84">
        <v>44518.645833333336</v>
      </c>
      <c r="Q342" s="82" t="s">
        <v>811</v>
      </c>
      <c r="R342" s="85" t="str">
        <f>HYPERLINK("https://www.cdc.gov/drugresistance/covid19.html")</f>
        <v>https://www.cdc.gov/drugresistance/covid19.html</v>
      </c>
      <c r="S342" s="82" t="s">
        <v>903</v>
      </c>
      <c r="T342" s="87" t="s">
        <v>1033</v>
      </c>
      <c r="U342" s="85" t="str">
        <f>HYPERLINK("https://pbs.twimg.com/media/FEfE4bLVcAYnt3j.jpg")</f>
        <v>https://pbs.twimg.com/media/FEfE4bLVcAYnt3j.jpg</v>
      </c>
      <c r="V342" s="85" t="str">
        <f>HYPERLINK("https://pbs.twimg.com/media/FEfE4bLVcAYnt3j.jpg")</f>
        <v>https://pbs.twimg.com/media/FEfE4bLVcAYnt3j.jpg</v>
      </c>
      <c r="W342" s="84">
        <v>44518.645833333336</v>
      </c>
      <c r="X342" s="90">
        <v>44518</v>
      </c>
      <c r="Y342" s="87" t="s">
        <v>1291</v>
      </c>
      <c r="Z342" s="85" t="str">
        <f>HYPERLINK("https://twitter.com/cdc_ar/status/1461356019838160913")</f>
        <v>https://twitter.com/cdc_ar/status/1461356019838160913</v>
      </c>
      <c r="AA342" s="82"/>
      <c r="AB342" s="82"/>
      <c r="AC342" s="87" t="s">
        <v>1730</v>
      </c>
      <c r="AD342" s="82"/>
      <c r="AE342" s="82" t="b">
        <v>0</v>
      </c>
      <c r="AF342" s="82">
        <v>17</v>
      </c>
      <c r="AG342" s="87" t="s">
        <v>1815</v>
      </c>
      <c r="AH342" s="82" t="b">
        <v>0</v>
      </c>
      <c r="AI342" s="82" t="s">
        <v>1826</v>
      </c>
      <c r="AJ342" s="82"/>
      <c r="AK342" s="87" t="s">
        <v>1815</v>
      </c>
      <c r="AL342" s="82" t="b">
        <v>0</v>
      </c>
      <c r="AM342" s="82">
        <v>6</v>
      </c>
      <c r="AN342" s="87" t="s">
        <v>1815</v>
      </c>
      <c r="AO342" s="87" t="s">
        <v>1850</v>
      </c>
      <c r="AP342" s="82" t="b">
        <v>0</v>
      </c>
      <c r="AQ342" s="87" t="s">
        <v>1730</v>
      </c>
      <c r="AR342" s="82"/>
      <c r="AS342" s="82">
        <v>0</v>
      </c>
      <c r="AT342" s="82">
        <v>0</v>
      </c>
      <c r="AU342" s="82"/>
      <c r="AV342" s="82"/>
      <c r="AW342" s="82"/>
      <c r="AX342" s="82"/>
      <c r="AY342" s="82"/>
      <c r="AZ342" s="82"/>
      <c r="BA342" s="82"/>
      <c r="BB342" s="82"/>
      <c r="BC342">
        <v>2</v>
      </c>
      <c r="BD342" s="81" t="str">
        <f>REPLACE(INDEX(GroupVertices[Group],MATCH(Edges[[#This Row],[Vertex 1]],GroupVertices[Vertex],0)),1,1,"")</f>
        <v>5</v>
      </c>
      <c r="BE342" s="81" t="str">
        <f>REPLACE(INDEX(GroupVertices[Group],MATCH(Edges[[#This Row],[Vertex 2]],GroupVertices[Vertex],0)),1,1,"")</f>
        <v>5</v>
      </c>
      <c r="BF342" s="49">
        <v>0</v>
      </c>
      <c r="BG342" s="50">
        <v>0</v>
      </c>
      <c r="BH342" s="49">
        <v>3</v>
      </c>
      <c r="BI342" s="50">
        <v>8.571428571428571</v>
      </c>
      <c r="BJ342" s="49">
        <v>0</v>
      </c>
      <c r="BK342" s="50">
        <v>0</v>
      </c>
      <c r="BL342" s="49">
        <v>32</v>
      </c>
      <c r="BM342" s="50">
        <v>91.42857142857143</v>
      </c>
      <c r="BN342" s="49">
        <v>35</v>
      </c>
    </row>
    <row r="343" spans="1:66" ht="15">
      <c r="A343" s="66" t="s">
        <v>405</v>
      </c>
      <c r="B343" s="66" t="s">
        <v>405</v>
      </c>
      <c r="C343" s="67" t="s">
        <v>4509</v>
      </c>
      <c r="D343" s="68">
        <v>3</v>
      </c>
      <c r="E343" s="69" t="s">
        <v>132</v>
      </c>
      <c r="F343" s="70">
        <v>32</v>
      </c>
      <c r="G343" s="67"/>
      <c r="H343" s="71"/>
      <c r="I343" s="72"/>
      <c r="J343" s="72"/>
      <c r="K343" s="35" t="s">
        <v>65</v>
      </c>
      <c r="L343" s="80">
        <v>343</v>
      </c>
      <c r="M343" s="80"/>
      <c r="N343" s="74"/>
      <c r="O343" s="82" t="s">
        <v>214</v>
      </c>
      <c r="P343" s="84">
        <v>44518.663518518515</v>
      </c>
      <c r="Q343" s="82" t="s">
        <v>812</v>
      </c>
      <c r="R343" s="85" t="str">
        <f>HYPERLINK("https://twitter.com/saveantibiotics/status/1461348590412963854")</f>
        <v>https://twitter.com/saveantibiotics/status/1461348590412963854</v>
      </c>
      <c r="S343" s="82" t="s">
        <v>914</v>
      </c>
      <c r="T343" s="87" t="s">
        <v>1099</v>
      </c>
      <c r="U343" s="82"/>
      <c r="V343" s="85" t="str">
        <f>HYPERLINK("https://pbs.twimg.com/profile_images/897142415022149633/g_Sr1N6K_normal.jpg")</f>
        <v>https://pbs.twimg.com/profile_images/897142415022149633/g_Sr1N6K_normal.jpg</v>
      </c>
      <c r="W343" s="84">
        <v>44518.663518518515</v>
      </c>
      <c r="X343" s="90">
        <v>44518</v>
      </c>
      <c r="Y343" s="87" t="s">
        <v>1384</v>
      </c>
      <c r="Z343" s="85" t="str">
        <f>HYPERLINK("https://twitter.com/brettbarrettrph/status/1461362427899961346")</f>
        <v>https://twitter.com/brettbarrettrph/status/1461362427899961346</v>
      </c>
      <c r="AA343" s="82"/>
      <c r="AB343" s="82"/>
      <c r="AC343" s="87" t="s">
        <v>1731</v>
      </c>
      <c r="AD343" s="82"/>
      <c r="AE343" s="82" t="b">
        <v>0</v>
      </c>
      <c r="AF343" s="82">
        <v>4</v>
      </c>
      <c r="AG343" s="87" t="s">
        <v>1815</v>
      </c>
      <c r="AH343" s="82" t="b">
        <v>1</v>
      </c>
      <c r="AI343" s="82" t="s">
        <v>1826</v>
      </c>
      <c r="AJ343" s="82"/>
      <c r="AK343" s="87" t="s">
        <v>1553</v>
      </c>
      <c r="AL343" s="82" t="b">
        <v>0</v>
      </c>
      <c r="AM343" s="82">
        <v>1</v>
      </c>
      <c r="AN343" s="87" t="s">
        <v>1815</v>
      </c>
      <c r="AO343" s="87" t="s">
        <v>1850</v>
      </c>
      <c r="AP343" s="82" t="b">
        <v>0</v>
      </c>
      <c r="AQ343" s="87" t="s">
        <v>1731</v>
      </c>
      <c r="AR343" s="82"/>
      <c r="AS343" s="82">
        <v>0</v>
      </c>
      <c r="AT343" s="82">
        <v>0</v>
      </c>
      <c r="AU343" s="82"/>
      <c r="AV343" s="82"/>
      <c r="AW343" s="82"/>
      <c r="AX343" s="82"/>
      <c r="AY343" s="82"/>
      <c r="AZ343" s="82"/>
      <c r="BA343" s="82"/>
      <c r="BB343" s="82"/>
      <c r="BC343">
        <v>1</v>
      </c>
      <c r="BD343" s="81" t="str">
        <f>REPLACE(INDEX(GroupVertices[Group],MATCH(Edges[[#This Row],[Vertex 1]],GroupVertices[Vertex],0)),1,1,"")</f>
        <v>1</v>
      </c>
      <c r="BE343" s="81" t="str">
        <f>REPLACE(INDEX(GroupVertices[Group],MATCH(Edges[[#This Row],[Vertex 2]],GroupVertices[Vertex],0)),1,1,"")</f>
        <v>1</v>
      </c>
      <c r="BF343" s="49">
        <v>2</v>
      </c>
      <c r="BG343" s="50">
        <v>8.333333333333334</v>
      </c>
      <c r="BH343" s="49">
        <v>1</v>
      </c>
      <c r="BI343" s="50">
        <v>4.166666666666667</v>
      </c>
      <c r="BJ343" s="49">
        <v>0</v>
      </c>
      <c r="BK343" s="50">
        <v>0</v>
      </c>
      <c r="BL343" s="49">
        <v>21</v>
      </c>
      <c r="BM343" s="50">
        <v>87.5</v>
      </c>
      <c r="BN343" s="49">
        <v>24</v>
      </c>
    </row>
    <row r="344" spans="1:66" ht="15">
      <c r="A344" s="66" t="s">
        <v>406</v>
      </c>
      <c r="B344" s="66" t="s">
        <v>406</v>
      </c>
      <c r="C344" s="67" t="s">
        <v>4509</v>
      </c>
      <c r="D344" s="68">
        <v>3</v>
      </c>
      <c r="E344" s="69" t="s">
        <v>132</v>
      </c>
      <c r="F344" s="70">
        <v>32</v>
      </c>
      <c r="G344" s="67"/>
      <c r="H344" s="71"/>
      <c r="I344" s="72"/>
      <c r="J344" s="72"/>
      <c r="K344" s="35" t="s">
        <v>65</v>
      </c>
      <c r="L344" s="80">
        <v>344</v>
      </c>
      <c r="M344" s="80"/>
      <c r="N344" s="74"/>
      <c r="O344" s="82" t="s">
        <v>214</v>
      </c>
      <c r="P344" s="84">
        <v>44518.62505787037</v>
      </c>
      <c r="Q344" s="82" t="s">
        <v>813</v>
      </c>
      <c r="R344" s="82"/>
      <c r="S344" s="82"/>
      <c r="T344" s="87" t="s">
        <v>1100</v>
      </c>
      <c r="U344" s="85" t="str">
        <f>HYPERLINK("https://pbs.twimg.com/media/FEfAtRkVkAkX5VE.jpg")</f>
        <v>https://pbs.twimg.com/media/FEfAtRkVkAkX5VE.jpg</v>
      </c>
      <c r="V344" s="85" t="str">
        <f>HYPERLINK("https://pbs.twimg.com/media/FEfAtRkVkAkX5VE.jpg")</f>
        <v>https://pbs.twimg.com/media/FEfAtRkVkAkX5VE.jpg</v>
      </c>
      <c r="W344" s="84">
        <v>44518.62505787037</v>
      </c>
      <c r="X344" s="90">
        <v>44518</v>
      </c>
      <c r="Y344" s="87" t="s">
        <v>1385</v>
      </c>
      <c r="Z344" s="85" t="str">
        <f>HYPERLINK("https://twitter.com/asc_scarolina/status/1461348492668928002")</f>
        <v>https://twitter.com/asc_scarolina/status/1461348492668928002</v>
      </c>
      <c r="AA344" s="82"/>
      <c r="AB344" s="82"/>
      <c r="AC344" s="87" t="s">
        <v>1732</v>
      </c>
      <c r="AD344" s="82"/>
      <c r="AE344" s="82" t="b">
        <v>0</v>
      </c>
      <c r="AF344" s="82">
        <v>7</v>
      </c>
      <c r="AG344" s="87" t="s">
        <v>1815</v>
      </c>
      <c r="AH344" s="82" t="b">
        <v>0</v>
      </c>
      <c r="AI344" s="82" t="s">
        <v>1826</v>
      </c>
      <c r="AJ344" s="82"/>
      <c r="AK344" s="87" t="s">
        <v>1815</v>
      </c>
      <c r="AL344" s="82" t="b">
        <v>0</v>
      </c>
      <c r="AM344" s="82">
        <v>0</v>
      </c>
      <c r="AN344" s="87" t="s">
        <v>1815</v>
      </c>
      <c r="AO344" s="87" t="s">
        <v>1851</v>
      </c>
      <c r="AP344" s="82" t="b">
        <v>0</v>
      </c>
      <c r="AQ344" s="87" t="s">
        <v>1732</v>
      </c>
      <c r="AR344" s="82"/>
      <c r="AS344" s="82">
        <v>0</v>
      </c>
      <c r="AT344" s="82">
        <v>0</v>
      </c>
      <c r="AU344" s="82"/>
      <c r="AV344" s="82"/>
      <c r="AW344" s="82"/>
      <c r="AX344" s="82"/>
      <c r="AY344" s="82"/>
      <c r="AZ344" s="82"/>
      <c r="BA344" s="82"/>
      <c r="BB344" s="82"/>
      <c r="BC344">
        <v>1</v>
      </c>
      <c r="BD344" s="81" t="str">
        <f>REPLACE(INDEX(GroupVertices[Group],MATCH(Edges[[#This Row],[Vertex 1]],GroupVertices[Vertex],0)),1,1,"")</f>
        <v>1</v>
      </c>
      <c r="BE344" s="81" t="str">
        <f>REPLACE(INDEX(GroupVertices[Group],MATCH(Edges[[#This Row],[Vertex 2]],GroupVertices[Vertex],0)),1,1,"")</f>
        <v>1</v>
      </c>
      <c r="BF344" s="49">
        <v>0</v>
      </c>
      <c r="BG344" s="50">
        <v>0</v>
      </c>
      <c r="BH344" s="49">
        <v>2</v>
      </c>
      <c r="BI344" s="50">
        <v>7.142857142857143</v>
      </c>
      <c r="BJ344" s="49">
        <v>0</v>
      </c>
      <c r="BK344" s="50">
        <v>0</v>
      </c>
      <c r="BL344" s="49">
        <v>26</v>
      </c>
      <c r="BM344" s="50">
        <v>92.85714285714286</v>
      </c>
      <c r="BN344" s="49">
        <v>28</v>
      </c>
    </row>
    <row r="345" spans="1:66" ht="15">
      <c r="A345" s="66" t="s">
        <v>407</v>
      </c>
      <c r="B345" s="66" t="s">
        <v>407</v>
      </c>
      <c r="C345" s="67" t="s">
        <v>4509</v>
      </c>
      <c r="D345" s="68">
        <v>3</v>
      </c>
      <c r="E345" s="69" t="s">
        <v>132</v>
      </c>
      <c r="F345" s="70">
        <v>32</v>
      </c>
      <c r="G345" s="67"/>
      <c r="H345" s="71"/>
      <c r="I345" s="72"/>
      <c r="J345" s="72"/>
      <c r="K345" s="35" t="s">
        <v>65</v>
      </c>
      <c r="L345" s="80">
        <v>345</v>
      </c>
      <c r="M345" s="80"/>
      <c r="N345" s="74"/>
      <c r="O345" s="82" t="s">
        <v>214</v>
      </c>
      <c r="P345" s="84">
        <v>44518.625</v>
      </c>
      <c r="Q345" s="82" t="s">
        <v>814</v>
      </c>
      <c r="R345" s="82"/>
      <c r="S345" s="82"/>
      <c r="T345" s="87" t="s">
        <v>961</v>
      </c>
      <c r="U345" s="85" t="str">
        <f>HYPERLINK("https://pbs.twimg.com/media/FEdrIhpWYAMsSOB.jpg")</f>
        <v>https://pbs.twimg.com/media/FEdrIhpWYAMsSOB.jpg</v>
      </c>
      <c r="V345" s="85" t="str">
        <f>HYPERLINK("https://pbs.twimg.com/media/FEdrIhpWYAMsSOB.jpg")</f>
        <v>https://pbs.twimg.com/media/FEdrIhpWYAMsSOB.jpg</v>
      </c>
      <c r="W345" s="84">
        <v>44518.625</v>
      </c>
      <c r="X345" s="90">
        <v>44518</v>
      </c>
      <c r="Y345" s="87" t="s">
        <v>1160</v>
      </c>
      <c r="Z345" s="85" t="str">
        <f>HYPERLINK("https://twitter.com/cambspboroccg/status/1461348471122837504")</f>
        <v>https://twitter.com/cambspboroccg/status/1461348471122837504</v>
      </c>
      <c r="AA345" s="82"/>
      <c r="AB345" s="82"/>
      <c r="AC345" s="87" t="s">
        <v>1733</v>
      </c>
      <c r="AD345" s="82"/>
      <c r="AE345" s="82" t="b">
        <v>0</v>
      </c>
      <c r="AF345" s="82">
        <v>1</v>
      </c>
      <c r="AG345" s="87" t="s">
        <v>1815</v>
      </c>
      <c r="AH345" s="82" t="b">
        <v>0</v>
      </c>
      <c r="AI345" s="82" t="s">
        <v>1826</v>
      </c>
      <c r="AJ345" s="82"/>
      <c r="AK345" s="87" t="s">
        <v>1815</v>
      </c>
      <c r="AL345" s="82" t="b">
        <v>0</v>
      </c>
      <c r="AM345" s="82">
        <v>0</v>
      </c>
      <c r="AN345" s="87" t="s">
        <v>1815</v>
      </c>
      <c r="AO345" s="87" t="s">
        <v>1867</v>
      </c>
      <c r="AP345" s="82" t="b">
        <v>0</v>
      </c>
      <c r="AQ345" s="87" t="s">
        <v>1733</v>
      </c>
      <c r="AR345" s="82"/>
      <c r="AS345" s="82">
        <v>0</v>
      </c>
      <c r="AT345" s="82">
        <v>0</v>
      </c>
      <c r="AU345" s="82"/>
      <c r="AV345" s="82"/>
      <c r="AW345" s="82"/>
      <c r="AX345" s="82"/>
      <c r="AY345" s="82"/>
      <c r="AZ345" s="82"/>
      <c r="BA345" s="82"/>
      <c r="BB345" s="82"/>
      <c r="BC345">
        <v>1</v>
      </c>
      <c r="BD345" s="81" t="str">
        <f>REPLACE(INDEX(GroupVertices[Group],MATCH(Edges[[#This Row],[Vertex 1]],GroupVertices[Vertex],0)),1,1,"")</f>
        <v>1</v>
      </c>
      <c r="BE345" s="81" t="str">
        <f>REPLACE(INDEX(GroupVertices[Group],MATCH(Edges[[#This Row],[Vertex 2]],GroupVertices[Vertex],0)),1,1,"")</f>
        <v>1</v>
      </c>
      <c r="BF345" s="49">
        <v>0</v>
      </c>
      <c r="BG345" s="50">
        <v>0</v>
      </c>
      <c r="BH345" s="49">
        <v>2</v>
      </c>
      <c r="BI345" s="50">
        <v>6.0606060606060606</v>
      </c>
      <c r="BJ345" s="49">
        <v>0</v>
      </c>
      <c r="BK345" s="50">
        <v>0</v>
      </c>
      <c r="BL345" s="49">
        <v>31</v>
      </c>
      <c r="BM345" s="50">
        <v>93.93939393939394</v>
      </c>
      <c r="BN345" s="49">
        <v>33</v>
      </c>
    </row>
    <row r="346" spans="1:66" ht="15">
      <c r="A346" s="66" t="s">
        <v>408</v>
      </c>
      <c r="B346" s="66" t="s">
        <v>513</v>
      </c>
      <c r="C346" s="67" t="s">
        <v>4509</v>
      </c>
      <c r="D346" s="68">
        <v>3</v>
      </c>
      <c r="E346" s="69" t="s">
        <v>132</v>
      </c>
      <c r="F346" s="70">
        <v>32</v>
      </c>
      <c r="G346" s="67"/>
      <c r="H346" s="71"/>
      <c r="I346" s="72"/>
      <c r="J346" s="72"/>
      <c r="K346" s="35" t="s">
        <v>65</v>
      </c>
      <c r="L346" s="80">
        <v>346</v>
      </c>
      <c r="M346" s="80"/>
      <c r="N346" s="74"/>
      <c r="O346" s="82" t="s">
        <v>528</v>
      </c>
      <c r="P346" s="84">
        <v>44518.62520833333</v>
      </c>
      <c r="Q346" s="82" t="s">
        <v>815</v>
      </c>
      <c r="R346" s="82"/>
      <c r="S346" s="82"/>
      <c r="T346" s="87" t="s">
        <v>1028</v>
      </c>
      <c r="U346" s="85" t="str">
        <f>HYPERLINK("https://pbs.twimg.com/media/FEe9DkJUcAYDHyy.jpg")</f>
        <v>https://pbs.twimg.com/media/FEe9DkJUcAYDHyy.jpg</v>
      </c>
      <c r="V346" s="85" t="str">
        <f>HYPERLINK("https://pbs.twimg.com/media/FEe9DkJUcAYDHyy.jpg")</f>
        <v>https://pbs.twimg.com/media/FEe9DkJUcAYDHyy.jpg</v>
      </c>
      <c r="W346" s="84">
        <v>44518.62520833333</v>
      </c>
      <c r="X346" s="90">
        <v>44518</v>
      </c>
      <c r="Y346" s="87" t="s">
        <v>1386</v>
      </c>
      <c r="Z346" s="85" t="str">
        <f>HYPERLINK("https://twitter.com/antibioticangel/status/1461348545550716936")</f>
        <v>https://twitter.com/antibioticangel/status/1461348545550716936</v>
      </c>
      <c r="AA346" s="82"/>
      <c r="AB346" s="82"/>
      <c r="AC346" s="87" t="s">
        <v>1734</v>
      </c>
      <c r="AD346" s="82"/>
      <c r="AE346" s="82" t="b">
        <v>0</v>
      </c>
      <c r="AF346" s="82">
        <v>18</v>
      </c>
      <c r="AG346" s="87" t="s">
        <v>1815</v>
      </c>
      <c r="AH346" s="82" t="b">
        <v>0</v>
      </c>
      <c r="AI346" s="82" t="s">
        <v>1826</v>
      </c>
      <c r="AJ346" s="82"/>
      <c r="AK346" s="87" t="s">
        <v>1815</v>
      </c>
      <c r="AL346" s="82" t="b">
        <v>0</v>
      </c>
      <c r="AM346" s="82">
        <v>4</v>
      </c>
      <c r="AN346" s="87" t="s">
        <v>1815</v>
      </c>
      <c r="AO346" s="87" t="s">
        <v>1850</v>
      </c>
      <c r="AP346" s="82" t="b">
        <v>0</v>
      </c>
      <c r="AQ346" s="87" t="s">
        <v>1734</v>
      </c>
      <c r="AR346" s="82"/>
      <c r="AS346" s="82">
        <v>0</v>
      </c>
      <c r="AT346" s="82">
        <v>0</v>
      </c>
      <c r="AU346" s="82"/>
      <c r="AV346" s="82"/>
      <c r="AW346" s="82"/>
      <c r="AX346" s="82"/>
      <c r="AY346" s="82"/>
      <c r="AZ346" s="82"/>
      <c r="BA346" s="82"/>
      <c r="BB346" s="82"/>
      <c r="BC346">
        <v>1</v>
      </c>
      <c r="BD346" s="81" t="str">
        <f>REPLACE(INDEX(GroupVertices[Group],MATCH(Edges[[#This Row],[Vertex 1]],GroupVertices[Vertex],0)),1,1,"")</f>
        <v>6</v>
      </c>
      <c r="BE346" s="81" t="str">
        <f>REPLACE(INDEX(GroupVertices[Group],MATCH(Edges[[#This Row],[Vertex 2]],GroupVertices[Vertex],0)),1,1,"")</f>
        <v>6</v>
      </c>
      <c r="BF346" s="49"/>
      <c r="BG346" s="50"/>
      <c r="BH346" s="49"/>
      <c r="BI346" s="50"/>
      <c r="BJ346" s="49"/>
      <c r="BK346" s="50"/>
      <c r="BL346" s="49"/>
      <c r="BM346" s="50"/>
      <c r="BN346" s="49"/>
    </row>
    <row r="347" spans="1:66" ht="15">
      <c r="A347" s="66" t="s">
        <v>408</v>
      </c>
      <c r="B347" s="66" t="s">
        <v>514</v>
      </c>
      <c r="C347" s="67" t="s">
        <v>4509</v>
      </c>
      <c r="D347" s="68">
        <v>3</v>
      </c>
      <c r="E347" s="69" t="s">
        <v>132</v>
      </c>
      <c r="F347" s="70">
        <v>32</v>
      </c>
      <c r="G347" s="67"/>
      <c r="H347" s="71"/>
      <c r="I347" s="72"/>
      <c r="J347" s="72"/>
      <c r="K347" s="35" t="s">
        <v>65</v>
      </c>
      <c r="L347" s="80">
        <v>347</v>
      </c>
      <c r="M347" s="80"/>
      <c r="N347" s="74"/>
      <c r="O347" s="82" t="s">
        <v>528</v>
      </c>
      <c r="P347" s="84">
        <v>44518.62520833333</v>
      </c>
      <c r="Q347" s="82" t="s">
        <v>815</v>
      </c>
      <c r="R347" s="82"/>
      <c r="S347" s="82"/>
      <c r="T347" s="87" t="s">
        <v>1028</v>
      </c>
      <c r="U347" s="85" t="str">
        <f>HYPERLINK("https://pbs.twimg.com/media/FEe9DkJUcAYDHyy.jpg")</f>
        <v>https://pbs.twimg.com/media/FEe9DkJUcAYDHyy.jpg</v>
      </c>
      <c r="V347" s="85" t="str">
        <f>HYPERLINK("https://pbs.twimg.com/media/FEe9DkJUcAYDHyy.jpg")</f>
        <v>https://pbs.twimg.com/media/FEe9DkJUcAYDHyy.jpg</v>
      </c>
      <c r="W347" s="84">
        <v>44518.62520833333</v>
      </c>
      <c r="X347" s="90">
        <v>44518</v>
      </c>
      <c r="Y347" s="87" t="s">
        <v>1386</v>
      </c>
      <c r="Z347" s="85" t="str">
        <f>HYPERLINK("https://twitter.com/antibioticangel/status/1461348545550716936")</f>
        <v>https://twitter.com/antibioticangel/status/1461348545550716936</v>
      </c>
      <c r="AA347" s="82"/>
      <c r="AB347" s="82"/>
      <c r="AC347" s="87" t="s">
        <v>1734</v>
      </c>
      <c r="AD347" s="82"/>
      <c r="AE347" s="82" t="b">
        <v>0</v>
      </c>
      <c r="AF347" s="82">
        <v>18</v>
      </c>
      <c r="AG347" s="87" t="s">
        <v>1815</v>
      </c>
      <c r="AH347" s="82" t="b">
        <v>0</v>
      </c>
      <c r="AI347" s="82" t="s">
        <v>1826</v>
      </c>
      <c r="AJ347" s="82"/>
      <c r="AK347" s="87" t="s">
        <v>1815</v>
      </c>
      <c r="AL347" s="82" t="b">
        <v>0</v>
      </c>
      <c r="AM347" s="82">
        <v>4</v>
      </c>
      <c r="AN347" s="87" t="s">
        <v>1815</v>
      </c>
      <c r="AO347" s="87" t="s">
        <v>1850</v>
      </c>
      <c r="AP347" s="82" t="b">
        <v>0</v>
      </c>
      <c r="AQ347" s="87" t="s">
        <v>1734</v>
      </c>
      <c r="AR347" s="82"/>
      <c r="AS347" s="82">
        <v>0</v>
      </c>
      <c r="AT347" s="82">
        <v>0</v>
      </c>
      <c r="AU347" s="82"/>
      <c r="AV347" s="82"/>
      <c r="AW347" s="82"/>
      <c r="AX347" s="82"/>
      <c r="AY347" s="82"/>
      <c r="AZ347" s="82"/>
      <c r="BA347" s="82"/>
      <c r="BB347" s="82"/>
      <c r="BC347">
        <v>1</v>
      </c>
      <c r="BD347" s="81" t="str">
        <f>REPLACE(INDEX(GroupVertices[Group],MATCH(Edges[[#This Row],[Vertex 1]],GroupVertices[Vertex],0)),1,1,"")</f>
        <v>6</v>
      </c>
      <c r="BE347" s="81" t="str">
        <f>REPLACE(INDEX(GroupVertices[Group],MATCH(Edges[[#This Row],[Vertex 2]],GroupVertices[Vertex],0)),1,1,"")</f>
        <v>6</v>
      </c>
      <c r="BF347" s="49"/>
      <c r="BG347" s="50"/>
      <c r="BH347" s="49"/>
      <c r="BI347" s="50"/>
      <c r="BJ347" s="49"/>
      <c r="BK347" s="50"/>
      <c r="BL347" s="49"/>
      <c r="BM347" s="50"/>
      <c r="BN347" s="49"/>
    </row>
    <row r="348" spans="1:66" ht="15">
      <c r="A348" s="66" t="s">
        <v>408</v>
      </c>
      <c r="B348" s="66" t="s">
        <v>515</v>
      </c>
      <c r="C348" s="67" t="s">
        <v>4509</v>
      </c>
      <c r="D348" s="68">
        <v>3</v>
      </c>
      <c r="E348" s="69" t="s">
        <v>132</v>
      </c>
      <c r="F348" s="70">
        <v>32</v>
      </c>
      <c r="G348" s="67"/>
      <c r="H348" s="71"/>
      <c r="I348" s="72"/>
      <c r="J348" s="72"/>
      <c r="K348" s="35" t="s">
        <v>65</v>
      </c>
      <c r="L348" s="80">
        <v>348</v>
      </c>
      <c r="M348" s="80"/>
      <c r="N348" s="74"/>
      <c r="O348" s="82" t="s">
        <v>528</v>
      </c>
      <c r="P348" s="84">
        <v>44518.62520833333</v>
      </c>
      <c r="Q348" s="82" t="s">
        <v>815</v>
      </c>
      <c r="R348" s="82"/>
      <c r="S348" s="82"/>
      <c r="T348" s="87" t="s">
        <v>1028</v>
      </c>
      <c r="U348" s="85" t="str">
        <f>HYPERLINK("https://pbs.twimg.com/media/FEe9DkJUcAYDHyy.jpg")</f>
        <v>https://pbs.twimg.com/media/FEe9DkJUcAYDHyy.jpg</v>
      </c>
      <c r="V348" s="85" t="str">
        <f>HYPERLINK("https://pbs.twimg.com/media/FEe9DkJUcAYDHyy.jpg")</f>
        <v>https://pbs.twimg.com/media/FEe9DkJUcAYDHyy.jpg</v>
      </c>
      <c r="W348" s="84">
        <v>44518.62520833333</v>
      </c>
      <c r="X348" s="90">
        <v>44518</v>
      </c>
      <c r="Y348" s="87" t="s">
        <v>1386</v>
      </c>
      <c r="Z348" s="85" t="str">
        <f>HYPERLINK("https://twitter.com/antibioticangel/status/1461348545550716936")</f>
        <v>https://twitter.com/antibioticangel/status/1461348545550716936</v>
      </c>
      <c r="AA348" s="82"/>
      <c r="AB348" s="82"/>
      <c r="AC348" s="87" t="s">
        <v>1734</v>
      </c>
      <c r="AD348" s="82"/>
      <c r="AE348" s="82" t="b">
        <v>0</v>
      </c>
      <c r="AF348" s="82">
        <v>18</v>
      </c>
      <c r="AG348" s="87" t="s">
        <v>1815</v>
      </c>
      <c r="AH348" s="82" t="b">
        <v>0</v>
      </c>
      <c r="AI348" s="82" t="s">
        <v>1826</v>
      </c>
      <c r="AJ348" s="82"/>
      <c r="AK348" s="87" t="s">
        <v>1815</v>
      </c>
      <c r="AL348" s="82" t="b">
        <v>0</v>
      </c>
      <c r="AM348" s="82">
        <v>4</v>
      </c>
      <c r="AN348" s="87" t="s">
        <v>1815</v>
      </c>
      <c r="AO348" s="87" t="s">
        <v>1850</v>
      </c>
      <c r="AP348" s="82" t="b">
        <v>0</v>
      </c>
      <c r="AQ348" s="87" t="s">
        <v>1734</v>
      </c>
      <c r="AR348" s="82"/>
      <c r="AS348" s="82">
        <v>0</v>
      </c>
      <c r="AT348" s="82">
        <v>0</v>
      </c>
      <c r="AU348" s="82"/>
      <c r="AV348" s="82"/>
      <c r="AW348" s="82"/>
      <c r="AX348" s="82"/>
      <c r="AY348" s="82"/>
      <c r="AZ348" s="82"/>
      <c r="BA348" s="82"/>
      <c r="BB348" s="82"/>
      <c r="BC348">
        <v>1</v>
      </c>
      <c r="BD348" s="81" t="str">
        <f>REPLACE(INDEX(GroupVertices[Group],MATCH(Edges[[#This Row],[Vertex 1]],GroupVertices[Vertex],0)),1,1,"")</f>
        <v>6</v>
      </c>
      <c r="BE348" s="81" t="str">
        <f>REPLACE(INDEX(GroupVertices[Group],MATCH(Edges[[#This Row],[Vertex 2]],GroupVertices[Vertex],0)),1,1,"")</f>
        <v>6</v>
      </c>
      <c r="BF348" s="49"/>
      <c r="BG348" s="50"/>
      <c r="BH348" s="49"/>
      <c r="BI348" s="50"/>
      <c r="BJ348" s="49"/>
      <c r="BK348" s="50"/>
      <c r="BL348" s="49"/>
      <c r="BM348" s="50"/>
      <c r="BN348" s="49"/>
    </row>
    <row r="349" spans="1:66" ht="15">
      <c r="A349" s="66" t="s">
        <v>408</v>
      </c>
      <c r="B349" s="66" t="s">
        <v>516</v>
      </c>
      <c r="C349" s="67" t="s">
        <v>4509</v>
      </c>
      <c r="D349" s="68">
        <v>3</v>
      </c>
      <c r="E349" s="69" t="s">
        <v>132</v>
      </c>
      <c r="F349" s="70">
        <v>32</v>
      </c>
      <c r="G349" s="67"/>
      <c r="H349" s="71"/>
      <c r="I349" s="72"/>
      <c r="J349" s="72"/>
      <c r="K349" s="35" t="s">
        <v>65</v>
      </c>
      <c r="L349" s="80">
        <v>349</v>
      </c>
      <c r="M349" s="80"/>
      <c r="N349" s="74"/>
      <c r="O349" s="82" t="s">
        <v>528</v>
      </c>
      <c r="P349" s="84">
        <v>44518.62520833333</v>
      </c>
      <c r="Q349" s="82" t="s">
        <v>815</v>
      </c>
      <c r="R349" s="82"/>
      <c r="S349" s="82"/>
      <c r="T349" s="87" t="s">
        <v>1028</v>
      </c>
      <c r="U349" s="85" t="str">
        <f>HYPERLINK("https://pbs.twimg.com/media/FEe9DkJUcAYDHyy.jpg")</f>
        <v>https://pbs.twimg.com/media/FEe9DkJUcAYDHyy.jpg</v>
      </c>
      <c r="V349" s="85" t="str">
        <f>HYPERLINK("https://pbs.twimg.com/media/FEe9DkJUcAYDHyy.jpg")</f>
        <v>https://pbs.twimg.com/media/FEe9DkJUcAYDHyy.jpg</v>
      </c>
      <c r="W349" s="84">
        <v>44518.62520833333</v>
      </c>
      <c r="X349" s="90">
        <v>44518</v>
      </c>
      <c r="Y349" s="87" t="s">
        <v>1386</v>
      </c>
      <c r="Z349" s="85" t="str">
        <f>HYPERLINK("https://twitter.com/antibioticangel/status/1461348545550716936")</f>
        <v>https://twitter.com/antibioticangel/status/1461348545550716936</v>
      </c>
      <c r="AA349" s="82"/>
      <c r="AB349" s="82"/>
      <c r="AC349" s="87" t="s">
        <v>1734</v>
      </c>
      <c r="AD349" s="82"/>
      <c r="AE349" s="82" t="b">
        <v>0</v>
      </c>
      <c r="AF349" s="82">
        <v>18</v>
      </c>
      <c r="AG349" s="87" t="s">
        <v>1815</v>
      </c>
      <c r="AH349" s="82" t="b">
        <v>0</v>
      </c>
      <c r="AI349" s="82" t="s">
        <v>1826</v>
      </c>
      <c r="AJ349" s="82"/>
      <c r="AK349" s="87" t="s">
        <v>1815</v>
      </c>
      <c r="AL349" s="82" t="b">
        <v>0</v>
      </c>
      <c r="AM349" s="82">
        <v>4</v>
      </c>
      <c r="AN349" s="87" t="s">
        <v>1815</v>
      </c>
      <c r="AO349" s="87" t="s">
        <v>1850</v>
      </c>
      <c r="AP349" s="82" t="b">
        <v>0</v>
      </c>
      <c r="AQ349" s="87" t="s">
        <v>1734</v>
      </c>
      <c r="AR349" s="82"/>
      <c r="AS349" s="82">
        <v>0</v>
      </c>
      <c r="AT349" s="82">
        <v>0</v>
      </c>
      <c r="AU349" s="82"/>
      <c r="AV349" s="82"/>
      <c r="AW349" s="82"/>
      <c r="AX349" s="82"/>
      <c r="AY349" s="82"/>
      <c r="AZ349" s="82"/>
      <c r="BA349" s="82"/>
      <c r="BB349" s="82"/>
      <c r="BC349">
        <v>1</v>
      </c>
      <c r="BD349" s="81" t="str">
        <f>REPLACE(INDEX(GroupVertices[Group],MATCH(Edges[[#This Row],[Vertex 1]],GroupVertices[Vertex],0)),1,1,"")</f>
        <v>6</v>
      </c>
      <c r="BE349" s="81" t="str">
        <f>REPLACE(INDEX(GroupVertices[Group],MATCH(Edges[[#This Row],[Vertex 2]],GroupVertices[Vertex],0)),1,1,"")</f>
        <v>6</v>
      </c>
      <c r="BF349" s="49"/>
      <c r="BG349" s="50"/>
      <c r="BH349" s="49"/>
      <c r="BI349" s="50"/>
      <c r="BJ349" s="49"/>
      <c r="BK349" s="50"/>
      <c r="BL349" s="49"/>
      <c r="BM349" s="50"/>
      <c r="BN349" s="49"/>
    </row>
    <row r="350" spans="1:66" ht="15">
      <c r="A350" s="66" t="s">
        <v>409</v>
      </c>
      <c r="B350" s="66" t="s">
        <v>408</v>
      </c>
      <c r="C350" s="67" t="s">
        <v>4509</v>
      </c>
      <c r="D350" s="68">
        <v>3</v>
      </c>
      <c r="E350" s="69" t="s">
        <v>132</v>
      </c>
      <c r="F350" s="70">
        <v>32</v>
      </c>
      <c r="G350" s="67"/>
      <c r="H350" s="71"/>
      <c r="I350" s="72"/>
      <c r="J350" s="72"/>
      <c r="K350" s="35" t="s">
        <v>66</v>
      </c>
      <c r="L350" s="80">
        <v>350</v>
      </c>
      <c r="M350" s="80"/>
      <c r="N350" s="74"/>
      <c r="O350" s="82" t="s">
        <v>528</v>
      </c>
      <c r="P350" s="84">
        <v>44518.630833333336</v>
      </c>
      <c r="Q350" s="82" t="s">
        <v>816</v>
      </c>
      <c r="R350" s="85" t="str">
        <f>HYPERLINK("https://twitter.com/antibioticangel/status/1461348545550716936")</f>
        <v>https://twitter.com/antibioticangel/status/1461348545550716936</v>
      </c>
      <c r="S350" s="82" t="s">
        <v>914</v>
      </c>
      <c r="T350" s="87" t="s">
        <v>1101</v>
      </c>
      <c r="U350" s="82"/>
      <c r="V350" s="85" t="str">
        <f>HYPERLINK("https://pbs.twimg.com/profile_images/1352684215394045953/Tyb9gztz_normal.png")</f>
        <v>https://pbs.twimg.com/profile_images/1352684215394045953/Tyb9gztz_normal.png</v>
      </c>
      <c r="W350" s="84">
        <v>44518.630833333336</v>
      </c>
      <c r="X350" s="90">
        <v>44518</v>
      </c>
      <c r="Y350" s="87" t="s">
        <v>1387</v>
      </c>
      <c r="Z350" s="85" t="str">
        <f>HYPERLINK("https://twitter.com/elizbeech/status/1461350585672683527")</f>
        <v>https://twitter.com/elizbeech/status/1461350585672683527</v>
      </c>
      <c r="AA350" s="82"/>
      <c r="AB350" s="82"/>
      <c r="AC350" s="87" t="s">
        <v>1735</v>
      </c>
      <c r="AD350" s="82"/>
      <c r="AE350" s="82" t="b">
        <v>0</v>
      </c>
      <c r="AF350" s="82">
        <v>5</v>
      </c>
      <c r="AG350" s="87" t="s">
        <v>1815</v>
      </c>
      <c r="AH350" s="82" t="b">
        <v>1</v>
      </c>
      <c r="AI350" s="82" t="s">
        <v>1826</v>
      </c>
      <c r="AJ350" s="82"/>
      <c r="AK350" s="87" t="s">
        <v>1734</v>
      </c>
      <c r="AL350" s="82" t="b">
        <v>0</v>
      </c>
      <c r="AM350" s="82">
        <v>0</v>
      </c>
      <c r="AN350" s="87" t="s">
        <v>1815</v>
      </c>
      <c r="AO350" s="87" t="s">
        <v>1850</v>
      </c>
      <c r="AP350" s="82" t="b">
        <v>0</v>
      </c>
      <c r="AQ350" s="87" t="s">
        <v>1735</v>
      </c>
      <c r="AR350" s="82"/>
      <c r="AS350" s="82">
        <v>0</v>
      </c>
      <c r="AT350" s="82">
        <v>0</v>
      </c>
      <c r="AU350" s="82"/>
      <c r="AV350" s="82"/>
      <c r="AW350" s="82"/>
      <c r="AX350" s="82"/>
      <c r="AY350" s="82"/>
      <c r="AZ350" s="82"/>
      <c r="BA350" s="82"/>
      <c r="BB350" s="82"/>
      <c r="BC350">
        <v>1</v>
      </c>
      <c r="BD350" s="81" t="str">
        <f>REPLACE(INDEX(GroupVertices[Group],MATCH(Edges[[#This Row],[Vertex 1]],GroupVertices[Vertex],0)),1,1,"")</f>
        <v>6</v>
      </c>
      <c r="BE350" s="81" t="str">
        <f>REPLACE(INDEX(GroupVertices[Group],MATCH(Edges[[#This Row],[Vertex 2]],GroupVertices[Vertex],0)),1,1,"")</f>
        <v>6</v>
      </c>
      <c r="BF350" s="49">
        <v>1</v>
      </c>
      <c r="BG350" s="50">
        <v>8.333333333333334</v>
      </c>
      <c r="BH350" s="49">
        <v>0</v>
      </c>
      <c r="BI350" s="50">
        <v>0</v>
      </c>
      <c r="BJ350" s="49">
        <v>0</v>
      </c>
      <c r="BK350" s="50">
        <v>0</v>
      </c>
      <c r="BL350" s="49">
        <v>11</v>
      </c>
      <c r="BM350" s="50">
        <v>91.66666666666667</v>
      </c>
      <c r="BN350" s="49">
        <v>12</v>
      </c>
    </row>
    <row r="351" spans="1:66" ht="15">
      <c r="A351" s="66" t="s">
        <v>408</v>
      </c>
      <c r="B351" s="66" t="s">
        <v>409</v>
      </c>
      <c r="C351" s="67" t="s">
        <v>4509</v>
      </c>
      <c r="D351" s="68">
        <v>3</v>
      </c>
      <c r="E351" s="69" t="s">
        <v>132</v>
      </c>
      <c r="F351" s="70">
        <v>32</v>
      </c>
      <c r="G351" s="67"/>
      <c r="H351" s="71"/>
      <c r="I351" s="72"/>
      <c r="J351" s="72"/>
      <c r="K351" s="35" t="s">
        <v>66</v>
      </c>
      <c r="L351" s="80">
        <v>351</v>
      </c>
      <c r="M351" s="80"/>
      <c r="N351" s="74"/>
      <c r="O351" s="82" t="s">
        <v>529</v>
      </c>
      <c r="P351" s="84">
        <v>44518.66241898148</v>
      </c>
      <c r="Q351" s="82" t="s">
        <v>817</v>
      </c>
      <c r="R351" s="82"/>
      <c r="S351" s="82"/>
      <c r="T351" s="87" t="s">
        <v>1102</v>
      </c>
      <c r="U351" s="82"/>
      <c r="V351" s="85" t="str">
        <f>HYPERLINK("https://pbs.twimg.com/profile_images/1465681717088378880/FqK2DOCO_normal.jpg")</f>
        <v>https://pbs.twimg.com/profile_images/1465681717088378880/FqK2DOCO_normal.jpg</v>
      </c>
      <c r="W351" s="84">
        <v>44518.66241898148</v>
      </c>
      <c r="X351" s="90">
        <v>44518</v>
      </c>
      <c r="Y351" s="87" t="s">
        <v>1388</v>
      </c>
      <c r="Z351" s="85" t="str">
        <f>HYPERLINK("https://twitter.com/antibioticangel/status/1461362029420179462")</f>
        <v>https://twitter.com/antibioticangel/status/1461362029420179462</v>
      </c>
      <c r="AA351" s="82"/>
      <c r="AB351" s="82"/>
      <c r="AC351" s="87" t="s">
        <v>1736</v>
      </c>
      <c r="AD351" s="87" t="s">
        <v>1735</v>
      </c>
      <c r="AE351" s="82" t="b">
        <v>0</v>
      </c>
      <c r="AF351" s="82">
        <v>2</v>
      </c>
      <c r="AG351" s="87" t="s">
        <v>1823</v>
      </c>
      <c r="AH351" s="82" t="b">
        <v>0</v>
      </c>
      <c r="AI351" s="82" t="s">
        <v>1826</v>
      </c>
      <c r="AJ351" s="82"/>
      <c r="AK351" s="87" t="s">
        <v>1815</v>
      </c>
      <c r="AL351" s="82" t="b">
        <v>0</v>
      </c>
      <c r="AM351" s="82">
        <v>1</v>
      </c>
      <c r="AN351" s="87" t="s">
        <v>1815</v>
      </c>
      <c r="AO351" s="87" t="s">
        <v>1851</v>
      </c>
      <c r="AP351" s="82" t="b">
        <v>0</v>
      </c>
      <c r="AQ351" s="87" t="s">
        <v>1735</v>
      </c>
      <c r="AR351" s="82"/>
      <c r="AS351" s="82">
        <v>0</v>
      </c>
      <c r="AT351" s="82">
        <v>0</v>
      </c>
      <c r="AU351" s="82"/>
      <c r="AV351" s="82"/>
      <c r="AW351" s="82"/>
      <c r="AX351" s="82"/>
      <c r="AY351" s="82"/>
      <c r="AZ351" s="82"/>
      <c r="BA351" s="82"/>
      <c r="BB351" s="82"/>
      <c r="BC351">
        <v>1</v>
      </c>
      <c r="BD351" s="81" t="str">
        <f>REPLACE(INDEX(GroupVertices[Group],MATCH(Edges[[#This Row],[Vertex 1]],GroupVertices[Vertex],0)),1,1,"")</f>
        <v>6</v>
      </c>
      <c r="BE351" s="81" t="str">
        <f>REPLACE(INDEX(GroupVertices[Group],MATCH(Edges[[#This Row],[Vertex 2]],GroupVertices[Vertex],0)),1,1,"")</f>
        <v>6</v>
      </c>
      <c r="BF351" s="49">
        <v>1</v>
      </c>
      <c r="BG351" s="50">
        <v>7.6923076923076925</v>
      </c>
      <c r="BH351" s="49">
        <v>0</v>
      </c>
      <c r="BI351" s="50">
        <v>0</v>
      </c>
      <c r="BJ351" s="49">
        <v>0</v>
      </c>
      <c r="BK351" s="50">
        <v>0</v>
      </c>
      <c r="BL351" s="49">
        <v>12</v>
      </c>
      <c r="BM351" s="50">
        <v>92.3076923076923</v>
      </c>
      <c r="BN351" s="49">
        <v>13</v>
      </c>
    </row>
    <row r="352" spans="1:66" ht="15">
      <c r="A352" s="66" t="s">
        <v>408</v>
      </c>
      <c r="B352" s="66" t="s">
        <v>517</v>
      </c>
      <c r="C352" s="67" t="s">
        <v>4509</v>
      </c>
      <c r="D352" s="68">
        <v>3</v>
      </c>
      <c r="E352" s="69" t="s">
        <v>132</v>
      </c>
      <c r="F352" s="70">
        <v>32</v>
      </c>
      <c r="G352" s="67"/>
      <c r="H352" s="71"/>
      <c r="I352" s="72"/>
      <c r="J352" s="72"/>
      <c r="K352" s="35" t="s">
        <v>65</v>
      </c>
      <c r="L352" s="80">
        <v>352</v>
      </c>
      <c r="M352" s="80"/>
      <c r="N352" s="74"/>
      <c r="O352" s="82" t="s">
        <v>528</v>
      </c>
      <c r="P352" s="84">
        <v>44518.66027777778</v>
      </c>
      <c r="Q352" s="82" t="s">
        <v>818</v>
      </c>
      <c r="R352" s="82"/>
      <c r="S352" s="82"/>
      <c r="T352" s="87" t="s">
        <v>1103</v>
      </c>
      <c r="U352" s="85" t="str">
        <f>HYPERLINK("https://pbs.twimg.com/media/FEfMT_0VQAsf1I5.jpg")</f>
        <v>https://pbs.twimg.com/media/FEfMT_0VQAsf1I5.jpg</v>
      </c>
      <c r="V352" s="85" t="str">
        <f>HYPERLINK("https://pbs.twimg.com/media/FEfMT_0VQAsf1I5.jpg")</f>
        <v>https://pbs.twimg.com/media/FEfMT_0VQAsf1I5.jpg</v>
      </c>
      <c r="W352" s="84">
        <v>44518.66027777778</v>
      </c>
      <c r="X352" s="90">
        <v>44518</v>
      </c>
      <c r="Y352" s="87" t="s">
        <v>1389</v>
      </c>
      <c r="Z352" s="85" t="str">
        <f>HYPERLINK("https://twitter.com/antibioticangel/status/1461361255692660749")</f>
        <v>https://twitter.com/antibioticangel/status/1461361255692660749</v>
      </c>
      <c r="AA352" s="82"/>
      <c r="AB352" s="82"/>
      <c r="AC352" s="87" t="s">
        <v>1737</v>
      </c>
      <c r="AD352" s="82"/>
      <c r="AE352" s="82" t="b">
        <v>0</v>
      </c>
      <c r="AF352" s="82">
        <v>9</v>
      </c>
      <c r="AG352" s="87" t="s">
        <v>1815</v>
      </c>
      <c r="AH352" s="82" t="b">
        <v>0</v>
      </c>
      <c r="AI352" s="82" t="s">
        <v>1826</v>
      </c>
      <c r="AJ352" s="82"/>
      <c r="AK352" s="87" t="s">
        <v>1815</v>
      </c>
      <c r="AL352" s="82" t="b">
        <v>0</v>
      </c>
      <c r="AM352" s="82">
        <v>1</v>
      </c>
      <c r="AN352" s="87" t="s">
        <v>1815</v>
      </c>
      <c r="AO352" s="87" t="s">
        <v>1851</v>
      </c>
      <c r="AP352" s="82" t="b">
        <v>0</v>
      </c>
      <c r="AQ352" s="87" t="s">
        <v>1737</v>
      </c>
      <c r="AR352" s="82"/>
      <c r="AS352" s="82">
        <v>0</v>
      </c>
      <c r="AT352" s="82">
        <v>0</v>
      </c>
      <c r="AU352" s="82"/>
      <c r="AV352" s="82"/>
      <c r="AW352" s="82"/>
      <c r="AX352" s="82"/>
      <c r="AY352" s="82"/>
      <c r="AZ352" s="82"/>
      <c r="BA352" s="82"/>
      <c r="BB352" s="82"/>
      <c r="BC352">
        <v>1</v>
      </c>
      <c r="BD352" s="81" t="str">
        <f>REPLACE(INDEX(GroupVertices[Group],MATCH(Edges[[#This Row],[Vertex 1]],GroupVertices[Vertex],0)),1,1,"")</f>
        <v>6</v>
      </c>
      <c r="BE352" s="81" t="str">
        <f>REPLACE(INDEX(GroupVertices[Group],MATCH(Edges[[#This Row],[Vertex 2]],GroupVertices[Vertex],0)),1,1,"")</f>
        <v>6</v>
      </c>
      <c r="BF352" s="49"/>
      <c r="BG352" s="50"/>
      <c r="BH352" s="49"/>
      <c r="BI352" s="50"/>
      <c r="BJ352" s="49"/>
      <c r="BK352" s="50"/>
      <c r="BL352" s="49"/>
      <c r="BM352" s="50"/>
      <c r="BN352" s="49"/>
    </row>
    <row r="353" spans="1:66" ht="15">
      <c r="A353" s="66" t="s">
        <v>408</v>
      </c>
      <c r="B353" s="66" t="s">
        <v>518</v>
      </c>
      <c r="C353" s="67" t="s">
        <v>4510</v>
      </c>
      <c r="D353" s="68">
        <v>3.6363636363636362</v>
      </c>
      <c r="E353" s="69" t="s">
        <v>136</v>
      </c>
      <c r="F353" s="70">
        <v>31.2972972972973</v>
      </c>
      <c r="G353" s="67"/>
      <c r="H353" s="71"/>
      <c r="I353" s="72"/>
      <c r="J353" s="72"/>
      <c r="K353" s="35" t="s">
        <v>65</v>
      </c>
      <c r="L353" s="80">
        <v>353</v>
      </c>
      <c r="M353" s="80"/>
      <c r="N353" s="74"/>
      <c r="O353" s="82" t="s">
        <v>528</v>
      </c>
      <c r="P353" s="84">
        <v>44518.62520833333</v>
      </c>
      <c r="Q353" s="82" t="s">
        <v>815</v>
      </c>
      <c r="R353" s="82"/>
      <c r="S353" s="82"/>
      <c r="T353" s="87" t="s">
        <v>1028</v>
      </c>
      <c r="U353" s="85" t="str">
        <f>HYPERLINK("https://pbs.twimg.com/media/FEe9DkJUcAYDHyy.jpg")</f>
        <v>https://pbs.twimg.com/media/FEe9DkJUcAYDHyy.jpg</v>
      </c>
      <c r="V353" s="85" t="str">
        <f>HYPERLINK("https://pbs.twimg.com/media/FEe9DkJUcAYDHyy.jpg")</f>
        <v>https://pbs.twimg.com/media/FEe9DkJUcAYDHyy.jpg</v>
      </c>
      <c r="W353" s="84">
        <v>44518.62520833333</v>
      </c>
      <c r="X353" s="90">
        <v>44518</v>
      </c>
      <c r="Y353" s="87" t="s">
        <v>1386</v>
      </c>
      <c r="Z353" s="85" t="str">
        <f>HYPERLINK("https://twitter.com/antibioticangel/status/1461348545550716936")</f>
        <v>https://twitter.com/antibioticangel/status/1461348545550716936</v>
      </c>
      <c r="AA353" s="82"/>
      <c r="AB353" s="82"/>
      <c r="AC353" s="87" t="s">
        <v>1734</v>
      </c>
      <c r="AD353" s="82"/>
      <c r="AE353" s="82" t="b">
        <v>0</v>
      </c>
      <c r="AF353" s="82">
        <v>18</v>
      </c>
      <c r="AG353" s="87" t="s">
        <v>1815</v>
      </c>
      <c r="AH353" s="82" t="b">
        <v>0</v>
      </c>
      <c r="AI353" s="82" t="s">
        <v>1826</v>
      </c>
      <c r="AJ353" s="82"/>
      <c r="AK353" s="87" t="s">
        <v>1815</v>
      </c>
      <c r="AL353" s="82" t="b">
        <v>0</v>
      </c>
      <c r="AM353" s="82">
        <v>4</v>
      </c>
      <c r="AN353" s="87" t="s">
        <v>1815</v>
      </c>
      <c r="AO353" s="87" t="s">
        <v>1850</v>
      </c>
      <c r="AP353" s="82" t="b">
        <v>0</v>
      </c>
      <c r="AQ353" s="87" t="s">
        <v>1734</v>
      </c>
      <c r="AR353" s="82"/>
      <c r="AS353" s="82">
        <v>0</v>
      </c>
      <c r="AT353" s="82">
        <v>0</v>
      </c>
      <c r="AU353" s="82"/>
      <c r="AV353" s="82"/>
      <c r="AW353" s="82"/>
      <c r="AX353" s="82"/>
      <c r="AY353" s="82"/>
      <c r="AZ353" s="82"/>
      <c r="BA353" s="82"/>
      <c r="BB353" s="82"/>
      <c r="BC353">
        <v>2</v>
      </c>
      <c r="BD353" s="81" t="str">
        <f>REPLACE(INDEX(GroupVertices[Group],MATCH(Edges[[#This Row],[Vertex 1]],GroupVertices[Vertex],0)),1,1,"")</f>
        <v>6</v>
      </c>
      <c r="BE353" s="81" t="str">
        <f>REPLACE(INDEX(GroupVertices[Group],MATCH(Edges[[#This Row],[Vertex 2]],GroupVertices[Vertex],0)),1,1,"")</f>
        <v>6</v>
      </c>
      <c r="BF353" s="49">
        <v>3</v>
      </c>
      <c r="BG353" s="50">
        <v>8.333333333333334</v>
      </c>
      <c r="BH353" s="49">
        <v>0</v>
      </c>
      <c r="BI353" s="50">
        <v>0</v>
      </c>
      <c r="BJ353" s="49">
        <v>0</v>
      </c>
      <c r="BK353" s="50">
        <v>0</v>
      </c>
      <c r="BL353" s="49">
        <v>33</v>
      </c>
      <c r="BM353" s="50">
        <v>91.66666666666667</v>
      </c>
      <c r="BN353" s="49">
        <v>36</v>
      </c>
    </row>
    <row r="354" spans="1:66" ht="15">
      <c r="A354" s="66" t="s">
        <v>408</v>
      </c>
      <c r="B354" s="66" t="s">
        <v>518</v>
      </c>
      <c r="C354" s="67" t="s">
        <v>4510</v>
      </c>
      <c r="D354" s="68">
        <v>3.6363636363636362</v>
      </c>
      <c r="E354" s="69" t="s">
        <v>136</v>
      </c>
      <c r="F354" s="70">
        <v>31.2972972972973</v>
      </c>
      <c r="G354" s="67"/>
      <c r="H354" s="71"/>
      <c r="I354" s="72"/>
      <c r="J354" s="72"/>
      <c r="K354" s="35" t="s">
        <v>65</v>
      </c>
      <c r="L354" s="80">
        <v>354</v>
      </c>
      <c r="M354" s="80"/>
      <c r="N354" s="74"/>
      <c r="O354" s="82" t="s">
        <v>528</v>
      </c>
      <c r="P354" s="84">
        <v>44518.66027777778</v>
      </c>
      <c r="Q354" s="82" t="s">
        <v>818</v>
      </c>
      <c r="R354" s="82"/>
      <c r="S354" s="82"/>
      <c r="T354" s="87" t="s">
        <v>1103</v>
      </c>
      <c r="U354" s="85" t="str">
        <f>HYPERLINK("https://pbs.twimg.com/media/FEfMT_0VQAsf1I5.jpg")</f>
        <v>https://pbs.twimg.com/media/FEfMT_0VQAsf1I5.jpg</v>
      </c>
      <c r="V354" s="85" t="str">
        <f>HYPERLINK("https://pbs.twimg.com/media/FEfMT_0VQAsf1I5.jpg")</f>
        <v>https://pbs.twimg.com/media/FEfMT_0VQAsf1I5.jpg</v>
      </c>
      <c r="W354" s="84">
        <v>44518.66027777778</v>
      </c>
      <c r="X354" s="90">
        <v>44518</v>
      </c>
      <c r="Y354" s="87" t="s">
        <v>1389</v>
      </c>
      <c r="Z354" s="85" t="str">
        <f>HYPERLINK("https://twitter.com/antibioticangel/status/1461361255692660749")</f>
        <v>https://twitter.com/antibioticangel/status/1461361255692660749</v>
      </c>
      <c r="AA354" s="82"/>
      <c r="AB354" s="82"/>
      <c r="AC354" s="87" t="s">
        <v>1737</v>
      </c>
      <c r="AD354" s="82"/>
      <c r="AE354" s="82" t="b">
        <v>0</v>
      </c>
      <c r="AF354" s="82">
        <v>9</v>
      </c>
      <c r="AG354" s="87" t="s">
        <v>1815</v>
      </c>
      <c r="AH354" s="82" t="b">
        <v>0</v>
      </c>
      <c r="AI354" s="82" t="s">
        <v>1826</v>
      </c>
      <c r="AJ354" s="82"/>
      <c r="AK354" s="87" t="s">
        <v>1815</v>
      </c>
      <c r="AL354" s="82" t="b">
        <v>0</v>
      </c>
      <c r="AM354" s="82">
        <v>1</v>
      </c>
      <c r="AN354" s="87" t="s">
        <v>1815</v>
      </c>
      <c r="AO354" s="87" t="s">
        <v>1851</v>
      </c>
      <c r="AP354" s="82" t="b">
        <v>0</v>
      </c>
      <c r="AQ354" s="87" t="s">
        <v>1737</v>
      </c>
      <c r="AR354" s="82"/>
      <c r="AS354" s="82">
        <v>0</v>
      </c>
      <c r="AT354" s="82">
        <v>0</v>
      </c>
      <c r="AU354" s="82"/>
      <c r="AV354" s="82"/>
      <c r="AW354" s="82"/>
      <c r="AX354" s="82"/>
      <c r="AY354" s="82"/>
      <c r="AZ354" s="82"/>
      <c r="BA354" s="82"/>
      <c r="BB354" s="82"/>
      <c r="BC354">
        <v>2</v>
      </c>
      <c r="BD354" s="81" t="str">
        <f>REPLACE(INDEX(GroupVertices[Group],MATCH(Edges[[#This Row],[Vertex 1]],GroupVertices[Vertex],0)),1,1,"")</f>
        <v>6</v>
      </c>
      <c r="BE354" s="81" t="str">
        <f>REPLACE(INDEX(GroupVertices[Group],MATCH(Edges[[#This Row],[Vertex 2]],GroupVertices[Vertex],0)),1,1,"")</f>
        <v>6</v>
      </c>
      <c r="BF354" s="49">
        <v>1</v>
      </c>
      <c r="BG354" s="50">
        <v>4</v>
      </c>
      <c r="BH354" s="49">
        <v>1</v>
      </c>
      <c r="BI354" s="50">
        <v>4</v>
      </c>
      <c r="BJ354" s="49">
        <v>0</v>
      </c>
      <c r="BK354" s="50">
        <v>0</v>
      </c>
      <c r="BL354" s="49">
        <v>23</v>
      </c>
      <c r="BM354" s="50">
        <v>92</v>
      </c>
      <c r="BN354" s="49">
        <v>25</v>
      </c>
    </row>
    <row r="355" spans="1:66" ht="15">
      <c r="A355" s="66" t="s">
        <v>408</v>
      </c>
      <c r="B355" s="66" t="s">
        <v>429</v>
      </c>
      <c r="C355" s="67" t="s">
        <v>4509</v>
      </c>
      <c r="D355" s="68">
        <v>3</v>
      </c>
      <c r="E355" s="69" t="s">
        <v>132</v>
      </c>
      <c r="F355" s="70">
        <v>32</v>
      </c>
      <c r="G355" s="67"/>
      <c r="H355" s="71"/>
      <c r="I355" s="72"/>
      <c r="J355" s="72"/>
      <c r="K355" s="35" t="s">
        <v>65</v>
      </c>
      <c r="L355" s="80">
        <v>355</v>
      </c>
      <c r="M355" s="80"/>
      <c r="N355" s="74"/>
      <c r="O355" s="82" t="s">
        <v>528</v>
      </c>
      <c r="P355" s="84">
        <v>44518.62520833333</v>
      </c>
      <c r="Q355" s="82" t="s">
        <v>815</v>
      </c>
      <c r="R355" s="82"/>
      <c r="S355" s="82"/>
      <c r="T355" s="87" t="s">
        <v>1028</v>
      </c>
      <c r="U355" s="85" t="str">
        <f>HYPERLINK("https://pbs.twimg.com/media/FEe9DkJUcAYDHyy.jpg")</f>
        <v>https://pbs.twimg.com/media/FEe9DkJUcAYDHyy.jpg</v>
      </c>
      <c r="V355" s="85" t="str">
        <f>HYPERLINK("https://pbs.twimg.com/media/FEe9DkJUcAYDHyy.jpg")</f>
        <v>https://pbs.twimg.com/media/FEe9DkJUcAYDHyy.jpg</v>
      </c>
      <c r="W355" s="84">
        <v>44518.62520833333</v>
      </c>
      <c r="X355" s="90">
        <v>44518</v>
      </c>
      <c r="Y355" s="87" t="s">
        <v>1386</v>
      </c>
      <c r="Z355" s="85" t="str">
        <f>HYPERLINK("https://twitter.com/antibioticangel/status/1461348545550716936")</f>
        <v>https://twitter.com/antibioticangel/status/1461348545550716936</v>
      </c>
      <c r="AA355" s="82"/>
      <c r="AB355" s="82"/>
      <c r="AC355" s="87" t="s">
        <v>1734</v>
      </c>
      <c r="AD355" s="82"/>
      <c r="AE355" s="82" t="b">
        <v>0</v>
      </c>
      <c r="AF355" s="82">
        <v>18</v>
      </c>
      <c r="AG355" s="87" t="s">
        <v>1815</v>
      </c>
      <c r="AH355" s="82" t="b">
        <v>0</v>
      </c>
      <c r="AI355" s="82" t="s">
        <v>1826</v>
      </c>
      <c r="AJ355" s="82"/>
      <c r="AK355" s="87" t="s">
        <v>1815</v>
      </c>
      <c r="AL355" s="82" t="b">
        <v>0</v>
      </c>
      <c r="AM355" s="82">
        <v>4</v>
      </c>
      <c r="AN355" s="87" t="s">
        <v>1815</v>
      </c>
      <c r="AO355" s="87" t="s">
        <v>1850</v>
      </c>
      <c r="AP355" s="82" t="b">
        <v>0</v>
      </c>
      <c r="AQ355" s="87" t="s">
        <v>1734</v>
      </c>
      <c r="AR355" s="82"/>
      <c r="AS355" s="82">
        <v>0</v>
      </c>
      <c r="AT355" s="82">
        <v>0</v>
      </c>
      <c r="AU355" s="82"/>
      <c r="AV355" s="82"/>
      <c r="AW355" s="82"/>
      <c r="AX355" s="82"/>
      <c r="AY355" s="82"/>
      <c r="AZ355" s="82"/>
      <c r="BA355" s="82"/>
      <c r="BB355" s="82"/>
      <c r="BC355">
        <v>1</v>
      </c>
      <c r="BD355" s="81" t="str">
        <f>REPLACE(INDEX(GroupVertices[Group],MATCH(Edges[[#This Row],[Vertex 1]],GroupVertices[Vertex],0)),1,1,"")</f>
        <v>6</v>
      </c>
      <c r="BE355" s="81" t="str">
        <f>REPLACE(INDEX(GroupVertices[Group],MATCH(Edges[[#This Row],[Vertex 2]],GroupVertices[Vertex],0)),1,1,"")</f>
        <v>2</v>
      </c>
      <c r="BF355" s="49"/>
      <c r="BG355" s="50"/>
      <c r="BH355" s="49"/>
      <c r="BI355" s="50"/>
      <c r="BJ355" s="49"/>
      <c r="BK355" s="50"/>
      <c r="BL355" s="49"/>
      <c r="BM355" s="50"/>
      <c r="BN355" s="49"/>
    </row>
    <row r="356" spans="1:66" ht="15">
      <c r="A356" s="66" t="s">
        <v>410</v>
      </c>
      <c r="B356" s="66" t="s">
        <v>519</v>
      </c>
      <c r="C356" s="67" t="s">
        <v>4509</v>
      </c>
      <c r="D356" s="68">
        <v>3</v>
      </c>
      <c r="E356" s="69" t="s">
        <v>132</v>
      </c>
      <c r="F356" s="70">
        <v>32</v>
      </c>
      <c r="G356" s="67"/>
      <c r="H356" s="71"/>
      <c r="I356" s="72"/>
      <c r="J356" s="72"/>
      <c r="K356" s="35" t="s">
        <v>65</v>
      </c>
      <c r="L356" s="80">
        <v>356</v>
      </c>
      <c r="M356" s="80"/>
      <c r="N356" s="74"/>
      <c r="O356" s="82" t="s">
        <v>528</v>
      </c>
      <c r="P356" s="84">
        <v>44518.65961805556</v>
      </c>
      <c r="Q356" s="82" t="s">
        <v>819</v>
      </c>
      <c r="R356" s="82"/>
      <c r="S356" s="82"/>
      <c r="T356" s="87" t="s">
        <v>952</v>
      </c>
      <c r="U356" s="85" t="str">
        <f>HYPERLINK("https://pbs.twimg.com/media/FEfMGNUVIAUJ-dq.jpg")</f>
        <v>https://pbs.twimg.com/media/FEfMGNUVIAUJ-dq.jpg</v>
      </c>
      <c r="V356" s="85" t="str">
        <f>HYPERLINK("https://pbs.twimg.com/media/FEfMGNUVIAUJ-dq.jpg")</f>
        <v>https://pbs.twimg.com/media/FEfMGNUVIAUJ-dq.jpg</v>
      </c>
      <c r="W356" s="84">
        <v>44518.65961805556</v>
      </c>
      <c r="X356" s="90">
        <v>44518</v>
      </c>
      <c r="Y356" s="87" t="s">
        <v>1390</v>
      </c>
      <c r="Z356" s="85" t="str">
        <f>HYPERLINK("https://twitter.com/aidakrajnc/status/1461361013865914376")</f>
        <v>https://twitter.com/aidakrajnc/status/1461361013865914376</v>
      </c>
      <c r="AA356" s="82"/>
      <c r="AB356" s="82"/>
      <c r="AC356" s="87" t="s">
        <v>1738</v>
      </c>
      <c r="AD356" s="82"/>
      <c r="AE356" s="82" t="b">
        <v>0</v>
      </c>
      <c r="AF356" s="82">
        <v>6</v>
      </c>
      <c r="AG356" s="87" t="s">
        <v>1815</v>
      </c>
      <c r="AH356" s="82" t="b">
        <v>0</v>
      </c>
      <c r="AI356" s="82" t="s">
        <v>1826</v>
      </c>
      <c r="AJ356" s="82"/>
      <c r="AK356" s="87" t="s">
        <v>1815</v>
      </c>
      <c r="AL356" s="82" t="b">
        <v>0</v>
      </c>
      <c r="AM356" s="82">
        <v>4</v>
      </c>
      <c r="AN356" s="87" t="s">
        <v>1815</v>
      </c>
      <c r="AO356" s="87" t="s">
        <v>1852</v>
      </c>
      <c r="AP356" s="82" t="b">
        <v>0</v>
      </c>
      <c r="AQ356" s="87" t="s">
        <v>1738</v>
      </c>
      <c r="AR356" s="82"/>
      <c r="AS356" s="82">
        <v>0</v>
      </c>
      <c r="AT356" s="82">
        <v>0</v>
      </c>
      <c r="AU356" s="82"/>
      <c r="AV356" s="82"/>
      <c r="AW356" s="82"/>
      <c r="AX356" s="82"/>
      <c r="AY356" s="82"/>
      <c r="AZ356" s="82"/>
      <c r="BA356" s="82"/>
      <c r="BB356" s="82"/>
      <c r="BC356">
        <v>1</v>
      </c>
      <c r="BD356" s="81" t="str">
        <f>REPLACE(INDEX(GroupVertices[Group],MATCH(Edges[[#This Row],[Vertex 1]],GroupVertices[Vertex],0)),1,1,"")</f>
        <v>11</v>
      </c>
      <c r="BE356" s="81" t="str">
        <f>REPLACE(INDEX(GroupVertices[Group],MATCH(Edges[[#This Row],[Vertex 2]],GroupVertices[Vertex],0)),1,1,"")</f>
        <v>11</v>
      </c>
      <c r="BF356" s="49"/>
      <c r="BG356" s="50"/>
      <c r="BH356" s="49"/>
      <c r="BI356" s="50"/>
      <c r="BJ356" s="49"/>
      <c r="BK356" s="50"/>
      <c r="BL356" s="49"/>
      <c r="BM356" s="50"/>
      <c r="BN356" s="49"/>
    </row>
    <row r="357" spans="1:66" ht="15">
      <c r="A357" s="66" t="s">
        <v>410</v>
      </c>
      <c r="B357" s="66" t="s">
        <v>520</v>
      </c>
      <c r="C357" s="67" t="s">
        <v>4509</v>
      </c>
      <c r="D357" s="68">
        <v>3</v>
      </c>
      <c r="E357" s="69" t="s">
        <v>132</v>
      </c>
      <c r="F357" s="70">
        <v>32</v>
      </c>
      <c r="G357" s="67"/>
      <c r="H357" s="71"/>
      <c r="I357" s="72"/>
      <c r="J357" s="72"/>
      <c r="K357" s="35" t="s">
        <v>65</v>
      </c>
      <c r="L357" s="80">
        <v>357</v>
      </c>
      <c r="M357" s="80"/>
      <c r="N357" s="74"/>
      <c r="O357" s="82" t="s">
        <v>528</v>
      </c>
      <c r="P357" s="84">
        <v>44518.65961805556</v>
      </c>
      <c r="Q357" s="82" t="s">
        <v>819</v>
      </c>
      <c r="R357" s="82"/>
      <c r="S357" s="82"/>
      <c r="T357" s="87" t="s">
        <v>952</v>
      </c>
      <c r="U357" s="85" t="str">
        <f>HYPERLINK("https://pbs.twimg.com/media/FEfMGNUVIAUJ-dq.jpg")</f>
        <v>https://pbs.twimg.com/media/FEfMGNUVIAUJ-dq.jpg</v>
      </c>
      <c r="V357" s="85" t="str">
        <f>HYPERLINK("https://pbs.twimg.com/media/FEfMGNUVIAUJ-dq.jpg")</f>
        <v>https://pbs.twimg.com/media/FEfMGNUVIAUJ-dq.jpg</v>
      </c>
      <c r="W357" s="84">
        <v>44518.65961805556</v>
      </c>
      <c r="X357" s="90">
        <v>44518</v>
      </c>
      <c r="Y357" s="87" t="s">
        <v>1390</v>
      </c>
      <c r="Z357" s="85" t="str">
        <f>HYPERLINK("https://twitter.com/aidakrajnc/status/1461361013865914376")</f>
        <v>https://twitter.com/aidakrajnc/status/1461361013865914376</v>
      </c>
      <c r="AA357" s="82"/>
      <c r="AB357" s="82"/>
      <c r="AC357" s="87" t="s">
        <v>1738</v>
      </c>
      <c r="AD357" s="82"/>
      <c r="AE357" s="82" t="b">
        <v>0</v>
      </c>
      <c r="AF357" s="82">
        <v>6</v>
      </c>
      <c r="AG357" s="87" t="s">
        <v>1815</v>
      </c>
      <c r="AH357" s="82" t="b">
        <v>0</v>
      </c>
      <c r="AI357" s="82" t="s">
        <v>1826</v>
      </c>
      <c r="AJ357" s="82"/>
      <c r="AK357" s="87" t="s">
        <v>1815</v>
      </c>
      <c r="AL357" s="82" t="b">
        <v>0</v>
      </c>
      <c r="AM357" s="82">
        <v>4</v>
      </c>
      <c r="AN357" s="87" t="s">
        <v>1815</v>
      </c>
      <c r="AO357" s="87" t="s">
        <v>1852</v>
      </c>
      <c r="AP357" s="82" t="b">
        <v>0</v>
      </c>
      <c r="AQ357" s="87" t="s">
        <v>1738</v>
      </c>
      <c r="AR357" s="82"/>
      <c r="AS357" s="82">
        <v>0</v>
      </c>
      <c r="AT357" s="82">
        <v>0</v>
      </c>
      <c r="AU357" s="82"/>
      <c r="AV357" s="82"/>
      <c r="AW357" s="82"/>
      <c r="AX357" s="82"/>
      <c r="AY357" s="82"/>
      <c r="AZ357" s="82"/>
      <c r="BA357" s="82"/>
      <c r="BB357" s="82"/>
      <c r="BC357">
        <v>1</v>
      </c>
      <c r="BD357" s="81" t="str">
        <f>REPLACE(INDEX(GroupVertices[Group],MATCH(Edges[[#This Row],[Vertex 1]],GroupVertices[Vertex],0)),1,1,"")</f>
        <v>11</v>
      </c>
      <c r="BE357" s="81" t="str">
        <f>REPLACE(INDEX(GroupVertices[Group],MATCH(Edges[[#This Row],[Vertex 2]],GroupVertices[Vertex],0)),1,1,"")</f>
        <v>11</v>
      </c>
      <c r="BF357" s="49"/>
      <c r="BG357" s="50"/>
      <c r="BH357" s="49"/>
      <c r="BI357" s="50"/>
      <c r="BJ357" s="49"/>
      <c r="BK357" s="50"/>
      <c r="BL357" s="49"/>
      <c r="BM357" s="50"/>
      <c r="BN357" s="49"/>
    </row>
    <row r="358" spans="1:66" ht="15">
      <c r="A358" s="66" t="s">
        <v>410</v>
      </c>
      <c r="B358" s="66" t="s">
        <v>521</v>
      </c>
      <c r="C358" s="67" t="s">
        <v>4509</v>
      </c>
      <c r="D358" s="68">
        <v>3</v>
      </c>
      <c r="E358" s="69" t="s">
        <v>132</v>
      </c>
      <c r="F358" s="70">
        <v>32</v>
      </c>
      <c r="G358" s="67"/>
      <c r="H358" s="71"/>
      <c r="I358" s="72"/>
      <c r="J358" s="72"/>
      <c r="K358" s="35" t="s">
        <v>65</v>
      </c>
      <c r="L358" s="80">
        <v>358</v>
      </c>
      <c r="M358" s="80"/>
      <c r="N358" s="74"/>
      <c r="O358" s="82" t="s">
        <v>528</v>
      </c>
      <c r="P358" s="84">
        <v>44518.65961805556</v>
      </c>
      <c r="Q358" s="82" t="s">
        <v>819</v>
      </c>
      <c r="R358" s="82"/>
      <c r="S358" s="82"/>
      <c r="T358" s="87" t="s">
        <v>952</v>
      </c>
      <c r="U358" s="85" t="str">
        <f>HYPERLINK("https://pbs.twimg.com/media/FEfMGNUVIAUJ-dq.jpg")</f>
        <v>https://pbs.twimg.com/media/FEfMGNUVIAUJ-dq.jpg</v>
      </c>
      <c r="V358" s="85" t="str">
        <f>HYPERLINK("https://pbs.twimg.com/media/FEfMGNUVIAUJ-dq.jpg")</f>
        <v>https://pbs.twimg.com/media/FEfMGNUVIAUJ-dq.jpg</v>
      </c>
      <c r="W358" s="84">
        <v>44518.65961805556</v>
      </c>
      <c r="X358" s="90">
        <v>44518</v>
      </c>
      <c r="Y358" s="87" t="s">
        <v>1390</v>
      </c>
      <c r="Z358" s="85" t="str">
        <f>HYPERLINK("https://twitter.com/aidakrajnc/status/1461361013865914376")</f>
        <v>https://twitter.com/aidakrajnc/status/1461361013865914376</v>
      </c>
      <c r="AA358" s="82"/>
      <c r="AB358" s="82"/>
      <c r="AC358" s="87" t="s">
        <v>1738</v>
      </c>
      <c r="AD358" s="82"/>
      <c r="AE358" s="82" t="b">
        <v>0</v>
      </c>
      <c r="AF358" s="82">
        <v>6</v>
      </c>
      <c r="AG358" s="87" t="s">
        <v>1815</v>
      </c>
      <c r="AH358" s="82" t="b">
        <v>0</v>
      </c>
      <c r="AI358" s="82" t="s">
        <v>1826</v>
      </c>
      <c r="AJ358" s="82"/>
      <c r="AK358" s="87" t="s">
        <v>1815</v>
      </c>
      <c r="AL358" s="82" t="b">
        <v>0</v>
      </c>
      <c r="AM358" s="82">
        <v>4</v>
      </c>
      <c r="AN358" s="87" t="s">
        <v>1815</v>
      </c>
      <c r="AO358" s="87" t="s">
        <v>1852</v>
      </c>
      <c r="AP358" s="82" t="b">
        <v>0</v>
      </c>
      <c r="AQ358" s="87" t="s">
        <v>1738</v>
      </c>
      <c r="AR358" s="82"/>
      <c r="AS358" s="82">
        <v>0</v>
      </c>
      <c r="AT358" s="82">
        <v>0</v>
      </c>
      <c r="AU358" s="82"/>
      <c r="AV358" s="82"/>
      <c r="AW358" s="82"/>
      <c r="AX358" s="82"/>
      <c r="AY358" s="82"/>
      <c r="AZ358" s="82"/>
      <c r="BA358" s="82"/>
      <c r="BB358" s="82"/>
      <c r="BC358">
        <v>1</v>
      </c>
      <c r="BD358" s="81" t="str">
        <f>REPLACE(INDEX(GroupVertices[Group],MATCH(Edges[[#This Row],[Vertex 1]],GroupVertices[Vertex],0)),1,1,"")</f>
        <v>11</v>
      </c>
      <c r="BE358" s="81" t="str">
        <f>REPLACE(INDEX(GroupVertices[Group],MATCH(Edges[[#This Row],[Vertex 2]],GroupVertices[Vertex],0)),1,1,"")</f>
        <v>11</v>
      </c>
      <c r="BF358" s="49"/>
      <c r="BG358" s="50"/>
      <c r="BH358" s="49"/>
      <c r="BI358" s="50"/>
      <c r="BJ358" s="49"/>
      <c r="BK358" s="50"/>
      <c r="BL358" s="49"/>
      <c r="BM358" s="50"/>
      <c r="BN358" s="49"/>
    </row>
    <row r="359" spans="1:66" ht="15">
      <c r="A359" s="66" t="s">
        <v>410</v>
      </c>
      <c r="B359" s="66" t="s">
        <v>522</v>
      </c>
      <c r="C359" s="67" t="s">
        <v>4509</v>
      </c>
      <c r="D359" s="68">
        <v>3</v>
      </c>
      <c r="E359" s="69" t="s">
        <v>132</v>
      </c>
      <c r="F359" s="70">
        <v>32</v>
      </c>
      <c r="G359" s="67"/>
      <c r="H359" s="71"/>
      <c r="I359" s="72"/>
      <c r="J359" s="72"/>
      <c r="K359" s="35" t="s">
        <v>65</v>
      </c>
      <c r="L359" s="80">
        <v>359</v>
      </c>
      <c r="M359" s="80"/>
      <c r="N359" s="74"/>
      <c r="O359" s="82" t="s">
        <v>528</v>
      </c>
      <c r="P359" s="84">
        <v>44518.65961805556</v>
      </c>
      <c r="Q359" s="82" t="s">
        <v>819</v>
      </c>
      <c r="R359" s="82"/>
      <c r="S359" s="82"/>
      <c r="T359" s="87" t="s">
        <v>952</v>
      </c>
      <c r="U359" s="85" t="str">
        <f>HYPERLINK("https://pbs.twimg.com/media/FEfMGNUVIAUJ-dq.jpg")</f>
        <v>https://pbs.twimg.com/media/FEfMGNUVIAUJ-dq.jpg</v>
      </c>
      <c r="V359" s="85" t="str">
        <f>HYPERLINK("https://pbs.twimg.com/media/FEfMGNUVIAUJ-dq.jpg")</f>
        <v>https://pbs.twimg.com/media/FEfMGNUVIAUJ-dq.jpg</v>
      </c>
      <c r="W359" s="84">
        <v>44518.65961805556</v>
      </c>
      <c r="X359" s="90">
        <v>44518</v>
      </c>
      <c r="Y359" s="87" t="s">
        <v>1390</v>
      </c>
      <c r="Z359" s="85" t="str">
        <f>HYPERLINK("https://twitter.com/aidakrajnc/status/1461361013865914376")</f>
        <v>https://twitter.com/aidakrajnc/status/1461361013865914376</v>
      </c>
      <c r="AA359" s="82"/>
      <c r="AB359" s="82"/>
      <c r="AC359" s="87" t="s">
        <v>1738</v>
      </c>
      <c r="AD359" s="82"/>
      <c r="AE359" s="82" t="b">
        <v>0</v>
      </c>
      <c r="AF359" s="82">
        <v>6</v>
      </c>
      <c r="AG359" s="87" t="s">
        <v>1815</v>
      </c>
      <c r="AH359" s="82" t="b">
        <v>0</v>
      </c>
      <c r="AI359" s="82" t="s">
        <v>1826</v>
      </c>
      <c r="AJ359" s="82"/>
      <c r="AK359" s="87" t="s">
        <v>1815</v>
      </c>
      <c r="AL359" s="82" t="b">
        <v>0</v>
      </c>
      <c r="AM359" s="82">
        <v>4</v>
      </c>
      <c r="AN359" s="87" t="s">
        <v>1815</v>
      </c>
      <c r="AO359" s="87" t="s">
        <v>1852</v>
      </c>
      <c r="AP359" s="82" t="b">
        <v>0</v>
      </c>
      <c r="AQ359" s="87" t="s">
        <v>1738</v>
      </c>
      <c r="AR359" s="82"/>
      <c r="AS359" s="82">
        <v>0</v>
      </c>
      <c r="AT359" s="82">
        <v>0</v>
      </c>
      <c r="AU359" s="82"/>
      <c r="AV359" s="82"/>
      <c r="AW359" s="82"/>
      <c r="AX359" s="82"/>
      <c r="AY359" s="82"/>
      <c r="AZ359" s="82"/>
      <c r="BA359" s="82"/>
      <c r="BB359" s="82"/>
      <c r="BC359">
        <v>1</v>
      </c>
      <c r="BD359" s="81" t="str">
        <f>REPLACE(INDEX(GroupVertices[Group],MATCH(Edges[[#This Row],[Vertex 1]],GroupVertices[Vertex],0)),1,1,"")</f>
        <v>11</v>
      </c>
      <c r="BE359" s="81" t="str">
        <f>REPLACE(INDEX(GroupVertices[Group],MATCH(Edges[[#This Row],[Vertex 2]],GroupVertices[Vertex],0)),1,1,"")</f>
        <v>11</v>
      </c>
      <c r="BF359" s="49">
        <v>0</v>
      </c>
      <c r="BG359" s="50">
        <v>0</v>
      </c>
      <c r="BH359" s="49">
        <v>2</v>
      </c>
      <c r="BI359" s="50">
        <v>6.25</v>
      </c>
      <c r="BJ359" s="49">
        <v>0</v>
      </c>
      <c r="BK359" s="50">
        <v>0</v>
      </c>
      <c r="BL359" s="49">
        <v>30</v>
      </c>
      <c r="BM359" s="50">
        <v>93.75</v>
      </c>
      <c r="BN359" s="49">
        <v>32</v>
      </c>
    </row>
    <row r="360" spans="1:66" ht="15">
      <c r="A360" s="66" t="s">
        <v>411</v>
      </c>
      <c r="B360" s="66" t="s">
        <v>411</v>
      </c>
      <c r="C360" s="67" t="s">
        <v>4509</v>
      </c>
      <c r="D360" s="68">
        <v>3</v>
      </c>
      <c r="E360" s="69" t="s">
        <v>132</v>
      </c>
      <c r="F360" s="70">
        <v>32</v>
      </c>
      <c r="G360" s="67"/>
      <c r="H360" s="71"/>
      <c r="I360" s="72"/>
      <c r="J360" s="72"/>
      <c r="K360" s="35" t="s">
        <v>65</v>
      </c>
      <c r="L360" s="80">
        <v>360</v>
      </c>
      <c r="M360" s="80"/>
      <c r="N360" s="74"/>
      <c r="O360" s="82" t="s">
        <v>214</v>
      </c>
      <c r="P360" s="84">
        <v>44518.642372685186</v>
      </c>
      <c r="Q360" s="82" t="s">
        <v>820</v>
      </c>
      <c r="R360" s="82"/>
      <c r="S360" s="82"/>
      <c r="T360" s="87" t="s">
        <v>961</v>
      </c>
      <c r="U360" s="82"/>
      <c r="V360" s="85" t="str">
        <f>HYPERLINK("https://pbs.twimg.com/profile_images/1374294021590425600/tDuuhz4m_normal.jpg")</f>
        <v>https://pbs.twimg.com/profile_images/1374294021590425600/tDuuhz4m_normal.jpg</v>
      </c>
      <c r="W360" s="84">
        <v>44518.642372685186</v>
      </c>
      <c r="X360" s="90">
        <v>44518</v>
      </c>
      <c r="Y360" s="87" t="s">
        <v>1391</v>
      </c>
      <c r="Z360" s="85" t="str">
        <f>HYPERLINK("https://twitter.com/caryncoxphealth/status/1461354764726267910")</f>
        <v>https://twitter.com/caryncoxphealth/status/1461354764726267910</v>
      </c>
      <c r="AA360" s="82"/>
      <c r="AB360" s="82"/>
      <c r="AC360" s="87" t="s">
        <v>1739</v>
      </c>
      <c r="AD360" s="82"/>
      <c r="AE360" s="82" t="b">
        <v>0</v>
      </c>
      <c r="AF360" s="82">
        <v>3</v>
      </c>
      <c r="AG360" s="87" t="s">
        <v>1815</v>
      </c>
      <c r="AH360" s="82" t="b">
        <v>0</v>
      </c>
      <c r="AI360" s="82" t="s">
        <v>1826</v>
      </c>
      <c r="AJ360" s="82"/>
      <c r="AK360" s="87" t="s">
        <v>1815</v>
      </c>
      <c r="AL360" s="82" t="b">
        <v>0</v>
      </c>
      <c r="AM360" s="82">
        <v>3</v>
      </c>
      <c r="AN360" s="87" t="s">
        <v>1815</v>
      </c>
      <c r="AO360" s="87" t="s">
        <v>1851</v>
      </c>
      <c r="AP360" s="82" t="b">
        <v>0</v>
      </c>
      <c r="AQ360" s="87" t="s">
        <v>1739</v>
      </c>
      <c r="AR360" s="82"/>
      <c r="AS360" s="82">
        <v>0</v>
      </c>
      <c r="AT360" s="82">
        <v>0</v>
      </c>
      <c r="AU360" s="82"/>
      <c r="AV360" s="82"/>
      <c r="AW360" s="82"/>
      <c r="AX360" s="82"/>
      <c r="AY360" s="82"/>
      <c r="AZ360" s="82"/>
      <c r="BA360" s="82"/>
      <c r="BB360" s="82"/>
      <c r="BC360">
        <v>1</v>
      </c>
      <c r="BD360" s="81" t="str">
        <f>REPLACE(INDEX(GroupVertices[Group],MATCH(Edges[[#This Row],[Vertex 1]],GroupVertices[Vertex],0)),1,1,"")</f>
        <v>1</v>
      </c>
      <c r="BE360" s="81" t="str">
        <f>REPLACE(INDEX(GroupVertices[Group],MATCH(Edges[[#This Row],[Vertex 2]],GroupVertices[Vertex],0)),1,1,"")</f>
        <v>1</v>
      </c>
      <c r="BF360" s="49">
        <v>0</v>
      </c>
      <c r="BG360" s="50">
        <v>0</v>
      </c>
      <c r="BH360" s="49">
        <v>2</v>
      </c>
      <c r="BI360" s="50">
        <v>6.0606060606060606</v>
      </c>
      <c r="BJ360" s="49">
        <v>0</v>
      </c>
      <c r="BK360" s="50">
        <v>0</v>
      </c>
      <c r="BL360" s="49">
        <v>31</v>
      </c>
      <c r="BM360" s="50">
        <v>93.93939393939394</v>
      </c>
      <c r="BN360" s="49">
        <v>33</v>
      </c>
    </row>
    <row r="361" spans="1:66" ht="15">
      <c r="A361" s="66" t="s">
        <v>412</v>
      </c>
      <c r="B361" s="66" t="s">
        <v>412</v>
      </c>
      <c r="C361" s="67" t="s">
        <v>4509</v>
      </c>
      <c r="D361" s="68">
        <v>3</v>
      </c>
      <c r="E361" s="69" t="s">
        <v>132</v>
      </c>
      <c r="F361" s="70">
        <v>32</v>
      </c>
      <c r="G361" s="67"/>
      <c r="H361" s="71"/>
      <c r="I361" s="72"/>
      <c r="J361" s="72"/>
      <c r="K361" s="35" t="s">
        <v>65</v>
      </c>
      <c r="L361" s="80">
        <v>361</v>
      </c>
      <c r="M361" s="80"/>
      <c r="N361" s="74"/>
      <c r="O361" s="82" t="s">
        <v>214</v>
      </c>
      <c r="P361" s="84">
        <v>44518.629965277774</v>
      </c>
      <c r="Q361" s="82" t="s">
        <v>821</v>
      </c>
      <c r="R361" s="82"/>
      <c r="S361" s="82"/>
      <c r="T361" s="87" t="s">
        <v>955</v>
      </c>
      <c r="U361" s="85" t="str">
        <f>HYPERLINK("https://pbs.twimg.com/media/FEfCMOeVIAg7X3N.jpg")</f>
        <v>https://pbs.twimg.com/media/FEfCMOeVIAg7X3N.jpg</v>
      </c>
      <c r="V361" s="85" t="str">
        <f>HYPERLINK("https://pbs.twimg.com/media/FEfCMOeVIAg7X3N.jpg")</f>
        <v>https://pbs.twimg.com/media/FEfCMOeVIAg7X3N.jpg</v>
      </c>
      <c r="W361" s="84">
        <v>44518.629965277774</v>
      </c>
      <c r="X361" s="90">
        <v>44518</v>
      </c>
      <c r="Y361" s="87" t="s">
        <v>1392</v>
      </c>
      <c r="Z361" s="85" t="str">
        <f>HYPERLINK("https://twitter.com/ellacasale/status/1461350270038724614")</f>
        <v>https://twitter.com/ellacasale/status/1461350270038724614</v>
      </c>
      <c r="AA361" s="82"/>
      <c r="AB361" s="82"/>
      <c r="AC361" s="87" t="s">
        <v>1740</v>
      </c>
      <c r="AD361" s="82"/>
      <c r="AE361" s="82" t="b">
        <v>0</v>
      </c>
      <c r="AF361" s="82">
        <v>4</v>
      </c>
      <c r="AG361" s="87" t="s">
        <v>1815</v>
      </c>
      <c r="AH361" s="82" t="b">
        <v>0</v>
      </c>
      <c r="AI361" s="82" t="s">
        <v>1826</v>
      </c>
      <c r="AJ361" s="82"/>
      <c r="AK361" s="87" t="s">
        <v>1815</v>
      </c>
      <c r="AL361" s="82" t="b">
        <v>0</v>
      </c>
      <c r="AM361" s="82">
        <v>3</v>
      </c>
      <c r="AN361" s="87" t="s">
        <v>1815</v>
      </c>
      <c r="AO361" s="87" t="s">
        <v>1850</v>
      </c>
      <c r="AP361" s="82" t="b">
        <v>0</v>
      </c>
      <c r="AQ361" s="87" t="s">
        <v>1740</v>
      </c>
      <c r="AR361" s="82"/>
      <c r="AS361" s="82">
        <v>0</v>
      </c>
      <c r="AT361" s="82">
        <v>0</v>
      </c>
      <c r="AU361" s="82"/>
      <c r="AV361" s="82"/>
      <c r="AW361" s="82"/>
      <c r="AX361" s="82"/>
      <c r="AY361" s="82"/>
      <c r="AZ361" s="82"/>
      <c r="BA361" s="82"/>
      <c r="BB361" s="82"/>
      <c r="BC361">
        <v>1</v>
      </c>
      <c r="BD361" s="81" t="str">
        <f>REPLACE(INDEX(GroupVertices[Group],MATCH(Edges[[#This Row],[Vertex 1]],GroupVertices[Vertex],0)),1,1,"")</f>
        <v>1</v>
      </c>
      <c r="BE361" s="81" t="str">
        <f>REPLACE(INDEX(GroupVertices[Group],MATCH(Edges[[#This Row],[Vertex 2]],GroupVertices[Vertex],0)),1,1,"")</f>
        <v>1</v>
      </c>
      <c r="BF361" s="49">
        <v>0</v>
      </c>
      <c r="BG361" s="50">
        <v>0</v>
      </c>
      <c r="BH361" s="49">
        <v>2</v>
      </c>
      <c r="BI361" s="50">
        <v>6.0606060606060606</v>
      </c>
      <c r="BJ361" s="49">
        <v>0</v>
      </c>
      <c r="BK361" s="50">
        <v>0</v>
      </c>
      <c r="BL361" s="49">
        <v>31</v>
      </c>
      <c r="BM361" s="50">
        <v>93.93939393939394</v>
      </c>
      <c r="BN361" s="49">
        <v>33</v>
      </c>
    </row>
    <row r="362" spans="1:66" ht="15">
      <c r="A362" s="66" t="s">
        <v>413</v>
      </c>
      <c r="B362" s="66" t="s">
        <v>413</v>
      </c>
      <c r="C362" s="67" t="s">
        <v>4509</v>
      </c>
      <c r="D362" s="68">
        <v>3</v>
      </c>
      <c r="E362" s="69" t="s">
        <v>132</v>
      </c>
      <c r="F362" s="70">
        <v>32</v>
      </c>
      <c r="G362" s="67"/>
      <c r="H362" s="71"/>
      <c r="I362" s="72"/>
      <c r="J362" s="72"/>
      <c r="K362" s="35" t="s">
        <v>65</v>
      </c>
      <c r="L362" s="80">
        <v>362</v>
      </c>
      <c r="M362" s="80"/>
      <c r="N362" s="74"/>
      <c r="O362" s="82" t="s">
        <v>214</v>
      </c>
      <c r="P362" s="84">
        <v>44518.63068287037</v>
      </c>
      <c r="Q362" s="82" t="s">
        <v>822</v>
      </c>
      <c r="R362" s="82"/>
      <c r="S362" s="82"/>
      <c r="T362" s="87" t="s">
        <v>1104</v>
      </c>
      <c r="U362" s="85" t="str">
        <f>HYPERLINK("https://pbs.twimg.com/media/FEfCkANVgAkYLTF.jpg")</f>
        <v>https://pbs.twimg.com/media/FEfCkANVgAkYLTF.jpg</v>
      </c>
      <c r="V362" s="85" t="str">
        <f>HYPERLINK("https://pbs.twimg.com/media/FEfCkANVgAkYLTF.jpg")</f>
        <v>https://pbs.twimg.com/media/FEfCkANVgAkYLTF.jpg</v>
      </c>
      <c r="W362" s="84">
        <v>44518.63068287037</v>
      </c>
      <c r="X362" s="90">
        <v>44518</v>
      </c>
      <c r="Y362" s="87" t="s">
        <v>1393</v>
      </c>
      <c r="Z362" s="85" t="str">
        <f>HYPERLINK("https://twitter.com/ejmille1/status/1461350531251654674")</f>
        <v>https://twitter.com/ejmille1/status/1461350531251654674</v>
      </c>
      <c r="AA362" s="82"/>
      <c r="AB362" s="82"/>
      <c r="AC362" s="87" t="s">
        <v>1741</v>
      </c>
      <c r="AD362" s="82"/>
      <c r="AE362" s="82" t="b">
        <v>0</v>
      </c>
      <c r="AF362" s="82">
        <v>2</v>
      </c>
      <c r="AG362" s="87" t="s">
        <v>1815</v>
      </c>
      <c r="AH362" s="82" t="b">
        <v>0</v>
      </c>
      <c r="AI362" s="82" t="s">
        <v>1826</v>
      </c>
      <c r="AJ362" s="82"/>
      <c r="AK362" s="87" t="s">
        <v>1815</v>
      </c>
      <c r="AL362" s="82" t="b">
        <v>0</v>
      </c>
      <c r="AM362" s="82">
        <v>0</v>
      </c>
      <c r="AN362" s="87" t="s">
        <v>1815</v>
      </c>
      <c r="AO362" s="87" t="s">
        <v>1852</v>
      </c>
      <c r="AP362" s="82" t="b">
        <v>0</v>
      </c>
      <c r="AQ362" s="87" t="s">
        <v>1741</v>
      </c>
      <c r="AR362" s="82"/>
      <c r="AS362" s="82">
        <v>0</v>
      </c>
      <c r="AT362" s="82">
        <v>0</v>
      </c>
      <c r="AU362" s="82"/>
      <c r="AV362" s="82"/>
      <c r="AW362" s="82"/>
      <c r="AX362" s="82"/>
      <c r="AY362" s="82"/>
      <c r="AZ362" s="82"/>
      <c r="BA362" s="82"/>
      <c r="BB362" s="82"/>
      <c r="BC362">
        <v>1</v>
      </c>
      <c r="BD362" s="81" t="str">
        <f>REPLACE(INDEX(GroupVertices[Group],MATCH(Edges[[#This Row],[Vertex 1]],GroupVertices[Vertex],0)),1,1,"")</f>
        <v>1</v>
      </c>
      <c r="BE362" s="81" t="str">
        <f>REPLACE(INDEX(GroupVertices[Group],MATCH(Edges[[#This Row],[Vertex 2]],GroupVertices[Vertex],0)),1,1,"")</f>
        <v>1</v>
      </c>
      <c r="BF362" s="49">
        <v>1</v>
      </c>
      <c r="BG362" s="50">
        <v>3.0303030303030303</v>
      </c>
      <c r="BH362" s="49">
        <v>3</v>
      </c>
      <c r="BI362" s="50">
        <v>9.090909090909092</v>
      </c>
      <c r="BJ362" s="49">
        <v>0</v>
      </c>
      <c r="BK362" s="50">
        <v>0</v>
      </c>
      <c r="BL362" s="49">
        <v>29</v>
      </c>
      <c r="BM362" s="50">
        <v>87.87878787878788</v>
      </c>
      <c r="BN362" s="49">
        <v>33</v>
      </c>
    </row>
    <row r="363" spans="1:66" ht="15">
      <c r="A363" s="66" t="s">
        <v>414</v>
      </c>
      <c r="B363" s="66" t="s">
        <v>414</v>
      </c>
      <c r="C363" s="67" t="s">
        <v>4509</v>
      </c>
      <c r="D363" s="68">
        <v>3</v>
      </c>
      <c r="E363" s="69" t="s">
        <v>132</v>
      </c>
      <c r="F363" s="70">
        <v>32</v>
      </c>
      <c r="G363" s="67"/>
      <c r="H363" s="71"/>
      <c r="I363" s="72"/>
      <c r="J363" s="72"/>
      <c r="K363" s="35" t="s">
        <v>65</v>
      </c>
      <c r="L363" s="80">
        <v>363</v>
      </c>
      <c r="M363" s="80"/>
      <c r="N363" s="74"/>
      <c r="O363" s="82" t="s">
        <v>214</v>
      </c>
      <c r="P363" s="84">
        <v>44518.645902777775</v>
      </c>
      <c r="Q363" s="82" t="s">
        <v>823</v>
      </c>
      <c r="R363" s="82"/>
      <c r="S363" s="82"/>
      <c r="T363" s="87" t="s">
        <v>1105</v>
      </c>
      <c r="U363" s="85" t="str">
        <f>HYPERLINK("https://pbs.twimg.com/media/FEfHkwqVQAgbalY.jpg")</f>
        <v>https://pbs.twimg.com/media/FEfHkwqVQAgbalY.jpg</v>
      </c>
      <c r="V363" s="85" t="str">
        <f>HYPERLINK("https://pbs.twimg.com/media/FEfHkwqVQAgbalY.jpg")</f>
        <v>https://pbs.twimg.com/media/FEfHkwqVQAgbalY.jpg</v>
      </c>
      <c r="W363" s="84">
        <v>44518.645902777775</v>
      </c>
      <c r="X363" s="90">
        <v>44518</v>
      </c>
      <c r="Y363" s="87" t="s">
        <v>1216</v>
      </c>
      <c r="Z363" s="85" t="str">
        <f>HYPERLINK("https://twitter.com/dayzerodx/status/1461356044223877130")</f>
        <v>https://twitter.com/dayzerodx/status/1461356044223877130</v>
      </c>
      <c r="AA363" s="82"/>
      <c r="AB363" s="82"/>
      <c r="AC363" s="87" t="s">
        <v>1742</v>
      </c>
      <c r="AD363" s="82"/>
      <c r="AE363" s="82" t="b">
        <v>0</v>
      </c>
      <c r="AF363" s="82">
        <v>7</v>
      </c>
      <c r="AG363" s="87" t="s">
        <v>1815</v>
      </c>
      <c r="AH363" s="82" t="b">
        <v>0</v>
      </c>
      <c r="AI363" s="82" t="s">
        <v>1826</v>
      </c>
      <c r="AJ363" s="82"/>
      <c r="AK363" s="87" t="s">
        <v>1815</v>
      </c>
      <c r="AL363" s="82" t="b">
        <v>0</v>
      </c>
      <c r="AM363" s="82">
        <v>1</v>
      </c>
      <c r="AN363" s="87" t="s">
        <v>1815</v>
      </c>
      <c r="AO363" s="87" t="s">
        <v>1864</v>
      </c>
      <c r="AP363" s="82" t="b">
        <v>0</v>
      </c>
      <c r="AQ363" s="87" t="s">
        <v>1742</v>
      </c>
      <c r="AR363" s="82"/>
      <c r="AS363" s="82">
        <v>0</v>
      </c>
      <c r="AT363" s="82">
        <v>0</v>
      </c>
      <c r="AU363" s="82"/>
      <c r="AV363" s="82"/>
      <c r="AW363" s="82"/>
      <c r="AX363" s="82"/>
      <c r="AY363" s="82"/>
      <c r="AZ363" s="82"/>
      <c r="BA363" s="82"/>
      <c r="BB363" s="82"/>
      <c r="BC363">
        <v>1</v>
      </c>
      <c r="BD363" s="81" t="str">
        <f>REPLACE(INDEX(GroupVertices[Group],MATCH(Edges[[#This Row],[Vertex 1]],GroupVertices[Vertex],0)),1,1,"")</f>
        <v>1</v>
      </c>
      <c r="BE363" s="81" t="str">
        <f>REPLACE(INDEX(GroupVertices[Group],MATCH(Edges[[#This Row],[Vertex 2]],GroupVertices[Vertex],0)),1,1,"")</f>
        <v>1</v>
      </c>
      <c r="BF363" s="49">
        <v>0</v>
      </c>
      <c r="BG363" s="50">
        <v>0</v>
      </c>
      <c r="BH363" s="49">
        <v>0</v>
      </c>
      <c r="BI363" s="50">
        <v>0</v>
      </c>
      <c r="BJ363" s="49">
        <v>0</v>
      </c>
      <c r="BK363" s="50">
        <v>0</v>
      </c>
      <c r="BL363" s="49">
        <v>15</v>
      </c>
      <c r="BM363" s="50">
        <v>100</v>
      </c>
      <c r="BN363" s="49">
        <v>15</v>
      </c>
    </row>
    <row r="364" spans="1:66" ht="15">
      <c r="A364" s="66" t="s">
        <v>415</v>
      </c>
      <c r="B364" s="66" t="s">
        <v>415</v>
      </c>
      <c r="C364" s="67" t="s">
        <v>4512</v>
      </c>
      <c r="D364" s="68">
        <v>4.2727272727272725</v>
      </c>
      <c r="E364" s="69" t="s">
        <v>136</v>
      </c>
      <c r="F364" s="70">
        <v>30.594594594594593</v>
      </c>
      <c r="G364" s="67"/>
      <c r="H364" s="71"/>
      <c r="I364" s="72"/>
      <c r="J364" s="72"/>
      <c r="K364" s="35" t="s">
        <v>65</v>
      </c>
      <c r="L364" s="80">
        <v>364</v>
      </c>
      <c r="M364" s="80"/>
      <c r="N364" s="74"/>
      <c r="O364" s="82" t="s">
        <v>214</v>
      </c>
      <c r="P364" s="84">
        <v>44518.625</v>
      </c>
      <c r="Q364" s="82" t="s">
        <v>824</v>
      </c>
      <c r="R364" s="82"/>
      <c r="S364" s="82"/>
      <c r="T364" s="87" t="s">
        <v>1106</v>
      </c>
      <c r="U364" s="82"/>
      <c r="V364" s="85" t="str">
        <f>HYPERLINK("https://pbs.twimg.com/profile_images/1326520165853503488/f-GFFe_d_normal.jpg")</f>
        <v>https://pbs.twimg.com/profile_images/1326520165853503488/f-GFFe_d_normal.jpg</v>
      </c>
      <c r="W364" s="84">
        <v>44518.625</v>
      </c>
      <c r="X364" s="90">
        <v>44518</v>
      </c>
      <c r="Y364" s="87" t="s">
        <v>1160</v>
      </c>
      <c r="Z364" s="85" t="str">
        <f>HYPERLINK("https://twitter.com/ahcpgy1/status/1461348471609298946")</f>
        <v>https://twitter.com/ahcpgy1/status/1461348471609298946</v>
      </c>
      <c r="AA364" s="82"/>
      <c r="AB364" s="82"/>
      <c r="AC364" s="87" t="s">
        <v>1743</v>
      </c>
      <c r="AD364" s="82"/>
      <c r="AE364" s="82" t="b">
        <v>0</v>
      </c>
      <c r="AF364" s="82">
        <v>4</v>
      </c>
      <c r="AG364" s="87" t="s">
        <v>1815</v>
      </c>
      <c r="AH364" s="82" t="b">
        <v>0</v>
      </c>
      <c r="AI364" s="82" t="s">
        <v>1826</v>
      </c>
      <c r="AJ364" s="82"/>
      <c r="AK364" s="87" t="s">
        <v>1815</v>
      </c>
      <c r="AL364" s="82" t="b">
        <v>0</v>
      </c>
      <c r="AM364" s="82">
        <v>2</v>
      </c>
      <c r="AN364" s="87" t="s">
        <v>1815</v>
      </c>
      <c r="AO364" s="87" t="s">
        <v>1850</v>
      </c>
      <c r="AP364" s="82" t="b">
        <v>0</v>
      </c>
      <c r="AQ364" s="87" t="s">
        <v>1743</v>
      </c>
      <c r="AR364" s="82"/>
      <c r="AS364" s="82">
        <v>0</v>
      </c>
      <c r="AT364" s="82">
        <v>0</v>
      </c>
      <c r="AU364" s="82"/>
      <c r="AV364" s="82"/>
      <c r="AW364" s="82"/>
      <c r="AX364" s="82"/>
      <c r="AY364" s="82"/>
      <c r="AZ364" s="82"/>
      <c r="BA364" s="82"/>
      <c r="BB364" s="82"/>
      <c r="BC364">
        <v>3</v>
      </c>
      <c r="BD364" s="81" t="str">
        <f>REPLACE(INDEX(GroupVertices[Group],MATCH(Edges[[#This Row],[Vertex 1]],GroupVertices[Vertex],0)),1,1,"")</f>
        <v>1</v>
      </c>
      <c r="BE364" s="81" t="str">
        <f>REPLACE(INDEX(GroupVertices[Group],MATCH(Edges[[#This Row],[Vertex 2]],GroupVertices[Vertex],0)),1,1,"")</f>
        <v>1</v>
      </c>
      <c r="BF364" s="49">
        <v>0</v>
      </c>
      <c r="BG364" s="50">
        <v>0</v>
      </c>
      <c r="BH364" s="49">
        <v>3</v>
      </c>
      <c r="BI364" s="50">
        <v>8.823529411764707</v>
      </c>
      <c r="BJ364" s="49">
        <v>0</v>
      </c>
      <c r="BK364" s="50">
        <v>0</v>
      </c>
      <c r="BL364" s="49">
        <v>31</v>
      </c>
      <c r="BM364" s="50">
        <v>91.17647058823529</v>
      </c>
      <c r="BN364" s="49">
        <v>34</v>
      </c>
    </row>
    <row r="365" spans="1:66" ht="15">
      <c r="A365" s="66" t="s">
        <v>415</v>
      </c>
      <c r="B365" s="66" t="s">
        <v>415</v>
      </c>
      <c r="C365" s="67" t="s">
        <v>4512</v>
      </c>
      <c r="D365" s="68">
        <v>4.2727272727272725</v>
      </c>
      <c r="E365" s="69" t="s">
        <v>136</v>
      </c>
      <c r="F365" s="70">
        <v>30.594594594594593</v>
      </c>
      <c r="G365" s="67"/>
      <c r="H365" s="71"/>
      <c r="I365" s="72"/>
      <c r="J365" s="72"/>
      <c r="K365" s="35" t="s">
        <v>65</v>
      </c>
      <c r="L365" s="80">
        <v>365</v>
      </c>
      <c r="M365" s="80"/>
      <c r="N365" s="74"/>
      <c r="O365" s="82" t="s">
        <v>214</v>
      </c>
      <c r="P365" s="84">
        <v>44518.645844907405</v>
      </c>
      <c r="Q365" s="82" t="s">
        <v>825</v>
      </c>
      <c r="R365" s="85" t="str">
        <f>HYPERLINK("https://www.cdc.gov/antibiotic-use/antibiotic-resistance.html")</f>
        <v>https://www.cdc.gov/antibiotic-use/antibiotic-resistance.html</v>
      </c>
      <c r="S365" s="82" t="s">
        <v>903</v>
      </c>
      <c r="T365" s="87" t="s">
        <v>1107</v>
      </c>
      <c r="U365" s="82"/>
      <c r="V365" s="85" t="str">
        <f>HYPERLINK("https://pbs.twimg.com/profile_images/1326520165853503488/f-GFFe_d_normal.jpg")</f>
        <v>https://pbs.twimg.com/profile_images/1326520165853503488/f-GFFe_d_normal.jpg</v>
      </c>
      <c r="W365" s="84">
        <v>44518.645844907405</v>
      </c>
      <c r="X365" s="90">
        <v>44518</v>
      </c>
      <c r="Y365" s="87" t="s">
        <v>1394</v>
      </c>
      <c r="Z365" s="85" t="str">
        <f>HYPERLINK("https://twitter.com/ahcpgy1/status/1461356023168438281")</f>
        <v>https://twitter.com/ahcpgy1/status/1461356023168438281</v>
      </c>
      <c r="AA365" s="82"/>
      <c r="AB365" s="82"/>
      <c r="AC365" s="87" t="s">
        <v>1744</v>
      </c>
      <c r="AD365" s="82"/>
      <c r="AE365" s="82" t="b">
        <v>0</v>
      </c>
      <c r="AF365" s="82">
        <v>2</v>
      </c>
      <c r="AG365" s="87" t="s">
        <v>1815</v>
      </c>
      <c r="AH365" s="82" t="b">
        <v>0</v>
      </c>
      <c r="AI365" s="82" t="s">
        <v>1826</v>
      </c>
      <c r="AJ365" s="82"/>
      <c r="AK365" s="87" t="s">
        <v>1815</v>
      </c>
      <c r="AL365" s="82" t="b">
        <v>0</v>
      </c>
      <c r="AM365" s="82">
        <v>1</v>
      </c>
      <c r="AN365" s="87" t="s">
        <v>1815</v>
      </c>
      <c r="AO365" s="87" t="s">
        <v>1850</v>
      </c>
      <c r="AP365" s="82" t="b">
        <v>0</v>
      </c>
      <c r="AQ365" s="87" t="s">
        <v>1744</v>
      </c>
      <c r="AR365" s="82"/>
      <c r="AS365" s="82">
        <v>0</v>
      </c>
      <c r="AT365" s="82">
        <v>0</v>
      </c>
      <c r="AU365" s="82"/>
      <c r="AV365" s="82"/>
      <c r="AW365" s="82"/>
      <c r="AX365" s="82"/>
      <c r="AY365" s="82"/>
      <c r="AZ365" s="82"/>
      <c r="BA365" s="82"/>
      <c r="BB365" s="82"/>
      <c r="BC365">
        <v>3</v>
      </c>
      <c r="BD365" s="81" t="str">
        <f>REPLACE(INDEX(GroupVertices[Group],MATCH(Edges[[#This Row],[Vertex 1]],GroupVertices[Vertex],0)),1,1,"")</f>
        <v>1</v>
      </c>
      <c r="BE365" s="81" t="str">
        <f>REPLACE(INDEX(GroupVertices[Group],MATCH(Edges[[#This Row],[Vertex 2]],GroupVertices[Vertex],0)),1,1,"")</f>
        <v>1</v>
      </c>
      <c r="BF365" s="49">
        <v>0</v>
      </c>
      <c r="BG365" s="50">
        <v>0</v>
      </c>
      <c r="BH365" s="49">
        <v>0</v>
      </c>
      <c r="BI365" s="50">
        <v>0</v>
      </c>
      <c r="BJ365" s="49">
        <v>0</v>
      </c>
      <c r="BK365" s="50">
        <v>0</v>
      </c>
      <c r="BL365" s="49">
        <v>17</v>
      </c>
      <c r="BM365" s="50">
        <v>100</v>
      </c>
      <c r="BN365" s="49">
        <v>17</v>
      </c>
    </row>
    <row r="366" spans="1:66" ht="15">
      <c r="A366" s="66" t="s">
        <v>415</v>
      </c>
      <c r="B366" s="66" t="s">
        <v>415</v>
      </c>
      <c r="C366" s="67" t="s">
        <v>4512</v>
      </c>
      <c r="D366" s="68">
        <v>4.2727272727272725</v>
      </c>
      <c r="E366" s="69" t="s">
        <v>136</v>
      </c>
      <c r="F366" s="70">
        <v>30.594594594594593</v>
      </c>
      <c r="G366" s="67"/>
      <c r="H366" s="71"/>
      <c r="I366" s="72"/>
      <c r="J366" s="72"/>
      <c r="K366" s="35" t="s">
        <v>65</v>
      </c>
      <c r="L366" s="80">
        <v>366</v>
      </c>
      <c r="M366" s="80"/>
      <c r="N366" s="74"/>
      <c r="O366" s="82" t="s">
        <v>214</v>
      </c>
      <c r="P366" s="84">
        <v>44518.649305555555</v>
      </c>
      <c r="Q366" s="82" t="s">
        <v>826</v>
      </c>
      <c r="R366" s="85" t="str">
        <f>HYPERLINK("https://www.cdc.gov/antibiotic-use/q-a.html")</f>
        <v>https://www.cdc.gov/antibiotic-use/q-a.html</v>
      </c>
      <c r="S366" s="82" t="s">
        <v>903</v>
      </c>
      <c r="T366" s="87" t="s">
        <v>1108</v>
      </c>
      <c r="U366" s="82"/>
      <c r="V366" s="85" t="str">
        <f>HYPERLINK("https://pbs.twimg.com/profile_images/1326520165853503488/f-GFFe_d_normal.jpg")</f>
        <v>https://pbs.twimg.com/profile_images/1326520165853503488/f-GFFe_d_normal.jpg</v>
      </c>
      <c r="W366" s="84">
        <v>44518.649305555555</v>
      </c>
      <c r="X366" s="90">
        <v>44518</v>
      </c>
      <c r="Y366" s="87" t="s">
        <v>1307</v>
      </c>
      <c r="Z366" s="85" t="str">
        <f>HYPERLINK("https://twitter.com/ahcpgy1/status/1461357277676408841")</f>
        <v>https://twitter.com/ahcpgy1/status/1461357277676408841</v>
      </c>
      <c r="AA366" s="82"/>
      <c r="AB366" s="82"/>
      <c r="AC366" s="87" t="s">
        <v>1745</v>
      </c>
      <c r="AD366" s="82"/>
      <c r="AE366" s="82" t="b">
        <v>0</v>
      </c>
      <c r="AF366" s="82">
        <v>4</v>
      </c>
      <c r="AG366" s="87" t="s">
        <v>1815</v>
      </c>
      <c r="AH366" s="82" t="b">
        <v>0</v>
      </c>
      <c r="AI366" s="82" t="s">
        <v>1826</v>
      </c>
      <c r="AJ366" s="82"/>
      <c r="AK366" s="87" t="s">
        <v>1815</v>
      </c>
      <c r="AL366" s="82" t="b">
        <v>0</v>
      </c>
      <c r="AM366" s="82">
        <v>1</v>
      </c>
      <c r="AN366" s="87" t="s">
        <v>1815</v>
      </c>
      <c r="AO366" s="87" t="s">
        <v>1850</v>
      </c>
      <c r="AP366" s="82" t="b">
        <v>0</v>
      </c>
      <c r="AQ366" s="87" t="s">
        <v>1745</v>
      </c>
      <c r="AR366" s="82"/>
      <c r="AS366" s="82">
        <v>0</v>
      </c>
      <c r="AT366" s="82">
        <v>0</v>
      </c>
      <c r="AU366" s="82"/>
      <c r="AV366" s="82"/>
      <c r="AW366" s="82"/>
      <c r="AX366" s="82"/>
      <c r="AY366" s="82"/>
      <c r="AZ366" s="82"/>
      <c r="BA366" s="82"/>
      <c r="BB366" s="82"/>
      <c r="BC366">
        <v>3</v>
      </c>
      <c r="BD366" s="81" t="str">
        <f>REPLACE(INDEX(GroupVertices[Group],MATCH(Edges[[#This Row],[Vertex 1]],GroupVertices[Vertex],0)),1,1,"")</f>
        <v>1</v>
      </c>
      <c r="BE366" s="81" t="str">
        <f>REPLACE(INDEX(GroupVertices[Group],MATCH(Edges[[#This Row],[Vertex 2]],GroupVertices[Vertex],0)),1,1,"")</f>
        <v>1</v>
      </c>
      <c r="BF366" s="49">
        <v>1</v>
      </c>
      <c r="BG366" s="50">
        <v>6.666666666666667</v>
      </c>
      <c r="BH366" s="49">
        <v>0</v>
      </c>
      <c r="BI366" s="50">
        <v>0</v>
      </c>
      <c r="BJ366" s="49">
        <v>0</v>
      </c>
      <c r="BK366" s="50">
        <v>0</v>
      </c>
      <c r="BL366" s="49">
        <v>14</v>
      </c>
      <c r="BM366" s="50">
        <v>93.33333333333333</v>
      </c>
      <c r="BN366" s="49">
        <v>15</v>
      </c>
    </row>
    <row r="367" spans="1:66" ht="15">
      <c r="A367" s="66" t="s">
        <v>416</v>
      </c>
      <c r="B367" s="66" t="s">
        <v>416</v>
      </c>
      <c r="C367" s="67" t="s">
        <v>4509</v>
      </c>
      <c r="D367" s="68">
        <v>3</v>
      </c>
      <c r="E367" s="69" t="s">
        <v>132</v>
      </c>
      <c r="F367" s="70">
        <v>32</v>
      </c>
      <c r="G367" s="67"/>
      <c r="H367" s="71"/>
      <c r="I367" s="72"/>
      <c r="J367" s="72"/>
      <c r="K367" s="35" t="s">
        <v>65</v>
      </c>
      <c r="L367" s="80">
        <v>367</v>
      </c>
      <c r="M367" s="80"/>
      <c r="N367" s="74"/>
      <c r="O367" s="82" t="s">
        <v>214</v>
      </c>
      <c r="P367" s="84">
        <v>44518.63246527778</v>
      </c>
      <c r="Q367" s="82" t="s">
        <v>827</v>
      </c>
      <c r="R367" s="82"/>
      <c r="S367" s="82"/>
      <c r="T367" s="87" t="s">
        <v>955</v>
      </c>
      <c r="U367" s="85" t="str">
        <f>HYPERLINK("https://pbs.twimg.com/media/FEfDIGlUYAYN59A.jpg")</f>
        <v>https://pbs.twimg.com/media/FEfDIGlUYAYN59A.jpg</v>
      </c>
      <c r="V367" s="85" t="str">
        <f>HYPERLINK("https://pbs.twimg.com/media/FEfDIGlUYAYN59A.jpg")</f>
        <v>https://pbs.twimg.com/media/FEfDIGlUYAYN59A.jpg</v>
      </c>
      <c r="W367" s="84">
        <v>44518.63246527778</v>
      </c>
      <c r="X367" s="90">
        <v>44518</v>
      </c>
      <c r="Y367" s="87" t="s">
        <v>1395</v>
      </c>
      <c r="Z367" s="85" t="str">
        <f>HYPERLINK("https://twitter.com/ameliahma/status/1461351174284578827")</f>
        <v>https://twitter.com/ameliahma/status/1461351174284578827</v>
      </c>
      <c r="AA367" s="82"/>
      <c r="AB367" s="82"/>
      <c r="AC367" s="87" t="s">
        <v>1746</v>
      </c>
      <c r="AD367" s="82"/>
      <c r="AE367" s="82" t="b">
        <v>0</v>
      </c>
      <c r="AF367" s="82">
        <v>1</v>
      </c>
      <c r="AG367" s="87" t="s">
        <v>1815</v>
      </c>
      <c r="AH367" s="82" t="b">
        <v>0</v>
      </c>
      <c r="AI367" s="82" t="s">
        <v>1826</v>
      </c>
      <c r="AJ367" s="82"/>
      <c r="AK367" s="87" t="s">
        <v>1815</v>
      </c>
      <c r="AL367" s="82" t="b">
        <v>0</v>
      </c>
      <c r="AM367" s="82">
        <v>0</v>
      </c>
      <c r="AN367" s="87" t="s">
        <v>1815</v>
      </c>
      <c r="AO367" s="87" t="s">
        <v>1850</v>
      </c>
      <c r="AP367" s="82" t="b">
        <v>0</v>
      </c>
      <c r="AQ367" s="87" t="s">
        <v>1746</v>
      </c>
      <c r="AR367" s="82"/>
      <c r="AS367" s="82">
        <v>0</v>
      </c>
      <c r="AT367" s="82">
        <v>0</v>
      </c>
      <c r="AU367" s="82"/>
      <c r="AV367" s="82"/>
      <c r="AW367" s="82"/>
      <c r="AX367" s="82"/>
      <c r="AY367" s="82"/>
      <c r="AZ367" s="82"/>
      <c r="BA367" s="82"/>
      <c r="BB367" s="82"/>
      <c r="BC367">
        <v>1</v>
      </c>
      <c r="BD367" s="81" t="str">
        <f>REPLACE(INDEX(GroupVertices[Group],MATCH(Edges[[#This Row],[Vertex 1]],GroupVertices[Vertex],0)),1,1,"")</f>
        <v>1</v>
      </c>
      <c r="BE367" s="81" t="str">
        <f>REPLACE(INDEX(GroupVertices[Group],MATCH(Edges[[#This Row],[Vertex 2]],GroupVertices[Vertex],0)),1,1,"")</f>
        <v>1</v>
      </c>
      <c r="BF367" s="49">
        <v>0</v>
      </c>
      <c r="BG367" s="50">
        <v>0</v>
      </c>
      <c r="BH367" s="49">
        <v>2</v>
      </c>
      <c r="BI367" s="50">
        <v>6.0606060606060606</v>
      </c>
      <c r="BJ367" s="49">
        <v>0</v>
      </c>
      <c r="BK367" s="50">
        <v>0</v>
      </c>
      <c r="BL367" s="49">
        <v>31</v>
      </c>
      <c r="BM367" s="50">
        <v>93.93939393939394</v>
      </c>
      <c r="BN367" s="49">
        <v>33</v>
      </c>
    </row>
    <row r="368" spans="1:66" ht="15">
      <c r="A368" s="66" t="s">
        <v>417</v>
      </c>
      <c r="B368" s="66" t="s">
        <v>523</v>
      </c>
      <c r="C368" s="67" t="s">
        <v>4509</v>
      </c>
      <c r="D368" s="68">
        <v>3</v>
      </c>
      <c r="E368" s="69" t="s">
        <v>132</v>
      </c>
      <c r="F368" s="70">
        <v>32</v>
      </c>
      <c r="G368" s="67"/>
      <c r="H368" s="71"/>
      <c r="I368" s="72"/>
      <c r="J368" s="72"/>
      <c r="K368" s="35" t="s">
        <v>65</v>
      </c>
      <c r="L368" s="80">
        <v>368</v>
      </c>
      <c r="M368" s="80"/>
      <c r="N368" s="74"/>
      <c r="O368" s="82" t="s">
        <v>528</v>
      </c>
      <c r="P368" s="84">
        <v>44518.62577546296</v>
      </c>
      <c r="Q368" s="82" t="s">
        <v>828</v>
      </c>
      <c r="R368" s="85" t="str">
        <f>HYPERLINK("https://www.contagionlive.com/view/national-academies-report-timely-diagnostics-can-facilitate-new-antimicrobials-better-stewardship")</f>
        <v>https://www.contagionlive.com/view/national-academies-report-timely-diagnostics-can-facilitate-new-antimicrobials-better-stewardship</v>
      </c>
      <c r="S368" s="82" t="s">
        <v>941</v>
      </c>
      <c r="T368" s="87" t="s">
        <v>1109</v>
      </c>
      <c r="U368" s="82"/>
      <c r="V368" s="85" t="str">
        <f>HYPERLINK("https://pbs.twimg.com/profile_images/951857113462116352/iL9a2LcY_normal.jpg")</f>
        <v>https://pbs.twimg.com/profile_images/951857113462116352/iL9a2LcY_normal.jpg</v>
      </c>
      <c r="W368" s="84">
        <v>44518.62577546296</v>
      </c>
      <c r="X368" s="90">
        <v>44518</v>
      </c>
      <c r="Y368" s="87" t="s">
        <v>1396</v>
      </c>
      <c r="Z368" s="85" t="str">
        <f>HYPERLINK("https://twitter.com/contagion_live/status/1461348751465877511")</f>
        <v>https://twitter.com/contagion_live/status/1461348751465877511</v>
      </c>
      <c r="AA368" s="82"/>
      <c r="AB368" s="82"/>
      <c r="AC368" s="87" t="s">
        <v>1747</v>
      </c>
      <c r="AD368" s="82"/>
      <c r="AE368" s="82" t="b">
        <v>0</v>
      </c>
      <c r="AF368" s="82">
        <v>1</v>
      </c>
      <c r="AG368" s="87" t="s">
        <v>1815</v>
      </c>
      <c r="AH368" s="82" t="b">
        <v>0</v>
      </c>
      <c r="AI368" s="82" t="s">
        <v>1826</v>
      </c>
      <c r="AJ368" s="82"/>
      <c r="AK368" s="87" t="s">
        <v>1815</v>
      </c>
      <c r="AL368" s="82" t="b">
        <v>0</v>
      </c>
      <c r="AM368" s="82">
        <v>0</v>
      </c>
      <c r="AN368" s="87" t="s">
        <v>1815</v>
      </c>
      <c r="AO368" s="87" t="s">
        <v>1853</v>
      </c>
      <c r="AP368" s="82" t="b">
        <v>0</v>
      </c>
      <c r="AQ368" s="87" t="s">
        <v>1747</v>
      </c>
      <c r="AR368" s="82"/>
      <c r="AS368" s="82">
        <v>0</v>
      </c>
      <c r="AT368" s="82">
        <v>0</v>
      </c>
      <c r="AU368" s="82"/>
      <c r="AV368" s="82"/>
      <c r="AW368" s="82"/>
      <c r="AX368" s="82"/>
      <c r="AY368" s="82"/>
      <c r="AZ368" s="82"/>
      <c r="BA368" s="82"/>
      <c r="BB368" s="82"/>
      <c r="BC368">
        <v>1</v>
      </c>
      <c r="BD368" s="81" t="str">
        <f>REPLACE(INDEX(GroupVertices[Group],MATCH(Edges[[#This Row],[Vertex 1]],GroupVertices[Vertex],0)),1,1,"")</f>
        <v>17</v>
      </c>
      <c r="BE368" s="81" t="str">
        <f>REPLACE(INDEX(GroupVertices[Group],MATCH(Edges[[#This Row],[Vertex 2]],GroupVertices[Vertex],0)),1,1,"")</f>
        <v>17</v>
      </c>
      <c r="BF368" s="49">
        <v>1</v>
      </c>
      <c r="BG368" s="50">
        <v>3.5714285714285716</v>
      </c>
      <c r="BH368" s="49">
        <v>0</v>
      </c>
      <c r="BI368" s="50">
        <v>0</v>
      </c>
      <c r="BJ368" s="49">
        <v>0</v>
      </c>
      <c r="BK368" s="50">
        <v>0</v>
      </c>
      <c r="BL368" s="49">
        <v>27</v>
      </c>
      <c r="BM368" s="50">
        <v>96.42857142857143</v>
      </c>
      <c r="BN368" s="49">
        <v>28</v>
      </c>
    </row>
    <row r="369" spans="1:66" ht="15">
      <c r="A369" s="66" t="s">
        <v>418</v>
      </c>
      <c r="B369" s="66" t="s">
        <v>524</v>
      </c>
      <c r="C369" s="67" t="s">
        <v>4509</v>
      </c>
      <c r="D369" s="68">
        <v>3</v>
      </c>
      <c r="E369" s="69" t="s">
        <v>132</v>
      </c>
      <c r="F369" s="70">
        <v>32</v>
      </c>
      <c r="G369" s="67"/>
      <c r="H369" s="71"/>
      <c r="I369" s="72"/>
      <c r="J369" s="72"/>
      <c r="K369" s="35" t="s">
        <v>65</v>
      </c>
      <c r="L369" s="80">
        <v>369</v>
      </c>
      <c r="M369" s="80"/>
      <c r="N369" s="74"/>
      <c r="O369" s="82" t="s">
        <v>528</v>
      </c>
      <c r="P369" s="84">
        <v>44518.625023148146</v>
      </c>
      <c r="Q369" s="82" t="s">
        <v>829</v>
      </c>
      <c r="R369" s="85" t="str">
        <f>HYPERLINK("https://linzyelton628749128.wordpress.com/2021/08/22/has-the-covid-19-pandemic-lit-a-fire-under-a-hidden-pandemic/")</f>
        <v>https://linzyelton628749128.wordpress.com/2021/08/22/has-the-covid-19-pandemic-lit-a-fire-under-a-hidden-pandemic/</v>
      </c>
      <c r="S369" s="82" t="s">
        <v>924</v>
      </c>
      <c r="T369" s="87" t="s">
        <v>1110</v>
      </c>
      <c r="U369" s="82"/>
      <c r="V369" s="85" t="str">
        <f>HYPERLINK("https://pbs.twimg.com/profile_images/1414934526393032707/qf3mPaE9_normal.jpg")</f>
        <v>https://pbs.twimg.com/profile_images/1414934526393032707/qf3mPaE9_normal.jpg</v>
      </c>
      <c r="W369" s="84">
        <v>44518.625023148146</v>
      </c>
      <c r="X369" s="90">
        <v>44518</v>
      </c>
      <c r="Y369" s="87" t="s">
        <v>1265</v>
      </c>
      <c r="Z369" s="85" t="str">
        <f>HYPERLINK("https://twitter.com/amrcovid/status/1461348478102253568")</f>
        <v>https://twitter.com/amrcovid/status/1461348478102253568</v>
      </c>
      <c r="AA369" s="82"/>
      <c r="AB369" s="82"/>
      <c r="AC369" s="87" t="s">
        <v>1748</v>
      </c>
      <c r="AD369" s="82"/>
      <c r="AE369" s="82" t="b">
        <v>0</v>
      </c>
      <c r="AF369" s="82">
        <v>5</v>
      </c>
      <c r="AG369" s="87" t="s">
        <v>1815</v>
      </c>
      <c r="AH369" s="82" t="b">
        <v>0</v>
      </c>
      <c r="AI369" s="82" t="s">
        <v>1826</v>
      </c>
      <c r="AJ369" s="82"/>
      <c r="AK369" s="87" t="s">
        <v>1815</v>
      </c>
      <c r="AL369" s="82" t="b">
        <v>0</v>
      </c>
      <c r="AM369" s="82">
        <v>3</v>
      </c>
      <c r="AN369" s="87" t="s">
        <v>1815</v>
      </c>
      <c r="AO369" s="87" t="s">
        <v>1853</v>
      </c>
      <c r="AP369" s="82" t="b">
        <v>0</v>
      </c>
      <c r="AQ369" s="87" t="s">
        <v>1748</v>
      </c>
      <c r="AR369" s="82"/>
      <c r="AS369" s="82">
        <v>0</v>
      </c>
      <c r="AT369" s="82">
        <v>0</v>
      </c>
      <c r="AU369" s="82"/>
      <c r="AV369" s="82"/>
      <c r="AW369" s="82"/>
      <c r="AX369" s="82"/>
      <c r="AY369" s="82"/>
      <c r="AZ369" s="82"/>
      <c r="BA369" s="82"/>
      <c r="BB369" s="82"/>
      <c r="BC369">
        <v>1</v>
      </c>
      <c r="BD369" s="81" t="str">
        <f>REPLACE(INDEX(GroupVertices[Group],MATCH(Edges[[#This Row],[Vertex 1]],GroupVertices[Vertex],0)),1,1,"")</f>
        <v>16</v>
      </c>
      <c r="BE369" s="81" t="str">
        <f>REPLACE(INDEX(GroupVertices[Group],MATCH(Edges[[#This Row],[Vertex 2]],GroupVertices[Vertex],0)),1,1,"")</f>
        <v>16</v>
      </c>
      <c r="BF369" s="49">
        <v>0</v>
      </c>
      <c r="BG369" s="50">
        <v>0</v>
      </c>
      <c r="BH369" s="49">
        <v>1</v>
      </c>
      <c r="BI369" s="50">
        <v>3.125</v>
      </c>
      <c r="BJ369" s="49">
        <v>0</v>
      </c>
      <c r="BK369" s="50">
        <v>0</v>
      </c>
      <c r="BL369" s="49">
        <v>31</v>
      </c>
      <c r="BM369" s="50">
        <v>96.875</v>
      </c>
      <c r="BN369" s="49">
        <v>32</v>
      </c>
    </row>
    <row r="370" spans="1:66" ht="15">
      <c r="A370" s="66" t="s">
        <v>419</v>
      </c>
      <c r="B370" s="66" t="s">
        <v>419</v>
      </c>
      <c r="C370" s="67" t="s">
        <v>4509</v>
      </c>
      <c r="D370" s="68">
        <v>3</v>
      </c>
      <c r="E370" s="69" t="s">
        <v>132</v>
      </c>
      <c r="F370" s="70">
        <v>32</v>
      </c>
      <c r="G370" s="67"/>
      <c r="H370" s="71"/>
      <c r="I370" s="72"/>
      <c r="J370" s="72"/>
      <c r="K370" s="35" t="s">
        <v>65</v>
      </c>
      <c r="L370" s="80">
        <v>370</v>
      </c>
      <c r="M370" s="80"/>
      <c r="N370" s="74"/>
      <c r="O370" s="82" t="s">
        <v>214</v>
      </c>
      <c r="P370" s="84">
        <v>44518.62710648148</v>
      </c>
      <c r="Q370" s="82" t="s">
        <v>830</v>
      </c>
      <c r="R370" s="85" t="str">
        <f>HYPERLINK("https://www.frimleyhealthandcare.org.uk/news/posts/2021/november/keep-antibiotics-working/?utm_source=Twitter&amp;utm_medium=social&amp;utm_campaign=Orlo")</f>
        <v>https://www.frimleyhealthandcare.org.uk/news/posts/2021/november/keep-antibiotics-working/?utm_source=Twitter&amp;utm_medium=social&amp;utm_campaign=Orlo</v>
      </c>
      <c r="S370" s="82" t="s">
        <v>921</v>
      </c>
      <c r="T370" s="87" t="s">
        <v>1007</v>
      </c>
      <c r="U370" s="85" t="str">
        <f>HYPERLINK("https://pbs.twimg.com/media/FEfBFN7UUA4A2ng.jpg")</f>
        <v>https://pbs.twimg.com/media/FEfBFN7UUA4A2ng.jpg</v>
      </c>
      <c r="V370" s="85" t="str">
        <f>HYPERLINK("https://pbs.twimg.com/media/FEfBFN7UUA4A2ng.jpg")</f>
        <v>https://pbs.twimg.com/media/FEfBFN7UUA4A2ng.jpg</v>
      </c>
      <c r="W370" s="84">
        <v>44518.62710648148</v>
      </c>
      <c r="X370" s="90">
        <v>44518</v>
      </c>
      <c r="Y370" s="87" t="s">
        <v>1397</v>
      </c>
      <c r="Z370" s="85" t="str">
        <f>HYPERLINK("https://twitter.com/chapelmedical/status/1461349231667515393")</f>
        <v>https://twitter.com/chapelmedical/status/1461349231667515393</v>
      </c>
      <c r="AA370" s="82"/>
      <c r="AB370" s="82"/>
      <c r="AC370" s="87" t="s">
        <v>1749</v>
      </c>
      <c r="AD370" s="82"/>
      <c r="AE370" s="82" t="b">
        <v>0</v>
      </c>
      <c r="AF370" s="82">
        <v>0</v>
      </c>
      <c r="AG370" s="87" t="s">
        <v>1815</v>
      </c>
      <c r="AH370" s="82" t="b">
        <v>0</v>
      </c>
      <c r="AI370" s="82" t="s">
        <v>1826</v>
      </c>
      <c r="AJ370" s="82"/>
      <c r="AK370" s="87" t="s">
        <v>1815</v>
      </c>
      <c r="AL370" s="82" t="b">
        <v>0</v>
      </c>
      <c r="AM370" s="82">
        <v>0</v>
      </c>
      <c r="AN370" s="87" t="s">
        <v>1815</v>
      </c>
      <c r="AO370" s="87" t="s">
        <v>1868</v>
      </c>
      <c r="AP370" s="82" t="b">
        <v>0</v>
      </c>
      <c r="AQ370" s="87" t="s">
        <v>1749</v>
      </c>
      <c r="AR370" s="82"/>
      <c r="AS370" s="82">
        <v>0</v>
      </c>
      <c r="AT370" s="82">
        <v>0</v>
      </c>
      <c r="AU370" s="82"/>
      <c r="AV370" s="82"/>
      <c r="AW370" s="82"/>
      <c r="AX370" s="82"/>
      <c r="AY370" s="82"/>
      <c r="AZ370" s="82"/>
      <c r="BA370" s="82"/>
      <c r="BB370" s="82"/>
      <c r="BC370">
        <v>1</v>
      </c>
      <c r="BD370" s="81" t="str">
        <f>REPLACE(INDEX(GroupVertices[Group],MATCH(Edges[[#This Row],[Vertex 1]],GroupVertices[Vertex],0)),1,1,"")</f>
        <v>1</v>
      </c>
      <c r="BE370" s="81" t="str">
        <f>REPLACE(INDEX(GroupVertices[Group],MATCH(Edges[[#This Row],[Vertex 2]],GroupVertices[Vertex],0)),1,1,"")</f>
        <v>1</v>
      </c>
      <c r="BF370" s="49">
        <v>1</v>
      </c>
      <c r="BG370" s="50">
        <v>3.125</v>
      </c>
      <c r="BH370" s="49">
        <v>0</v>
      </c>
      <c r="BI370" s="50">
        <v>0</v>
      </c>
      <c r="BJ370" s="49">
        <v>0</v>
      </c>
      <c r="BK370" s="50">
        <v>0</v>
      </c>
      <c r="BL370" s="49">
        <v>31</v>
      </c>
      <c r="BM370" s="50">
        <v>96.875</v>
      </c>
      <c r="BN370" s="49">
        <v>32</v>
      </c>
    </row>
    <row r="371" spans="1:66" ht="15">
      <c r="A371" s="66" t="s">
        <v>420</v>
      </c>
      <c r="B371" s="66" t="s">
        <v>525</v>
      </c>
      <c r="C371" s="67" t="s">
        <v>4509</v>
      </c>
      <c r="D371" s="68">
        <v>3</v>
      </c>
      <c r="E371" s="69" t="s">
        <v>132</v>
      </c>
      <c r="F371" s="70">
        <v>32</v>
      </c>
      <c r="G371" s="67"/>
      <c r="H371" s="71"/>
      <c r="I371" s="72"/>
      <c r="J371" s="72"/>
      <c r="K371" s="35" t="s">
        <v>65</v>
      </c>
      <c r="L371" s="80">
        <v>371</v>
      </c>
      <c r="M371" s="80"/>
      <c r="N371" s="74"/>
      <c r="O371" s="82" t="s">
        <v>528</v>
      </c>
      <c r="P371" s="84">
        <v>44518.64298611111</v>
      </c>
      <c r="Q371" s="82" t="s">
        <v>831</v>
      </c>
      <c r="R371" s="85" t="str">
        <f>HYPERLINK("https://twitter.com/EAAD_EU/status/1461347210927296513")</f>
        <v>https://twitter.com/EAAD_EU/status/1461347210927296513</v>
      </c>
      <c r="S371" s="82" t="s">
        <v>914</v>
      </c>
      <c r="T371" s="87" t="s">
        <v>1111</v>
      </c>
      <c r="U371" s="82"/>
      <c r="V371" s="85" t="str">
        <f>HYPERLINK("https://pbs.twimg.com/profile_images/1062264156328325121/5ql-vtG5_normal.jpg")</f>
        <v>https://pbs.twimg.com/profile_images/1062264156328325121/5ql-vtG5_normal.jpg</v>
      </c>
      <c r="W371" s="84">
        <v>44518.64298611111</v>
      </c>
      <c r="X371" s="90">
        <v>44518</v>
      </c>
      <c r="Y371" s="87" t="s">
        <v>1398</v>
      </c>
      <c r="Z371" s="85" t="str">
        <f>HYPERLINK("https://twitter.com/eaad_eu/status/1461354988475543560")</f>
        <v>https://twitter.com/eaad_eu/status/1461354988475543560</v>
      </c>
      <c r="AA371" s="82"/>
      <c r="AB371" s="82"/>
      <c r="AC371" s="87" t="s">
        <v>1750</v>
      </c>
      <c r="AD371" s="87" t="s">
        <v>1813</v>
      </c>
      <c r="AE371" s="82" t="b">
        <v>0</v>
      </c>
      <c r="AF371" s="82">
        <v>2</v>
      </c>
      <c r="AG371" s="87" t="s">
        <v>1824</v>
      </c>
      <c r="AH371" s="82" t="b">
        <v>1</v>
      </c>
      <c r="AI371" s="82" t="s">
        <v>1826</v>
      </c>
      <c r="AJ371" s="82"/>
      <c r="AK371" s="87" t="s">
        <v>1846</v>
      </c>
      <c r="AL371" s="82" t="b">
        <v>0</v>
      </c>
      <c r="AM371" s="82">
        <v>0</v>
      </c>
      <c r="AN371" s="87" t="s">
        <v>1815</v>
      </c>
      <c r="AO371" s="87" t="s">
        <v>1850</v>
      </c>
      <c r="AP371" s="82" t="b">
        <v>0</v>
      </c>
      <c r="AQ371" s="87" t="s">
        <v>1813</v>
      </c>
      <c r="AR371" s="82"/>
      <c r="AS371" s="82">
        <v>0</v>
      </c>
      <c r="AT371" s="82">
        <v>0</v>
      </c>
      <c r="AU371" s="82"/>
      <c r="AV371" s="82"/>
      <c r="AW371" s="82"/>
      <c r="AX371" s="82"/>
      <c r="AY371" s="82"/>
      <c r="AZ371" s="82"/>
      <c r="BA371" s="82"/>
      <c r="BB371" s="82"/>
      <c r="BC371">
        <v>1</v>
      </c>
      <c r="BD371" s="81" t="str">
        <f>REPLACE(INDEX(GroupVertices[Group],MATCH(Edges[[#This Row],[Vertex 1]],GroupVertices[Vertex],0)),1,1,"")</f>
        <v>3</v>
      </c>
      <c r="BE371" s="81" t="str">
        <f>REPLACE(INDEX(GroupVertices[Group],MATCH(Edges[[#This Row],[Vertex 2]],GroupVertices[Vertex],0)),1,1,"")</f>
        <v>3</v>
      </c>
      <c r="BF371" s="49">
        <v>0</v>
      </c>
      <c r="BG371" s="50">
        <v>0</v>
      </c>
      <c r="BH371" s="49">
        <v>0</v>
      </c>
      <c r="BI371" s="50">
        <v>0</v>
      </c>
      <c r="BJ371" s="49">
        <v>0</v>
      </c>
      <c r="BK371" s="50">
        <v>0</v>
      </c>
      <c r="BL371" s="49">
        <v>9</v>
      </c>
      <c r="BM371" s="50">
        <v>100</v>
      </c>
      <c r="BN371" s="49">
        <v>9</v>
      </c>
    </row>
    <row r="372" spans="1:66" ht="15">
      <c r="A372" s="66" t="s">
        <v>420</v>
      </c>
      <c r="B372" s="66" t="s">
        <v>420</v>
      </c>
      <c r="C372" s="67" t="s">
        <v>4512</v>
      </c>
      <c r="D372" s="68">
        <v>4.2727272727272725</v>
      </c>
      <c r="E372" s="69" t="s">
        <v>136</v>
      </c>
      <c r="F372" s="70">
        <v>30.594594594594593</v>
      </c>
      <c r="G372" s="67"/>
      <c r="H372" s="71"/>
      <c r="I372" s="72"/>
      <c r="J372" s="72"/>
      <c r="K372" s="35" t="s">
        <v>65</v>
      </c>
      <c r="L372" s="80">
        <v>372</v>
      </c>
      <c r="M372" s="80"/>
      <c r="N372" s="74"/>
      <c r="O372" s="82" t="s">
        <v>214</v>
      </c>
      <c r="P372" s="84">
        <v>44518.64167824074</v>
      </c>
      <c r="Q372" s="82" t="s">
        <v>832</v>
      </c>
      <c r="R372" s="85" t="str">
        <f>HYPERLINK("https://www.youtube.com/watch?v=3yxRL2TAGOQ&amp;feature=youtu.be")</f>
        <v>https://www.youtube.com/watch?v=3yxRL2TAGOQ&amp;feature=youtu.be</v>
      </c>
      <c r="S372" s="82" t="s">
        <v>912</v>
      </c>
      <c r="T372" s="87" t="s">
        <v>1112</v>
      </c>
      <c r="U372" s="82"/>
      <c r="V372" s="85" t="str">
        <f>HYPERLINK("https://pbs.twimg.com/profile_images/1062264156328325121/5ql-vtG5_normal.jpg")</f>
        <v>https://pbs.twimg.com/profile_images/1062264156328325121/5ql-vtG5_normal.jpg</v>
      </c>
      <c r="W372" s="84">
        <v>44518.64167824074</v>
      </c>
      <c r="X372" s="90">
        <v>44518</v>
      </c>
      <c r="Y372" s="87" t="s">
        <v>1399</v>
      </c>
      <c r="Z372" s="85" t="str">
        <f>HYPERLINK("https://twitter.com/eaad_eu/status/1461354515999850499")</f>
        <v>https://twitter.com/eaad_eu/status/1461354515999850499</v>
      </c>
      <c r="AA372" s="82"/>
      <c r="AB372" s="82"/>
      <c r="AC372" s="87" t="s">
        <v>1751</v>
      </c>
      <c r="AD372" s="87" t="s">
        <v>1753</v>
      </c>
      <c r="AE372" s="82" t="b">
        <v>0</v>
      </c>
      <c r="AF372" s="82">
        <v>7</v>
      </c>
      <c r="AG372" s="87" t="s">
        <v>1824</v>
      </c>
      <c r="AH372" s="82" t="b">
        <v>0</v>
      </c>
      <c r="AI372" s="82" t="s">
        <v>1826</v>
      </c>
      <c r="AJ372" s="82"/>
      <c r="AK372" s="87" t="s">
        <v>1815</v>
      </c>
      <c r="AL372" s="82" t="b">
        <v>0</v>
      </c>
      <c r="AM372" s="82">
        <v>5</v>
      </c>
      <c r="AN372" s="87" t="s">
        <v>1815</v>
      </c>
      <c r="AO372" s="87" t="s">
        <v>1850</v>
      </c>
      <c r="AP372" s="82" t="b">
        <v>0</v>
      </c>
      <c r="AQ372" s="87" t="s">
        <v>1753</v>
      </c>
      <c r="AR372" s="82"/>
      <c r="AS372" s="82">
        <v>0</v>
      </c>
      <c r="AT372" s="82">
        <v>0</v>
      </c>
      <c r="AU372" s="82"/>
      <c r="AV372" s="82"/>
      <c r="AW372" s="82"/>
      <c r="AX372" s="82"/>
      <c r="AY372" s="82"/>
      <c r="AZ372" s="82"/>
      <c r="BA372" s="82"/>
      <c r="BB372" s="82"/>
      <c r="BC372">
        <v>3</v>
      </c>
      <c r="BD372" s="81" t="str">
        <f>REPLACE(INDEX(GroupVertices[Group],MATCH(Edges[[#This Row],[Vertex 1]],GroupVertices[Vertex],0)),1,1,"")</f>
        <v>3</v>
      </c>
      <c r="BE372" s="81" t="str">
        <f>REPLACE(INDEX(GroupVertices[Group],MATCH(Edges[[#This Row],[Vertex 2]],GroupVertices[Vertex],0)),1,1,"")</f>
        <v>3</v>
      </c>
      <c r="BF372" s="49">
        <v>1</v>
      </c>
      <c r="BG372" s="50">
        <v>2.7027027027027026</v>
      </c>
      <c r="BH372" s="49">
        <v>0</v>
      </c>
      <c r="BI372" s="50">
        <v>0</v>
      </c>
      <c r="BJ372" s="49">
        <v>0</v>
      </c>
      <c r="BK372" s="50">
        <v>0</v>
      </c>
      <c r="BL372" s="49">
        <v>36</v>
      </c>
      <c r="BM372" s="50">
        <v>97.29729729729729</v>
      </c>
      <c r="BN372" s="49">
        <v>37</v>
      </c>
    </row>
    <row r="373" spans="1:66" ht="15">
      <c r="A373" s="66" t="s">
        <v>420</v>
      </c>
      <c r="B373" s="66" t="s">
        <v>420</v>
      </c>
      <c r="C373" s="67" t="s">
        <v>4512</v>
      </c>
      <c r="D373" s="68">
        <v>4.2727272727272725</v>
      </c>
      <c r="E373" s="69" t="s">
        <v>136</v>
      </c>
      <c r="F373" s="70">
        <v>30.594594594594593</v>
      </c>
      <c r="G373" s="67"/>
      <c r="H373" s="71"/>
      <c r="I373" s="72"/>
      <c r="J373" s="72"/>
      <c r="K373" s="35" t="s">
        <v>65</v>
      </c>
      <c r="L373" s="80">
        <v>373</v>
      </c>
      <c r="M373" s="80"/>
      <c r="N373" s="74"/>
      <c r="O373" s="82" t="s">
        <v>214</v>
      </c>
      <c r="P373" s="84">
        <v>44518.658113425925</v>
      </c>
      <c r="Q373" s="82" t="s">
        <v>833</v>
      </c>
      <c r="R373" s="82"/>
      <c r="S373" s="82"/>
      <c r="T373" s="87" t="s">
        <v>1113</v>
      </c>
      <c r="U373" s="85" t="str">
        <f>HYPERLINK("https://pbs.twimg.com/media/FEfH0NdVEAEOrYZ.png")</f>
        <v>https://pbs.twimg.com/media/FEfH0NdVEAEOrYZ.png</v>
      </c>
      <c r="V373" s="85" t="str">
        <f>HYPERLINK("https://pbs.twimg.com/media/FEfH0NdVEAEOrYZ.png")</f>
        <v>https://pbs.twimg.com/media/FEfH0NdVEAEOrYZ.png</v>
      </c>
      <c r="W373" s="84">
        <v>44518.658113425925</v>
      </c>
      <c r="X373" s="90">
        <v>44518</v>
      </c>
      <c r="Y373" s="87" t="s">
        <v>1400</v>
      </c>
      <c r="Z373" s="85" t="str">
        <f>HYPERLINK("https://twitter.com/eaad_eu/status/1461360471592734742")</f>
        <v>https://twitter.com/eaad_eu/status/1461360471592734742</v>
      </c>
      <c r="AA373" s="82"/>
      <c r="AB373" s="82"/>
      <c r="AC373" s="87" t="s">
        <v>1752</v>
      </c>
      <c r="AD373" s="87" t="s">
        <v>1751</v>
      </c>
      <c r="AE373" s="82" t="b">
        <v>0</v>
      </c>
      <c r="AF373" s="82">
        <v>13</v>
      </c>
      <c r="AG373" s="87" t="s">
        <v>1824</v>
      </c>
      <c r="AH373" s="82" t="b">
        <v>0</v>
      </c>
      <c r="AI373" s="82" t="s">
        <v>1826</v>
      </c>
      <c r="AJ373" s="82"/>
      <c r="AK373" s="87" t="s">
        <v>1815</v>
      </c>
      <c r="AL373" s="82" t="b">
        <v>0</v>
      </c>
      <c r="AM373" s="82">
        <v>5</v>
      </c>
      <c r="AN373" s="87" t="s">
        <v>1815</v>
      </c>
      <c r="AO373" s="87" t="s">
        <v>1850</v>
      </c>
      <c r="AP373" s="82" t="b">
        <v>0</v>
      </c>
      <c r="AQ373" s="87" t="s">
        <v>1751</v>
      </c>
      <c r="AR373" s="82"/>
      <c r="AS373" s="82">
        <v>0</v>
      </c>
      <c r="AT373" s="82">
        <v>0</v>
      </c>
      <c r="AU373" s="82"/>
      <c r="AV373" s="82"/>
      <c r="AW373" s="82"/>
      <c r="AX373" s="82"/>
      <c r="AY373" s="82"/>
      <c r="AZ373" s="82"/>
      <c r="BA373" s="82"/>
      <c r="BB373" s="82"/>
      <c r="BC373">
        <v>3</v>
      </c>
      <c r="BD373" s="81" t="str">
        <f>REPLACE(INDEX(GroupVertices[Group],MATCH(Edges[[#This Row],[Vertex 1]],GroupVertices[Vertex],0)),1,1,"")</f>
        <v>3</v>
      </c>
      <c r="BE373" s="81" t="str">
        <f>REPLACE(INDEX(GroupVertices[Group],MATCH(Edges[[#This Row],[Vertex 2]],GroupVertices[Vertex],0)),1,1,"")</f>
        <v>3</v>
      </c>
      <c r="BF373" s="49">
        <v>1</v>
      </c>
      <c r="BG373" s="50">
        <v>2.272727272727273</v>
      </c>
      <c r="BH373" s="49">
        <v>2</v>
      </c>
      <c r="BI373" s="50">
        <v>4.545454545454546</v>
      </c>
      <c r="BJ373" s="49">
        <v>0</v>
      </c>
      <c r="BK373" s="50">
        <v>0</v>
      </c>
      <c r="BL373" s="49">
        <v>41</v>
      </c>
      <c r="BM373" s="50">
        <v>93.18181818181819</v>
      </c>
      <c r="BN373" s="49">
        <v>44</v>
      </c>
    </row>
    <row r="374" spans="1:66" ht="15">
      <c r="A374" s="66" t="s">
        <v>420</v>
      </c>
      <c r="B374" s="66" t="s">
        <v>420</v>
      </c>
      <c r="C374" s="67" t="s">
        <v>4512</v>
      </c>
      <c r="D374" s="68">
        <v>4.2727272727272725</v>
      </c>
      <c r="E374" s="69" t="s">
        <v>136</v>
      </c>
      <c r="F374" s="70">
        <v>30.594594594594593</v>
      </c>
      <c r="G374" s="67"/>
      <c r="H374" s="71"/>
      <c r="I374" s="72"/>
      <c r="J374" s="72"/>
      <c r="K374" s="35" t="s">
        <v>65</v>
      </c>
      <c r="L374" s="80">
        <v>374</v>
      </c>
      <c r="M374" s="80"/>
      <c r="N374" s="74"/>
      <c r="O374" s="82" t="s">
        <v>214</v>
      </c>
      <c r="P374" s="84">
        <v>44518.6300462963</v>
      </c>
      <c r="Q374" s="82" t="s">
        <v>834</v>
      </c>
      <c r="R374" s="82"/>
      <c r="S374" s="82"/>
      <c r="T374" s="87" t="s">
        <v>1114</v>
      </c>
      <c r="U374" s="85" t="str">
        <f>HYPERLINK("https://pbs.twimg.com/media/FEfCJI-UUAwJNHn.jpg")</f>
        <v>https://pbs.twimg.com/media/FEfCJI-UUAwJNHn.jpg</v>
      </c>
      <c r="V374" s="85" t="str">
        <f>HYPERLINK("https://pbs.twimg.com/media/FEfCJI-UUAwJNHn.jpg")</f>
        <v>https://pbs.twimg.com/media/FEfCJI-UUAwJNHn.jpg</v>
      </c>
      <c r="W374" s="84">
        <v>44518.6300462963</v>
      </c>
      <c r="X374" s="90">
        <v>44518</v>
      </c>
      <c r="Y374" s="87" t="s">
        <v>1401</v>
      </c>
      <c r="Z374" s="85" t="str">
        <f>HYPERLINK("https://twitter.com/eaad_eu/status/1461350299361103873")</f>
        <v>https://twitter.com/eaad_eu/status/1461350299361103873</v>
      </c>
      <c r="AA374" s="82"/>
      <c r="AB374" s="82"/>
      <c r="AC374" s="87" t="s">
        <v>1753</v>
      </c>
      <c r="AD374" s="87" t="s">
        <v>1814</v>
      </c>
      <c r="AE374" s="82" t="b">
        <v>0</v>
      </c>
      <c r="AF374" s="82">
        <v>13</v>
      </c>
      <c r="AG374" s="87" t="s">
        <v>1824</v>
      </c>
      <c r="AH374" s="82" t="b">
        <v>0</v>
      </c>
      <c r="AI374" s="82" t="s">
        <v>1826</v>
      </c>
      <c r="AJ374" s="82"/>
      <c r="AK374" s="87" t="s">
        <v>1815</v>
      </c>
      <c r="AL374" s="82" t="b">
        <v>0</v>
      </c>
      <c r="AM374" s="82">
        <v>10</v>
      </c>
      <c r="AN374" s="87" t="s">
        <v>1815</v>
      </c>
      <c r="AO374" s="87" t="s">
        <v>1850</v>
      </c>
      <c r="AP374" s="82" t="b">
        <v>0</v>
      </c>
      <c r="AQ374" s="87" t="s">
        <v>1814</v>
      </c>
      <c r="AR374" s="82"/>
      <c r="AS374" s="82">
        <v>0</v>
      </c>
      <c r="AT374" s="82">
        <v>0</v>
      </c>
      <c r="AU374" s="82"/>
      <c r="AV374" s="82"/>
      <c r="AW374" s="82"/>
      <c r="AX374" s="82"/>
      <c r="AY374" s="82"/>
      <c r="AZ374" s="82"/>
      <c r="BA374" s="82"/>
      <c r="BB374" s="82"/>
      <c r="BC374">
        <v>3</v>
      </c>
      <c r="BD374" s="81" t="str">
        <f>REPLACE(INDEX(GroupVertices[Group],MATCH(Edges[[#This Row],[Vertex 1]],GroupVertices[Vertex],0)),1,1,"")</f>
        <v>3</v>
      </c>
      <c r="BE374" s="81" t="str">
        <f>REPLACE(INDEX(GroupVertices[Group],MATCH(Edges[[#This Row],[Vertex 2]],GroupVertices[Vertex],0)),1,1,"")</f>
        <v>3</v>
      </c>
      <c r="BF374" s="49">
        <v>2</v>
      </c>
      <c r="BG374" s="50">
        <v>4.878048780487805</v>
      </c>
      <c r="BH374" s="49">
        <v>3</v>
      </c>
      <c r="BI374" s="50">
        <v>7.317073170731708</v>
      </c>
      <c r="BJ374" s="49">
        <v>1</v>
      </c>
      <c r="BK374" s="50">
        <v>2.4390243902439024</v>
      </c>
      <c r="BL374" s="49">
        <v>36</v>
      </c>
      <c r="BM374" s="50">
        <v>87.8048780487805</v>
      </c>
      <c r="BN374" s="49">
        <v>41</v>
      </c>
    </row>
    <row r="375" spans="1:66" ht="15">
      <c r="A375" s="66" t="s">
        <v>421</v>
      </c>
      <c r="B375" s="66" t="s">
        <v>421</v>
      </c>
      <c r="C375" s="67" t="s">
        <v>4509</v>
      </c>
      <c r="D375" s="68">
        <v>3</v>
      </c>
      <c r="E375" s="69" t="s">
        <v>132</v>
      </c>
      <c r="F375" s="70">
        <v>32</v>
      </c>
      <c r="G375" s="67"/>
      <c r="H375" s="71"/>
      <c r="I375" s="72"/>
      <c r="J375" s="72"/>
      <c r="K375" s="35" t="s">
        <v>65</v>
      </c>
      <c r="L375" s="80">
        <v>375</v>
      </c>
      <c r="M375" s="80"/>
      <c r="N375" s="74"/>
      <c r="O375" s="82" t="s">
        <v>214</v>
      </c>
      <c r="P375" s="84">
        <v>44518.64599537037</v>
      </c>
      <c r="Q375" s="82" t="s">
        <v>835</v>
      </c>
      <c r="R375" s="82"/>
      <c r="S375" s="82"/>
      <c r="T375" s="87" t="s">
        <v>955</v>
      </c>
      <c r="U375" s="85" t="str">
        <f>HYPERLINK("https://pbs.twimg.com/media/FEfHm8fUYAELoM4.jpg")</f>
        <v>https://pbs.twimg.com/media/FEfHm8fUYAELoM4.jpg</v>
      </c>
      <c r="V375" s="85" t="str">
        <f>HYPERLINK("https://pbs.twimg.com/media/FEfHm8fUYAELoM4.jpg")</f>
        <v>https://pbs.twimg.com/media/FEfHm8fUYAELoM4.jpg</v>
      </c>
      <c r="W375" s="84">
        <v>44518.64599537037</v>
      </c>
      <c r="X375" s="90">
        <v>44518</v>
      </c>
      <c r="Y375" s="87" t="s">
        <v>1402</v>
      </c>
      <c r="Z375" s="85" t="str">
        <f>HYPERLINK("https://twitter.com/beva_news/status/1461356077576974352")</f>
        <v>https://twitter.com/beva_news/status/1461356077576974352</v>
      </c>
      <c r="AA375" s="82"/>
      <c r="AB375" s="82"/>
      <c r="AC375" s="87" t="s">
        <v>1754</v>
      </c>
      <c r="AD375" s="82"/>
      <c r="AE375" s="82" t="b">
        <v>0</v>
      </c>
      <c r="AF375" s="82">
        <v>6</v>
      </c>
      <c r="AG375" s="87" t="s">
        <v>1815</v>
      </c>
      <c r="AH375" s="82" t="b">
        <v>0</v>
      </c>
      <c r="AI375" s="82" t="s">
        <v>1826</v>
      </c>
      <c r="AJ375" s="82"/>
      <c r="AK375" s="87" t="s">
        <v>1815</v>
      </c>
      <c r="AL375" s="82" t="b">
        <v>0</v>
      </c>
      <c r="AM375" s="82">
        <v>1</v>
      </c>
      <c r="AN375" s="87" t="s">
        <v>1815</v>
      </c>
      <c r="AO375" s="87" t="s">
        <v>1854</v>
      </c>
      <c r="AP375" s="82" t="b">
        <v>0</v>
      </c>
      <c r="AQ375" s="87" t="s">
        <v>1754</v>
      </c>
      <c r="AR375" s="82"/>
      <c r="AS375" s="82">
        <v>0</v>
      </c>
      <c r="AT375" s="82">
        <v>0</v>
      </c>
      <c r="AU375" s="82"/>
      <c r="AV375" s="82"/>
      <c r="AW375" s="82"/>
      <c r="AX375" s="82"/>
      <c r="AY375" s="82"/>
      <c r="AZ375" s="82"/>
      <c r="BA375" s="82"/>
      <c r="BB375" s="82"/>
      <c r="BC375">
        <v>1</v>
      </c>
      <c r="BD375" s="81" t="str">
        <f>REPLACE(INDEX(GroupVertices[Group],MATCH(Edges[[#This Row],[Vertex 1]],GroupVertices[Vertex],0)),1,1,"")</f>
        <v>1</v>
      </c>
      <c r="BE375" s="81" t="str">
        <f>REPLACE(INDEX(GroupVertices[Group],MATCH(Edges[[#This Row],[Vertex 2]],GroupVertices[Vertex],0)),1,1,"")</f>
        <v>1</v>
      </c>
      <c r="BF375" s="49">
        <v>0</v>
      </c>
      <c r="BG375" s="50">
        <v>0</v>
      </c>
      <c r="BH375" s="49">
        <v>2</v>
      </c>
      <c r="BI375" s="50">
        <v>6.0606060606060606</v>
      </c>
      <c r="BJ375" s="49">
        <v>0</v>
      </c>
      <c r="BK375" s="50">
        <v>0</v>
      </c>
      <c r="BL375" s="49">
        <v>31</v>
      </c>
      <c r="BM375" s="50">
        <v>93.93939393939394</v>
      </c>
      <c r="BN375" s="49">
        <v>33</v>
      </c>
    </row>
    <row r="376" spans="1:66" ht="15">
      <c r="A376" s="66" t="s">
        <v>422</v>
      </c>
      <c r="B376" s="66" t="s">
        <v>422</v>
      </c>
      <c r="C376" s="67" t="s">
        <v>4510</v>
      </c>
      <c r="D376" s="68">
        <v>3.6363636363636362</v>
      </c>
      <c r="E376" s="69" t="s">
        <v>136</v>
      </c>
      <c r="F376" s="70">
        <v>31.2972972972973</v>
      </c>
      <c r="G376" s="67"/>
      <c r="H376" s="71"/>
      <c r="I376" s="72"/>
      <c r="J376" s="72"/>
      <c r="K376" s="35" t="s">
        <v>65</v>
      </c>
      <c r="L376" s="80">
        <v>376</v>
      </c>
      <c r="M376" s="80"/>
      <c r="N376" s="74"/>
      <c r="O376" s="82" t="s">
        <v>214</v>
      </c>
      <c r="P376" s="84">
        <v>44518.66491898148</v>
      </c>
      <c r="Q376" s="82" t="s">
        <v>836</v>
      </c>
      <c r="R376" s="85" t="str">
        <f>HYPERLINK("https://quiz.tryinteract.com/?s=09#/59e68e3a8ecd1200126656e8")</f>
        <v>https://quiz.tryinteract.com/?s=09#/59e68e3a8ecd1200126656e8</v>
      </c>
      <c r="S376" s="82" t="s">
        <v>942</v>
      </c>
      <c r="T376" s="87" t="s">
        <v>1043</v>
      </c>
      <c r="U376" s="85" t="str">
        <f>HYPERLINK("https://pbs.twimg.com/media/FEfNx0KVEAoHvQh.jpg")</f>
        <v>https://pbs.twimg.com/media/FEfNx0KVEAoHvQh.jpg</v>
      </c>
      <c r="V376" s="85" t="str">
        <f>HYPERLINK("https://pbs.twimg.com/media/FEfNx0KVEAoHvQh.jpg")</f>
        <v>https://pbs.twimg.com/media/FEfNx0KVEAoHvQh.jpg</v>
      </c>
      <c r="W376" s="84">
        <v>44518.66491898148</v>
      </c>
      <c r="X376" s="90">
        <v>44518</v>
      </c>
      <c r="Y376" s="87" t="s">
        <v>1403</v>
      </c>
      <c r="Z376" s="85" t="str">
        <f>HYPERLINK("https://twitter.com/brxad/status/1461362936090222594")</f>
        <v>https://twitter.com/brxad/status/1461362936090222594</v>
      </c>
      <c r="AA376" s="82"/>
      <c r="AB376" s="82"/>
      <c r="AC376" s="87" t="s">
        <v>1755</v>
      </c>
      <c r="AD376" s="82"/>
      <c r="AE376" s="82" t="b">
        <v>0</v>
      </c>
      <c r="AF376" s="82">
        <v>78</v>
      </c>
      <c r="AG376" s="87" t="s">
        <v>1815</v>
      </c>
      <c r="AH376" s="82" t="b">
        <v>0</v>
      </c>
      <c r="AI376" s="82" t="s">
        <v>1826</v>
      </c>
      <c r="AJ376" s="82"/>
      <c r="AK376" s="87" t="s">
        <v>1815</v>
      </c>
      <c r="AL376" s="82" t="b">
        <v>0</v>
      </c>
      <c r="AM376" s="82">
        <v>31</v>
      </c>
      <c r="AN376" s="87" t="s">
        <v>1815</v>
      </c>
      <c r="AO376" s="87" t="s">
        <v>1850</v>
      </c>
      <c r="AP376" s="82" t="b">
        <v>0</v>
      </c>
      <c r="AQ376" s="87" t="s">
        <v>1755</v>
      </c>
      <c r="AR376" s="82"/>
      <c r="AS376" s="82">
        <v>0</v>
      </c>
      <c r="AT376" s="82">
        <v>0</v>
      </c>
      <c r="AU376" s="82"/>
      <c r="AV376" s="82"/>
      <c r="AW376" s="82"/>
      <c r="AX376" s="82"/>
      <c r="AY376" s="82"/>
      <c r="AZ376" s="82"/>
      <c r="BA376" s="82"/>
      <c r="BB376" s="82"/>
      <c r="BC376">
        <v>2</v>
      </c>
      <c r="BD376" s="81" t="str">
        <f>REPLACE(INDEX(GroupVertices[Group],MATCH(Edges[[#This Row],[Vertex 1]],GroupVertices[Vertex],0)),1,1,"")</f>
        <v>1</v>
      </c>
      <c r="BE376" s="81" t="str">
        <f>REPLACE(INDEX(GroupVertices[Group],MATCH(Edges[[#This Row],[Vertex 2]],GroupVertices[Vertex],0)),1,1,"")</f>
        <v>1</v>
      </c>
      <c r="BF376" s="49">
        <v>1</v>
      </c>
      <c r="BG376" s="50">
        <v>8.333333333333334</v>
      </c>
      <c r="BH376" s="49">
        <v>0</v>
      </c>
      <c r="BI376" s="50">
        <v>0</v>
      </c>
      <c r="BJ376" s="49">
        <v>0</v>
      </c>
      <c r="BK376" s="50">
        <v>0</v>
      </c>
      <c r="BL376" s="49">
        <v>11</v>
      </c>
      <c r="BM376" s="50">
        <v>91.66666666666667</v>
      </c>
      <c r="BN376" s="49">
        <v>12</v>
      </c>
    </row>
    <row r="377" spans="1:66" ht="15">
      <c r="A377" s="66" t="s">
        <v>422</v>
      </c>
      <c r="B377" s="66" t="s">
        <v>422</v>
      </c>
      <c r="C377" s="67" t="s">
        <v>4510</v>
      </c>
      <c r="D377" s="68">
        <v>3.6363636363636362</v>
      </c>
      <c r="E377" s="69" t="s">
        <v>136</v>
      </c>
      <c r="F377" s="70">
        <v>31.2972972972973</v>
      </c>
      <c r="G377" s="67"/>
      <c r="H377" s="71"/>
      <c r="I377" s="72"/>
      <c r="J377" s="72"/>
      <c r="K377" s="35" t="s">
        <v>65</v>
      </c>
      <c r="L377" s="80">
        <v>377</v>
      </c>
      <c r="M377" s="80"/>
      <c r="N377" s="74"/>
      <c r="O377" s="82" t="s">
        <v>214</v>
      </c>
      <c r="P377" s="84">
        <v>44518.659791666665</v>
      </c>
      <c r="Q377" s="82" t="s">
        <v>837</v>
      </c>
      <c r="R377" s="85" t="str">
        <f>HYPERLINK("https://academic.oup.com/jacamr/article/doi/10.1093/jacamr/dlz059/5613131")</f>
        <v>https://academic.oup.com/jacamr/article/doi/10.1093/jacamr/dlz059/5613131</v>
      </c>
      <c r="S377" s="82" t="s">
        <v>931</v>
      </c>
      <c r="T377" s="87" t="s">
        <v>1115</v>
      </c>
      <c r="U377" s="85" t="str">
        <f>HYPERLINK("https://pbs.twimg.com/media/FEfKJbwVEAAdHhv.jpg")</f>
        <v>https://pbs.twimg.com/media/FEfKJbwVEAAdHhv.jpg</v>
      </c>
      <c r="V377" s="85" t="str">
        <f>HYPERLINK("https://pbs.twimg.com/media/FEfKJbwVEAAdHhv.jpg")</f>
        <v>https://pbs.twimg.com/media/FEfKJbwVEAAdHhv.jpg</v>
      </c>
      <c r="W377" s="84">
        <v>44518.659791666665</v>
      </c>
      <c r="X377" s="90">
        <v>44518</v>
      </c>
      <c r="Y377" s="87" t="s">
        <v>1404</v>
      </c>
      <c r="Z377" s="85" t="str">
        <f>HYPERLINK("https://twitter.com/brxad/status/1461361078013628425")</f>
        <v>https://twitter.com/brxad/status/1461361078013628425</v>
      </c>
      <c r="AA377" s="82"/>
      <c r="AB377" s="82"/>
      <c r="AC377" s="87" t="s">
        <v>1756</v>
      </c>
      <c r="AD377" s="82"/>
      <c r="AE377" s="82" t="b">
        <v>0</v>
      </c>
      <c r="AF377" s="82">
        <v>102</v>
      </c>
      <c r="AG377" s="87" t="s">
        <v>1815</v>
      </c>
      <c r="AH377" s="82" t="b">
        <v>0</v>
      </c>
      <c r="AI377" s="82" t="s">
        <v>1826</v>
      </c>
      <c r="AJ377" s="82"/>
      <c r="AK377" s="87" t="s">
        <v>1815</v>
      </c>
      <c r="AL377" s="82" t="b">
        <v>0</v>
      </c>
      <c r="AM377" s="82">
        <v>50</v>
      </c>
      <c r="AN377" s="87" t="s">
        <v>1815</v>
      </c>
      <c r="AO377" s="87" t="s">
        <v>1850</v>
      </c>
      <c r="AP377" s="82" t="b">
        <v>0</v>
      </c>
      <c r="AQ377" s="87" t="s">
        <v>1756</v>
      </c>
      <c r="AR377" s="82"/>
      <c r="AS377" s="82">
        <v>0</v>
      </c>
      <c r="AT377" s="82">
        <v>0</v>
      </c>
      <c r="AU377" s="82"/>
      <c r="AV377" s="82"/>
      <c r="AW377" s="82"/>
      <c r="AX377" s="82"/>
      <c r="AY377" s="82"/>
      <c r="AZ377" s="82"/>
      <c r="BA377" s="82"/>
      <c r="BB377" s="82"/>
      <c r="BC377">
        <v>2</v>
      </c>
      <c r="BD377" s="81" t="str">
        <f>REPLACE(INDEX(GroupVertices[Group],MATCH(Edges[[#This Row],[Vertex 1]],GroupVertices[Vertex],0)),1,1,"")</f>
        <v>1</v>
      </c>
      <c r="BE377" s="81" t="str">
        <f>REPLACE(INDEX(GroupVertices[Group],MATCH(Edges[[#This Row],[Vertex 2]],GroupVertices[Vertex],0)),1,1,"")</f>
        <v>1</v>
      </c>
      <c r="BF377" s="49">
        <v>0</v>
      </c>
      <c r="BG377" s="50">
        <v>0</v>
      </c>
      <c r="BH377" s="49">
        <v>0</v>
      </c>
      <c r="BI377" s="50">
        <v>0</v>
      </c>
      <c r="BJ377" s="49">
        <v>0</v>
      </c>
      <c r="BK377" s="50">
        <v>0</v>
      </c>
      <c r="BL377" s="49">
        <v>22</v>
      </c>
      <c r="BM377" s="50">
        <v>100</v>
      </c>
      <c r="BN377" s="49">
        <v>22</v>
      </c>
    </row>
    <row r="378" spans="1:66" ht="15">
      <c r="A378" s="66" t="s">
        <v>423</v>
      </c>
      <c r="B378" s="66" t="s">
        <v>423</v>
      </c>
      <c r="C378" s="67" t="s">
        <v>4509</v>
      </c>
      <c r="D378" s="68">
        <v>3</v>
      </c>
      <c r="E378" s="69" t="s">
        <v>132</v>
      </c>
      <c r="F378" s="70">
        <v>32</v>
      </c>
      <c r="G378" s="67"/>
      <c r="H378" s="71"/>
      <c r="I378" s="72"/>
      <c r="J378" s="72"/>
      <c r="K378" s="35" t="s">
        <v>65</v>
      </c>
      <c r="L378" s="80">
        <v>378</v>
      </c>
      <c r="M378" s="80"/>
      <c r="N378" s="74"/>
      <c r="O378" s="82" t="s">
        <v>214</v>
      </c>
      <c r="P378" s="84">
        <v>44518.648506944446</v>
      </c>
      <c r="Q378" s="82" t="s">
        <v>838</v>
      </c>
      <c r="R378" s="85" t="str">
        <f>HYPERLINK("https://www.superbugs.online/")</f>
        <v>https://www.superbugs.online/</v>
      </c>
      <c r="S378" s="82" t="s">
        <v>943</v>
      </c>
      <c r="T378" s="87" t="s">
        <v>1116</v>
      </c>
      <c r="U378" s="85" t="str">
        <f>HYPERLINK("https://pbs.twimg.com/ext_tw_video_thumb/1440608809018224654/pu/img/WvyHivYyO3kuLzTd.jpg")</f>
        <v>https://pbs.twimg.com/ext_tw_video_thumb/1440608809018224654/pu/img/WvyHivYyO3kuLzTd.jpg</v>
      </c>
      <c r="V378" s="85" t="str">
        <f>HYPERLINK("https://pbs.twimg.com/ext_tw_video_thumb/1440608809018224654/pu/img/WvyHivYyO3kuLzTd.jpg")</f>
        <v>https://pbs.twimg.com/ext_tw_video_thumb/1440608809018224654/pu/img/WvyHivYyO3kuLzTd.jpg</v>
      </c>
      <c r="W378" s="84">
        <v>44518.648506944446</v>
      </c>
      <c r="X378" s="90">
        <v>44518</v>
      </c>
      <c r="Y378" s="87" t="s">
        <v>1405</v>
      </c>
      <c r="Z378" s="85" t="str">
        <f>HYPERLINK("https://twitter.com/cusuperbugs/status/1461356990177763348")</f>
        <v>https://twitter.com/cusuperbugs/status/1461356990177763348</v>
      </c>
      <c r="AA378" s="82"/>
      <c r="AB378" s="82"/>
      <c r="AC378" s="87" t="s">
        <v>1757</v>
      </c>
      <c r="AD378" s="82"/>
      <c r="AE378" s="82" t="b">
        <v>0</v>
      </c>
      <c r="AF378" s="82">
        <v>6</v>
      </c>
      <c r="AG378" s="87" t="s">
        <v>1815</v>
      </c>
      <c r="AH378" s="82" t="b">
        <v>0</v>
      </c>
      <c r="AI378" s="82" t="s">
        <v>1826</v>
      </c>
      <c r="AJ378" s="82"/>
      <c r="AK378" s="87" t="s">
        <v>1815</v>
      </c>
      <c r="AL378" s="82" t="b">
        <v>0</v>
      </c>
      <c r="AM378" s="82">
        <v>8</v>
      </c>
      <c r="AN378" s="87" t="s">
        <v>1815</v>
      </c>
      <c r="AO378" s="87" t="s">
        <v>1850</v>
      </c>
      <c r="AP378" s="82" t="b">
        <v>0</v>
      </c>
      <c r="AQ378" s="87" t="s">
        <v>1757</v>
      </c>
      <c r="AR378" s="82"/>
      <c r="AS378" s="82">
        <v>0</v>
      </c>
      <c r="AT378" s="82">
        <v>0</v>
      </c>
      <c r="AU378" s="82"/>
      <c r="AV378" s="82"/>
      <c r="AW378" s="82"/>
      <c r="AX378" s="82"/>
      <c r="AY378" s="82"/>
      <c r="AZ378" s="82"/>
      <c r="BA378" s="82"/>
      <c r="BB378" s="82"/>
      <c r="BC378">
        <v>1</v>
      </c>
      <c r="BD378" s="81" t="str">
        <f>REPLACE(INDEX(GroupVertices[Group],MATCH(Edges[[#This Row],[Vertex 1]],GroupVertices[Vertex],0)),1,1,"")</f>
        <v>1</v>
      </c>
      <c r="BE378" s="81" t="str">
        <f>REPLACE(INDEX(GroupVertices[Group],MATCH(Edges[[#This Row],[Vertex 2]],GroupVertices[Vertex],0)),1,1,"")</f>
        <v>1</v>
      </c>
      <c r="BF378" s="49">
        <v>0</v>
      </c>
      <c r="BG378" s="50">
        <v>0</v>
      </c>
      <c r="BH378" s="49">
        <v>0</v>
      </c>
      <c r="BI378" s="50">
        <v>0</v>
      </c>
      <c r="BJ378" s="49">
        <v>0</v>
      </c>
      <c r="BK378" s="50">
        <v>0</v>
      </c>
      <c r="BL378" s="49">
        <v>31</v>
      </c>
      <c r="BM378" s="50">
        <v>100</v>
      </c>
      <c r="BN378" s="49">
        <v>31</v>
      </c>
    </row>
    <row r="379" spans="1:66" ht="15">
      <c r="A379" s="66" t="s">
        <v>424</v>
      </c>
      <c r="B379" s="66" t="s">
        <v>526</v>
      </c>
      <c r="C379" s="67" t="s">
        <v>4509</v>
      </c>
      <c r="D379" s="68">
        <v>3</v>
      </c>
      <c r="E379" s="69" t="s">
        <v>132</v>
      </c>
      <c r="F379" s="70">
        <v>32</v>
      </c>
      <c r="G379" s="67"/>
      <c r="H379" s="71"/>
      <c r="I379" s="72"/>
      <c r="J379" s="72"/>
      <c r="K379" s="35" t="s">
        <v>65</v>
      </c>
      <c r="L379" s="80">
        <v>379</v>
      </c>
      <c r="M379" s="80"/>
      <c r="N379" s="74"/>
      <c r="O379" s="82" t="s">
        <v>528</v>
      </c>
      <c r="P379" s="84">
        <v>44518.6309375</v>
      </c>
      <c r="Q379" s="82" t="s">
        <v>839</v>
      </c>
      <c r="R379" s="85" t="str">
        <f>HYPERLINK("https://twitter.com/e_charani/status/1461308340009586699")</f>
        <v>https://twitter.com/e_charani/status/1461308340009586699</v>
      </c>
      <c r="S379" s="82" t="s">
        <v>914</v>
      </c>
      <c r="T379" s="87" t="s">
        <v>1117</v>
      </c>
      <c r="U379" s="82"/>
      <c r="V379" s="85" t="str">
        <f>HYPERLINK("https://pbs.twimg.com/profile_images/785911643448410117/WcyzliVt_normal.jpg")</f>
        <v>https://pbs.twimg.com/profile_images/785911643448410117/WcyzliVt_normal.jpg</v>
      </c>
      <c r="W379" s="84">
        <v>44518.6309375</v>
      </c>
      <c r="X379" s="90">
        <v>44518</v>
      </c>
      <c r="Y379" s="87" t="s">
        <v>1406</v>
      </c>
      <c r="Z379" s="85" t="str">
        <f>HYPERLINK("https://twitter.com/abimbola_pharm/status/1461350622876164109")</f>
        <v>https://twitter.com/abimbola_pharm/status/1461350622876164109</v>
      </c>
      <c r="AA379" s="82"/>
      <c r="AB379" s="82"/>
      <c r="AC379" s="87" t="s">
        <v>1758</v>
      </c>
      <c r="AD379" s="82"/>
      <c r="AE379" s="82" t="b">
        <v>0</v>
      </c>
      <c r="AF379" s="82">
        <v>3</v>
      </c>
      <c r="AG379" s="87" t="s">
        <v>1815</v>
      </c>
      <c r="AH379" s="82" t="b">
        <v>1</v>
      </c>
      <c r="AI379" s="82" t="s">
        <v>1826</v>
      </c>
      <c r="AJ379" s="82"/>
      <c r="AK379" s="87" t="s">
        <v>1847</v>
      </c>
      <c r="AL379" s="82" t="b">
        <v>0</v>
      </c>
      <c r="AM379" s="82">
        <v>2</v>
      </c>
      <c r="AN379" s="87" t="s">
        <v>1815</v>
      </c>
      <c r="AO379" s="87" t="s">
        <v>1851</v>
      </c>
      <c r="AP379" s="82" t="b">
        <v>0</v>
      </c>
      <c r="AQ379" s="87" t="s">
        <v>1758</v>
      </c>
      <c r="AR379" s="82"/>
      <c r="AS379" s="82">
        <v>0</v>
      </c>
      <c r="AT379" s="82">
        <v>0</v>
      </c>
      <c r="AU379" s="82"/>
      <c r="AV379" s="82"/>
      <c r="AW379" s="82"/>
      <c r="AX379" s="82"/>
      <c r="AY379" s="82"/>
      <c r="AZ379" s="82"/>
      <c r="BA379" s="82"/>
      <c r="BB379" s="82"/>
      <c r="BC379">
        <v>1</v>
      </c>
      <c r="BD379" s="81" t="str">
        <f>REPLACE(INDEX(GroupVertices[Group],MATCH(Edges[[#This Row],[Vertex 1]],GroupVertices[Vertex],0)),1,1,"")</f>
        <v>15</v>
      </c>
      <c r="BE379" s="81" t="str">
        <f>REPLACE(INDEX(GroupVertices[Group],MATCH(Edges[[#This Row],[Vertex 2]],GroupVertices[Vertex],0)),1,1,"")</f>
        <v>15</v>
      </c>
      <c r="BF379" s="49">
        <v>1</v>
      </c>
      <c r="BG379" s="50">
        <v>9.090909090909092</v>
      </c>
      <c r="BH379" s="49">
        <v>0</v>
      </c>
      <c r="BI379" s="50">
        <v>0</v>
      </c>
      <c r="BJ379" s="49">
        <v>0</v>
      </c>
      <c r="BK379" s="50">
        <v>0</v>
      </c>
      <c r="BL379" s="49">
        <v>10</v>
      </c>
      <c r="BM379" s="50">
        <v>90.9090909090909</v>
      </c>
      <c r="BN379" s="49">
        <v>11</v>
      </c>
    </row>
    <row r="380" spans="1:66" ht="15">
      <c r="A380" s="66" t="s">
        <v>425</v>
      </c>
      <c r="B380" s="66" t="s">
        <v>425</v>
      </c>
      <c r="C380" s="67" t="s">
        <v>4509</v>
      </c>
      <c r="D380" s="68">
        <v>3</v>
      </c>
      <c r="E380" s="69" t="s">
        <v>132</v>
      </c>
      <c r="F380" s="70">
        <v>32</v>
      </c>
      <c r="G380" s="67"/>
      <c r="H380" s="71"/>
      <c r="I380" s="72"/>
      <c r="J380" s="72"/>
      <c r="K380" s="35" t="s">
        <v>65</v>
      </c>
      <c r="L380" s="80">
        <v>380</v>
      </c>
      <c r="M380" s="80"/>
      <c r="N380" s="74"/>
      <c r="O380" s="82" t="s">
        <v>214</v>
      </c>
      <c r="P380" s="84">
        <v>44518.63853009259</v>
      </c>
      <c r="Q380" s="82" t="s">
        <v>840</v>
      </c>
      <c r="R380" s="82"/>
      <c r="S380" s="82"/>
      <c r="T380" s="87" t="s">
        <v>1118</v>
      </c>
      <c r="U380" s="85" t="str">
        <f>HYPERLINK("https://pbs.twimg.com/media/FEfFGuDVgBc_07D.png")</f>
        <v>https://pbs.twimg.com/media/FEfFGuDVgBc_07D.png</v>
      </c>
      <c r="V380" s="85" t="str">
        <f>HYPERLINK("https://pbs.twimg.com/media/FEfFGuDVgBc_07D.png")</f>
        <v>https://pbs.twimg.com/media/FEfFGuDVgBc_07D.png</v>
      </c>
      <c r="W380" s="84">
        <v>44518.63853009259</v>
      </c>
      <c r="X380" s="90">
        <v>44518</v>
      </c>
      <c r="Y380" s="87" t="s">
        <v>1407</v>
      </c>
      <c r="Z380" s="85" t="str">
        <f>HYPERLINK("https://twitter.com/dgnhs/status/1461353372825518088")</f>
        <v>https://twitter.com/dgnhs/status/1461353372825518088</v>
      </c>
      <c r="AA380" s="82"/>
      <c r="AB380" s="82"/>
      <c r="AC380" s="87" t="s">
        <v>1759</v>
      </c>
      <c r="AD380" s="82"/>
      <c r="AE380" s="82" t="b">
        <v>0</v>
      </c>
      <c r="AF380" s="82">
        <v>2</v>
      </c>
      <c r="AG380" s="87" t="s">
        <v>1815</v>
      </c>
      <c r="AH380" s="82" t="b">
        <v>0</v>
      </c>
      <c r="AI380" s="82" t="s">
        <v>1826</v>
      </c>
      <c r="AJ380" s="82"/>
      <c r="AK380" s="87" t="s">
        <v>1815</v>
      </c>
      <c r="AL380" s="82" t="b">
        <v>0</v>
      </c>
      <c r="AM380" s="82">
        <v>0</v>
      </c>
      <c r="AN380" s="87" t="s">
        <v>1815</v>
      </c>
      <c r="AO380" s="87" t="s">
        <v>1850</v>
      </c>
      <c r="AP380" s="82" t="b">
        <v>0</v>
      </c>
      <c r="AQ380" s="87" t="s">
        <v>1759</v>
      </c>
      <c r="AR380" s="82"/>
      <c r="AS380" s="82">
        <v>0</v>
      </c>
      <c r="AT380" s="82">
        <v>0</v>
      </c>
      <c r="AU380" s="82"/>
      <c r="AV380" s="82"/>
      <c r="AW380" s="82"/>
      <c r="AX380" s="82"/>
      <c r="AY380" s="82"/>
      <c r="AZ380" s="82"/>
      <c r="BA380" s="82"/>
      <c r="BB380" s="82"/>
      <c r="BC380">
        <v>1</v>
      </c>
      <c r="BD380" s="81" t="str">
        <f>REPLACE(INDEX(GroupVertices[Group],MATCH(Edges[[#This Row],[Vertex 1]],GroupVertices[Vertex],0)),1,1,"")</f>
        <v>1</v>
      </c>
      <c r="BE380" s="81" t="str">
        <f>REPLACE(INDEX(GroupVertices[Group],MATCH(Edges[[#This Row],[Vertex 2]],GroupVertices[Vertex],0)),1,1,"")</f>
        <v>1</v>
      </c>
      <c r="BF380" s="49">
        <v>0</v>
      </c>
      <c r="BG380" s="50">
        <v>0</v>
      </c>
      <c r="BH380" s="49">
        <v>1</v>
      </c>
      <c r="BI380" s="50">
        <v>3.0303030303030303</v>
      </c>
      <c r="BJ380" s="49">
        <v>0</v>
      </c>
      <c r="BK380" s="50">
        <v>0</v>
      </c>
      <c r="BL380" s="49">
        <v>32</v>
      </c>
      <c r="BM380" s="50">
        <v>96.96969696969697</v>
      </c>
      <c r="BN380" s="49">
        <v>33</v>
      </c>
    </row>
    <row r="381" spans="1:66" ht="15">
      <c r="A381" s="66" t="s">
        <v>426</v>
      </c>
      <c r="B381" s="66" t="s">
        <v>426</v>
      </c>
      <c r="C381" s="67" t="s">
        <v>4509</v>
      </c>
      <c r="D381" s="68">
        <v>3</v>
      </c>
      <c r="E381" s="69" t="s">
        <v>132</v>
      </c>
      <c r="F381" s="70">
        <v>32</v>
      </c>
      <c r="G381" s="67"/>
      <c r="H381" s="71"/>
      <c r="I381" s="72"/>
      <c r="J381" s="72"/>
      <c r="K381" s="35" t="s">
        <v>65</v>
      </c>
      <c r="L381" s="80">
        <v>381</v>
      </c>
      <c r="M381" s="80"/>
      <c r="N381" s="74"/>
      <c r="O381" s="82" t="s">
        <v>214</v>
      </c>
      <c r="P381" s="84">
        <v>44518.6466087963</v>
      </c>
      <c r="Q381" s="82" t="s">
        <v>841</v>
      </c>
      <c r="R381" s="82"/>
      <c r="S381" s="82"/>
      <c r="T381" s="87" t="s">
        <v>1119</v>
      </c>
      <c r="U381" s="85" t="str">
        <f>HYPERLINK("https://pbs.twimg.com/media/FEfHzsKVgAU3AQ2.jpg")</f>
        <v>https://pbs.twimg.com/media/FEfHzsKVgAU3AQ2.jpg</v>
      </c>
      <c r="V381" s="85" t="str">
        <f>HYPERLINK("https://pbs.twimg.com/media/FEfHzsKVgAU3AQ2.jpg")</f>
        <v>https://pbs.twimg.com/media/FEfHzsKVgAU3AQ2.jpg</v>
      </c>
      <c r="W381" s="84">
        <v>44518.6466087963</v>
      </c>
      <c r="X381" s="90">
        <v>44518</v>
      </c>
      <c r="Y381" s="87" t="s">
        <v>1408</v>
      </c>
      <c r="Z381" s="85" t="str">
        <f>HYPERLINK("https://twitter.com/drloudunsmure/status/1461356300462219270")</f>
        <v>https://twitter.com/drloudunsmure/status/1461356300462219270</v>
      </c>
      <c r="AA381" s="82"/>
      <c r="AB381" s="82"/>
      <c r="AC381" s="87" t="s">
        <v>1760</v>
      </c>
      <c r="AD381" s="82"/>
      <c r="AE381" s="82" t="b">
        <v>0</v>
      </c>
      <c r="AF381" s="82">
        <v>0</v>
      </c>
      <c r="AG381" s="87" t="s">
        <v>1815</v>
      </c>
      <c r="AH381" s="82" t="b">
        <v>0</v>
      </c>
      <c r="AI381" s="82" t="s">
        <v>1827</v>
      </c>
      <c r="AJ381" s="82"/>
      <c r="AK381" s="87" t="s">
        <v>1815</v>
      </c>
      <c r="AL381" s="82" t="b">
        <v>0</v>
      </c>
      <c r="AM381" s="82">
        <v>0</v>
      </c>
      <c r="AN381" s="87" t="s">
        <v>1815</v>
      </c>
      <c r="AO381" s="87" t="s">
        <v>1851</v>
      </c>
      <c r="AP381" s="82" t="b">
        <v>0</v>
      </c>
      <c r="AQ381" s="87" t="s">
        <v>1760</v>
      </c>
      <c r="AR381" s="82"/>
      <c r="AS381" s="82">
        <v>0</v>
      </c>
      <c r="AT381" s="82">
        <v>0</v>
      </c>
      <c r="AU381" s="82"/>
      <c r="AV381" s="82"/>
      <c r="AW381" s="82"/>
      <c r="AX381" s="82"/>
      <c r="AY381" s="82"/>
      <c r="AZ381" s="82"/>
      <c r="BA381" s="82"/>
      <c r="BB381" s="82"/>
      <c r="BC381">
        <v>1</v>
      </c>
      <c r="BD381" s="81" t="str">
        <f>REPLACE(INDEX(GroupVertices[Group],MATCH(Edges[[#This Row],[Vertex 1]],GroupVertices[Vertex],0)),1,1,"")</f>
        <v>1</v>
      </c>
      <c r="BE381" s="81" t="str">
        <f>REPLACE(INDEX(GroupVertices[Group],MATCH(Edges[[#This Row],[Vertex 2]],GroupVertices[Vertex],0)),1,1,"")</f>
        <v>1</v>
      </c>
      <c r="BF381" s="49">
        <v>0</v>
      </c>
      <c r="BG381" s="50">
        <v>0</v>
      </c>
      <c r="BH381" s="49">
        <v>0</v>
      </c>
      <c r="BI381" s="50">
        <v>0</v>
      </c>
      <c r="BJ381" s="49">
        <v>0</v>
      </c>
      <c r="BK381" s="50">
        <v>0</v>
      </c>
      <c r="BL381" s="49">
        <v>3</v>
      </c>
      <c r="BM381" s="50">
        <v>100</v>
      </c>
      <c r="BN381" s="49">
        <v>3</v>
      </c>
    </row>
    <row r="382" spans="1:66" ht="15">
      <c r="A382" s="66" t="s">
        <v>427</v>
      </c>
      <c r="B382" s="66" t="s">
        <v>427</v>
      </c>
      <c r="C382" s="67" t="s">
        <v>4511</v>
      </c>
      <c r="D382" s="68">
        <v>5.545454545454545</v>
      </c>
      <c r="E382" s="69" t="s">
        <v>136</v>
      </c>
      <c r="F382" s="70">
        <v>29.18918918918919</v>
      </c>
      <c r="G382" s="67"/>
      <c r="H382" s="71"/>
      <c r="I382" s="72"/>
      <c r="J382" s="72"/>
      <c r="K382" s="35" t="s">
        <v>65</v>
      </c>
      <c r="L382" s="80">
        <v>382</v>
      </c>
      <c r="M382" s="80"/>
      <c r="N382" s="74"/>
      <c r="O382" s="82" t="s">
        <v>214</v>
      </c>
      <c r="P382" s="84">
        <v>44518.65975694444</v>
      </c>
      <c r="Q382" s="82" t="s">
        <v>842</v>
      </c>
      <c r="R382" s="85" t="str">
        <f>HYPERLINK("https://www.cdc.gov/antibiotic-use/do-and-dont.html")</f>
        <v>https://www.cdc.gov/antibiotic-use/do-and-dont.html</v>
      </c>
      <c r="S382" s="82" t="s">
        <v>903</v>
      </c>
      <c r="T382" s="87" t="s">
        <v>1120</v>
      </c>
      <c r="U382" s="85" t="str">
        <f>HYPERLINK("https://pbs.twimg.com/media/FEfMJFhUcAYWi3M.jpg")</f>
        <v>https://pbs.twimg.com/media/FEfMJFhUcAYWi3M.jpg</v>
      </c>
      <c r="V382" s="85" t="str">
        <f>HYPERLINK("https://pbs.twimg.com/media/FEfMJFhUcAYWi3M.jpg")</f>
        <v>https://pbs.twimg.com/media/FEfMJFhUcAYWi3M.jpg</v>
      </c>
      <c r="W382" s="84">
        <v>44518.65975694444</v>
      </c>
      <c r="X382" s="90">
        <v>44518</v>
      </c>
      <c r="Y382" s="87" t="s">
        <v>1409</v>
      </c>
      <c r="Z382" s="85" t="str">
        <f>HYPERLINK("https://twitter.com/cdcgov/status/1461361067175518222")</f>
        <v>https://twitter.com/cdcgov/status/1461361067175518222</v>
      </c>
      <c r="AA382" s="82"/>
      <c r="AB382" s="82"/>
      <c r="AC382" s="87" t="s">
        <v>1761</v>
      </c>
      <c r="AD382" s="82"/>
      <c r="AE382" s="82" t="b">
        <v>0</v>
      </c>
      <c r="AF382" s="82">
        <v>108</v>
      </c>
      <c r="AG382" s="87" t="s">
        <v>1815</v>
      </c>
      <c r="AH382" s="82" t="b">
        <v>0</v>
      </c>
      <c r="AI382" s="82" t="s">
        <v>1826</v>
      </c>
      <c r="AJ382" s="82"/>
      <c r="AK382" s="87" t="s">
        <v>1815</v>
      </c>
      <c r="AL382" s="82" t="b">
        <v>0</v>
      </c>
      <c r="AM382" s="82">
        <v>48</v>
      </c>
      <c r="AN382" s="87" t="s">
        <v>1815</v>
      </c>
      <c r="AO382" s="87" t="s">
        <v>1856</v>
      </c>
      <c r="AP382" s="82" t="b">
        <v>0</v>
      </c>
      <c r="AQ382" s="87" t="s">
        <v>1761</v>
      </c>
      <c r="AR382" s="82"/>
      <c r="AS382" s="82">
        <v>0</v>
      </c>
      <c r="AT382" s="82">
        <v>0</v>
      </c>
      <c r="AU382" s="82"/>
      <c r="AV382" s="82"/>
      <c r="AW382" s="82"/>
      <c r="AX382" s="82"/>
      <c r="AY382" s="82"/>
      <c r="AZ382" s="82"/>
      <c r="BA382" s="82"/>
      <c r="BB382" s="82"/>
      <c r="BC382">
        <v>5</v>
      </c>
      <c r="BD382" s="81" t="str">
        <f>REPLACE(INDEX(GroupVertices[Group],MATCH(Edges[[#This Row],[Vertex 1]],GroupVertices[Vertex],0)),1,1,"")</f>
        <v>5</v>
      </c>
      <c r="BE382" s="81" t="str">
        <f>REPLACE(INDEX(GroupVertices[Group],MATCH(Edges[[#This Row],[Vertex 2]],GroupVertices[Vertex],0)),1,1,"")</f>
        <v>5</v>
      </c>
      <c r="BF382" s="49">
        <v>2</v>
      </c>
      <c r="BG382" s="50">
        <v>4.878048780487805</v>
      </c>
      <c r="BH382" s="49">
        <v>0</v>
      </c>
      <c r="BI382" s="50">
        <v>0</v>
      </c>
      <c r="BJ382" s="49">
        <v>0</v>
      </c>
      <c r="BK382" s="50">
        <v>0</v>
      </c>
      <c r="BL382" s="49">
        <v>39</v>
      </c>
      <c r="BM382" s="50">
        <v>95.1219512195122</v>
      </c>
      <c r="BN382" s="49">
        <v>41</v>
      </c>
    </row>
    <row r="383" spans="1:66" ht="15">
      <c r="A383" s="66" t="s">
        <v>427</v>
      </c>
      <c r="B383" s="66" t="s">
        <v>427</v>
      </c>
      <c r="C383" s="67" t="s">
        <v>4511</v>
      </c>
      <c r="D383" s="68">
        <v>5.545454545454545</v>
      </c>
      <c r="E383" s="69" t="s">
        <v>136</v>
      </c>
      <c r="F383" s="70">
        <v>29.18918918918919</v>
      </c>
      <c r="G383" s="67"/>
      <c r="H383" s="71"/>
      <c r="I383" s="72"/>
      <c r="J383" s="72"/>
      <c r="K383" s="35" t="s">
        <v>65</v>
      </c>
      <c r="L383" s="80">
        <v>383</v>
      </c>
      <c r="M383" s="80"/>
      <c r="N383" s="74"/>
      <c r="O383" s="82" t="s">
        <v>214</v>
      </c>
      <c r="P383" s="84">
        <v>44518.62521990741</v>
      </c>
      <c r="Q383" s="82" t="s">
        <v>843</v>
      </c>
      <c r="R383" s="82"/>
      <c r="S383" s="82"/>
      <c r="T383" s="87" t="s">
        <v>1121</v>
      </c>
      <c r="U383" s="85" t="str">
        <f>HYPERLINK("https://pbs.twimg.com/media/FEfAwj-VkAUmpJH.jpg")</f>
        <v>https://pbs.twimg.com/media/FEfAwj-VkAUmpJH.jpg</v>
      </c>
      <c r="V383" s="85" t="str">
        <f>HYPERLINK("https://pbs.twimg.com/media/FEfAwj-VkAUmpJH.jpg")</f>
        <v>https://pbs.twimg.com/media/FEfAwj-VkAUmpJH.jpg</v>
      </c>
      <c r="W383" s="84">
        <v>44518.62521990741</v>
      </c>
      <c r="X383" s="90">
        <v>44518</v>
      </c>
      <c r="Y383" s="87" t="s">
        <v>1270</v>
      </c>
      <c r="Z383" s="85" t="str">
        <f>HYPERLINK("https://twitter.com/cdcgov/status/1461348550298587140")</f>
        <v>https://twitter.com/cdcgov/status/1461348550298587140</v>
      </c>
      <c r="AA383" s="82"/>
      <c r="AB383" s="82"/>
      <c r="AC383" s="87" t="s">
        <v>1762</v>
      </c>
      <c r="AD383" s="82"/>
      <c r="AE383" s="82" t="b">
        <v>0</v>
      </c>
      <c r="AF383" s="82">
        <v>104</v>
      </c>
      <c r="AG383" s="87" t="s">
        <v>1815</v>
      </c>
      <c r="AH383" s="82" t="b">
        <v>0</v>
      </c>
      <c r="AI383" s="82" t="s">
        <v>1826</v>
      </c>
      <c r="AJ383" s="82"/>
      <c r="AK383" s="87" t="s">
        <v>1815</v>
      </c>
      <c r="AL383" s="82" t="b">
        <v>0</v>
      </c>
      <c r="AM383" s="82">
        <v>51</v>
      </c>
      <c r="AN383" s="87" t="s">
        <v>1815</v>
      </c>
      <c r="AO383" s="87" t="s">
        <v>1856</v>
      </c>
      <c r="AP383" s="82" t="b">
        <v>0</v>
      </c>
      <c r="AQ383" s="87" t="s">
        <v>1762</v>
      </c>
      <c r="AR383" s="82"/>
      <c r="AS383" s="82">
        <v>0</v>
      </c>
      <c r="AT383" s="82">
        <v>0</v>
      </c>
      <c r="AU383" s="82"/>
      <c r="AV383" s="82"/>
      <c r="AW383" s="82"/>
      <c r="AX383" s="82"/>
      <c r="AY383" s="82"/>
      <c r="AZ383" s="82"/>
      <c r="BA383" s="82"/>
      <c r="BB383" s="82"/>
      <c r="BC383">
        <v>5</v>
      </c>
      <c r="BD383" s="81" t="str">
        <f>REPLACE(INDEX(GroupVertices[Group],MATCH(Edges[[#This Row],[Vertex 1]],GroupVertices[Vertex],0)),1,1,"")</f>
        <v>5</v>
      </c>
      <c r="BE383" s="81" t="str">
        <f>REPLACE(INDEX(GroupVertices[Group],MATCH(Edges[[#This Row],[Vertex 2]],GroupVertices[Vertex],0)),1,1,"")</f>
        <v>5</v>
      </c>
      <c r="BF383" s="49">
        <v>1</v>
      </c>
      <c r="BG383" s="50">
        <v>2.7777777777777777</v>
      </c>
      <c r="BH383" s="49">
        <v>1</v>
      </c>
      <c r="BI383" s="50">
        <v>2.7777777777777777</v>
      </c>
      <c r="BJ383" s="49">
        <v>0</v>
      </c>
      <c r="BK383" s="50">
        <v>0</v>
      </c>
      <c r="BL383" s="49">
        <v>34</v>
      </c>
      <c r="BM383" s="50">
        <v>94.44444444444444</v>
      </c>
      <c r="BN383" s="49">
        <v>36</v>
      </c>
    </row>
    <row r="384" spans="1:66" ht="15">
      <c r="A384" s="66" t="s">
        <v>427</v>
      </c>
      <c r="B384" s="66" t="s">
        <v>427</v>
      </c>
      <c r="C384" s="67" t="s">
        <v>4511</v>
      </c>
      <c r="D384" s="68">
        <v>5.545454545454545</v>
      </c>
      <c r="E384" s="69" t="s">
        <v>136</v>
      </c>
      <c r="F384" s="70">
        <v>29.18918918918919</v>
      </c>
      <c r="G384" s="67"/>
      <c r="H384" s="71"/>
      <c r="I384" s="72"/>
      <c r="J384" s="72"/>
      <c r="K384" s="35" t="s">
        <v>65</v>
      </c>
      <c r="L384" s="80">
        <v>384</v>
      </c>
      <c r="M384" s="80"/>
      <c r="N384" s="74"/>
      <c r="O384" s="82" t="s">
        <v>214</v>
      </c>
      <c r="P384" s="84">
        <v>44518.62850694444</v>
      </c>
      <c r="Q384" s="82" t="s">
        <v>844</v>
      </c>
      <c r="R384" s="85" t="str">
        <f>HYPERLINK("https://www.cdc.gov/drugresistance/covid19.html")</f>
        <v>https://www.cdc.gov/drugresistance/covid19.html</v>
      </c>
      <c r="S384" s="82" t="s">
        <v>903</v>
      </c>
      <c r="T384" s="87" t="s">
        <v>954</v>
      </c>
      <c r="U384" s="85" t="str">
        <f>HYPERLINK("https://pbs.twimg.com/media/FEfB1zEVgAogXnc.jpg")</f>
        <v>https://pbs.twimg.com/media/FEfB1zEVgAogXnc.jpg</v>
      </c>
      <c r="V384" s="85" t="str">
        <f>HYPERLINK("https://pbs.twimg.com/media/FEfB1zEVgAogXnc.jpg")</f>
        <v>https://pbs.twimg.com/media/FEfB1zEVgAogXnc.jpg</v>
      </c>
      <c r="W384" s="84">
        <v>44518.62850694444</v>
      </c>
      <c r="X384" s="90">
        <v>44518</v>
      </c>
      <c r="Y384" s="87" t="s">
        <v>1410</v>
      </c>
      <c r="Z384" s="85" t="str">
        <f>HYPERLINK("https://twitter.com/cdcgov/status/1461349742592462858")</f>
        <v>https://twitter.com/cdcgov/status/1461349742592462858</v>
      </c>
      <c r="AA384" s="82"/>
      <c r="AB384" s="82"/>
      <c r="AC384" s="87" t="s">
        <v>1763</v>
      </c>
      <c r="AD384" s="82"/>
      <c r="AE384" s="82" t="b">
        <v>0</v>
      </c>
      <c r="AF384" s="82">
        <v>158</v>
      </c>
      <c r="AG384" s="87" t="s">
        <v>1815</v>
      </c>
      <c r="AH384" s="82" t="b">
        <v>0</v>
      </c>
      <c r="AI384" s="82" t="s">
        <v>1826</v>
      </c>
      <c r="AJ384" s="82"/>
      <c r="AK384" s="87" t="s">
        <v>1815</v>
      </c>
      <c r="AL384" s="82" t="b">
        <v>0</v>
      </c>
      <c r="AM384" s="82">
        <v>79</v>
      </c>
      <c r="AN384" s="87" t="s">
        <v>1815</v>
      </c>
      <c r="AO384" s="87" t="s">
        <v>1856</v>
      </c>
      <c r="AP384" s="82" t="b">
        <v>0</v>
      </c>
      <c r="AQ384" s="87" t="s">
        <v>1763</v>
      </c>
      <c r="AR384" s="82"/>
      <c r="AS384" s="82">
        <v>0</v>
      </c>
      <c r="AT384" s="82">
        <v>0</v>
      </c>
      <c r="AU384" s="82"/>
      <c r="AV384" s="82"/>
      <c r="AW384" s="82"/>
      <c r="AX384" s="82"/>
      <c r="AY384" s="82"/>
      <c r="AZ384" s="82"/>
      <c r="BA384" s="82"/>
      <c r="BB384" s="82"/>
      <c r="BC384">
        <v>5</v>
      </c>
      <c r="BD384" s="81" t="str">
        <f>REPLACE(INDEX(GroupVertices[Group],MATCH(Edges[[#This Row],[Vertex 1]],GroupVertices[Vertex],0)),1,1,"")</f>
        <v>5</v>
      </c>
      <c r="BE384" s="81" t="str">
        <f>REPLACE(INDEX(GroupVertices[Group],MATCH(Edges[[#This Row],[Vertex 2]],GroupVertices[Vertex],0)),1,1,"")</f>
        <v>5</v>
      </c>
      <c r="BF384" s="49">
        <v>0</v>
      </c>
      <c r="BG384" s="50">
        <v>0</v>
      </c>
      <c r="BH384" s="49">
        <v>1</v>
      </c>
      <c r="BI384" s="50">
        <v>3.0303030303030303</v>
      </c>
      <c r="BJ384" s="49">
        <v>0</v>
      </c>
      <c r="BK384" s="50">
        <v>0</v>
      </c>
      <c r="BL384" s="49">
        <v>32</v>
      </c>
      <c r="BM384" s="50">
        <v>96.96969696969697</v>
      </c>
      <c r="BN384" s="49">
        <v>33</v>
      </c>
    </row>
    <row r="385" spans="1:66" ht="15">
      <c r="A385" s="66" t="s">
        <v>427</v>
      </c>
      <c r="B385" s="66" t="s">
        <v>427</v>
      </c>
      <c r="C385" s="67" t="s">
        <v>4511</v>
      </c>
      <c r="D385" s="68">
        <v>5.545454545454545</v>
      </c>
      <c r="E385" s="69" t="s">
        <v>136</v>
      </c>
      <c r="F385" s="70">
        <v>29.18918918918919</v>
      </c>
      <c r="G385" s="67"/>
      <c r="H385" s="71"/>
      <c r="I385" s="72"/>
      <c r="J385" s="72"/>
      <c r="K385" s="35" t="s">
        <v>65</v>
      </c>
      <c r="L385" s="80">
        <v>385</v>
      </c>
      <c r="M385" s="80"/>
      <c r="N385" s="74"/>
      <c r="O385" s="82" t="s">
        <v>214</v>
      </c>
      <c r="P385" s="84">
        <v>44518.65278935185</v>
      </c>
      <c r="Q385" s="82" t="s">
        <v>845</v>
      </c>
      <c r="R385" s="85" t="str">
        <f>HYPERLINK("https://www.cdc.gov/drugresistance/protecting_patients.html")</f>
        <v>https://www.cdc.gov/drugresistance/protecting_patients.html</v>
      </c>
      <c r="S385" s="82" t="s">
        <v>903</v>
      </c>
      <c r="T385" s="87" t="s">
        <v>1095</v>
      </c>
      <c r="U385" s="82"/>
      <c r="V385" s="85" t="str">
        <f>HYPERLINK("https://pbs.twimg.com/profile_images/880104586211581952/KPwn1JyQ_normal.jpg")</f>
        <v>https://pbs.twimg.com/profile_images/880104586211581952/KPwn1JyQ_normal.jpg</v>
      </c>
      <c r="W385" s="84">
        <v>44518.65278935185</v>
      </c>
      <c r="X385" s="90">
        <v>44518</v>
      </c>
      <c r="Y385" s="87" t="s">
        <v>1411</v>
      </c>
      <c r="Z385" s="85" t="str">
        <f>HYPERLINK("https://twitter.com/cdcgov/status/1461358540245782539")</f>
        <v>https://twitter.com/cdcgov/status/1461358540245782539</v>
      </c>
      <c r="AA385" s="82"/>
      <c r="AB385" s="82"/>
      <c r="AC385" s="87" t="s">
        <v>1764</v>
      </c>
      <c r="AD385" s="82"/>
      <c r="AE385" s="82" t="b">
        <v>0</v>
      </c>
      <c r="AF385" s="82">
        <v>102</v>
      </c>
      <c r="AG385" s="87" t="s">
        <v>1815</v>
      </c>
      <c r="AH385" s="82" t="b">
        <v>0</v>
      </c>
      <c r="AI385" s="82" t="s">
        <v>1826</v>
      </c>
      <c r="AJ385" s="82"/>
      <c r="AK385" s="87" t="s">
        <v>1815</v>
      </c>
      <c r="AL385" s="82" t="b">
        <v>0</v>
      </c>
      <c r="AM385" s="82">
        <v>43</v>
      </c>
      <c r="AN385" s="87" t="s">
        <v>1815</v>
      </c>
      <c r="AO385" s="87" t="s">
        <v>1856</v>
      </c>
      <c r="AP385" s="82" t="b">
        <v>0</v>
      </c>
      <c r="AQ385" s="87" t="s">
        <v>1764</v>
      </c>
      <c r="AR385" s="82"/>
      <c r="AS385" s="82">
        <v>0</v>
      </c>
      <c r="AT385" s="82">
        <v>0</v>
      </c>
      <c r="AU385" s="82"/>
      <c r="AV385" s="82"/>
      <c r="AW385" s="82"/>
      <c r="AX385" s="82"/>
      <c r="AY385" s="82"/>
      <c r="AZ385" s="82"/>
      <c r="BA385" s="82"/>
      <c r="BB385" s="82"/>
      <c r="BC385">
        <v>5</v>
      </c>
      <c r="BD385" s="81" t="str">
        <f>REPLACE(INDEX(GroupVertices[Group],MATCH(Edges[[#This Row],[Vertex 1]],GroupVertices[Vertex],0)),1,1,"")</f>
        <v>5</v>
      </c>
      <c r="BE385" s="81" t="str">
        <f>REPLACE(INDEX(GroupVertices[Group],MATCH(Edges[[#This Row],[Vertex 2]],GroupVertices[Vertex],0)),1,1,"")</f>
        <v>5</v>
      </c>
      <c r="BF385" s="49">
        <v>1</v>
      </c>
      <c r="BG385" s="50">
        <v>2.9411764705882355</v>
      </c>
      <c r="BH385" s="49">
        <v>2</v>
      </c>
      <c r="BI385" s="50">
        <v>5.882352941176471</v>
      </c>
      <c r="BJ385" s="49">
        <v>0</v>
      </c>
      <c r="BK385" s="50">
        <v>0</v>
      </c>
      <c r="BL385" s="49">
        <v>31</v>
      </c>
      <c r="BM385" s="50">
        <v>91.17647058823529</v>
      </c>
      <c r="BN385" s="49">
        <v>34</v>
      </c>
    </row>
    <row r="386" spans="1:66" ht="15">
      <c r="A386" s="66" t="s">
        <v>427</v>
      </c>
      <c r="B386" s="66" t="s">
        <v>427</v>
      </c>
      <c r="C386" s="67" t="s">
        <v>4511</v>
      </c>
      <c r="D386" s="68">
        <v>5.545454545454545</v>
      </c>
      <c r="E386" s="69" t="s">
        <v>136</v>
      </c>
      <c r="F386" s="70">
        <v>29.18918918918919</v>
      </c>
      <c r="G386" s="67"/>
      <c r="H386" s="71"/>
      <c r="I386" s="72"/>
      <c r="J386" s="72"/>
      <c r="K386" s="35" t="s">
        <v>65</v>
      </c>
      <c r="L386" s="80">
        <v>386</v>
      </c>
      <c r="M386" s="80"/>
      <c r="N386" s="74"/>
      <c r="O386" s="82" t="s">
        <v>214</v>
      </c>
      <c r="P386" s="84">
        <v>44518.63891203704</v>
      </c>
      <c r="Q386" s="82" t="s">
        <v>846</v>
      </c>
      <c r="R386" s="85" t="str">
        <f>HYPERLINK("https://www.cdc.gov/antibiotic-use/common-illnesses.html")</f>
        <v>https://www.cdc.gov/antibiotic-use/common-illnesses.html</v>
      </c>
      <c r="S386" s="82" t="s">
        <v>903</v>
      </c>
      <c r="T386" s="87" t="s">
        <v>1095</v>
      </c>
      <c r="U386" s="85" t="str">
        <f>HYPERLINK("https://pbs.twimg.com/media/FEfFRaoUUA0Ej4y.jpg")</f>
        <v>https://pbs.twimg.com/media/FEfFRaoUUA0Ej4y.jpg</v>
      </c>
      <c r="V386" s="85" t="str">
        <f>HYPERLINK("https://pbs.twimg.com/media/FEfFRaoUUA0Ej4y.jpg")</f>
        <v>https://pbs.twimg.com/media/FEfFRaoUUA0Ej4y.jpg</v>
      </c>
      <c r="W386" s="84">
        <v>44518.63891203704</v>
      </c>
      <c r="X386" s="90">
        <v>44518</v>
      </c>
      <c r="Y386" s="87" t="s">
        <v>1412</v>
      </c>
      <c r="Z386" s="85" t="str">
        <f>HYPERLINK("https://twitter.com/cdcgov/status/1461353513137553422")</f>
        <v>https://twitter.com/cdcgov/status/1461353513137553422</v>
      </c>
      <c r="AA386" s="82"/>
      <c r="AB386" s="82"/>
      <c r="AC386" s="87" t="s">
        <v>1765</v>
      </c>
      <c r="AD386" s="82"/>
      <c r="AE386" s="82" t="b">
        <v>0</v>
      </c>
      <c r="AF386" s="82">
        <v>222</v>
      </c>
      <c r="AG386" s="87" t="s">
        <v>1815</v>
      </c>
      <c r="AH386" s="82" t="b">
        <v>0</v>
      </c>
      <c r="AI386" s="82" t="s">
        <v>1826</v>
      </c>
      <c r="AJ386" s="82"/>
      <c r="AK386" s="87" t="s">
        <v>1815</v>
      </c>
      <c r="AL386" s="82" t="b">
        <v>0</v>
      </c>
      <c r="AM386" s="82">
        <v>130</v>
      </c>
      <c r="AN386" s="87" t="s">
        <v>1815</v>
      </c>
      <c r="AO386" s="87" t="s">
        <v>1856</v>
      </c>
      <c r="AP386" s="82" t="b">
        <v>0</v>
      </c>
      <c r="AQ386" s="87" t="s">
        <v>1765</v>
      </c>
      <c r="AR386" s="82"/>
      <c r="AS386" s="82">
        <v>0</v>
      </c>
      <c r="AT386" s="82">
        <v>0</v>
      </c>
      <c r="AU386" s="82"/>
      <c r="AV386" s="82"/>
      <c r="AW386" s="82"/>
      <c r="AX386" s="82"/>
      <c r="AY386" s="82"/>
      <c r="AZ386" s="82"/>
      <c r="BA386" s="82"/>
      <c r="BB386" s="82"/>
      <c r="BC386">
        <v>5</v>
      </c>
      <c r="BD386" s="81" t="str">
        <f>REPLACE(INDEX(GroupVertices[Group],MATCH(Edges[[#This Row],[Vertex 1]],GroupVertices[Vertex],0)),1,1,"")</f>
        <v>5</v>
      </c>
      <c r="BE386" s="81" t="str">
        <f>REPLACE(INDEX(GroupVertices[Group],MATCH(Edges[[#This Row],[Vertex 2]],GroupVertices[Vertex],0)),1,1,"")</f>
        <v>5</v>
      </c>
      <c r="BF386" s="49">
        <v>3</v>
      </c>
      <c r="BG386" s="50">
        <v>7.142857142857143</v>
      </c>
      <c r="BH386" s="49">
        <v>4</v>
      </c>
      <c r="BI386" s="50">
        <v>9.523809523809524</v>
      </c>
      <c r="BJ386" s="49">
        <v>0</v>
      </c>
      <c r="BK386" s="50">
        <v>0</v>
      </c>
      <c r="BL386" s="49">
        <v>35</v>
      </c>
      <c r="BM386" s="50">
        <v>83.33333333333333</v>
      </c>
      <c r="BN386" s="49">
        <v>42</v>
      </c>
    </row>
    <row r="387" spans="1:66" ht="15">
      <c r="A387" s="66" t="s">
        <v>428</v>
      </c>
      <c r="B387" s="66" t="s">
        <v>428</v>
      </c>
      <c r="C387" s="67" t="s">
        <v>4510</v>
      </c>
      <c r="D387" s="68">
        <v>3.6363636363636362</v>
      </c>
      <c r="E387" s="69" t="s">
        <v>136</v>
      </c>
      <c r="F387" s="70">
        <v>31.2972972972973</v>
      </c>
      <c r="G387" s="67"/>
      <c r="H387" s="71"/>
      <c r="I387" s="72"/>
      <c r="J387" s="72"/>
      <c r="K387" s="35" t="s">
        <v>65</v>
      </c>
      <c r="L387" s="80">
        <v>387</v>
      </c>
      <c r="M387" s="80"/>
      <c r="N387" s="74"/>
      <c r="O387" s="82" t="s">
        <v>214</v>
      </c>
      <c r="P387" s="84">
        <v>44518.634560185186</v>
      </c>
      <c r="Q387" s="82" t="s">
        <v>847</v>
      </c>
      <c r="R387" s="85" t="str">
        <f>HYPERLINK("https://www.cdc.gov/drugresistance/covid19.html")</f>
        <v>https://www.cdc.gov/drugresistance/covid19.html</v>
      </c>
      <c r="S387" s="82" t="s">
        <v>903</v>
      </c>
      <c r="T387" s="87" t="s">
        <v>1122</v>
      </c>
      <c r="U387" s="85" t="str">
        <f>HYPERLINK("https://pbs.twimg.com/media/FEfDdbrVcAo-zaA.jpg")</f>
        <v>https://pbs.twimg.com/media/FEfDdbrVcAo-zaA.jpg</v>
      </c>
      <c r="V387" s="85" t="str">
        <f>HYPERLINK("https://pbs.twimg.com/media/FEfDdbrVcAo-zaA.jpg")</f>
        <v>https://pbs.twimg.com/media/FEfDdbrVcAo-zaA.jpg</v>
      </c>
      <c r="W387" s="84">
        <v>44518.634560185186</v>
      </c>
      <c r="X387" s="90">
        <v>44518</v>
      </c>
      <c r="Y387" s="87" t="s">
        <v>1413</v>
      </c>
      <c r="Z387" s="85" t="str">
        <f>HYPERLINK("https://twitter.com/chipublichealth/status/1461351932975484930")</f>
        <v>https://twitter.com/chipublichealth/status/1461351932975484930</v>
      </c>
      <c r="AA387" s="82"/>
      <c r="AB387" s="82"/>
      <c r="AC387" s="87" t="s">
        <v>1766</v>
      </c>
      <c r="AD387" s="82"/>
      <c r="AE387" s="82" t="b">
        <v>0</v>
      </c>
      <c r="AF387" s="82">
        <v>4</v>
      </c>
      <c r="AG387" s="87" t="s">
        <v>1815</v>
      </c>
      <c r="AH387" s="82" t="b">
        <v>0</v>
      </c>
      <c r="AI387" s="82" t="s">
        <v>1826</v>
      </c>
      <c r="AJ387" s="82"/>
      <c r="AK387" s="87" t="s">
        <v>1815</v>
      </c>
      <c r="AL387" s="82" t="b">
        <v>0</v>
      </c>
      <c r="AM387" s="82">
        <v>1</v>
      </c>
      <c r="AN387" s="87" t="s">
        <v>1815</v>
      </c>
      <c r="AO387" s="87" t="s">
        <v>1850</v>
      </c>
      <c r="AP387" s="82" t="b">
        <v>0</v>
      </c>
      <c r="AQ387" s="87" t="s">
        <v>1766</v>
      </c>
      <c r="AR387" s="82"/>
      <c r="AS387" s="82">
        <v>0</v>
      </c>
      <c r="AT387" s="82">
        <v>0</v>
      </c>
      <c r="AU387" s="82"/>
      <c r="AV387" s="82"/>
      <c r="AW387" s="82"/>
      <c r="AX387" s="82"/>
      <c r="AY387" s="82"/>
      <c r="AZ387" s="82"/>
      <c r="BA387" s="82"/>
      <c r="BB387" s="82"/>
      <c r="BC387">
        <v>2</v>
      </c>
      <c r="BD387" s="81" t="str">
        <f>REPLACE(INDEX(GroupVertices[Group],MATCH(Edges[[#This Row],[Vertex 1]],GroupVertices[Vertex],0)),1,1,"")</f>
        <v>1</v>
      </c>
      <c r="BE387" s="81" t="str">
        <f>REPLACE(INDEX(GroupVertices[Group],MATCH(Edges[[#This Row],[Vertex 2]],GroupVertices[Vertex],0)),1,1,"")</f>
        <v>1</v>
      </c>
      <c r="BF387" s="49">
        <v>0</v>
      </c>
      <c r="BG387" s="50">
        <v>0</v>
      </c>
      <c r="BH387" s="49">
        <v>1</v>
      </c>
      <c r="BI387" s="50">
        <v>2.7777777777777777</v>
      </c>
      <c r="BJ387" s="49">
        <v>0</v>
      </c>
      <c r="BK387" s="50">
        <v>0</v>
      </c>
      <c r="BL387" s="49">
        <v>35</v>
      </c>
      <c r="BM387" s="50">
        <v>97.22222222222223</v>
      </c>
      <c r="BN387" s="49">
        <v>36</v>
      </c>
    </row>
    <row r="388" spans="1:66" ht="15">
      <c r="A388" s="66" t="s">
        <v>428</v>
      </c>
      <c r="B388" s="66" t="s">
        <v>428</v>
      </c>
      <c r="C388" s="67" t="s">
        <v>4510</v>
      </c>
      <c r="D388" s="68">
        <v>3.6363636363636362</v>
      </c>
      <c r="E388" s="69" t="s">
        <v>136</v>
      </c>
      <c r="F388" s="70">
        <v>31.2972972972973</v>
      </c>
      <c r="G388" s="67"/>
      <c r="H388" s="71"/>
      <c r="I388" s="72"/>
      <c r="J388" s="72"/>
      <c r="K388" s="35" t="s">
        <v>65</v>
      </c>
      <c r="L388" s="80">
        <v>388</v>
      </c>
      <c r="M388" s="80"/>
      <c r="N388" s="74"/>
      <c r="O388" s="82" t="s">
        <v>214</v>
      </c>
      <c r="P388" s="84">
        <v>44518.645833333336</v>
      </c>
      <c r="Q388" s="82" t="s">
        <v>848</v>
      </c>
      <c r="R388" s="85" t="str">
        <f>HYPERLINK("https://www.cdc.gov/antibiotic-use/week/get-involved.html")</f>
        <v>https://www.cdc.gov/antibiotic-use/week/get-involved.html</v>
      </c>
      <c r="S388" s="82" t="s">
        <v>903</v>
      </c>
      <c r="T388" s="87" t="s">
        <v>1123</v>
      </c>
      <c r="U388" s="85" t="str">
        <f>HYPERLINK("https://pbs.twimg.com/media/FEfFvnoVQAMPK01.jpg")</f>
        <v>https://pbs.twimg.com/media/FEfFvnoVQAMPK01.jpg</v>
      </c>
      <c r="V388" s="85" t="str">
        <f>HYPERLINK("https://pbs.twimg.com/media/FEfFvnoVQAMPK01.jpg")</f>
        <v>https://pbs.twimg.com/media/FEfFvnoVQAMPK01.jpg</v>
      </c>
      <c r="W388" s="84">
        <v>44518.645833333336</v>
      </c>
      <c r="X388" s="90">
        <v>44518</v>
      </c>
      <c r="Y388" s="87" t="s">
        <v>1291</v>
      </c>
      <c r="Z388" s="85" t="str">
        <f>HYPERLINK("https://twitter.com/chipublichealth/status/1461356020802981888")</f>
        <v>https://twitter.com/chipublichealth/status/1461356020802981888</v>
      </c>
      <c r="AA388" s="82"/>
      <c r="AB388" s="82"/>
      <c r="AC388" s="87" t="s">
        <v>1767</v>
      </c>
      <c r="AD388" s="82"/>
      <c r="AE388" s="82" t="b">
        <v>0</v>
      </c>
      <c r="AF388" s="82">
        <v>9</v>
      </c>
      <c r="AG388" s="87" t="s">
        <v>1815</v>
      </c>
      <c r="AH388" s="82" t="b">
        <v>0</v>
      </c>
      <c r="AI388" s="82" t="s">
        <v>1826</v>
      </c>
      <c r="AJ388" s="82"/>
      <c r="AK388" s="87" t="s">
        <v>1815</v>
      </c>
      <c r="AL388" s="82" t="b">
        <v>0</v>
      </c>
      <c r="AM388" s="82">
        <v>3</v>
      </c>
      <c r="AN388" s="87" t="s">
        <v>1815</v>
      </c>
      <c r="AO388" s="87" t="s">
        <v>1850</v>
      </c>
      <c r="AP388" s="82" t="b">
        <v>0</v>
      </c>
      <c r="AQ388" s="87" t="s">
        <v>1767</v>
      </c>
      <c r="AR388" s="82"/>
      <c r="AS388" s="82">
        <v>0</v>
      </c>
      <c r="AT388" s="82">
        <v>0</v>
      </c>
      <c r="AU388" s="82"/>
      <c r="AV388" s="82"/>
      <c r="AW388" s="82"/>
      <c r="AX388" s="82"/>
      <c r="AY388" s="82"/>
      <c r="AZ388" s="82"/>
      <c r="BA388" s="82"/>
      <c r="BB388" s="82"/>
      <c r="BC388">
        <v>2</v>
      </c>
      <c r="BD388" s="81" t="str">
        <f>REPLACE(INDEX(GroupVertices[Group],MATCH(Edges[[#This Row],[Vertex 1]],GroupVertices[Vertex],0)),1,1,"")</f>
        <v>1</v>
      </c>
      <c r="BE388" s="81" t="str">
        <f>REPLACE(INDEX(GroupVertices[Group],MATCH(Edges[[#This Row],[Vertex 2]],GroupVertices[Vertex],0)),1,1,"")</f>
        <v>1</v>
      </c>
      <c r="BF388" s="49">
        <v>1</v>
      </c>
      <c r="BG388" s="50">
        <v>4.3478260869565215</v>
      </c>
      <c r="BH388" s="49">
        <v>0</v>
      </c>
      <c r="BI388" s="50">
        <v>0</v>
      </c>
      <c r="BJ388" s="49">
        <v>0</v>
      </c>
      <c r="BK388" s="50">
        <v>0</v>
      </c>
      <c r="BL388" s="49">
        <v>22</v>
      </c>
      <c r="BM388" s="50">
        <v>95.65217391304348</v>
      </c>
      <c r="BN388" s="49">
        <v>23</v>
      </c>
    </row>
    <row r="389" spans="1:66" ht="15">
      <c r="A389" s="66" t="s">
        <v>429</v>
      </c>
      <c r="B389" s="66" t="s">
        <v>429</v>
      </c>
      <c r="C389" s="67" t="s">
        <v>4509</v>
      </c>
      <c r="D389" s="68">
        <v>3</v>
      </c>
      <c r="E389" s="69" t="s">
        <v>132</v>
      </c>
      <c r="F389" s="70">
        <v>32</v>
      </c>
      <c r="G389" s="67"/>
      <c r="H389" s="71"/>
      <c r="I389" s="72"/>
      <c r="J389" s="72"/>
      <c r="K389" s="35" t="s">
        <v>65</v>
      </c>
      <c r="L389" s="80">
        <v>389</v>
      </c>
      <c r="M389" s="80"/>
      <c r="N389" s="74"/>
      <c r="O389" s="82" t="s">
        <v>214</v>
      </c>
      <c r="P389" s="84">
        <v>44518.626608796294</v>
      </c>
      <c r="Q389" s="82" t="s">
        <v>849</v>
      </c>
      <c r="R389" s="85" t="s">
        <v>890</v>
      </c>
      <c r="S389" s="82" t="s">
        <v>904</v>
      </c>
      <c r="T389" s="87" t="s">
        <v>1124</v>
      </c>
      <c r="U389" s="85" t="str">
        <f>HYPERLINK("https://pbs.twimg.com/media/FEfBN04VkBkql4e.jpg")</f>
        <v>https://pbs.twimg.com/media/FEfBN04VkBkql4e.jpg</v>
      </c>
      <c r="V389" s="85" t="str">
        <f>HYPERLINK("https://pbs.twimg.com/media/FEfBN04VkBkql4e.jpg")</f>
        <v>https://pbs.twimg.com/media/FEfBN04VkBkql4e.jpg</v>
      </c>
      <c r="W389" s="84">
        <v>44518.626608796294</v>
      </c>
      <c r="X389" s="90">
        <v>44518</v>
      </c>
      <c r="Y389" s="87" t="s">
        <v>1414</v>
      </c>
      <c r="Z389" s="85" t="str">
        <f>HYPERLINK("https://twitter.com/ukhsa/status/1461349052751044610")</f>
        <v>https://twitter.com/ukhsa/status/1461349052751044610</v>
      </c>
      <c r="AA389" s="82"/>
      <c r="AB389" s="82"/>
      <c r="AC389" s="87" t="s">
        <v>1768</v>
      </c>
      <c r="AD389" s="82"/>
      <c r="AE389" s="82" t="b">
        <v>0</v>
      </c>
      <c r="AF389" s="82">
        <v>33</v>
      </c>
      <c r="AG389" s="87" t="s">
        <v>1815</v>
      </c>
      <c r="AH389" s="82" t="b">
        <v>0</v>
      </c>
      <c r="AI389" s="82" t="s">
        <v>1826</v>
      </c>
      <c r="AJ389" s="82"/>
      <c r="AK389" s="87" t="s">
        <v>1815</v>
      </c>
      <c r="AL389" s="82" t="b">
        <v>0</v>
      </c>
      <c r="AM389" s="82">
        <v>12</v>
      </c>
      <c r="AN389" s="87" t="s">
        <v>1815</v>
      </c>
      <c r="AO389" s="87" t="s">
        <v>1856</v>
      </c>
      <c r="AP389" s="82" t="b">
        <v>0</v>
      </c>
      <c r="AQ389" s="87" t="s">
        <v>1768</v>
      </c>
      <c r="AR389" s="82"/>
      <c r="AS389" s="82">
        <v>0</v>
      </c>
      <c r="AT389" s="82">
        <v>0</v>
      </c>
      <c r="AU389" s="82"/>
      <c r="AV389" s="82"/>
      <c r="AW389" s="82"/>
      <c r="AX389" s="82"/>
      <c r="AY389" s="82"/>
      <c r="AZ389" s="82"/>
      <c r="BA389" s="82"/>
      <c r="BB389" s="82"/>
      <c r="BC389">
        <v>1</v>
      </c>
      <c r="BD389" s="81" t="str">
        <f>REPLACE(INDEX(GroupVertices[Group],MATCH(Edges[[#This Row],[Vertex 1]],GroupVertices[Vertex],0)),1,1,"")</f>
        <v>2</v>
      </c>
      <c r="BE389" s="81" t="str">
        <f>REPLACE(INDEX(GroupVertices[Group],MATCH(Edges[[#This Row],[Vertex 2]],GroupVertices[Vertex],0)),1,1,"")</f>
        <v>2</v>
      </c>
      <c r="BF389" s="49">
        <v>0</v>
      </c>
      <c r="BG389" s="50">
        <v>0</v>
      </c>
      <c r="BH389" s="49">
        <v>2</v>
      </c>
      <c r="BI389" s="50">
        <v>5.882352941176471</v>
      </c>
      <c r="BJ389" s="49">
        <v>0</v>
      </c>
      <c r="BK389" s="50">
        <v>0</v>
      </c>
      <c r="BL389" s="49">
        <v>32</v>
      </c>
      <c r="BM389" s="50">
        <v>94.11764705882354</v>
      </c>
      <c r="BN389" s="49">
        <v>34</v>
      </c>
    </row>
    <row r="390" spans="1:66" ht="15">
      <c r="A390" s="66" t="s">
        <v>430</v>
      </c>
      <c r="B390" s="66" t="s">
        <v>429</v>
      </c>
      <c r="C390" s="67" t="s">
        <v>4509</v>
      </c>
      <c r="D390" s="68">
        <v>3</v>
      </c>
      <c r="E390" s="69" t="s">
        <v>132</v>
      </c>
      <c r="F390" s="70">
        <v>32</v>
      </c>
      <c r="G390" s="67"/>
      <c r="H390" s="71"/>
      <c r="I390" s="72"/>
      <c r="J390" s="72"/>
      <c r="K390" s="35" t="s">
        <v>65</v>
      </c>
      <c r="L390" s="80">
        <v>390</v>
      </c>
      <c r="M390" s="80"/>
      <c r="N390" s="74"/>
      <c r="O390" s="82" t="s">
        <v>528</v>
      </c>
      <c r="P390" s="84">
        <v>44518.63659722222</v>
      </c>
      <c r="Q390" s="82" t="s">
        <v>850</v>
      </c>
      <c r="R390" s="82" t="s">
        <v>900</v>
      </c>
      <c r="S390" s="82" t="s">
        <v>944</v>
      </c>
      <c r="T390" s="87" t="s">
        <v>1125</v>
      </c>
      <c r="U390" s="85" t="str">
        <f>HYPERLINK("https://pbs.twimg.com/media/FEfD_KCUYAA2z84.jpg")</f>
        <v>https://pbs.twimg.com/media/FEfD_KCUYAA2z84.jpg</v>
      </c>
      <c r="V390" s="85" t="str">
        <f>HYPERLINK("https://pbs.twimg.com/media/FEfD_KCUYAA2z84.jpg")</f>
        <v>https://pbs.twimg.com/media/FEfD_KCUYAA2z84.jpg</v>
      </c>
      <c r="W390" s="84">
        <v>44518.63659722222</v>
      </c>
      <c r="X390" s="90">
        <v>44518</v>
      </c>
      <c r="Y390" s="87" t="s">
        <v>1415</v>
      </c>
      <c r="Z390" s="85" t="str">
        <f>HYPERLINK("https://twitter.com/drdianeashiru/status/1461352673358213121")</f>
        <v>https://twitter.com/drdianeashiru/status/1461352673358213121</v>
      </c>
      <c r="AA390" s="82"/>
      <c r="AB390" s="82"/>
      <c r="AC390" s="87" t="s">
        <v>1769</v>
      </c>
      <c r="AD390" s="82"/>
      <c r="AE390" s="82" t="b">
        <v>0</v>
      </c>
      <c r="AF390" s="82">
        <v>22</v>
      </c>
      <c r="AG390" s="87" t="s">
        <v>1815</v>
      </c>
      <c r="AH390" s="82" t="b">
        <v>1</v>
      </c>
      <c r="AI390" s="82" t="s">
        <v>1826</v>
      </c>
      <c r="AJ390" s="82"/>
      <c r="AK390" s="87" t="s">
        <v>1848</v>
      </c>
      <c r="AL390" s="82" t="b">
        <v>0</v>
      </c>
      <c r="AM390" s="82">
        <v>9</v>
      </c>
      <c r="AN390" s="87" t="s">
        <v>1815</v>
      </c>
      <c r="AO390" s="87" t="s">
        <v>1850</v>
      </c>
      <c r="AP390" s="82" t="b">
        <v>0</v>
      </c>
      <c r="AQ390" s="87" t="s">
        <v>1769</v>
      </c>
      <c r="AR390" s="82"/>
      <c r="AS390" s="82">
        <v>0</v>
      </c>
      <c r="AT390" s="82">
        <v>0</v>
      </c>
      <c r="AU390" s="82"/>
      <c r="AV390" s="82"/>
      <c r="AW390" s="82"/>
      <c r="AX390" s="82"/>
      <c r="AY390" s="82"/>
      <c r="AZ390" s="82"/>
      <c r="BA390" s="82"/>
      <c r="BB390" s="82"/>
      <c r="BC390">
        <v>1</v>
      </c>
      <c r="BD390" s="81" t="str">
        <f>REPLACE(INDEX(GroupVertices[Group],MATCH(Edges[[#This Row],[Vertex 1]],GroupVertices[Vertex],0)),1,1,"")</f>
        <v>2</v>
      </c>
      <c r="BE390" s="81" t="str">
        <f>REPLACE(INDEX(GroupVertices[Group],MATCH(Edges[[#This Row],[Vertex 2]],GroupVertices[Vertex],0)),1,1,"")</f>
        <v>2</v>
      </c>
      <c r="BF390" s="49">
        <v>0</v>
      </c>
      <c r="BG390" s="50">
        <v>0</v>
      </c>
      <c r="BH390" s="49">
        <v>2</v>
      </c>
      <c r="BI390" s="50">
        <v>5.405405405405405</v>
      </c>
      <c r="BJ390" s="49">
        <v>0</v>
      </c>
      <c r="BK390" s="50">
        <v>0</v>
      </c>
      <c r="BL390" s="49">
        <v>35</v>
      </c>
      <c r="BM390" s="50">
        <v>94.5945945945946</v>
      </c>
      <c r="BN390" s="49">
        <v>37</v>
      </c>
    </row>
    <row r="391" spans="1:66" ht="15">
      <c r="A391" s="66" t="s">
        <v>430</v>
      </c>
      <c r="B391" s="66" t="s">
        <v>430</v>
      </c>
      <c r="C391" s="67" t="s">
        <v>4509</v>
      </c>
      <c r="D391" s="68">
        <v>3</v>
      </c>
      <c r="E391" s="69" t="s">
        <v>132</v>
      </c>
      <c r="F391" s="70">
        <v>32</v>
      </c>
      <c r="G391" s="67"/>
      <c r="H391" s="71"/>
      <c r="I391" s="72"/>
      <c r="J391" s="72"/>
      <c r="K391" s="35" t="s">
        <v>65</v>
      </c>
      <c r="L391" s="80">
        <v>391</v>
      </c>
      <c r="M391" s="80"/>
      <c r="N391" s="74"/>
      <c r="O391" s="82" t="s">
        <v>214</v>
      </c>
      <c r="P391" s="84">
        <v>44518.64730324074</v>
      </c>
      <c r="Q391" s="82" t="s">
        <v>851</v>
      </c>
      <c r="R391" s="85" t="str">
        <f>HYPERLINK("https://twitter.com/rhiannon_tapp/status/1461353712534769673")</f>
        <v>https://twitter.com/rhiannon_tapp/status/1461353712534769673</v>
      </c>
      <c r="S391" s="82" t="s">
        <v>914</v>
      </c>
      <c r="T391" s="87" t="s">
        <v>1126</v>
      </c>
      <c r="U391" s="82"/>
      <c r="V391" s="85" t="str">
        <f>HYPERLINK("https://pbs.twimg.com/profile_images/1340921970452553731/yxEpHsj2_normal.jpg")</f>
        <v>https://pbs.twimg.com/profile_images/1340921970452553731/yxEpHsj2_normal.jpg</v>
      </c>
      <c r="W391" s="84">
        <v>44518.64730324074</v>
      </c>
      <c r="X391" s="90">
        <v>44518</v>
      </c>
      <c r="Y391" s="87" t="s">
        <v>1416</v>
      </c>
      <c r="Z391" s="85" t="str">
        <f>HYPERLINK("https://twitter.com/drdianeashiru/status/1461356550983864325")</f>
        <v>https://twitter.com/drdianeashiru/status/1461356550983864325</v>
      </c>
      <c r="AA391" s="82"/>
      <c r="AB391" s="82"/>
      <c r="AC391" s="87" t="s">
        <v>1770</v>
      </c>
      <c r="AD391" s="82"/>
      <c r="AE391" s="82" t="b">
        <v>0</v>
      </c>
      <c r="AF391" s="82">
        <v>3</v>
      </c>
      <c r="AG391" s="87" t="s">
        <v>1815</v>
      </c>
      <c r="AH391" s="82" t="b">
        <v>1</v>
      </c>
      <c r="AI391" s="82" t="s">
        <v>1827</v>
      </c>
      <c r="AJ391" s="82"/>
      <c r="AK391" s="87" t="s">
        <v>1849</v>
      </c>
      <c r="AL391" s="82" t="b">
        <v>0</v>
      </c>
      <c r="AM391" s="82">
        <v>1</v>
      </c>
      <c r="AN391" s="87" t="s">
        <v>1815</v>
      </c>
      <c r="AO391" s="87" t="s">
        <v>1851</v>
      </c>
      <c r="AP391" s="82" t="b">
        <v>0</v>
      </c>
      <c r="AQ391" s="87" t="s">
        <v>1770</v>
      </c>
      <c r="AR391" s="82"/>
      <c r="AS391" s="82">
        <v>0</v>
      </c>
      <c r="AT391" s="82">
        <v>0</v>
      </c>
      <c r="AU391" s="82"/>
      <c r="AV391" s="82"/>
      <c r="AW391" s="82"/>
      <c r="AX391" s="82"/>
      <c r="AY391" s="82"/>
      <c r="AZ391" s="82"/>
      <c r="BA391" s="82"/>
      <c r="BB391" s="82"/>
      <c r="BC391">
        <v>1</v>
      </c>
      <c r="BD391" s="81" t="str">
        <f>REPLACE(INDEX(GroupVertices[Group],MATCH(Edges[[#This Row],[Vertex 1]],GroupVertices[Vertex],0)),1,1,"")</f>
        <v>2</v>
      </c>
      <c r="BE391" s="81" t="str">
        <f>REPLACE(INDEX(GroupVertices[Group],MATCH(Edges[[#This Row],[Vertex 2]],GroupVertices[Vertex],0)),1,1,"")</f>
        <v>2</v>
      </c>
      <c r="BF391" s="49">
        <v>0</v>
      </c>
      <c r="BG391" s="50">
        <v>0</v>
      </c>
      <c r="BH391" s="49">
        <v>0</v>
      </c>
      <c r="BI391" s="50">
        <v>0</v>
      </c>
      <c r="BJ391" s="49">
        <v>0</v>
      </c>
      <c r="BK391" s="50">
        <v>0</v>
      </c>
      <c r="BL391" s="49">
        <v>5</v>
      </c>
      <c r="BM391" s="50">
        <v>100</v>
      </c>
      <c r="BN391" s="49">
        <v>5</v>
      </c>
    </row>
    <row r="392" spans="1:66" ht="15">
      <c r="A392" s="66" t="s">
        <v>431</v>
      </c>
      <c r="B392" s="66" t="s">
        <v>431</v>
      </c>
      <c r="C392" s="67" t="s">
        <v>4510</v>
      </c>
      <c r="D392" s="68">
        <v>3.6363636363636362</v>
      </c>
      <c r="E392" s="69" t="s">
        <v>136</v>
      </c>
      <c r="F392" s="70">
        <v>31.2972972972973</v>
      </c>
      <c r="G392" s="67"/>
      <c r="H392" s="71"/>
      <c r="I392" s="72"/>
      <c r="J392" s="72"/>
      <c r="K392" s="35" t="s">
        <v>65</v>
      </c>
      <c r="L392" s="80">
        <v>392</v>
      </c>
      <c r="M392" s="80"/>
      <c r="N392" s="74"/>
      <c r="O392" s="82" t="s">
        <v>214</v>
      </c>
      <c r="P392" s="84">
        <v>44518.6252662037</v>
      </c>
      <c r="Q392" s="82" t="s">
        <v>852</v>
      </c>
      <c r="R392" s="85" t="str">
        <f>HYPERLINK("https://go.usa.gov:443/xeYJa")</f>
        <v>https://go.usa.gov:443/xeYJa</v>
      </c>
      <c r="S392" s="82" t="s">
        <v>945</v>
      </c>
      <c r="T392" s="87" t="s">
        <v>1127</v>
      </c>
      <c r="U392" s="82"/>
      <c r="V392" s="85" t="str">
        <f>HYPERLINK("https://pbs.twimg.com/profile_images/875434742916710400/waxta_Yl_normal.jpg")</f>
        <v>https://pbs.twimg.com/profile_images/875434742916710400/waxta_Yl_normal.jpg</v>
      </c>
      <c r="W392" s="84">
        <v>44518.6252662037</v>
      </c>
      <c r="X392" s="90">
        <v>44518</v>
      </c>
      <c r="Y392" s="87" t="s">
        <v>1378</v>
      </c>
      <c r="Z392" s="85" t="str">
        <f>HYPERLINK("https://twitter.com/cdc_tb/status/1461348565767233550")</f>
        <v>https://twitter.com/cdc_tb/status/1461348565767233550</v>
      </c>
      <c r="AA392" s="82"/>
      <c r="AB392" s="82"/>
      <c r="AC392" s="87" t="s">
        <v>1771</v>
      </c>
      <c r="AD392" s="82"/>
      <c r="AE392" s="82" t="b">
        <v>0</v>
      </c>
      <c r="AF392" s="82">
        <v>6</v>
      </c>
      <c r="AG392" s="87" t="s">
        <v>1815</v>
      </c>
      <c r="AH392" s="82" t="b">
        <v>0</v>
      </c>
      <c r="AI392" s="82" t="s">
        <v>1826</v>
      </c>
      <c r="AJ392" s="82"/>
      <c r="AK392" s="87" t="s">
        <v>1815</v>
      </c>
      <c r="AL392" s="82" t="b">
        <v>0</v>
      </c>
      <c r="AM392" s="82">
        <v>4</v>
      </c>
      <c r="AN392" s="87" t="s">
        <v>1815</v>
      </c>
      <c r="AO392" s="87" t="s">
        <v>1856</v>
      </c>
      <c r="AP392" s="82" t="b">
        <v>0</v>
      </c>
      <c r="AQ392" s="87" t="s">
        <v>1771</v>
      </c>
      <c r="AR392" s="82"/>
      <c r="AS392" s="82">
        <v>0</v>
      </c>
      <c r="AT392" s="82">
        <v>0</v>
      </c>
      <c r="AU392" s="82"/>
      <c r="AV392" s="82"/>
      <c r="AW392" s="82"/>
      <c r="AX392" s="82"/>
      <c r="AY392" s="82"/>
      <c r="AZ392" s="82"/>
      <c r="BA392" s="82"/>
      <c r="BB392" s="82"/>
      <c r="BC392">
        <v>2</v>
      </c>
      <c r="BD392" s="81" t="str">
        <f>REPLACE(INDEX(GroupVertices[Group],MATCH(Edges[[#This Row],[Vertex 1]],GroupVertices[Vertex],0)),1,1,"")</f>
        <v>1</v>
      </c>
      <c r="BE392" s="81" t="str">
        <f>REPLACE(INDEX(GroupVertices[Group],MATCH(Edges[[#This Row],[Vertex 2]],GroupVertices[Vertex],0)),1,1,"")</f>
        <v>1</v>
      </c>
      <c r="BF392" s="49">
        <v>0</v>
      </c>
      <c r="BG392" s="50">
        <v>0</v>
      </c>
      <c r="BH392" s="49">
        <v>0</v>
      </c>
      <c r="BI392" s="50">
        <v>0</v>
      </c>
      <c r="BJ392" s="49">
        <v>0</v>
      </c>
      <c r="BK392" s="50">
        <v>0</v>
      </c>
      <c r="BL392" s="49">
        <v>23</v>
      </c>
      <c r="BM392" s="50">
        <v>100</v>
      </c>
      <c r="BN392" s="49">
        <v>23</v>
      </c>
    </row>
    <row r="393" spans="1:66" ht="15">
      <c r="A393" s="66" t="s">
        <v>431</v>
      </c>
      <c r="B393" s="66" t="s">
        <v>431</v>
      </c>
      <c r="C393" s="67" t="s">
        <v>4510</v>
      </c>
      <c r="D393" s="68">
        <v>3.6363636363636362</v>
      </c>
      <c r="E393" s="69" t="s">
        <v>136</v>
      </c>
      <c r="F393" s="70">
        <v>31.2972972972973</v>
      </c>
      <c r="G393" s="67"/>
      <c r="H393" s="71"/>
      <c r="I393" s="72"/>
      <c r="J393" s="72"/>
      <c r="K393" s="35" t="s">
        <v>65</v>
      </c>
      <c r="L393" s="80">
        <v>393</v>
      </c>
      <c r="M393" s="80"/>
      <c r="N393" s="74"/>
      <c r="O393" s="82" t="s">
        <v>214</v>
      </c>
      <c r="P393" s="84">
        <v>44518.64587962963</v>
      </c>
      <c r="Q393" s="82" t="s">
        <v>853</v>
      </c>
      <c r="R393" s="85" t="str">
        <f>HYPERLINK("https://go.usa.gov:443/xeYJj")</f>
        <v>https://go.usa.gov:443/xeYJj</v>
      </c>
      <c r="S393" s="82" t="s">
        <v>945</v>
      </c>
      <c r="T393" s="87" t="s">
        <v>1127</v>
      </c>
      <c r="U393" s="85" t="str">
        <f>HYPERLINK("https://pbs.twimg.com/media/FEfHkW8UUAQ8qnm.jpg")</f>
        <v>https://pbs.twimg.com/media/FEfHkW8UUAQ8qnm.jpg</v>
      </c>
      <c r="V393" s="85" t="str">
        <f>HYPERLINK("https://pbs.twimg.com/media/FEfHkW8UUAQ8qnm.jpg")</f>
        <v>https://pbs.twimg.com/media/FEfHkW8UUAQ8qnm.jpg</v>
      </c>
      <c r="W393" s="84">
        <v>44518.64587962963</v>
      </c>
      <c r="X393" s="90">
        <v>44518</v>
      </c>
      <c r="Y393" s="87" t="s">
        <v>1417</v>
      </c>
      <c r="Z393" s="85" t="str">
        <f>HYPERLINK("https://twitter.com/cdc_tb/status/1461356038548955139")</f>
        <v>https://twitter.com/cdc_tb/status/1461356038548955139</v>
      </c>
      <c r="AA393" s="82"/>
      <c r="AB393" s="82"/>
      <c r="AC393" s="87" t="s">
        <v>1772</v>
      </c>
      <c r="AD393" s="82"/>
      <c r="AE393" s="82" t="b">
        <v>0</v>
      </c>
      <c r="AF393" s="82">
        <v>2</v>
      </c>
      <c r="AG393" s="87" t="s">
        <v>1815</v>
      </c>
      <c r="AH393" s="82" t="b">
        <v>0</v>
      </c>
      <c r="AI393" s="82" t="s">
        <v>1826</v>
      </c>
      <c r="AJ393" s="82"/>
      <c r="AK393" s="87" t="s">
        <v>1815</v>
      </c>
      <c r="AL393" s="82" t="b">
        <v>0</v>
      </c>
      <c r="AM393" s="82">
        <v>2</v>
      </c>
      <c r="AN393" s="87" t="s">
        <v>1815</v>
      </c>
      <c r="AO393" s="87" t="s">
        <v>1856</v>
      </c>
      <c r="AP393" s="82" t="b">
        <v>0</v>
      </c>
      <c r="AQ393" s="87" t="s">
        <v>1772</v>
      </c>
      <c r="AR393" s="82"/>
      <c r="AS393" s="82">
        <v>0</v>
      </c>
      <c r="AT393" s="82">
        <v>0</v>
      </c>
      <c r="AU393" s="82"/>
      <c r="AV393" s="82"/>
      <c r="AW393" s="82"/>
      <c r="AX393" s="82"/>
      <c r="AY393" s="82"/>
      <c r="AZ393" s="82"/>
      <c r="BA393" s="82"/>
      <c r="BB393" s="82"/>
      <c r="BC393">
        <v>2</v>
      </c>
      <c r="BD393" s="81" t="str">
        <f>REPLACE(INDEX(GroupVertices[Group],MATCH(Edges[[#This Row],[Vertex 1]],GroupVertices[Vertex],0)),1,1,"")</f>
        <v>1</v>
      </c>
      <c r="BE393" s="81" t="str">
        <f>REPLACE(INDEX(GroupVertices[Group],MATCH(Edges[[#This Row],[Vertex 2]],GroupVertices[Vertex],0)),1,1,"")</f>
        <v>1</v>
      </c>
      <c r="BF393" s="49">
        <v>1</v>
      </c>
      <c r="BG393" s="50">
        <v>3.3333333333333335</v>
      </c>
      <c r="BH393" s="49">
        <v>2</v>
      </c>
      <c r="BI393" s="50">
        <v>6.666666666666667</v>
      </c>
      <c r="BJ393" s="49">
        <v>0</v>
      </c>
      <c r="BK393" s="50">
        <v>0</v>
      </c>
      <c r="BL393" s="49">
        <v>27</v>
      </c>
      <c r="BM393" s="50">
        <v>90</v>
      </c>
      <c r="BN393" s="49">
        <v>30</v>
      </c>
    </row>
    <row r="394" spans="1:66" ht="15">
      <c r="A394" s="66" t="s">
        <v>432</v>
      </c>
      <c r="B394" s="66" t="s">
        <v>432</v>
      </c>
      <c r="C394" s="67" t="s">
        <v>4515</v>
      </c>
      <c r="D394" s="68">
        <v>4.909090909090909</v>
      </c>
      <c r="E394" s="69" t="s">
        <v>136</v>
      </c>
      <c r="F394" s="70">
        <v>29.89189189189189</v>
      </c>
      <c r="G394" s="67"/>
      <c r="H394" s="71"/>
      <c r="I394" s="72"/>
      <c r="J394" s="72"/>
      <c r="K394" s="35" t="s">
        <v>65</v>
      </c>
      <c r="L394" s="80">
        <v>394</v>
      </c>
      <c r="M394" s="80"/>
      <c r="N394" s="74"/>
      <c r="O394" s="82" t="s">
        <v>214</v>
      </c>
      <c r="P394" s="84">
        <v>44518.62672453704</v>
      </c>
      <c r="Q394" s="82" t="s">
        <v>854</v>
      </c>
      <c r="R394" s="85" t="str">
        <f>HYPERLINK("https://www.cdc.gov/drugresistance/covid19.html")</f>
        <v>https://www.cdc.gov/drugresistance/covid19.html</v>
      </c>
      <c r="S394" s="82" t="s">
        <v>903</v>
      </c>
      <c r="T394" s="87" t="s">
        <v>954</v>
      </c>
      <c r="U394" s="85" t="str">
        <f>HYPERLINK("https://pbs.twimg.com/media/FEfBQZPVkAE8Mw7.jpg")</f>
        <v>https://pbs.twimg.com/media/FEfBQZPVkAE8Mw7.jpg</v>
      </c>
      <c r="V394" s="85" t="str">
        <f>HYPERLINK("https://pbs.twimg.com/media/FEfBQZPVkAE8Mw7.jpg")</f>
        <v>https://pbs.twimg.com/media/FEfBQZPVkAE8Mw7.jpg</v>
      </c>
      <c r="W394" s="84">
        <v>44518.62672453704</v>
      </c>
      <c r="X394" s="90">
        <v>44518</v>
      </c>
      <c r="Y394" s="87" t="s">
        <v>1418</v>
      </c>
      <c r="Z394" s="85" t="str">
        <f>HYPERLINK("https://twitter.com/apic/status/1461349094220132353")</f>
        <v>https://twitter.com/apic/status/1461349094220132353</v>
      </c>
      <c r="AA394" s="82"/>
      <c r="AB394" s="82"/>
      <c r="AC394" s="87" t="s">
        <v>1773</v>
      </c>
      <c r="AD394" s="82"/>
      <c r="AE394" s="82" t="b">
        <v>0</v>
      </c>
      <c r="AF394" s="82">
        <v>11</v>
      </c>
      <c r="AG394" s="87" t="s">
        <v>1815</v>
      </c>
      <c r="AH394" s="82" t="b">
        <v>0</v>
      </c>
      <c r="AI394" s="82" t="s">
        <v>1826</v>
      </c>
      <c r="AJ394" s="82"/>
      <c r="AK394" s="87" t="s">
        <v>1815</v>
      </c>
      <c r="AL394" s="82" t="b">
        <v>0</v>
      </c>
      <c r="AM394" s="82">
        <v>2</v>
      </c>
      <c r="AN394" s="87" t="s">
        <v>1815</v>
      </c>
      <c r="AO394" s="87" t="s">
        <v>1854</v>
      </c>
      <c r="AP394" s="82" t="b">
        <v>0</v>
      </c>
      <c r="AQ394" s="87" t="s">
        <v>1773</v>
      </c>
      <c r="AR394" s="82"/>
      <c r="AS394" s="82">
        <v>0</v>
      </c>
      <c r="AT394" s="82">
        <v>0</v>
      </c>
      <c r="AU394" s="82"/>
      <c r="AV394" s="82"/>
      <c r="AW394" s="82"/>
      <c r="AX394" s="82"/>
      <c r="AY394" s="82"/>
      <c r="AZ394" s="82"/>
      <c r="BA394" s="82"/>
      <c r="BB394" s="82"/>
      <c r="BC394">
        <v>4</v>
      </c>
      <c r="BD394" s="81" t="str">
        <f>REPLACE(INDEX(GroupVertices[Group],MATCH(Edges[[#This Row],[Vertex 1]],GroupVertices[Vertex],0)),1,1,"")</f>
        <v>1</v>
      </c>
      <c r="BE394" s="81" t="str">
        <f>REPLACE(INDEX(GroupVertices[Group],MATCH(Edges[[#This Row],[Vertex 2]],GroupVertices[Vertex],0)),1,1,"")</f>
        <v>1</v>
      </c>
      <c r="BF394" s="49">
        <v>0</v>
      </c>
      <c r="BG394" s="50">
        <v>0</v>
      </c>
      <c r="BH394" s="49">
        <v>1</v>
      </c>
      <c r="BI394" s="50">
        <v>3.0303030303030303</v>
      </c>
      <c r="BJ394" s="49">
        <v>0</v>
      </c>
      <c r="BK394" s="50">
        <v>0</v>
      </c>
      <c r="BL394" s="49">
        <v>32</v>
      </c>
      <c r="BM394" s="50">
        <v>96.96969696969697</v>
      </c>
      <c r="BN394" s="49">
        <v>33</v>
      </c>
    </row>
    <row r="395" spans="1:66" ht="15">
      <c r="A395" s="66" t="s">
        <v>432</v>
      </c>
      <c r="B395" s="66" t="s">
        <v>432</v>
      </c>
      <c r="C395" s="67" t="s">
        <v>4515</v>
      </c>
      <c r="D395" s="68">
        <v>4.909090909090909</v>
      </c>
      <c r="E395" s="69" t="s">
        <v>136</v>
      </c>
      <c r="F395" s="70">
        <v>29.89189189189189</v>
      </c>
      <c r="G395" s="67"/>
      <c r="H395" s="71"/>
      <c r="I395" s="72"/>
      <c r="J395" s="72"/>
      <c r="K395" s="35" t="s">
        <v>65</v>
      </c>
      <c r="L395" s="80">
        <v>395</v>
      </c>
      <c r="M395" s="80"/>
      <c r="N395" s="74"/>
      <c r="O395" s="82" t="s">
        <v>214</v>
      </c>
      <c r="P395" s="84">
        <v>44518.64878472222</v>
      </c>
      <c r="Q395" s="82" t="s">
        <v>855</v>
      </c>
      <c r="R395" s="85" t="str">
        <f>HYPERLINK("https://5secondruleshow.org/episode/2-antibiotics-too-much-good-thing/")</f>
        <v>https://5secondruleshow.org/episode/2-antibiotics-too-much-good-thing/</v>
      </c>
      <c r="S395" s="82" t="s">
        <v>946</v>
      </c>
      <c r="T395" s="87" t="s">
        <v>1128</v>
      </c>
      <c r="U395" s="85" t="str">
        <f>HYPERLINK("https://pbs.twimg.com/media/FEfIgGiVQA03F-G.jpg")</f>
        <v>https://pbs.twimg.com/media/FEfIgGiVQA03F-G.jpg</v>
      </c>
      <c r="V395" s="85" t="str">
        <f>HYPERLINK("https://pbs.twimg.com/media/FEfIgGiVQA03F-G.jpg")</f>
        <v>https://pbs.twimg.com/media/FEfIgGiVQA03F-G.jpg</v>
      </c>
      <c r="W395" s="84">
        <v>44518.64878472222</v>
      </c>
      <c r="X395" s="90">
        <v>44518</v>
      </c>
      <c r="Y395" s="87" t="s">
        <v>1419</v>
      </c>
      <c r="Z395" s="85" t="str">
        <f>HYPERLINK("https://twitter.com/apic/status/1461357091159904282")</f>
        <v>https://twitter.com/apic/status/1461357091159904282</v>
      </c>
      <c r="AA395" s="82"/>
      <c r="AB395" s="82"/>
      <c r="AC395" s="87" t="s">
        <v>1774</v>
      </c>
      <c r="AD395" s="82"/>
      <c r="AE395" s="82" t="b">
        <v>0</v>
      </c>
      <c r="AF395" s="82">
        <v>10</v>
      </c>
      <c r="AG395" s="87" t="s">
        <v>1815</v>
      </c>
      <c r="AH395" s="82" t="b">
        <v>0</v>
      </c>
      <c r="AI395" s="82" t="s">
        <v>1826</v>
      </c>
      <c r="AJ395" s="82"/>
      <c r="AK395" s="87" t="s">
        <v>1815</v>
      </c>
      <c r="AL395" s="82" t="b">
        <v>0</v>
      </c>
      <c r="AM395" s="82">
        <v>4</v>
      </c>
      <c r="AN395" s="87" t="s">
        <v>1815</v>
      </c>
      <c r="AO395" s="87" t="s">
        <v>1850</v>
      </c>
      <c r="AP395" s="82" t="b">
        <v>0</v>
      </c>
      <c r="AQ395" s="87" t="s">
        <v>1774</v>
      </c>
      <c r="AR395" s="82"/>
      <c r="AS395" s="82">
        <v>0</v>
      </c>
      <c r="AT395" s="82">
        <v>0</v>
      </c>
      <c r="AU395" s="82"/>
      <c r="AV395" s="82"/>
      <c r="AW395" s="82"/>
      <c r="AX395" s="82"/>
      <c r="AY395" s="82"/>
      <c r="AZ395" s="82"/>
      <c r="BA395" s="82"/>
      <c r="BB395" s="82"/>
      <c r="BC395">
        <v>4</v>
      </c>
      <c r="BD395" s="81" t="str">
        <f>REPLACE(INDEX(GroupVertices[Group],MATCH(Edges[[#This Row],[Vertex 1]],GroupVertices[Vertex],0)),1,1,"")</f>
        <v>1</v>
      </c>
      <c r="BE395" s="81" t="str">
        <f>REPLACE(INDEX(GroupVertices[Group],MATCH(Edges[[#This Row],[Vertex 2]],GroupVertices[Vertex],0)),1,1,"")</f>
        <v>1</v>
      </c>
      <c r="BF395" s="49">
        <v>1</v>
      </c>
      <c r="BG395" s="50">
        <v>2.7027027027027026</v>
      </c>
      <c r="BH395" s="49">
        <v>1</v>
      </c>
      <c r="BI395" s="50">
        <v>2.7027027027027026</v>
      </c>
      <c r="BJ395" s="49">
        <v>0</v>
      </c>
      <c r="BK395" s="50">
        <v>0</v>
      </c>
      <c r="BL395" s="49">
        <v>35</v>
      </c>
      <c r="BM395" s="50">
        <v>94.5945945945946</v>
      </c>
      <c r="BN395" s="49">
        <v>37</v>
      </c>
    </row>
    <row r="396" spans="1:66" ht="15">
      <c r="A396" s="66" t="s">
        <v>432</v>
      </c>
      <c r="B396" s="66" t="s">
        <v>432</v>
      </c>
      <c r="C396" s="67" t="s">
        <v>4515</v>
      </c>
      <c r="D396" s="68">
        <v>4.909090909090909</v>
      </c>
      <c r="E396" s="69" t="s">
        <v>136</v>
      </c>
      <c r="F396" s="70">
        <v>29.89189189189189</v>
      </c>
      <c r="G396" s="67"/>
      <c r="H396" s="71"/>
      <c r="I396" s="72"/>
      <c r="J396" s="72"/>
      <c r="K396" s="35" t="s">
        <v>65</v>
      </c>
      <c r="L396" s="80">
        <v>396</v>
      </c>
      <c r="M396" s="80"/>
      <c r="N396" s="74"/>
      <c r="O396" s="82" t="s">
        <v>214</v>
      </c>
      <c r="P396" s="84">
        <v>44518.633356481485</v>
      </c>
      <c r="Q396" s="82" t="s">
        <v>856</v>
      </c>
      <c r="R396" s="85" t="str">
        <f>HYPERLINK("https://infectionpreventionandyou.org/infographic/abcs-of-antibiotics/")</f>
        <v>https://infectionpreventionandyou.org/infographic/abcs-of-antibiotics/</v>
      </c>
      <c r="S396" s="82" t="s">
        <v>947</v>
      </c>
      <c r="T396" s="87" t="s">
        <v>1043</v>
      </c>
      <c r="U396" s="85" t="str">
        <f>HYPERLINK("https://pbs.twimg.com/media/FEfDVJxVkAMXEVv.jpg")</f>
        <v>https://pbs.twimg.com/media/FEfDVJxVkAMXEVv.jpg</v>
      </c>
      <c r="V396" s="85" t="str">
        <f>HYPERLINK("https://pbs.twimg.com/media/FEfDVJxVkAMXEVv.jpg")</f>
        <v>https://pbs.twimg.com/media/FEfDVJxVkAMXEVv.jpg</v>
      </c>
      <c r="W396" s="84">
        <v>44518.633356481485</v>
      </c>
      <c r="X396" s="90">
        <v>44518</v>
      </c>
      <c r="Y396" s="87" t="s">
        <v>1420</v>
      </c>
      <c r="Z396" s="85" t="str">
        <f>HYPERLINK("https://twitter.com/apic/status/1461351498864988178")</f>
        <v>https://twitter.com/apic/status/1461351498864988178</v>
      </c>
      <c r="AA396" s="82"/>
      <c r="AB396" s="82"/>
      <c r="AC396" s="87" t="s">
        <v>1775</v>
      </c>
      <c r="AD396" s="82"/>
      <c r="AE396" s="82" t="b">
        <v>0</v>
      </c>
      <c r="AF396" s="82">
        <v>15</v>
      </c>
      <c r="AG396" s="87" t="s">
        <v>1815</v>
      </c>
      <c r="AH396" s="82" t="b">
        <v>0</v>
      </c>
      <c r="AI396" s="82" t="s">
        <v>1826</v>
      </c>
      <c r="AJ396" s="82"/>
      <c r="AK396" s="87" t="s">
        <v>1815</v>
      </c>
      <c r="AL396" s="82" t="b">
        <v>0</v>
      </c>
      <c r="AM396" s="82">
        <v>10</v>
      </c>
      <c r="AN396" s="87" t="s">
        <v>1815</v>
      </c>
      <c r="AO396" s="87" t="s">
        <v>1850</v>
      </c>
      <c r="AP396" s="82" t="b">
        <v>0</v>
      </c>
      <c r="AQ396" s="87" t="s">
        <v>1775</v>
      </c>
      <c r="AR396" s="82"/>
      <c r="AS396" s="82">
        <v>0</v>
      </c>
      <c r="AT396" s="82">
        <v>0</v>
      </c>
      <c r="AU396" s="82"/>
      <c r="AV396" s="82"/>
      <c r="AW396" s="82"/>
      <c r="AX396" s="82"/>
      <c r="AY396" s="82"/>
      <c r="AZ396" s="82"/>
      <c r="BA396" s="82"/>
      <c r="BB396" s="82"/>
      <c r="BC396">
        <v>4</v>
      </c>
      <c r="BD396" s="81" t="str">
        <f>REPLACE(INDEX(GroupVertices[Group],MATCH(Edges[[#This Row],[Vertex 1]],GroupVertices[Vertex],0)),1,1,"")</f>
        <v>1</v>
      </c>
      <c r="BE396" s="81" t="str">
        <f>REPLACE(INDEX(GroupVertices[Group],MATCH(Edges[[#This Row],[Vertex 2]],GroupVertices[Vertex],0)),1,1,"")</f>
        <v>1</v>
      </c>
      <c r="BF396" s="49">
        <v>2</v>
      </c>
      <c r="BG396" s="50">
        <v>8</v>
      </c>
      <c r="BH396" s="49">
        <v>1</v>
      </c>
      <c r="BI396" s="50">
        <v>4</v>
      </c>
      <c r="BJ396" s="49">
        <v>0</v>
      </c>
      <c r="BK396" s="50">
        <v>0</v>
      </c>
      <c r="BL396" s="49">
        <v>22</v>
      </c>
      <c r="BM396" s="50">
        <v>88</v>
      </c>
      <c r="BN396" s="49">
        <v>25</v>
      </c>
    </row>
    <row r="397" spans="1:66" ht="15">
      <c r="A397" s="66" t="s">
        <v>432</v>
      </c>
      <c r="B397" s="66" t="s">
        <v>432</v>
      </c>
      <c r="C397" s="67" t="s">
        <v>4515</v>
      </c>
      <c r="D397" s="68">
        <v>4.909090909090909</v>
      </c>
      <c r="E397" s="69" t="s">
        <v>136</v>
      </c>
      <c r="F397" s="70">
        <v>29.89189189189189</v>
      </c>
      <c r="G397" s="67"/>
      <c r="H397" s="71"/>
      <c r="I397" s="72"/>
      <c r="J397" s="72"/>
      <c r="K397" s="35" t="s">
        <v>65</v>
      </c>
      <c r="L397" s="80">
        <v>397</v>
      </c>
      <c r="M397" s="80"/>
      <c r="N397" s="74"/>
      <c r="O397" s="82" t="s">
        <v>214</v>
      </c>
      <c r="P397" s="84">
        <v>44518.64423611111</v>
      </c>
      <c r="Q397" s="82" t="s">
        <v>857</v>
      </c>
      <c r="R397" s="85" t="str">
        <f>HYPERLINK("https://www.cdc.gov/antibiotic-use/quiz.html")</f>
        <v>https://www.cdc.gov/antibiotic-use/quiz.html</v>
      </c>
      <c r="S397" s="82" t="s">
        <v>903</v>
      </c>
      <c r="T397" s="87" t="s">
        <v>1129</v>
      </c>
      <c r="U397" s="85" t="str">
        <f>HYPERLINK("https://pbs.twimg.com/tweet_video_thumb/FEfHBmyVcAQsAiN.jpg")</f>
        <v>https://pbs.twimg.com/tweet_video_thumb/FEfHBmyVcAQsAiN.jpg</v>
      </c>
      <c r="V397" s="85" t="str">
        <f>HYPERLINK("https://pbs.twimg.com/tweet_video_thumb/FEfHBmyVcAQsAiN.jpg")</f>
        <v>https://pbs.twimg.com/tweet_video_thumb/FEfHBmyVcAQsAiN.jpg</v>
      </c>
      <c r="W397" s="84">
        <v>44518.64423611111</v>
      </c>
      <c r="X397" s="90">
        <v>44518</v>
      </c>
      <c r="Y397" s="87" t="s">
        <v>1421</v>
      </c>
      <c r="Z397" s="85" t="str">
        <f>HYPERLINK("https://twitter.com/apic/status/1461355440810332165")</f>
        <v>https://twitter.com/apic/status/1461355440810332165</v>
      </c>
      <c r="AA397" s="82"/>
      <c r="AB397" s="82"/>
      <c r="AC397" s="87" t="s">
        <v>1776</v>
      </c>
      <c r="AD397" s="82"/>
      <c r="AE397" s="82" t="b">
        <v>0</v>
      </c>
      <c r="AF397" s="82">
        <v>5</v>
      </c>
      <c r="AG397" s="87" t="s">
        <v>1815</v>
      </c>
      <c r="AH397" s="82" t="b">
        <v>0</v>
      </c>
      <c r="AI397" s="82" t="s">
        <v>1826</v>
      </c>
      <c r="AJ397" s="82"/>
      <c r="AK397" s="87" t="s">
        <v>1815</v>
      </c>
      <c r="AL397" s="82" t="b">
        <v>0</v>
      </c>
      <c r="AM397" s="82">
        <v>1</v>
      </c>
      <c r="AN397" s="87" t="s">
        <v>1815</v>
      </c>
      <c r="AO397" s="87" t="s">
        <v>1850</v>
      </c>
      <c r="AP397" s="82" t="b">
        <v>0</v>
      </c>
      <c r="AQ397" s="87" t="s">
        <v>1776</v>
      </c>
      <c r="AR397" s="82"/>
      <c r="AS397" s="82">
        <v>0</v>
      </c>
      <c r="AT397" s="82">
        <v>0</v>
      </c>
      <c r="AU397" s="82"/>
      <c r="AV397" s="82"/>
      <c r="AW397" s="82"/>
      <c r="AX397" s="82"/>
      <c r="AY397" s="82"/>
      <c r="AZ397" s="82"/>
      <c r="BA397" s="82"/>
      <c r="BB397" s="82"/>
      <c r="BC397">
        <v>4</v>
      </c>
      <c r="BD397" s="81" t="str">
        <f>REPLACE(INDEX(GroupVertices[Group],MATCH(Edges[[#This Row],[Vertex 1]],GroupVertices[Vertex],0)),1,1,"")</f>
        <v>1</v>
      </c>
      <c r="BE397" s="81" t="str">
        <f>REPLACE(INDEX(GroupVertices[Group],MATCH(Edges[[#This Row],[Vertex 2]],GroupVertices[Vertex],0)),1,1,"")</f>
        <v>1</v>
      </c>
      <c r="BF397" s="49">
        <v>2</v>
      </c>
      <c r="BG397" s="50">
        <v>10.526315789473685</v>
      </c>
      <c r="BH397" s="49">
        <v>0</v>
      </c>
      <c r="BI397" s="50">
        <v>0</v>
      </c>
      <c r="BJ397" s="49">
        <v>0</v>
      </c>
      <c r="BK397" s="50">
        <v>0</v>
      </c>
      <c r="BL397" s="49">
        <v>17</v>
      </c>
      <c r="BM397" s="50">
        <v>89.47368421052632</v>
      </c>
      <c r="BN397" s="49">
        <v>19</v>
      </c>
    </row>
    <row r="398" spans="1:66" ht="15">
      <c r="A398" s="66" t="s">
        <v>433</v>
      </c>
      <c r="B398" s="66" t="s">
        <v>433</v>
      </c>
      <c r="C398" s="67" t="s">
        <v>4509</v>
      </c>
      <c r="D398" s="68">
        <v>3</v>
      </c>
      <c r="E398" s="69" t="s">
        <v>132</v>
      </c>
      <c r="F398" s="70">
        <v>32</v>
      </c>
      <c r="G398" s="67"/>
      <c r="H398" s="71"/>
      <c r="I398" s="72"/>
      <c r="J398" s="72"/>
      <c r="K398" s="35" t="s">
        <v>65</v>
      </c>
      <c r="L398" s="80">
        <v>398</v>
      </c>
      <c r="M398" s="80"/>
      <c r="N398" s="74"/>
      <c r="O398" s="82" t="s">
        <v>214</v>
      </c>
      <c r="P398" s="84">
        <v>44518.651400462964</v>
      </c>
      <c r="Q398" s="82" t="s">
        <v>858</v>
      </c>
      <c r="R398" s="82"/>
      <c r="S398" s="82"/>
      <c r="T398" s="87" t="s">
        <v>949</v>
      </c>
      <c r="U398" s="85" t="str">
        <f>HYPERLINK("https://pbs.twimg.com/media/FEfJYJkVQAcnt5T.jpg")</f>
        <v>https://pbs.twimg.com/media/FEfJYJkVQAcnt5T.jpg</v>
      </c>
      <c r="V398" s="85" t="str">
        <f>HYPERLINK("https://pbs.twimg.com/media/FEfJYJkVQAcnt5T.jpg")</f>
        <v>https://pbs.twimg.com/media/FEfJYJkVQAcnt5T.jpg</v>
      </c>
      <c r="W398" s="84">
        <v>44518.651400462964</v>
      </c>
      <c r="X398" s="90">
        <v>44518</v>
      </c>
      <c r="Y398" s="87" t="s">
        <v>1422</v>
      </c>
      <c r="Z398" s="85" t="str">
        <f>HYPERLINK("https://twitter.com/alinaveed143p/status/1461358035482202116")</f>
        <v>https://twitter.com/alinaveed143p/status/1461358035482202116</v>
      </c>
      <c r="AA398" s="82"/>
      <c r="AB398" s="82"/>
      <c r="AC398" s="87" t="s">
        <v>1777</v>
      </c>
      <c r="AD398" s="82"/>
      <c r="AE398" s="82" t="b">
        <v>0</v>
      </c>
      <c r="AF398" s="82">
        <v>5</v>
      </c>
      <c r="AG398" s="87" t="s">
        <v>1815</v>
      </c>
      <c r="AH398" s="82" t="b">
        <v>0</v>
      </c>
      <c r="AI398" s="82" t="s">
        <v>1826</v>
      </c>
      <c r="AJ398" s="82"/>
      <c r="AK398" s="87" t="s">
        <v>1815</v>
      </c>
      <c r="AL398" s="82" t="b">
        <v>0</v>
      </c>
      <c r="AM398" s="82">
        <v>3</v>
      </c>
      <c r="AN398" s="87" t="s">
        <v>1815</v>
      </c>
      <c r="AO398" s="87" t="s">
        <v>1852</v>
      </c>
      <c r="AP398" s="82" t="b">
        <v>0</v>
      </c>
      <c r="AQ398" s="87" t="s">
        <v>1777</v>
      </c>
      <c r="AR398" s="82"/>
      <c r="AS398" s="82">
        <v>0</v>
      </c>
      <c r="AT398" s="82">
        <v>0</v>
      </c>
      <c r="AU398" s="82"/>
      <c r="AV398" s="82"/>
      <c r="AW398" s="82"/>
      <c r="AX398" s="82"/>
      <c r="AY398" s="82"/>
      <c r="AZ398" s="82"/>
      <c r="BA398" s="82"/>
      <c r="BB398" s="82"/>
      <c r="BC398">
        <v>1</v>
      </c>
      <c r="BD398" s="81" t="str">
        <f>REPLACE(INDEX(GroupVertices[Group],MATCH(Edges[[#This Row],[Vertex 1]],GroupVertices[Vertex],0)),1,1,"")</f>
        <v>1</v>
      </c>
      <c r="BE398" s="81" t="str">
        <f>REPLACE(INDEX(GroupVertices[Group],MATCH(Edges[[#This Row],[Vertex 2]],GroupVertices[Vertex],0)),1,1,"")</f>
        <v>1</v>
      </c>
      <c r="BF398" s="49">
        <v>0</v>
      </c>
      <c r="BG398" s="50">
        <v>0</v>
      </c>
      <c r="BH398" s="49">
        <v>4</v>
      </c>
      <c r="BI398" s="50">
        <v>14.285714285714286</v>
      </c>
      <c r="BJ398" s="49">
        <v>0</v>
      </c>
      <c r="BK398" s="50">
        <v>0</v>
      </c>
      <c r="BL398" s="49">
        <v>24</v>
      </c>
      <c r="BM398" s="50">
        <v>85.71428571428571</v>
      </c>
      <c r="BN398" s="49">
        <v>28</v>
      </c>
    </row>
    <row r="399" spans="1:66" ht="15">
      <c r="A399" s="66" t="s">
        <v>434</v>
      </c>
      <c r="B399" s="66" t="s">
        <v>434</v>
      </c>
      <c r="C399" s="67" t="s">
        <v>4509</v>
      </c>
      <c r="D399" s="68">
        <v>3</v>
      </c>
      <c r="E399" s="69" t="s">
        <v>132</v>
      </c>
      <c r="F399" s="70">
        <v>32</v>
      </c>
      <c r="G399" s="67"/>
      <c r="H399" s="71"/>
      <c r="I399" s="72"/>
      <c r="J399" s="72"/>
      <c r="K399" s="35" t="s">
        <v>65</v>
      </c>
      <c r="L399" s="80">
        <v>399</v>
      </c>
      <c r="M399" s="80"/>
      <c r="N399" s="74"/>
      <c r="O399" s="82" t="s">
        <v>214</v>
      </c>
      <c r="P399" s="84">
        <v>44518.64511574074</v>
      </c>
      <c r="Q399" s="82" t="s">
        <v>859</v>
      </c>
      <c r="R399" s="82"/>
      <c r="S399" s="82"/>
      <c r="T399" s="87" t="s">
        <v>1130</v>
      </c>
      <c r="U399" s="82"/>
      <c r="V399" s="85" t="str">
        <f>HYPERLINK("https://pbs.twimg.com/profile_images/378800000273969907/61dd9834adb541125e036c3e18f5bad9_normal.png")</f>
        <v>https://pbs.twimg.com/profile_images/378800000273969907/61dd9834adb541125e036c3e18f5bad9_normal.png</v>
      </c>
      <c r="W399" s="84">
        <v>44518.64511574074</v>
      </c>
      <c r="X399" s="90">
        <v>44518</v>
      </c>
      <c r="Y399" s="87" t="s">
        <v>1423</v>
      </c>
      <c r="Z399" s="85" t="str">
        <f>HYPERLINK("https://twitter.com/daisydumble/status/1461355758893690887")</f>
        <v>https://twitter.com/daisydumble/status/1461355758893690887</v>
      </c>
      <c r="AA399" s="82"/>
      <c r="AB399" s="82"/>
      <c r="AC399" s="87" t="s">
        <v>1778</v>
      </c>
      <c r="AD399" s="82"/>
      <c r="AE399" s="82" t="b">
        <v>0</v>
      </c>
      <c r="AF399" s="82">
        <v>0</v>
      </c>
      <c r="AG399" s="87" t="s">
        <v>1815</v>
      </c>
      <c r="AH399" s="82" t="b">
        <v>0</v>
      </c>
      <c r="AI399" s="82" t="s">
        <v>1826</v>
      </c>
      <c r="AJ399" s="82"/>
      <c r="AK399" s="87" t="s">
        <v>1815</v>
      </c>
      <c r="AL399" s="82" t="b">
        <v>0</v>
      </c>
      <c r="AM399" s="82">
        <v>0</v>
      </c>
      <c r="AN399" s="87" t="s">
        <v>1815</v>
      </c>
      <c r="AO399" s="87" t="s">
        <v>1851</v>
      </c>
      <c r="AP399" s="82" t="b">
        <v>0</v>
      </c>
      <c r="AQ399" s="87" t="s">
        <v>1778</v>
      </c>
      <c r="AR399" s="82"/>
      <c r="AS399" s="82">
        <v>0</v>
      </c>
      <c r="AT399" s="82">
        <v>0</v>
      </c>
      <c r="AU399" s="82"/>
      <c r="AV399" s="82"/>
      <c r="AW399" s="82"/>
      <c r="AX399" s="82"/>
      <c r="AY399" s="82"/>
      <c r="AZ399" s="82"/>
      <c r="BA399" s="82"/>
      <c r="BB399" s="82"/>
      <c r="BC399">
        <v>1</v>
      </c>
      <c r="BD399" s="81" t="str">
        <f>REPLACE(INDEX(GroupVertices[Group],MATCH(Edges[[#This Row],[Vertex 1]],GroupVertices[Vertex],0)),1,1,"")</f>
        <v>1</v>
      </c>
      <c r="BE399" s="81" t="str">
        <f>REPLACE(INDEX(GroupVertices[Group],MATCH(Edges[[#This Row],[Vertex 2]],GroupVertices[Vertex],0)),1,1,"")</f>
        <v>1</v>
      </c>
      <c r="BF399" s="49">
        <v>0</v>
      </c>
      <c r="BG399" s="50">
        <v>0</v>
      </c>
      <c r="BH399" s="49">
        <v>0</v>
      </c>
      <c r="BI399" s="50">
        <v>0</v>
      </c>
      <c r="BJ399" s="49">
        <v>0</v>
      </c>
      <c r="BK399" s="50">
        <v>0</v>
      </c>
      <c r="BL399" s="49">
        <v>36</v>
      </c>
      <c r="BM399" s="50">
        <v>100</v>
      </c>
      <c r="BN399" s="49">
        <v>36</v>
      </c>
    </row>
    <row r="400" spans="1:66" ht="15">
      <c r="A400" s="66" t="s">
        <v>435</v>
      </c>
      <c r="B400" s="66" t="s">
        <v>435</v>
      </c>
      <c r="C400" s="67" t="s">
        <v>4512</v>
      </c>
      <c r="D400" s="68">
        <v>4.2727272727272725</v>
      </c>
      <c r="E400" s="69" t="s">
        <v>136</v>
      </c>
      <c r="F400" s="70">
        <v>30.594594594594593</v>
      </c>
      <c r="G400" s="67"/>
      <c r="H400" s="71"/>
      <c r="I400" s="72"/>
      <c r="J400" s="72"/>
      <c r="K400" s="35" t="s">
        <v>65</v>
      </c>
      <c r="L400" s="80">
        <v>400</v>
      </c>
      <c r="M400" s="80"/>
      <c r="N400" s="74"/>
      <c r="O400" s="82" t="s">
        <v>214</v>
      </c>
      <c r="P400" s="84">
        <v>44518.62670138889</v>
      </c>
      <c r="Q400" s="82" t="s">
        <v>860</v>
      </c>
      <c r="R400" s="85" t="str">
        <f>HYPERLINK("https://www.efsa.europa.eu/en/topics/topic/antimicrobial-resistance")</f>
        <v>https://www.efsa.europa.eu/en/topics/topic/antimicrobial-resistance</v>
      </c>
      <c r="S400" s="82" t="s">
        <v>915</v>
      </c>
      <c r="T400" s="87" t="s">
        <v>1131</v>
      </c>
      <c r="U400" s="82"/>
      <c r="V400" s="85" t="str">
        <f>HYPERLINK("https://pbs.twimg.com/profile_images/1046703737438437377/yhI1br33_normal.jpg")</f>
        <v>https://pbs.twimg.com/profile_images/1046703737438437377/yhI1br33_normal.jpg</v>
      </c>
      <c r="W400" s="84">
        <v>44518.62670138889</v>
      </c>
      <c r="X400" s="90">
        <v>44518</v>
      </c>
      <c r="Y400" s="87" t="s">
        <v>1424</v>
      </c>
      <c r="Z400" s="85" t="str">
        <f>HYPERLINK("https://twitter.com/efsa_eu/status/1461349084753657873")</f>
        <v>https://twitter.com/efsa_eu/status/1461349084753657873</v>
      </c>
      <c r="AA400" s="82"/>
      <c r="AB400" s="82"/>
      <c r="AC400" s="87" t="s">
        <v>1779</v>
      </c>
      <c r="AD400" s="82"/>
      <c r="AE400" s="82" t="b">
        <v>0</v>
      </c>
      <c r="AF400" s="82">
        <v>4</v>
      </c>
      <c r="AG400" s="87" t="s">
        <v>1815</v>
      </c>
      <c r="AH400" s="82" t="b">
        <v>0</v>
      </c>
      <c r="AI400" s="82" t="s">
        <v>1826</v>
      </c>
      <c r="AJ400" s="82"/>
      <c r="AK400" s="87" t="s">
        <v>1815</v>
      </c>
      <c r="AL400" s="82" t="b">
        <v>0</v>
      </c>
      <c r="AM400" s="82">
        <v>2</v>
      </c>
      <c r="AN400" s="87" t="s">
        <v>1815</v>
      </c>
      <c r="AO400" s="87" t="s">
        <v>1854</v>
      </c>
      <c r="AP400" s="82" t="b">
        <v>0</v>
      </c>
      <c r="AQ400" s="87" t="s">
        <v>1779</v>
      </c>
      <c r="AR400" s="82"/>
      <c r="AS400" s="82">
        <v>0</v>
      </c>
      <c r="AT400" s="82">
        <v>0</v>
      </c>
      <c r="AU400" s="82"/>
      <c r="AV400" s="82"/>
      <c r="AW400" s="82"/>
      <c r="AX400" s="82"/>
      <c r="AY400" s="82"/>
      <c r="AZ400" s="82"/>
      <c r="BA400" s="82"/>
      <c r="BB400" s="82"/>
      <c r="BC400">
        <v>3</v>
      </c>
      <c r="BD400" s="81" t="str">
        <f>REPLACE(INDEX(GroupVertices[Group],MATCH(Edges[[#This Row],[Vertex 1]],GroupVertices[Vertex],0)),1,1,"")</f>
        <v>1</v>
      </c>
      <c r="BE400" s="81" t="str">
        <f>REPLACE(INDEX(GroupVertices[Group],MATCH(Edges[[#This Row],[Vertex 2]],GroupVertices[Vertex],0)),1,1,"")</f>
        <v>1</v>
      </c>
      <c r="BF400" s="49">
        <v>2</v>
      </c>
      <c r="BG400" s="50">
        <v>5.405405405405405</v>
      </c>
      <c r="BH400" s="49">
        <v>3</v>
      </c>
      <c r="BI400" s="50">
        <v>8.108108108108109</v>
      </c>
      <c r="BJ400" s="49">
        <v>0</v>
      </c>
      <c r="BK400" s="50">
        <v>0</v>
      </c>
      <c r="BL400" s="49">
        <v>32</v>
      </c>
      <c r="BM400" s="50">
        <v>86.48648648648648</v>
      </c>
      <c r="BN400" s="49">
        <v>37</v>
      </c>
    </row>
    <row r="401" spans="1:66" ht="15">
      <c r="A401" s="66" t="s">
        <v>435</v>
      </c>
      <c r="B401" s="66" t="s">
        <v>435</v>
      </c>
      <c r="C401" s="67" t="s">
        <v>4512</v>
      </c>
      <c r="D401" s="68">
        <v>4.2727272727272725</v>
      </c>
      <c r="E401" s="69" t="s">
        <v>136</v>
      </c>
      <c r="F401" s="70">
        <v>30.594594594594593</v>
      </c>
      <c r="G401" s="67"/>
      <c r="H401" s="71"/>
      <c r="I401" s="72"/>
      <c r="J401" s="72"/>
      <c r="K401" s="35" t="s">
        <v>65</v>
      </c>
      <c r="L401" s="80">
        <v>401</v>
      </c>
      <c r="M401" s="80"/>
      <c r="N401" s="74"/>
      <c r="O401" s="82" t="s">
        <v>214</v>
      </c>
      <c r="P401" s="84">
        <v>44518.62856481481</v>
      </c>
      <c r="Q401" s="82" t="s">
        <v>861</v>
      </c>
      <c r="R401" s="85" t="str">
        <f>HYPERLINK("https://www.efsa.europa.eu/en/topics/topic/antimicrobial-resistance")</f>
        <v>https://www.efsa.europa.eu/en/topics/topic/antimicrobial-resistance</v>
      </c>
      <c r="S401" s="82" t="s">
        <v>915</v>
      </c>
      <c r="T401" s="87" t="s">
        <v>1132</v>
      </c>
      <c r="U401" s="82"/>
      <c r="V401" s="85" t="str">
        <f>HYPERLINK("https://pbs.twimg.com/profile_images/1046703737438437377/yhI1br33_normal.jpg")</f>
        <v>https://pbs.twimg.com/profile_images/1046703737438437377/yhI1br33_normal.jpg</v>
      </c>
      <c r="W401" s="84">
        <v>44518.62856481481</v>
      </c>
      <c r="X401" s="90">
        <v>44518</v>
      </c>
      <c r="Y401" s="87" t="s">
        <v>1425</v>
      </c>
      <c r="Z401" s="85" t="str">
        <f>HYPERLINK("https://twitter.com/efsa_eu/status/1461349760300765191")</f>
        <v>https://twitter.com/efsa_eu/status/1461349760300765191</v>
      </c>
      <c r="AA401" s="82"/>
      <c r="AB401" s="82"/>
      <c r="AC401" s="87" t="s">
        <v>1780</v>
      </c>
      <c r="AD401" s="82"/>
      <c r="AE401" s="82" t="b">
        <v>0</v>
      </c>
      <c r="AF401" s="82">
        <v>10</v>
      </c>
      <c r="AG401" s="87" t="s">
        <v>1815</v>
      </c>
      <c r="AH401" s="82" t="b">
        <v>0</v>
      </c>
      <c r="AI401" s="82" t="s">
        <v>1826</v>
      </c>
      <c r="AJ401" s="82"/>
      <c r="AK401" s="87" t="s">
        <v>1815</v>
      </c>
      <c r="AL401" s="82" t="b">
        <v>0</v>
      </c>
      <c r="AM401" s="82">
        <v>6</v>
      </c>
      <c r="AN401" s="87" t="s">
        <v>1815</v>
      </c>
      <c r="AO401" s="87" t="s">
        <v>1854</v>
      </c>
      <c r="AP401" s="82" t="b">
        <v>0</v>
      </c>
      <c r="AQ401" s="87" t="s">
        <v>1780</v>
      </c>
      <c r="AR401" s="82"/>
      <c r="AS401" s="82">
        <v>0</v>
      </c>
      <c r="AT401" s="82">
        <v>0</v>
      </c>
      <c r="AU401" s="82"/>
      <c r="AV401" s="82"/>
      <c r="AW401" s="82"/>
      <c r="AX401" s="82"/>
      <c r="AY401" s="82"/>
      <c r="AZ401" s="82"/>
      <c r="BA401" s="82"/>
      <c r="BB401" s="82"/>
      <c r="BC401">
        <v>3</v>
      </c>
      <c r="BD401" s="81" t="str">
        <f>REPLACE(INDEX(GroupVertices[Group],MATCH(Edges[[#This Row],[Vertex 1]],GroupVertices[Vertex],0)),1,1,"")</f>
        <v>1</v>
      </c>
      <c r="BE401" s="81" t="str">
        <f>REPLACE(INDEX(GroupVertices[Group],MATCH(Edges[[#This Row],[Vertex 2]],GroupVertices[Vertex],0)),1,1,"")</f>
        <v>1</v>
      </c>
      <c r="BF401" s="49">
        <v>0</v>
      </c>
      <c r="BG401" s="50">
        <v>0</v>
      </c>
      <c r="BH401" s="49">
        <v>1</v>
      </c>
      <c r="BI401" s="50">
        <v>3.0303030303030303</v>
      </c>
      <c r="BJ401" s="49">
        <v>0</v>
      </c>
      <c r="BK401" s="50">
        <v>0</v>
      </c>
      <c r="BL401" s="49">
        <v>32</v>
      </c>
      <c r="BM401" s="50">
        <v>96.96969696969697</v>
      </c>
      <c r="BN401" s="49">
        <v>33</v>
      </c>
    </row>
    <row r="402" spans="1:66" ht="15">
      <c r="A402" s="66" t="s">
        <v>435</v>
      </c>
      <c r="B402" s="66" t="s">
        <v>435</v>
      </c>
      <c r="C402" s="67" t="s">
        <v>4512</v>
      </c>
      <c r="D402" s="68">
        <v>4.2727272727272725</v>
      </c>
      <c r="E402" s="69" t="s">
        <v>136</v>
      </c>
      <c r="F402" s="70">
        <v>30.594594594594593</v>
      </c>
      <c r="G402" s="67"/>
      <c r="H402" s="71"/>
      <c r="I402" s="72"/>
      <c r="J402" s="72"/>
      <c r="K402" s="35" t="s">
        <v>65</v>
      </c>
      <c r="L402" s="80">
        <v>402</v>
      </c>
      <c r="M402" s="80"/>
      <c r="N402" s="74"/>
      <c r="O402" s="82" t="s">
        <v>214</v>
      </c>
      <c r="P402" s="84">
        <v>44518.632002314815</v>
      </c>
      <c r="Q402" s="82" t="s">
        <v>862</v>
      </c>
      <c r="R402" s="85" t="str">
        <f>HYPERLINK("https://www.efsa.europa.eu/en/topics/topic/antimicrobial-resistance")</f>
        <v>https://www.efsa.europa.eu/en/topics/topic/antimicrobial-resistance</v>
      </c>
      <c r="S402" s="82" t="s">
        <v>915</v>
      </c>
      <c r="T402" s="87" t="s">
        <v>1133</v>
      </c>
      <c r="U402" s="82"/>
      <c r="V402" s="85" t="str">
        <f>HYPERLINK("https://pbs.twimg.com/profile_images/1046703737438437377/yhI1br33_normal.jpg")</f>
        <v>https://pbs.twimg.com/profile_images/1046703737438437377/yhI1br33_normal.jpg</v>
      </c>
      <c r="W402" s="84">
        <v>44518.632002314815</v>
      </c>
      <c r="X402" s="90">
        <v>44518</v>
      </c>
      <c r="Y402" s="87" t="s">
        <v>1426</v>
      </c>
      <c r="Z402" s="85" t="str">
        <f>HYPERLINK("https://twitter.com/efsa_eu/status/1461351009456844805")</f>
        <v>https://twitter.com/efsa_eu/status/1461351009456844805</v>
      </c>
      <c r="AA402" s="82"/>
      <c r="AB402" s="82"/>
      <c r="AC402" s="87" t="s">
        <v>1781</v>
      </c>
      <c r="AD402" s="82"/>
      <c r="AE402" s="82" t="b">
        <v>0</v>
      </c>
      <c r="AF402" s="82">
        <v>8</v>
      </c>
      <c r="AG402" s="87" t="s">
        <v>1815</v>
      </c>
      <c r="AH402" s="82" t="b">
        <v>0</v>
      </c>
      <c r="AI402" s="82" t="s">
        <v>1826</v>
      </c>
      <c r="AJ402" s="82"/>
      <c r="AK402" s="87" t="s">
        <v>1815</v>
      </c>
      <c r="AL402" s="82" t="b">
        <v>0</v>
      </c>
      <c r="AM402" s="82">
        <v>2</v>
      </c>
      <c r="AN402" s="87" t="s">
        <v>1815</v>
      </c>
      <c r="AO402" s="87" t="s">
        <v>1854</v>
      </c>
      <c r="AP402" s="82" t="b">
        <v>0</v>
      </c>
      <c r="AQ402" s="87" t="s">
        <v>1781</v>
      </c>
      <c r="AR402" s="82"/>
      <c r="AS402" s="82">
        <v>0</v>
      </c>
      <c r="AT402" s="82">
        <v>0</v>
      </c>
      <c r="AU402" s="82"/>
      <c r="AV402" s="82"/>
      <c r="AW402" s="82"/>
      <c r="AX402" s="82"/>
      <c r="AY402" s="82"/>
      <c r="AZ402" s="82"/>
      <c r="BA402" s="82"/>
      <c r="BB402" s="82"/>
      <c r="BC402">
        <v>3</v>
      </c>
      <c r="BD402" s="81" t="str">
        <f>REPLACE(INDEX(GroupVertices[Group],MATCH(Edges[[#This Row],[Vertex 1]],GroupVertices[Vertex],0)),1,1,"")</f>
        <v>1</v>
      </c>
      <c r="BE402" s="81" t="str">
        <f>REPLACE(INDEX(GroupVertices[Group],MATCH(Edges[[#This Row],[Vertex 2]],GroupVertices[Vertex],0)),1,1,"")</f>
        <v>1</v>
      </c>
      <c r="BF402" s="49">
        <v>1</v>
      </c>
      <c r="BG402" s="50">
        <v>5.2631578947368425</v>
      </c>
      <c r="BH402" s="49">
        <v>0</v>
      </c>
      <c r="BI402" s="50">
        <v>0</v>
      </c>
      <c r="BJ402" s="49">
        <v>0</v>
      </c>
      <c r="BK402" s="50">
        <v>0</v>
      </c>
      <c r="BL402" s="49">
        <v>18</v>
      </c>
      <c r="BM402" s="50">
        <v>94.73684210526316</v>
      </c>
      <c r="BN402" s="49">
        <v>19</v>
      </c>
    </row>
    <row r="403" spans="1:66" ht="15">
      <c r="A403" s="66" t="s">
        <v>436</v>
      </c>
      <c r="B403" s="66" t="s">
        <v>436</v>
      </c>
      <c r="C403" s="67" t="s">
        <v>4512</v>
      </c>
      <c r="D403" s="68">
        <v>4.2727272727272725</v>
      </c>
      <c r="E403" s="69" t="s">
        <v>136</v>
      </c>
      <c r="F403" s="70">
        <v>30.594594594594593</v>
      </c>
      <c r="G403" s="67"/>
      <c r="H403" s="71"/>
      <c r="I403" s="72"/>
      <c r="J403" s="72"/>
      <c r="K403" s="35" t="s">
        <v>65</v>
      </c>
      <c r="L403" s="80">
        <v>403</v>
      </c>
      <c r="M403" s="80"/>
      <c r="N403" s="74"/>
      <c r="O403" s="82" t="s">
        <v>214</v>
      </c>
      <c r="P403" s="84">
        <v>44518.639236111114</v>
      </c>
      <c r="Q403" s="82" t="s">
        <v>859</v>
      </c>
      <c r="R403" s="82"/>
      <c r="S403" s="82"/>
      <c r="T403" s="87" t="s">
        <v>1130</v>
      </c>
      <c r="U403" s="82"/>
      <c r="V403" s="85" t="str">
        <f>HYPERLINK("https://pbs.twimg.com/profile_images/1257632466627682304/lpBjSD0q_normal.jpg")</f>
        <v>https://pbs.twimg.com/profile_images/1257632466627682304/lpBjSD0q_normal.jpg</v>
      </c>
      <c r="W403" s="84">
        <v>44518.639236111114</v>
      </c>
      <c r="X403" s="90">
        <v>44518</v>
      </c>
      <c r="Y403" s="87" t="s">
        <v>1427</v>
      </c>
      <c r="Z403" s="85" t="str">
        <f>HYPERLINK("https://twitter.com/countydurhamccg/status/1461353628988366849")</f>
        <v>https://twitter.com/countydurhamccg/status/1461353628988366849</v>
      </c>
      <c r="AA403" s="82"/>
      <c r="AB403" s="82"/>
      <c r="AC403" s="87" t="s">
        <v>1782</v>
      </c>
      <c r="AD403" s="87" t="s">
        <v>1783</v>
      </c>
      <c r="AE403" s="82" t="b">
        <v>0</v>
      </c>
      <c r="AF403" s="82">
        <v>0</v>
      </c>
      <c r="AG403" s="87" t="s">
        <v>1825</v>
      </c>
      <c r="AH403" s="82" t="b">
        <v>0</v>
      </c>
      <c r="AI403" s="82" t="s">
        <v>1826</v>
      </c>
      <c r="AJ403" s="82"/>
      <c r="AK403" s="87" t="s">
        <v>1815</v>
      </c>
      <c r="AL403" s="82" t="b">
        <v>0</v>
      </c>
      <c r="AM403" s="82">
        <v>0</v>
      </c>
      <c r="AN403" s="87" t="s">
        <v>1815</v>
      </c>
      <c r="AO403" s="87" t="s">
        <v>1869</v>
      </c>
      <c r="AP403" s="82" t="b">
        <v>0</v>
      </c>
      <c r="AQ403" s="87" t="s">
        <v>1783</v>
      </c>
      <c r="AR403" s="82"/>
      <c r="AS403" s="82">
        <v>0</v>
      </c>
      <c r="AT403" s="82">
        <v>0</v>
      </c>
      <c r="AU403" s="82"/>
      <c r="AV403" s="82"/>
      <c r="AW403" s="82"/>
      <c r="AX403" s="82"/>
      <c r="AY403" s="82"/>
      <c r="AZ403" s="82"/>
      <c r="BA403" s="82"/>
      <c r="BB403" s="82"/>
      <c r="BC403">
        <v>3</v>
      </c>
      <c r="BD403" s="81" t="str">
        <f>REPLACE(INDEX(GroupVertices[Group],MATCH(Edges[[#This Row],[Vertex 1]],GroupVertices[Vertex],0)),1,1,"")</f>
        <v>1</v>
      </c>
      <c r="BE403" s="81" t="str">
        <f>REPLACE(INDEX(GroupVertices[Group],MATCH(Edges[[#This Row],[Vertex 2]],GroupVertices[Vertex],0)),1,1,"")</f>
        <v>1</v>
      </c>
      <c r="BF403" s="49">
        <v>0</v>
      </c>
      <c r="BG403" s="50">
        <v>0</v>
      </c>
      <c r="BH403" s="49">
        <v>0</v>
      </c>
      <c r="BI403" s="50">
        <v>0</v>
      </c>
      <c r="BJ403" s="49">
        <v>0</v>
      </c>
      <c r="BK403" s="50">
        <v>0</v>
      </c>
      <c r="BL403" s="49">
        <v>36</v>
      </c>
      <c r="BM403" s="50">
        <v>100</v>
      </c>
      <c r="BN403" s="49">
        <v>36</v>
      </c>
    </row>
    <row r="404" spans="1:66" ht="15">
      <c r="A404" s="66" t="s">
        <v>436</v>
      </c>
      <c r="B404" s="66" t="s">
        <v>436</v>
      </c>
      <c r="C404" s="67" t="s">
        <v>4512</v>
      </c>
      <c r="D404" s="68">
        <v>4.2727272727272725</v>
      </c>
      <c r="E404" s="69" t="s">
        <v>136</v>
      </c>
      <c r="F404" s="70">
        <v>30.594594594594593</v>
      </c>
      <c r="G404" s="67"/>
      <c r="H404" s="71"/>
      <c r="I404" s="72"/>
      <c r="J404" s="72"/>
      <c r="K404" s="35" t="s">
        <v>65</v>
      </c>
      <c r="L404" s="80">
        <v>404</v>
      </c>
      <c r="M404" s="80"/>
      <c r="N404" s="74"/>
      <c r="O404" s="82" t="s">
        <v>214</v>
      </c>
      <c r="P404" s="84">
        <v>44518.635567129626</v>
      </c>
      <c r="Q404" s="82" t="s">
        <v>863</v>
      </c>
      <c r="R404" s="82"/>
      <c r="S404" s="82"/>
      <c r="T404" s="87" t="s">
        <v>1134</v>
      </c>
      <c r="U404" s="85" t="str">
        <f>HYPERLINK("https://pbs.twimg.com/media/FEfEK6RVEBEeI39.png")</f>
        <v>https://pbs.twimg.com/media/FEfEK6RVEBEeI39.png</v>
      </c>
      <c r="V404" s="85" t="str">
        <f>HYPERLINK("https://pbs.twimg.com/media/FEfEK6RVEBEeI39.png")</f>
        <v>https://pbs.twimg.com/media/FEfEK6RVEBEeI39.png</v>
      </c>
      <c r="W404" s="84">
        <v>44518.635567129626</v>
      </c>
      <c r="X404" s="90">
        <v>44518</v>
      </c>
      <c r="Y404" s="87" t="s">
        <v>1287</v>
      </c>
      <c r="Z404" s="85" t="str">
        <f>HYPERLINK("https://twitter.com/countydurhamccg/status/1461352300165746697")</f>
        <v>https://twitter.com/countydurhamccg/status/1461352300165746697</v>
      </c>
      <c r="AA404" s="82"/>
      <c r="AB404" s="82"/>
      <c r="AC404" s="87" t="s">
        <v>1783</v>
      </c>
      <c r="AD404" s="82"/>
      <c r="AE404" s="82" t="b">
        <v>0</v>
      </c>
      <c r="AF404" s="82">
        <v>0</v>
      </c>
      <c r="AG404" s="87" t="s">
        <v>1815</v>
      </c>
      <c r="AH404" s="82" t="b">
        <v>0</v>
      </c>
      <c r="AI404" s="82" t="s">
        <v>1826</v>
      </c>
      <c r="AJ404" s="82"/>
      <c r="AK404" s="87" t="s">
        <v>1815</v>
      </c>
      <c r="AL404" s="82" t="b">
        <v>0</v>
      </c>
      <c r="AM404" s="82">
        <v>1</v>
      </c>
      <c r="AN404" s="87" t="s">
        <v>1815</v>
      </c>
      <c r="AO404" s="87" t="s">
        <v>1869</v>
      </c>
      <c r="AP404" s="82" t="b">
        <v>0</v>
      </c>
      <c r="AQ404" s="87" t="s">
        <v>1783</v>
      </c>
      <c r="AR404" s="82"/>
      <c r="AS404" s="82">
        <v>0</v>
      </c>
      <c r="AT404" s="82">
        <v>0</v>
      </c>
      <c r="AU404" s="82"/>
      <c r="AV404" s="82"/>
      <c r="AW404" s="82"/>
      <c r="AX404" s="82"/>
      <c r="AY404" s="82"/>
      <c r="AZ404" s="82"/>
      <c r="BA404" s="82"/>
      <c r="BB404" s="82"/>
      <c r="BC404">
        <v>3</v>
      </c>
      <c r="BD404" s="81" t="str">
        <f>REPLACE(INDEX(GroupVertices[Group],MATCH(Edges[[#This Row],[Vertex 1]],GroupVertices[Vertex],0)),1,1,"")</f>
        <v>1</v>
      </c>
      <c r="BE404" s="81" t="str">
        <f>REPLACE(INDEX(GroupVertices[Group],MATCH(Edges[[#This Row],[Vertex 2]],GroupVertices[Vertex],0)),1,1,"")</f>
        <v>1</v>
      </c>
      <c r="BF404" s="49">
        <v>0</v>
      </c>
      <c r="BG404" s="50">
        <v>0</v>
      </c>
      <c r="BH404" s="49">
        <v>4</v>
      </c>
      <c r="BI404" s="50">
        <v>12.903225806451612</v>
      </c>
      <c r="BJ404" s="49">
        <v>1</v>
      </c>
      <c r="BK404" s="50">
        <v>3.225806451612903</v>
      </c>
      <c r="BL404" s="49">
        <v>27</v>
      </c>
      <c r="BM404" s="50">
        <v>87.09677419354838</v>
      </c>
      <c r="BN404" s="49">
        <v>31</v>
      </c>
    </row>
    <row r="405" spans="1:66" ht="15">
      <c r="A405" s="66" t="s">
        <v>436</v>
      </c>
      <c r="B405" s="66" t="s">
        <v>436</v>
      </c>
      <c r="C405" s="67" t="s">
        <v>4512</v>
      </c>
      <c r="D405" s="68">
        <v>4.2727272727272725</v>
      </c>
      <c r="E405" s="69" t="s">
        <v>136</v>
      </c>
      <c r="F405" s="70">
        <v>30.594594594594593</v>
      </c>
      <c r="G405" s="67"/>
      <c r="H405" s="71"/>
      <c r="I405" s="72"/>
      <c r="J405" s="72"/>
      <c r="K405" s="35" t="s">
        <v>65</v>
      </c>
      <c r="L405" s="80">
        <v>405</v>
      </c>
      <c r="M405" s="80"/>
      <c r="N405" s="74"/>
      <c r="O405" s="82" t="s">
        <v>214</v>
      </c>
      <c r="P405" s="84">
        <v>44518.641284722224</v>
      </c>
      <c r="Q405" s="82" t="s">
        <v>864</v>
      </c>
      <c r="R405" s="82"/>
      <c r="S405" s="82"/>
      <c r="T405" s="87" t="s">
        <v>1135</v>
      </c>
      <c r="U405" s="82"/>
      <c r="V405" s="85" t="str">
        <f>HYPERLINK("https://pbs.twimg.com/profile_images/1257632466627682304/lpBjSD0q_normal.jpg")</f>
        <v>https://pbs.twimg.com/profile_images/1257632466627682304/lpBjSD0q_normal.jpg</v>
      </c>
      <c r="W405" s="84">
        <v>44518.641284722224</v>
      </c>
      <c r="X405" s="90">
        <v>44518</v>
      </c>
      <c r="Y405" s="87" t="s">
        <v>1428</v>
      </c>
      <c r="Z405" s="85" t="str">
        <f>HYPERLINK("https://twitter.com/countydurhamccg/status/1461354372349136897")</f>
        <v>https://twitter.com/countydurhamccg/status/1461354372349136897</v>
      </c>
      <c r="AA405" s="82"/>
      <c r="AB405" s="82"/>
      <c r="AC405" s="87" t="s">
        <v>1784</v>
      </c>
      <c r="AD405" s="87" t="s">
        <v>1782</v>
      </c>
      <c r="AE405" s="82" t="b">
        <v>0</v>
      </c>
      <c r="AF405" s="82">
        <v>1</v>
      </c>
      <c r="AG405" s="87" t="s">
        <v>1825</v>
      </c>
      <c r="AH405" s="82" t="b">
        <v>0</v>
      </c>
      <c r="AI405" s="82" t="s">
        <v>1826</v>
      </c>
      <c r="AJ405" s="82"/>
      <c r="AK405" s="87" t="s">
        <v>1815</v>
      </c>
      <c r="AL405" s="82" t="b">
        <v>0</v>
      </c>
      <c r="AM405" s="82">
        <v>0</v>
      </c>
      <c r="AN405" s="87" t="s">
        <v>1815</v>
      </c>
      <c r="AO405" s="87" t="s">
        <v>1869</v>
      </c>
      <c r="AP405" s="82" t="b">
        <v>0</v>
      </c>
      <c r="AQ405" s="87" t="s">
        <v>1782</v>
      </c>
      <c r="AR405" s="82"/>
      <c r="AS405" s="82">
        <v>0</v>
      </c>
      <c r="AT405" s="82">
        <v>0</v>
      </c>
      <c r="AU405" s="82"/>
      <c r="AV405" s="82"/>
      <c r="AW405" s="82"/>
      <c r="AX405" s="82"/>
      <c r="AY405" s="82"/>
      <c r="AZ405" s="82"/>
      <c r="BA405" s="82"/>
      <c r="BB405" s="82"/>
      <c r="BC405">
        <v>3</v>
      </c>
      <c r="BD405" s="81" t="str">
        <f>REPLACE(INDEX(GroupVertices[Group],MATCH(Edges[[#This Row],[Vertex 1]],GroupVertices[Vertex],0)),1,1,"")</f>
        <v>1</v>
      </c>
      <c r="BE405" s="81" t="str">
        <f>REPLACE(INDEX(GroupVertices[Group],MATCH(Edges[[#This Row],[Vertex 2]],GroupVertices[Vertex],0)),1,1,"")</f>
        <v>1</v>
      </c>
      <c r="BF405" s="49">
        <v>0</v>
      </c>
      <c r="BG405" s="50">
        <v>0</v>
      </c>
      <c r="BH405" s="49">
        <v>0</v>
      </c>
      <c r="BI405" s="50">
        <v>0</v>
      </c>
      <c r="BJ405" s="49">
        <v>0</v>
      </c>
      <c r="BK405" s="50">
        <v>0</v>
      </c>
      <c r="BL405" s="49">
        <v>20</v>
      </c>
      <c r="BM405" s="50">
        <v>100</v>
      </c>
      <c r="BN405" s="49">
        <v>20</v>
      </c>
    </row>
    <row r="406" spans="1:66" ht="15">
      <c r="A406" s="66" t="s">
        <v>437</v>
      </c>
      <c r="B406" s="66" t="s">
        <v>437</v>
      </c>
      <c r="C406" s="67" t="s">
        <v>4509</v>
      </c>
      <c r="D406" s="68">
        <v>3</v>
      </c>
      <c r="E406" s="69" t="s">
        <v>132</v>
      </c>
      <c r="F406" s="70">
        <v>32</v>
      </c>
      <c r="G406" s="67"/>
      <c r="H406" s="71"/>
      <c r="I406" s="72"/>
      <c r="J406" s="72"/>
      <c r="K406" s="35" t="s">
        <v>65</v>
      </c>
      <c r="L406" s="80">
        <v>406</v>
      </c>
      <c r="M406" s="80"/>
      <c r="N406" s="74"/>
      <c r="O406" s="82" t="s">
        <v>214</v>
      </c>
      <c r="P406" s="84">
        <v>44518.625659722224</v>
      </c>
      <c r="Q406" s="82" t="s">
        <v>865</v>
      </c>
      <c r="R406" s="82"/>
      <c r="S406" s="82"/>
      <c r="T406" s="87" t="s">
        <v>955</v>
      </c>
      <c r="U406" s="85" t="str">
        <f>HYPERLINK("https://pbs.twimg.com/media/FEfA6LUVIA0S2R0.jpg")</f>
        <v>https://pbs.twimg.com/media/FEfA6LUVIA0S2R0.jpg</v>
      </c>
      <c r="V406" s="85" t="str">
        <f>HYPERLINK("https://pbs.twimg.com/media/FEfA6LUVIA0S2R0.jpg")</f>
        <v>https://pbs.twimg.com/media/FEfA6LUVIA0S2R0.jpg</v>
      </c>
      <c r="W406" s="84">
        <v>44518.625659722224</v>
      </c>
      <c r="X406" s="90">
        <v>44518</v>
      </c>
      <c r="Y406" s="87" t="s">
        <v>1171</v>
      </c>
      <c r="Z406" s="85" t="str">
        <f>HYPERLINK("https://twitter.com/cppeengland/status/1461348711359913986")</f>
        <v>https://twitter.com/cppeengland/status/1461348711359913986</v>
      </c>
      <c r="AA406" s="82"/>
      <c r="AB406" s="82"/>
      <c r="AC406" s="87" t="s">
        <v>1785</v>
      </c>
      <c r="AD406" s="82"/>
      <c r="AE406" s="82" t="b">
        <v>0</v>
      </c>
      <c r="AF406" s="82">
        <v>7</v>
      </c>
      <c r="AG406" s="87" t="s">
        <v>1815</v>
      </c>
      <c r="AH406" s="82" t="b">
        <v>0</v>
      </c>
      <c r="AI406" s="82" t="s">
        <v>1826</v>
      </c>
      <c r="AJ406" s="82"/>
      <c r="AK406" s="87" t="s">
        <v>1815</v>
      </c>
      <c r="AL406" s="82" t="b">
        <v>0</v>
      </c>
      <c r="AM406" s="82">
        <v>5</v>
      </c>
      <c r="AN406" s="87" t="s">
        <v>1815</v>
      </c>
      <c r="AO406" s="87" t="s">
        <v>1854</v>
      </c>
      <c r="AP406" s="82" t="b">
        <v>0</v>
      </c>
      <c r="AQ406" s="87" t="s">
        <v>1785</v>
      </c>
      <c r="AR406" s="82"/>
      <c r="AS406" s="82">
        <v>0</v>
      </c>
      <c r="AT406" s="82">
        <v>0</v>
      </c>
      <c r="AU406" s="82"/>
      <c r="AV406" s="82"/>
      <c r="AW406" s="82"/>
      <c r="AX406" s="82"/>
      <c r="AY406" s="82"/>
      <c r="AZ406" s="82"/>
      <c r="BA406" s="82"/>
      <c r="BB406" s="82"/>
      <c r="BC406">
        <v>1</v>
      </c>
      <c r="BD406" s="81" t="str">
        <f>REPLACE(INDEX(GroupVertices[Group],MATCH(Edges[[#This Row],[Vertex 1]],GroupVertices[Vertex],0)),1,1,"")</f>
        <v>1</v>
      </c>
      <c r="BE406" s="81" t="str">
        <f>REPLACE(INDEX(GroupVertices[Group],MATCH(Edges[[#This Row],[Vertex 2]],GroupVertices[Vertex],0)),1,1,"")</f>
        <v>1</v>
      </c>
      <c r="BF406" s="49">
        <v>0</v>
      </c>
      <c r="BG406" s="50">
        <v>0</v>
      </c>
      <c r="BH406" s="49">
        <v>2</v>
      </c>
      <c r="BI406" s="50">
        <v>6.0606060606060606</v>
      </c>
      <c r="BJ406" s="49">
        <v>0</v>
      </c>
      <c r="BK406" s="50">
        <v>0</v>
      </c>
      <c r="BL406" s="49">
        <v>31</v>
      </c>
      <c r="BM406" s="50">
        <v>93.93939393939394</v>
      </c>
      <c r="BN406" s="49">
        <v>33</v>
      </c>
    </row>
    <row r="407" spans="1:66" ht="15">
      <c r="A407" s="66" t="s">
        <v>438</v>
      </c>
      <c r="B407" s="66" t="s">
        <v>504</v>
      </c>
      <c r="C407" s="67" t="s">
        <v>4509</v>
      </c>
      <c r="D407" s="68">
        <v>3</v>
      </c>
      <c r="E407" s="69" t="s">
        <v>132</v>
      </c>
      <c r="F407" s="70">
        <v>32</v>
      </c>
      <c r="G407" s="67"/>
      <c r="H407" s="71"/>
      <c r="I407" s="72"/>
      <c r="J407" s="72"/>
      <c r="K407" s="35" t="s">
        <v>65</v>
      </c>
      <c r="L407" s="80">
        <v>407</v>
      </c>
      <c r="M407" s="80"/>
      <c r="N407" s="74"/>
      <c r="O407" s="82" t="s">
        <v>528</v>
      </c>
      <c r="P407" s="84">
        <v>44518.62991898148</v>
      </c>
      <c r="Q407" s="82" t="s">
        <v>866</v>
      </c>
      <c r="R407" s="82"/>
      <c r="S407" s="82"/>
      <c r="T407" s="87" t="s">
        <v>1136</v>
      </c>
      <c r="U407" s="82"/>
      <c r="V407" s="85" t="str">
        <f>HYPERLINK("https://pbs.twimg.com/profile_images/1423274036637802502/6wtCgaqA_normal.jpg")</f>
        <v>https://pbs.twimg.com/profile_images/1423274036637802502/6wtCgaqA_normal.jpg</v>
      </c>
      <c r="W407" s="84">
        <v>44518.62991898148</v>
      </c>
      <c r="X407" s="90">
        <v>44518</v>
      </c>
      <c r="Y407" s="87" t="s">
        <v>1304</v>
      </c>
      <c r="Z407" s="85" t="str">
        <f>HYPERLINK("https://twitter.com/curafdn/status/1461350253362225159")</f>
        <v>https://twitter.com/curafdn/status/1461350253362225159</v>
      </c>
      <c r="AA407" s="82"/>
      <c r="AB407" s="82"/>
      <c r="AC407" s="87" t="s">
        <v>1786</v>
      </c>
      <c r="AD407" s="82"/>
      <c r="AE407" s="82" t="b">
        <v>0</v>
      </c>
      <c r="AF407" s="82">
        <v>1</v>
      </c>
      <c r="AG407" s="87" t="s">
        <v>1815</v>
      </c>
      <c r="AH407" s="82" t="b">
        <v>0</v>
      </c>
      <c r="AI407" s="82" t="s">
        <v>1826</v>
      </c>
      <c r="AJ407" s="82"/>
      <c r="AK407" s="87" t="s">
        <v>1815</v>
      </c>
      <c r="AL407" s="82" t="b">
        <v>0</v>
      </c>
      <c r="AM407" s="82">
        <v>0</v>
      </c>
      <c r="AN407" s="87" t="s">
        <v>1815</v>
      </c>
      <c r="AO407" s="87" t="s">
        <v>1858</v>
      </c>
      <c r="AP407" s="82" t="b">
        <v>0</v>
      </c>
      <c r="AQ407" s="87" t="s">
        <v>1786</v>
      </c>
      <c r="AR407" s="82"/>
      <c r="AS407" s="82">
        <v>0</v>
      </c>
      <c r="AT407" s="82">
        <v>0</v>
      </c>
      <c r="AU407" s="82"/>
      <c r="AV407" s="82"/>
      <c r="AW407" s="82"/>
      <c r="AX407" s="82"/>
      <c r="AY407" s="82"/>
      <c r="AZ407" s="82"/>
      <c r="BA407" s="82"/>
      <c r="BB407" s="82"/>
      <c r="BC407">
        <v>1</v>
      </c>
      <c r="BD407" s="81" t="str">
        <f>REPLACE(INDEX(GroupVertices[Group],MATCH(Edges[[#This Row],[Vertex 1]],GroupVertices[Vertex],0)),1,1,"")</f>
        <v>2</v>
      </c>
      <c r="BE407" s="81" t="str">
        <f>REPLACE(INDEX(GroupVertices[Group],MATCH(Edges[[#This Row],[Vertex 2]],GroupVertices[Vertex],0)),1,1,"")</f>
        <v>2</v>
      </c>
      <c r="BF407" s="49">
        <v>1</v>
      </c>
      <c r="BG407" s="50">
        <v>4</v>
      </c>
      <c r="BH407" s="49">
        <v>1</v>
      </c>
      <c r="BI407" s="50">
        <v>4</v>
      </c>
      <c r="BJ407" s="49">
        <v>0</v>
      </c>
      <c r="BK407" s="50">
        <v>0</v>
      </c>
      <c r="BL407" s="49">
        <v>23</v>
      </c>
      <c r="BM407" s="50">
        <v>92</v>
      </c>
      <c r="BN407" s="49">
        <v>25</v>
      </c>
    </row>
    <row r="408" spans="1:66" ht="15">
      <c r="A408" s="66" t="s">
        <v>438</v>
      </c>
      <c r="B408" s="66" t="s">
        <v>438</v>
      </c>
      <c r="C408" s="67" t="s">
        <v>4510</v>
      </c>
      <c r="D408" s="68">
        <v>3.6363636363636362</v>
      </c>
      <c r="E408" s="69" t="s">
        <v>136</v>
      </c>
      <c r="F408" s="70">
        <v>31.2972972972973</v>
      </c>
      <c r="G408" s="67"/>
      <c r="H408" s="71"/>
      <c r="I408" s="72"/>
      <c r="J408" s="72"/>
      <c r="K408" s="35" t="s">
        <v>65</v>
      </c>
      <c r="L408" s="80">
        <v>408</v>
      </c>
      <c r="M408" s="80"/>
      <c r="N408" s="74"/>
      <c r="O408" s="82" t="s">
        <v>214</v>
      </c>
      <c r="P408" s="84">
        <v>44518.63201388889</v>
      </c>
      <c r="Q408" s="82" t="s">
        <v>867</v>
      </c>
      <c r="R408" s="82"/>
      <c r="S408" s="82"/>
      <c r="T408" s="87" t="s">
        <v>1137</v>
      </c>
      <c r="U408" s="82"/>
      <c r="V408" s="85" t="str">
        <f>HYPERLINK("https://pbs.twimg.com/profile_images/1423274036637802502/6wtCgaqA_normal.jpg")</f>
        <v>https://pbs.twimg.com/profile_images/1423274036637802502/6wtCgaqA_normal.jpg</v>
      </c>
      <c r="W408" s="84">
        <v>44518.63201388889</v>
      </c>
      <c r="X408" s="90">
        <v>44518</v>
      </c>
      <c r="Y408" s="87" t="s">
        <v>1429</v>
      </c>
      <c r="Z408" s="85" t="str">
        <f>HYPERLINK("https://twitter.com/curafdn/status/1461351012191539218")</f>
        <v>https://twitter.com/curafdn/status/1461351012191539218</v>
      </c>
      <c r="AA408" s="82"/>
      <c r="AB408" s="82"/>
      <c r="AC408" s="87" t="s">
        <v>1787</v>
      </c>
      <c r="AD408" s="82"/>
      <c r="AE408" s="82" t="b">
        <v>0</v>
      </c>
      <c r="AF408" s="82">
        <v>1</v>
      </c>
      <c r="AG408" s="87" t="s">
        <v>1815</v>
      </c>
      <c r="AH408" s="82" t="b">
        <v>0</v>
      </c>
      <c r="AI408" s="82" t="s">
        <v>1826</v>
      </c>
      <c r="AJ408" s="82"/>
      <c r="AK408" s="87" t="s">
        <v>1815</v>
      </c>
      <c r="AL408" s="82" t="b">
        <v>0</v>
      </c>
      <c r="AM408" s="82">
        <v>0</v>
      </c>
      <c r="AN408" s="87" t="s">
        <v>1815</v>
      </c>
      <c r="AO408" s="87" t="s">
        <v>1858</v>
      </c>
      <c r="AP408" s="82" t="b">
        <v>0</v>
      </c>
      <c r="AQ408" s="87" t="s">
        <v>1787</v>
      </c>
      <c r="AR408" s="82"/>
      <c r="AS408" s="82">
        <v>0</v>
      </c>
      <c r="AT408" s="82">
        <v>0</v>
      </c>
      <c r="AU408" s="82"/>
      <c r="AV408" s="82"/>
      <c r="AW408" s="82"/>
      <c r="AX408" s="82"/>
      <c r="AY408" s="82"/>
      <c r="AZ408" s="82"/>
      <c r="BA408" s="82"/>
      <c r="BB408" s="82"/>
      <c r="BC408">
        <v>2</v>
      </c>
      <c r="BD408" s="81" t="str">
        <f>REPLACE(INDEX(GroupVertices[Group],MATCH(Edges[[#This Row],[Vertex 1]],GroupVertices[Vertex],0)),1,1,"")</f>
        <v>2</v>
      </c>
      <c r="BE408" s="81" t="str">
        <f>REPLACE(INDEX(GroupVertices[Group],MATCH(Edges[[#This Row],[Vertex 2]],GroupVertices[Vertex],0)),1,1,"")</f>
        <v>2</v>
      </c>
      <c r="BF408" s="49">
        <v>2</v>
      </c>
      <c r="BG408" s="50">
        <v>4.878048780487805</v>
      </c>
      <c r="BH408" s="49">
        <v>0</v>
      </c>
      <c r="BI408" s="50">
        <v>0</v>
      </c>
      <c r="BJ408" s="49">
        <v>0</v>
      </c>
      <c r="BK408" s="50">
        <v>0</v>
      </c>
      <c r="BL408" s="49">
        <v>39</v>
      </c>
      <c r="BM408" s="50">
        <v>95.1219512195122</v>
      </c>
      <c r="BN408" s="49">
        <v>41</v>
      </c>
    </row>
    <row r="409" spans="1:66" ht="15">
      <c r="A409" s="66" t="s">
        <v>438</v>
      </c>
      <c r="B409" s="66" t="s">
        <v>438</v>
      </c>
      <c r="C409" s="67" t="s">
        <v>4510</v>
      </c>
      <c r="D409" s="68">
        <v>3.6363636363636362</v>
      </c>
      <c r="E409" s="69" t="s">
        <v>136</v>
      </c>
      <c r="F409" s="70">
        <v>31.2972972972973</v>
      </c>
      <c r="G409" s="67"/>
      <c r="H409" s="71"/>
      <c r="I409" s="72"/>
      <c r="J409" s="72"/>
      <c r="K409" s="35" t="s">
        <v>65</v>
      </c>
      <c r="L409" s="80">
        <v>409</v>
      </c>
      <c r="M409" s="80"/>
      <c r="N409" s="74"/>
      <c r="O409" s="82" t="s">
        <v>214</v>
      </c>
      <c r="P409" s="84">
        <v>44518.627847222226</v>
      </c>
      <c r="Q409" s="82" t="s">
        <v>868</v>
      </c>
      <c r="R409" s="82"/>
      <c r="S409" s="82"/>
      <c r="T409" s="87" t="s">
        <v>1137</v>
      </c>
      <c r="U409" s="82"/>
      <c r="V409" s="85" t="str">
        <f>HYPERLINK("https://pbs.twimg.com/profile_images/1423274036637802502/6wtCgaqA_normal.jpg")</f>
        <v>https://pbs.twimg.com/profile_images/1423274036637802502/6wtCgaqA_normal.jpg</v>
      </c>
      <c r="W409" s="84">
        <v>44518.627847222226</v>
      </c>
      <c r="X409" s="90">
        <v>44518</v>
      </c>
      <c r="Y409" s="87" t="s">
        <v>1430</v>
      </c>
      <c r="Z409" s="85" t="str">
        <f>HYPERLINK("https://twitter.com/curafdn/status/1461349502921502734")</f>
        <v>https://twitter.com/curafdn/status/1461349502921502734</v>
      </c>
      <c r="AA409" s="82"/>
      <c r="AB409" s="82"/>
      <c r="AC409" s="87" t="s">
        <v>1788</v>
      </c>
      <c r="AD409" s="82"/>
      <c r="AE409" s="82" t="b">
        <v>0</v>
      </c>
      <c r="AF409" s="82">
        <v>0</v>
      </c>
      <c r="AG409" s="87" t="s">
        <v>1815</v>
      </c>
      <c r="AH409" s="82" t="b">
        <v>0</v>
      </c>
      <c r="AI409" s="82" t="s">
        <v>1826</v>
      </c>
      <c r="AJ409" s="82"/>
      <c r="AK409" s="87" t="s">
        <v>1815</v>
      </c>
      <c r="AL409" s="82" t="b">
        <v>0</v>
      </c>
      <c r="AM409" s="82">
        <v>0</v>
      </c>
      <c r="AN409" s="87" t="s">
        <v>1815</v>
      </c>
      <c r="AO409" s="87" t="s">
        <v>1858</v>
      </c>
      <c r="AP409" s="82" t="b">
        <v>0</v>
      </c>
      <c r="AQ409" s="87" t="s">
        <v>1788</v>
      </c>
      <c r="AR409" s="82"/>
      <c r="AS409" s="82">
        <v>0</v>
      </c>
      <c r="AT409" s="82">
        <v>0</v>
      </c>
      <c r="AU409" s="82"/>
      <c r="AV409" s="82"/>
      <c r="AW409" s="82"/>
      <c r="AX409" s="82"/>
      <c r="AY409" s="82"/>
      <c r="AZ409" s="82"/>
      <c r="BA409" s="82"/>
      <c r="BB409" s="82"/>
      <c r="BC409">
        <v>2</v>
      </c>
      <c r="BD409" s="81" t="str">
        <f>REPLACE(INDEX(GroupVertices[Group],MATCH(Edges[[#This Row],[Vertex 1]],GroupVertices[Vertex],0)),1,1,"")</f>
        <v>2</v>
      </c>
      <c r="BE409" s="81" t="str">
        <f>REPLACE(INDEX(GroupVertices[Group],MATCH(Edges[[#This Row],[Vertex 2]],GroupVertices[Vertex],0)),1,1,"")</f>
        <v>2</v>
      </c>
      <c r="BF409" s="49">
        <v>2</v>
      </c>
      <c r="BG409" s="50">
        <v>5.405405405405405</v>
      </c>
      <c r="BH409" s="49">
        <v>3</v>
      </c>
      <c r="BI409" s="50">
        <v>8.108108108108109</v>
      </c>
      <c r="BJ409" s="49">
        <v>0</v>
      </c>
      <c r="BK409" s="50">
        <v>0</v>
      </c>
      <c r="BL409" s="49">
        <v>32</v>
      </c>
      <c r="BM409" s="50">
        <v>86.48648648648648</v>
      </c>
      <c r="BN409" s="49">
        <v>37</v>
      </c>
    </row>
    <row r="410" spans="1:66" ht="15">
      <c r="A410" s="66" t="s">
        <v>439</v>
      </c>
      <c r="B410" s="66" t="s">
        <v>439</v>
      </c>
      <c r="C410" s="67" t="s">
        <v>4509</v>
      </c>
      <c r="D410" s="68">
        <v>3</v>
      </c>
      <c r="E410" s="69" t="s">
        <v>132</v>
      </c>
      <c r="F410" s="70">
        <v>32</v>
      </c>
      <c r="G410" s="67"/>
      <c r="H410" s="71"/>
      <c r="I410" s="72"/>
      <c r="J410" s="72"/>
      <c r="K410" s="35" t="s">
        <v>65</v>
      </c>
      <c r="L410" s="80">
        <v>410</v>
      </c>
      <c r="M410" s="80"/>
      <c r="N410" s="74"/>
      <c r="O410" s="82" t="s">
        <v>214</v>
      </c>
      <c r="P410" s="84">
        <v>44518.63116898148</v>
      </c>
      <c r="Q410" s="82" t="s">
        <v>869</v>
      </c>
      <c r="R410" s="82"/>
      <c r="S410" s="82"/>
      <c r="T410" s="87" t="s">
        <v>1138</v>
      </c>
      <c r="U410" s="85" t="str">
        <f>HYPERLINK("https://pbs.twimg.com/media/FEfCXFGVICA_Jc9.jpg")</f>
        <v>https://pbs.twimg.com/media/FEfCXFGVICA_Jc9.jpg</v>
      </c>
      <c r="V410" s="85" t="str">
        <f>HYPERLINK("https://pbs.twimg.com/media/FEfCXFGVICA_Jc9.jpg")</f>
        <v>https://pbs.twimg.com/media/FEfCXFGVICA_Jc9.jpg</v>
      </c>
      <c r="W410" s="84">
        <v>44518.63116898148</v>
      </c>
      <c r="X410" s="90">
        <v>44518</v>
      </c>
      <c r="Y410" s="87" t="s">
        <v>1431</v>
      </c>
      <c r="Z410" s="85" t="str">
        <f>HYPERLINK("https://twitter.com/devshealth/status/1461350705067814914")</f>
        <v>https://twitter.com/devshealth/status/1461350705067814914</v>
      </c>
      <c r="AA410" s="82"/>
      <c r="AB410" s="82"/>
      <c r="AC410" s="87" t="s">
        <v>1789</v>
      </c>
      <c r="AD410" s="82"/>
      <c r="AE410" s="82" t="b">
        <v>0</v>
      </c>
      <c r="AF410" s="82">
        <v>3</v>
      </c>
      <c r="AG410" s="87" t="s">
        <v>1815</v>
      </c>
      <c r="AH410" s="82" t="b">
        <v>0</v>
      </c>
      <c r="AI410" s="82" t="s">
        <v>1826</v>
      </c>
      <c r="AJ410" s="82"/>
      <c r="AK410" s="87" t="s">
        <v>1815</v>
      </c>
      <c r="AL410" s="82" t="b">
        <v>0</v>
      </c>
      <c r="AM410" s="82">
        <v>3</v>
      </c>
      <c r="AN410" s="87" t="s">
        <v>1815</v>
      </c>
      <c r="AO410" s="87" t="s">
        <v>1850</v>
      </c>
      <c r="AP410" s="82" t="b">
        <v>0</v>
      </c>
      <c r="AQ410" s="87" t="s">
        <v>1789</v>
      </c>
      <c r="AR410" s="82"/>
      <c r="AS410" s="82">
        <v>0</v>
      </c>
      <c r="AT410" s="82">
        <v>0</v>
      </c>
      <c r="AU410" s="82"/>
      <c r="AV410" s="82"/>
      <c r="AW410" s="82"/>
      <c r="AX410" s="82"/>
      <c r="AY410" s="82"/>
      <c r="AZ410" s="82"/>
      <c r="BA410" s="82"/>
      <c r="BB410" s="82"/>
      <c r="BC410">
        <v>1</v>
      </c>
      <c r="BD410" s="81" t="str">
        <f>REPLACE(INDEX(GroupVertices[Group],MATCH(Edges[[#This Row],[Vertex 1]],GroupVertices[Vertex],0)),1,1,"")</f>
        <v>1</v>
      </c>
      <c r="BE410" s="81" t="str">
        <f>REPLACE(INDEX(GroupVertices[Group],MATCH(Edges[[#This Row],[Vertex 2]],GroupVertices[Vertex],0)),1,1,"")</f>
        <v>1</v>
      </c>
      <c r="BF410" s="49">
        <v>1</v>
      </c>
      <c r="BG410" s="50">
        <v>2.2222222222222223</v>
      </c>
      <c r="BH410" s="49">
        <v>2</v>
      </c>
      <c r="BI410" s="50">
        <v>4.444444444444445</v>
      </c>
      <c r="BJ410" s="49">
        <v>0</v>
      </c>
      <c r="BK410" s="50">
        <v>0</v>
      </c>
      <c r="BL410" s="49">
        <v>42</v>
      </c>
      <c r="BM410" s="50">
        <v>93.33333333333333</v>
      </c>
      <c r="BN410" s="49">
        <v>45</v>
      </c>
    </row>
    <row r="411" spans="1:66" ht="15">
      <c r="A411" s="66" t="s">
        <v>440</v>
      </c>
      <c r="B411" s="66" t="s">
        <v>440</v>
      </c>
      <c r="C411" s="67" t="s">
        <v>4509</v>
      </c>
      <c r="D411" s="68">
        <v>3</v>
      </c>
      <c r="E411" s="69" t="s">
        <v>132</v>
      </c>
      <c r="F411" s="70">
        <v>32</v>
      </c>
      <c r="G411" s="67"/>
      <c r="H411" s="71"/>
      <c r="I411" s="72"/>
      <c r="J411" s="72"/>
      <c r="K411" s="35" t="s">
        <v>65</v>
      </c>
      <c r="L411" s="80">
        <v>411</v>
      </c>
      <c r="M411" s="80"/>
      <c r="N411" s="74"/>
      <c r="O411" s="82" t="s">
        <v>214</v>
      </c>
      <c r="P411" s="84">
        <v>44518.628645833334</v>
      </c>
      <c r="Q411" s="82" t="s">
        <v>870</v>
      </c>
      <c r="R411" s="82"/>
      <c r="S411" s="82"/>
      <c r="T411" s="87" t="s">
        <v>955</v>
      </c>
      <c r="U411" s="85" t="str">
        <f>HYPERLINK("https://pbs.twimg.com/media/FEfB5BPUUAQBany.jpg")</f>
        <v>https://pbs.twimg.com/media/FEfB5BPUUAQBany.jpg</v>
      </c>
      <c r="V411" s="85" t="str">
        <f>HYPERLINK("https://pbs.twimg.com/media/FEfB5BPUUAQBany.jpg")</f>
        <v>https://pbs.twimg.com/media/FEfB5BPUUAQBany.jpg</v>
      </c>
      <c r="W411" s="84">
        <v>44518.628645833334</v>
      </c>
      <c r="X411" s="90">
        <v>44518</v>
      </c>
      <c r="Y411" s="87" t="s">
        <v>1432</v>
      </c>
      <c r="Z411" s="85" t="str">
        <f>HYPERLINK("https://twitter.com/cheshireeast/status/1461349793347694595")</f>
        <v>https://twitter.com/cheshireeast/status/1461349793347694595</v>
      </c>
      <c r="AA411" s="82"/>
      <c r="AB411" s="82"/>
      <c r="AC411" s="87" t="s">
        <v>1790</v>
      </c>
      <c r="AD411" s="82"/>
      <c r="AE411" s="82" t="b">
        <v>0</v>
      </c>
      <c r="AF411" s="82">
        <v>3</v>
      </c>
      <c r="AG411" s="87" t="s">
        <v>1815</v>
      </c>
      <c r="AH411" s="82" t="b">
        <v>0</v>
      </c>
      <c r="AI411" s="82" t="s">
        <v>1826</v>
      </c>
      <c r="AJ411" s="82"/>
      <c r="AK411" s="87" t="s">
        <v>1815</v>
      </c>
      <c r="AL411" s="82" t="b">
        <v>0</v>
      </c>
      <c r="AM411" s="82">
        <v>0</v>
      </c>
      <c r="AN411" s="87" t="s">
        <v>1815</v>
      </c>
      <c r="AO411" s="87" t="s">
        <v>1869</v>
      </c>
      <c r="AP411" s="82" t="b">
        <v>0</v>
      </c>
      <c r="AQ411" s="87" t="s">
        <v>1790</v>
      </c>
      <c r="AR411" s="82"/>
      <c r="AS411" s="82">
        <v>0</v>
      </c>
      <c r="AT411" s="82">
        <v>0</v>
      </c>
      <c r="AU411" s="82"/>
      <c r="AV411" s="82"/>
      <c r="AW411" s="82"/>
      <c r="AX411" s="82"/>
      <c r="AY411" s="82"/>
      <c r="AZ411" s="82"/>
      <c r="BA411" s="82"/>
      <c r="BB411" s="82"/>
      <c r="BC411">
        <v>1</v>
      </c>
      <c r="BD411" s="81" t="str">
        <f>REPLACE(INDEX(GroupVertices[Group],MATCH(Edges[[#This Row],[Vertex 1]],GroupVertices[Vertex],0)),1,1,"")</f>
        <v>1</v>
      </c>
      <c r="BE411" s="81" t="str">
        <f>REPLACE(INDEX(GroupVertices[Group],MATCH(Edges[[#This Row],[Vertex 2]],GroupVertices[Vertex],0)),1,1,"")</f>
        <v>1</v>
      </c>
      <c r="BF411" s="49">
        <v>0</v>
      </c>
      <c r="BG411" s="50">
        <v>0</v>
      </c>
      <c r="BH411" s="49">
        <v>2</v>
      </c>
      <c r="BI411" s="50">
        <v>6.0606060606060606</v>
      </c>
      <c r="BJ411" s="49">
        <v>0</v>
      </c>
      <c r="BK411" s="50">
        <v>0</v>
      </c>
      <c r="BL411" s="49">
        <v>31</v>
      </c>
      <c r="BM411" s="50">
        <v>93.93939393939394</v>
      </c>
      <c r="BN411" s="49">
        <v>33</v>
      </c>
    </row>
    <row r="412" spans="1:66" ht="15">
      <c r="A412" s="66" t="s">
        <v>441</v>
      </c>
      <c r="B412" s="66" t="s">
        <v>504</v>
      </c>
      <c r="C412" s="67" t="s">
        <v>4509</v>
      </c>
      <c r="D412" s="68">
        <v>3</v>
      </c>
      <c r="E412" s="69" t="s">
        <v>132</v>
      </c>
      <c r="F412" s="70">
        <v>32</v>
      </c>
      <c r="G412" s="67"/>
      <c r="H412" s="71"/>
      <c r="I412" s="72"/>
      <c r="J412" s="72"/>
      <c r="K412" s="35" t="s">
        <v>65</v>
      </c>
      <c r="L412" s="80">
        <v>412</v>
      </c>
      <c r="M412" s="80"/>
      <c r="N412" s="74"/>
      <c r="O412" s="82" t="s">
        <v>528</v>
      </c>
      <c r="P412" s="84">
        <v>44518.660150462965</v>
      </c>
      <c r="Q412" s="82" t="s">
        <v>871</v>
      </c>
      <c r="R412" s="82"/>
      <c r="S412" s="82"/>
      <c r="T412" s="87" t="s">
        <v>1139</v>
      </c>
      <c r="U412" s="85" t="str">
        <f>HYPERLINK("https://pbs.twimg.com/media/FEfMJ__VgAoLwEB.jpg")</f>
        <v>https://pbs.twimg.com/media/FEfMJ__VgAoLwEB.jpg</v>
      </c>
      <c r="V412" s="85" t="str">
        <f>HYPERLINK("https://pbs.twimg.com/media/FEfMJ__VgAoLwEB.jpg")</f>
        <v>https://pbs.twimg.com/media/FEfMJ__VgAoLwEB.jpg</v>
      </c>
      <c r="W412" s="84">
        <v>44518.660150462965</v>
      </c>
      <c r="X412" s="90">
        <v>44518</v>
      </c>
      <c r="Y412" s="87" t="s">
        <v>1433</v>
      </c>
      <c r="Z412" s="85" t="str">
        <f>HYPERLINK("https://twitter.com/battlesuperbugs/status/1461361208901074957")</f>
        <v>https://twitter.com/battlesuperbugs/status/1461361208901074957</v>
      </c>
      <c r="AA412" s="82"/>
      <c r="AB412" s="82"/>
      <c r="AC412" s="87" t="s">
        <v>1791</v>
      </c>
      <c r="AD412" s="82"/>
      <c r="AE412" s="82" t="b">
        <v>0</v>
      </c>
      <c r="AF412" s="82">
        <v>8</v>
      </c>
      <c r="AG412" s="87" t="s">
        <v>1815</v>
      </c>
      <c r="AH412" s="82" t="b">
        <v>0</v>
      </c>
      <c r="AI412" s="82" t="s">
        <v>1826</v>
      </c>
      <c r="AJ412" s="82"/>
      <c r="AK412" s="87" t="s">
        <v>1815</v>
      </c>
      <c r="AL412" s="82" t="b">
        <v>0</v>
      </c>
      <c r="AM412" s="82">
        <v>8</v>
      </c>
      <c r="AN412" s="87" t="s">
        <v>1815</v>
      </c>
      <c r="AO412" s="87" t="s">
        <v>1870</v>
      </c>
      <c r="AP412" s="82" t="b">
        <v>0</v>
      </c>
      <c r="AQ412" s="87" t="s">
        <v>1791</v>
      </c>
      <c r="AR412" s="82"/>
      <c r="AS412" s="82">
        <v>0</v>
      </c>
      <c r="AT412" s="82">
        <v>0</v>
      </c>
      <c r="AU412" s="82"/>
      <c r="AV412" s="82"/>
      <c r="AW412" s="82"/>
      <c r="AX412" s="82"/>
      <c r="AY412" s="82"/>
      <c r="AZ412" s="82"/>
      <c r="BA412" s="82"/>
      <c r="BB412" s="82"/>
      <c r="BC412">
        <v>1</v>
      </c>
      <c r="BD412" s="81" t="str">
        <f>REPLACE(INDEX(GroupVertices[Group],MATCH(Edges[[#This Row],[Vertex 1]],GroupVertices[Vertex],0)),1,1,"")</f>
        <v>2</v>
      </c>
      <c r="BE412" s="81" t="str">
        <f>REPLACE(INDEX(GroupVertices[Group],MATCH(Edges[[#This Row],[Vertex 2]],GroupVertices[Vertex],0)),1,1,"")</f>
        <v>2</v>
      </c>
      <c r="BF412" s="49">
        <v>0</v>
      </c>
      <c r="BG412" s="50">
        <v>0</v>
      </c>
      <c r="BH412" s="49">
        <v>0</v>
      </c>
      <c r="BI412" s="50">
        <v>0</v>
      </c>
      <c r="BJ412" s="49">
        <v>0</v>
      </c>
      <c r="BK412" s="50">
        <v>0</v>
      </c>
      <c r="BL412" s="49">
        <v>23</v>
      </c>
      <c r="BM412" s="50">
        <v>100</v>
      </c>
      <c r="BN412" s="49">
        <v>23</v>
      </c>
    </row>
    <row r="413" spans="1:66" ht="15">
      <c r="A413" s="66" t="s">
        <v>441</v>
      </c>
      <c r="B413" s="66" t="s">
        <v>441</v>
      </c>
      <c r="C413" s="67" t="s">
        <v>4517</v>
      </c>
      <c r="D413" s="68">
        <v>9.363636363636363</v>
      </c>
      <c r="E413" s="69" t="s">
        <v>136</v>
      </c>
      <c r="F413" s="70">
        <v>24.972972972972972</v>
      </c>
      <c r="G413" s="67"/>
      <c r="H413" s="71"/>
      <c r="I413" s="72"/>
      <c r="J413" s="72"/>
      <c r="K413" s="35" t="s">
        <v>65</v>
      </c>
      <c r="L413" s="80">
        <v>413</v>
      </c>
      <c r="M413" s="80"/>
      <c r="N413" s="74"/>
      <c r="O413" s="82" t="s">
        <v>214</v>
      </c>
      <c r="P413" s="84">
        <v>44518.66363425926</v>
      </c>
      <c r="Q413" s="82" t="s">
        <v>872</v>
      </c>
      <c r="R413" s="82"/>
      <c r="S413" s="82"/>
      <c r="T413" s="87" t="s">
        <v>1139</v>
      </c>
      <c r="U413" s="85" t="str">
        <f>HYPERLINK("https://pbs.twimg.com/media/FEfNTZeVcAMJyqn.jpg")</f>
        <v>https://pbs.twimg.com/media/FEfNTZeVcAMJyqn.jpg</v>
      </c>
      <c r="V413" s="85" t="str">
        <f>HYPERLINK("https://pbs.twimg.com/media/FEfNTZeVcAMJyqn.jpg")</f>
        <v>https://pbs.twimg.com/media/FEfNTZeVcAMJyqn.jpg</v>
      </c>
      <c r="W413" s="84">
        <v>44518.66363425926</v>
      </c>
      <c r="X413" s="90">
        <v>44518</v>
      </c>
      <c r="Y413" s="87" t="s">
        <v>1434</v>
      </c>
      <c r="Z413" s="85" t="str">
        <f>HYPERLINK("https://twitter.com/battlesuperbugs/status/1461362469729824772")</f>
        <v>https://twitter.com/battlesuperbugs/status/1461362469729824772</v>
      </c>
      <c r="AA413" s="82"/>
      <c r="AB413" s="82"/>
      <c r="AC413" s="87" t="s">
        <v>1792</v>
      </c>
      <c r="AD413" s="82"/>
      <c r="AE413" s="82" t="b">
        <v>0</v>
      </c>
      <c r="AF413" s="82">
        <v>7</v>
      </c>
      <c r="AG413" s="87" t="s">
        <v>1815</v>
      </c>
      <c r="AH413" s="82" t="b">
        <v>0</v>
      </c>
      <c r="AI413" s="82" t="s">
        <v>1826</v>
      </c>
      <c r="AJ413" s="82"/>
      <c r="AK413" s="87" t="s">
        <v>1815</v>
      </c>
      <c r="AL413" s="82" t="b">
        <v>0</v>
      </c>
      <c r="AM413" s="82">
        <v>4</v>
      </c>
      <c r="AN413" s="87" t="s">
        <v>1815</v>
      </c>
      <c r="AO413" s="87" t="s">
        <v>1870</v>
      </c>
      <c r="AP413" s="82" t="b">
        <v>0</v>
      </c>
      <c r="AQ413" s="87" t="s">
        <v>1792</v>
      </c>
      <c r="AR413" s="82"/>
      <c r="AS413" s="82">
        <v>0</v>
      </c>
      <c r="AT413" s="82">
        <v>0</v>
      </c>
      <c r="AU413" s="82"/>
      <c r="AV413" s="82"/>
      <c r="AW413" s="82"/>
      <c r="AX413" s="82"/>
      <c r="AY413" s="82"/>
      <c r="AZ413" s="82"/>
      <c r="BA413" s="82"/>
      <c r="BB413" s="82"/>
      <c r="BC413">
        <v>11</v>
      </c>
      <c r="BD413" s="81" t="str">
        <f>REPLACE(INDEX(GroupVertices[Group],MATCH(Edges[[#This Row],[Vertex 1]],GroupVertices[Vertex],0)),1,1,"")</f>
        <v>2</v>
      </c>
      <c r="BE413" s="81" t="str">
        <f>REPLACE(INDEX(GroupVertices[Group],MATCH(Edges[[#This Row],[Vertex 2]],GroupVertices[Vertex],0)),1,1,"")</f>
        <v>2</v>
      </c>
      <c r="BF413" s="49">
        <v>0</v>
      </c>
      <c r="BG413" s="50">
        <v>0</v>
      </c>
      <c r="BH413" s="49">
        <v>1</v>
      </c>
      <c r="BI413" s="50">
        <v>8.333333333333334</v>
      </c>
      <c r="BJ413" s="49">
        <v>0</v>
      </c>
      <c r="BK413" s="50">
        <v>0</v>
      </c>
      <c r="BL413" s="49">
        <v>11</v>
      </c>
      <c r="BM413" s="50">
        <v>91.66666666666667</v>
      </c>
      <c r="BN413" s="49">
        <v>12</v>
      </c>
    </row>
    <row r="414" spans="1:66" ht="15">
      <c r="A414" s="66" t="s">
        <v>441</v>
      </c>
      <c r="B414" s="66" t="s">
        <v>441</v>
      </c>
      <c r="C414" s="67" t="s">
        <v>4517</v>
      </c>
      <c r="D414" s="68">
        <v>9.363636363636363</v>
      </c>
      <c r="E414" s="69" t="s">
        <v>136</v>
      </c>
      <c r="F414" s="70">
        <v>24.972972972972972</v>
      </c>
      <c r="G414" s="67"/>
      <c r="H414" s="71"/>
      <c r="I414" s="72"/>
      <c r="J414" s="72"/>
      <c r="K414" s="35" t="s">
        <v>65</v>
      </c>
      <c r="L414" s="80">
        <v>414</v>
      </c>
      <c r="M414" s="80"/>
      <c r="N414" s="74"/>
      <c r="O414" s="82" t="s">
        <v>214</v>
      </c>
      <c r="P414" s="84">
        <v>44518.65667824074</v>
      </c>
      <c r="Q414" s="82" t="s">
        <v>873</v>
      </c>
      <c r="R414" s="82"/>
      <c r="S414" s="82"/>
      <c r="T414" s="87" t="s">
        <v>1140</v>
      </c>
      <c r="U414" s="85" t="str">
        <f>HYPERLINK("https://pbs.twimg.com/media/FEfLBBXVEAU4veA.jpg")</f>
        <v>https://pbs.twimg.com/media/FEfLBBXVEAU4veA.jpg</v>
      </c>
      <c r="V414" s="85" t="str">
        <f>HYPERLINK("https://pbs.twimg.com/media/FEfLBBXVEAU4veA.jpg")</f>
        <v>https://pbs.twimg.com/media/FEfLBBXVEAU4veA.jpg</v>
      </c>
      <c r="W414" s="84">
        <v>44518.65667824074</v>
      </c>
      <c r="X414" s="90">
        <v>44518</v>
      </c>
      <c r="Y414" s="87" t="s">
        <v>1435</v>
      </c>
      <c r="Z414" s="85" t="str">
        <f>HYPERLINK("https://twitter.com/battlesuperbugs/status/1461359951541006349")</f>
        <v>https://twitter.com/battlesuperbugs/status/1461359951541006349</v>
      </c>
      <c r="AA414" s="82"/>
      <c r="AB414" s="82"/>
      <c r="AC414" s="87" t="s">
        <v>1793</v>
      </c>
      <c r="AD414" s="82"/>
      <c r="AE414" s="82" t="b">
        <v>0</v>
      </c>
      <c r="AF414" s="82">
        <v>9</v>
      </c>
      <c r="AG414" s="87" t="s">
        <v>1815</v>
      </c>
      <c r="AH414" s="82" t="b">
        <v>0</v>
      </c>
      <c r="AI414" s="82" t="s">
        <v>1826</v>
      </c>
      <c r="AJ414" s="82"/>
      <c r="AK414" s="87" t="s">
        <v>1815</v>
      </c>
      <c r="AL414" s="82" t="b">
        <v>0</v>
      </c>
      <c r="AM414" s="82">
        <v>4</v>
      </c>
      <c r="AN414" s="87" t="s">
        <v>1815</v>
      </c>
      <c r="AO414" s="87" t="s">
        <v>1870</v>
      </c>
      <c r="AP414" s="82" t="b">
        <v>0</v>
      </c>
      <c r="AQ414" s="87" t="s">
        <v>1793</v>
      </c>
      <c r="AR414" s="82"/>
      <c r="AS414" s="82">
        <v>0</v>
      </c>
      <c r="AT414" s="82">
        <v>0</v>
      </c>
      <c r="AU414" s="82"/>
      <c r="AV414" s="82"/>
      <c r="AW414" s="82"/>
      <c r="AX414" s="82"/>
      <c r="AY414" s="82"/>
      <c r="AZ414" s="82"/>
      <c r="BA414" s="82"/>
      <c r="BB414" s="82"/>
      <c r="BC414">
        <v>11</v>
      </c>
      <c r="BD414" s="81" t="str">
        <f>REPLACE(INDEX(GroupVertices[Group],MATCH(Edges[[#This Row],[Vertex 1]],GroupVertices[Vertex],0)),1,1,"")</f>
        <v>2</v>
      </c>
      <c r="BE414" s="81" t="str">
        <f>REPLACE(INDEX(GroupVertices[Group],MATCH(Edges[[#This Row],[Vertex 2]],GroupVertices[Vertex],0)),1,1,"")</f>
        <v>2</v>
      </c>
      <c r="BF414" s="49">
        <v>2</v>
      </c>
      <c r="BG414" s="50">
        <v>5.2631578947368425</v>
      </c>
      <c r="BH414" s="49">
        <v>2</v>
      </c>
      <c r="BI414" s="50">
        <v>5.2631578947368425</v>
      </c>
      <c r="BJ414" s="49">
        <v>0</v>
      </c>
      <c r="BK414" s="50">
        <v>0</v>
      </c>
      <c r="BL414" s="49">
        <v>34</v>
      </c>
      <c r="BM414" s="50">
        <v>89.47368421052632</v>
      </c>
      <c r="BN414" s="49">
        <v>38</v>
      </c>
    </row>
    <row r="415" spans="1:66" ht="15">
      <c r="A415" s="66" t="s">
        <v>441</v>
      </c>
      <c r="B415" s="66" t="s">
        <v>441</v>
      </c>
      <c r="C415" s="67" t="s">
        <v>4517</v>
      </c>
      <c r="D415" s="68">
        <v>9.363636363636363</v>
      </c>
      <c r="E415" s="69" t="s">
        <v>136</v>
      </c>
      <c r="F415" s="70">
        <v>24.972972972972972</v>
      </c>
      <c r="G415" s="67"/>
      <c r="H415" s="71"/>
      <c r="I415" s="72"/>
      <c r="J415" s="72"/>
      <c r="K415" s="35" t="s">
        <v>65</v>
      </c>
      <c r="L415" s="80">
        <v>415</v>
      </c>
      <c r="M415" s="80"/>
      <c r="N415" s="74"/>
      <c r="O415" s="82" t="s">
        <v>214</v>
      </c>
      <c r="P415" s="84">
        <v>44518.635879629626</v>
      </c>
      <c r="Q415" s="82" t="s">
        <v>874</v>
      </c>
      <c r="R415" s="82"/>
      <c r="S415" s="82"/>
      <c r="T415" s="87" t="s">
        <v>1139</v>
      </c>
      <c r="U415" s="85" t="str">
        <f>HYPERLINK("https://pbs.twimg.com/media/FEfEJ8-UYAMgwZ2.jpg")</f>
        <v>https://pbs.twimg.com/media/FEfEJ8-UYAMgwZ2.jpg</v>
      </c>
      <c r="V415" s="85" t="str">
        <f>HYPERLINK("https://pbs.twimg.com/media/FEfEJ8-UYAMgwZ2.jpg")</f>
        <v>https://pbs.twimg.com/media/FEfEJ8-UYAMgwZ2.jpg</v>
      </c>
      <c r="W415" s="84">
        <v>44518.635879629626</v>
      </c>
      <c r="X415" s="90">
        <v>44518</v>
      </c>
      <c r="Y415" s="87" t="s">
        <v>1436</v>
      </c>
      <c r="Z415" s="85" t="str">
        <f>HYPERLINK("https://twitter.com/battlesuperbugs/status/1461352411352625161")</f>
        <v>https://twitter.com/battlesuperbugs/status/1461352411352625161</v>
      </c>
      <c r="AA415" s="82"/>
      <c r="AB415" s="82"/>
      <c r="AC415" s="87" t="s">
        <v>1794</v>
      </c>
      <c r="AD415" s="82"/>
      <c r="AE415" s="82" t="b">
        <v>0</v>
      </c>
      <c r="AF415" s="82">
        <v>24</v>
      </c>
      <c r="AG415" s="87" t="s">
        <v>1815</v>
      </c>
      <c r="AH415" s="82" t="b">
        <v>0</v>
      </c>
      <c r="AI415" s="82" t="s">
        <v>1826</v>
      </c>
      <c r="AJ415" s="82"/>
      <c r="AK415" s="87" t="s">
        <v>1815</v>
      </c>
      <c r="AL415" s="82" t="b">
        <v>0</v>
      </c>
      <c r="AM415" s="82">
        <v>13</v>
      </c>
      <c r="AN415" s="87" t="s">
        <v>1815</v>
      </c>
      <c r="AO415" s="87" t="s">
        <v>1870</v>
      </c>
      <c r="AP415" s="82" t="b">
        <v>0</v>
      </c>
      <c r="AQ415" s="87" t="s">
        <v>1794</v>
      </c>
      <c r="AR415" s="82"/>
      <c r="AS415" s="82">
        <v>0</v>
      </c>
      <c r="AT415" s="82">
        <v>0</v>
      </c>
      <c r="AU415" s="82"/>
      <c r="AV415" s="82"/>
      <c r="AW415" s="82"/>
      <c r="AX415" s="82"/>
      <c r="AY415" s="82"/>
      <c r="AZ415" s="82"/>
      <c r="BA415" s="82"/>
      <c r="BB415" s="82"/>
      <c r="BC415">
        <v>11</v>
      </c>
      <c r="BD415" s="81" t="str">
        <f>REPLACE(INDEX(GroupVertices[Group],MATCH(Edges[[#This Row],[Vertex 1]],GroupVertices[Vertex],0)),1,1,"")</f>
        <v>2</v>
      </c>
      <c r="BE415" s="81" t="str">
        <f>REPLACE(INDEX(GroupVertices[Group],MATCH(Edges[[#This Row],[Vertex 2]],GroupVertices[Vertex],0)),1,1,"")</f>
        <v>2</v>
      </c>
      <c r="BF415" s="49">
        <v>0</v>
      </c>
      <c r="BG415" s="50">
        <v>0</v>
      </c>
      <c r="BH415" s="49">
        <v>1</v>
      </c>
      <c r="BI415" s="50">
        <v>6.666666666666667</v>
      </c>
      <c r="BJ415" s="49">
        <v>0</v>
      </c>
      <c r="BK415" s="50">
        <v>0</v>
      </c>
      <c r="BL415" s="49">
        <v>14</v>
      </c>
      <c r="BM415" s="50">
        <v>93.33333333333333</v>
      </c>
      <c r="BN415" s="49">
        <v>15</v>
      </c>
    </row>
    <row r="416" spans="1:66" ht="15">
      <c r="A416" s="66" t="s">
        <v>441</v>
      </c>
      <c r="B416" s="66" t="s">
        <v>441</v>
      </c>
      <c r="C416" s="67" t="s">
        <v>4517</v>
      </c>
      <c r="D416" s="68">
        <v>9.363636363636363</v>
      </c>
      <c r="E416" s="69" t="s">
        <v>136</v>
      </c>
      <c r="F416" s="70">
        <v>24.972972972972972</v>
      </c>
      <c r="G416" s="67"/>
      <c r="H416" s="71"/>
      <c r="I416" s="72"/>
      <c r="J416" s="72"/>
      <c r="K416" s="35" t="s">
        <v>65</v>
      </c>
      <c r="L416" s="80">
        <v>416</v>
      </c>
      <c r="M416" s="80"/>
      <c r="N416" s="74"/>
      <c r="O416" s="82" t="s">
        <v>214</v>
      </c>
      <c r="P416" s="84">
        <v>44518.62646990741</v>
      </c>
      <c r="Q416" s="82" t="s">
        <v>875</v>
      </c>
      <c r="R416" s="82"/>
      <c r="S416" s="82"/>
      <c r="T416" s="87" t="s">
        <v>1139</v>
      </c>
      <c r="U416" s="85" t="str">
        <f>HYPERLINK("https://pbs.twimg.com/media/FEfA-UhVgAcVzJN.jpg")</f>
        <v>https://pbs.twimg.com/media/FEfA-UhVgAcVzJN.jpg</v>
      </c>
      <c r="V416" s="85" t="str">
        <f>HYPERLINK("https://pbs.twimg.com/media/FEfA-UhVgAcVzJN.jpg")</f>
        <v>https://pbs.twimg.com/media/FEfA-UhVgAcVzJN.jpg</v>
      </c>
      <c r="W416" s="84">
        <v>44518.62646990741</v>
      </c>
      <c r="X416" s="90">
        <v>44518</v>
      </c>
      <c r="Y416" s="87" t="s">
        <v>1437</v>
      </c>
      <c r="Z416" s="85" t="str">
        <f>HYPERLINK("https://twitter.com/battlesuperbugs/status/1461349001836433410")</f>
        <v>https://twitter.com/battlesuperbugs/status/1461349001836433410</v>
      </c>
      <c r="AA416" s="82"/>
      <c r="AB416" s="82"/>
      <c r="AC416" s="87" t="s">
        <v>1795</v>
      </c>
      <c r="AD416" s="82"/>
      <c r="AE416" s="82" t="b">
        <v>0</v>
      </c>
      <c r="AF416" s="82">
        <v>14</v>
      </c>
      <c r="AG416" s="87" t="s">
        <v>1815</v>
      </c>
      <c r="AH416" s="82" t="b">
        <v>0</v>
      </c>
      <c r="AI416" s="82" t="s">
        <v>1826</v>
      </c>
      <c r="AJ416" s="82"/>
      <c r="AK416" s="87" t="s">
        <v>1815</v>
      </c>
      <c r="AL416" s="82" t="b">
        <v>0</v>
      </c>
      <c r="AM416" s="82">
        <v>7</v>
      </c>
      <c r="AN416" s="87" t="s">
        <v>1815</v>
      </c>
      <c r="AO416" s="87" t="s">
        <v>1870</v>
      </c>
      <c r="AP416" s="82" t="b">
        <v>0</v>
      </c>
      <c r="AQ416" s="87" t="s">
        <v>1795</v>
      </c>
      <c r="AR416" s="82"/>
      <c r="AS416" s="82">
        <v>0</v>
      </c>
      <c r="AT416" s="82">
        <v>0</v>
      </c>
      <c r="AU416" s="82"/>
      <c r="AV416" s="82"/>
      <c r="AW416" s="82"/>
      <c r="AX416" s="82"/>
      <c r="AY416" s="82"/>
      <c r="AZ416" s="82"/>
      <c r="BA416" s="82"/>
      <c r="BB416" s="82"/>
      <c r="BC416">
        <v>11</v>
      </c>
      <c r="BD416" s="81" t="str">
        <f>REPLACE(INDEX(GroupVertices[Group],MATCH(Edges[[#This Row],[Vertex 1]],GroupVertices[Vertex],0)),1,1,"")</f>
        <v>2</v>
      </c>
      <c r="BE416" s="81" t="str">
        <f>REPLACE(INDEX(GroupVertices[Group],MATCH(Edges[[#This Row],[Vertex 2]],GroupVertices[Vertex],0)),1,1,"")</f>
        <v>2</v>
      </c>
      <c r="BF416" s="49">
        <v>0</v>
      </c>
      <c r="BG416" s="50">
        <v>0</v>
      </c>
      <c r="BH416" s="49">
        <v>0</v>
      </c>
      <c r="BI416" s="50">
        <v>0</v>
      </c>
      <c r="BJ416" s="49">
        <v>0</v>
      </c>
      <c r="BK416" s="50">
        <v>0</v>
      </c>
      <c r="BL416" s="49">
        <v>22</v>
      </c>
      <c r="BM416" s="50">
        <v>100</v>
      </c>
      <c r="BN416" s="49">
        <v>22</v>
      </c>
    </row>
    <row r="417" spans="1:66" ht="15">
      <c r="A417" s="66" t="s">
        <v>441</v>
      </c>
      <c r="B417" s="66" t="s">
        <v>441</v>
      </c>
      <c r="C417" s="67" t="s">
        <v>4517</v>
      </c>
      <c r="D417" s="68">
        <v>9.363636363636363</v>
      </c>
      <c r="E417" s="69" t="s">
        <v>136</v>
      </c>
      <c r="F417" s="70">
        <v>24.972972972972972</v>
      </c>
      <c r="G417" s="67"/>
      <c r="H417" s="71"/>
      <c r="I417" s="72"/>
      <c r="J417" s="72"/>
      <c r="K417" s="35" t="s">
        <v>65</v>
      </c>
      <c r="L417" s="80">
        <v>417</v>
      </c>
      <c r="M417" s="80"/>
      <c r="N417" s="74"/>
      <c r="O417" s="82" t="s">
        <v>214</v>
      </c>
      <c r="P417" s="84">
        <v>44518.64282407407</v>
      </c>
      <c r="Q417" s="82" t="s">
        <v>876</v>
      </c>
      <c r="R417" s="82"/>
      <c r="S417" s="82"/>
      <c r="T417" s="87" t="s">
        <v>1141</v>
      </c>
      <c r="U417" s="85" t="str">
        <f>HYPERLINK("https://pbs.twimg.com/media/FEfGcWQUcAIusD5.jpg")</f>
        <v>https://pbs.twimg.com/media/FEfGcWQUcAIusD5.jpg</v>
      </c>
      <c r="V417" s="85" t="str">
        <f>HYPERLINK("https://pbs.twimg.com/media/FEfGcWQUcAIusD5.jpg")</f>
        <v>https://pbs.twimg.com/media/FEfGcWQUcAIusD5.jpg</v>
      </c>
      <c r="W417" s="84">
        <v>44518.64282407407</v>
      </c>
      <c r="X417" s="90">
        <v>44518</v>
      </c>
      <c r="Y417" s="87" t="s">
        <v>1438</v>
      </c>
      <c r="Z417" s="85" t="str">
        <f>HYPERLINK("https://twitter.com/battlesuperbugs/status/1461354929331720194")</f>
        <v>https://twitter.com/battlesuperbugs/status/1461354929331720194</v>
      </c>
      <c r="AA417" s="82"/>
      <c r="AB417" s="82"/>
      <c r="AC417" s="87" t="s">
        <v>1796</v>
      </c>
      <c r="AD417" s="82"/>
      <c r="AE417" s="82" t="b">
        <v>0</v>
      </c>
      <c r="AF417" s="82">
        <v>1</v>
      </c>
      <c r="AG417" s="87" t="s">
        <v>1815</v>
      </c>
      <c r="AH417" s="82" t="b">
        <v>0</v>
      </c>
      <c r="AI417" s="82" t="s">
        <v>1826</v>
      </c>
      <c r="AJ417" s="82"/>
      <c r="AK417" s="87" t="s">
        <v>1815</v>
      </c>
      <c r="AL417" s="82" t="b">
        <v>0</v>
      </c>
      <c r="AM417" s="82">
        <v>2</v>
      </c>
      <c r="AN417" s="87" t="s">
        <v>1815</v>
      </c>
      <c r="AO417" s="87" t="s">
        <v>1870</v>
      </c>
      <c r="AP417" s="82" t="b">
        <v>0</v>
      </c>
      <c r="AQ417" s="87" t="s">
        <v>1796</v>
      </c>
      <c r="AR417" s="82"/>
      <c r="AS417" s="82">
        <v>0</v>
      </c>
      <c r="AT417" s="82">
        <v>0</v>
      </c>
      <c r="AU417" s="82"/>
      <c r="AV417" s="82"/>
      <c r="AW417" s="82"/>
      <c r="AX417" s="82"/>
      <c r="AY417" s="82"/>
      <c r="AZ417" s="82"/>
      <c r="BA417" s="82"/>
      <c r="BB417" s="82"/>
      <c r="BC417">
        <v>11</v>
      </c>
      <c r="BD417" s="81" t="str">
        <f>REPLACE(INDEX(GroupVertices[Group],MATCH(Edges[[#This Row],[Vertex 1]],GroupVertices[Vertex],0)),1,1,"")</f>
        <v>2</v>
      </c>
      <c r="BE417" s="81" t="str">
        <f>REPLACE(INDEX(GroupVertices[Group],MATCH(Edges[[#This Row],[Vertex 2]],GroupVertices[Vertex],0)),1,1,"")</f>
        <v>2</v>
      </c>
      <c r="BF417" s="49">
        <v>0</v>
      </c>
      <c r="BG417" s="50">
        <v>0</v>
      </c>
      <c r="BH417" s="49">
        <v>3</v>
      </c>
      <c r="BI417" s="50">
        <v>7.317073170731708</v>
      </c>
      <c r="BJ417" s="49">
        <v>0</v>
      </c>
      <c r="BK417" s="50">
        <v>0</v>
      </c>
      <c r="BL417" s="49">
        <v>38</v>
      </c>
      <c r="BM417" s="50">
        <v>92.6829268292683</v>
      </c>
      <c r="BN417" s="49">
        <v>41</v>
      </c>
    </row>
    <row r="418" spans="1:66" ht="15">
      <c r="A418" s="66" t="s">
        <v>441</v>
      </c>
      <c r="B418" s="66" t="s">
        <v>441</v>
      </c>
      <c r="C418" s="67" t="s">
        <v>4517</v>
      </c>
      <c r="D418" s="68">
        <v>9.363636363636363</v>
      </c>
      <c r="E418" s="69" t="s">
        <v>136</v>
      </c>
      <c r="F418" s="70">
        <v>24.972972972972972</v>
      </c>
      <c r="G418" s="67"/>
      <c r="H418" s="71"/>
      <c r="I418" s="72"/>
      <c r="J418" s="72"/>
      <c r="K418" s="35" t="s">
        <v>65</v>
      </c>
      <c r="L418" s="80">
        <v>418</v>
      </c>
      <c r="M418" s="80"/>
      <c r="N418" s="74"/>
      <c r="O418" s="82" t="s">
        <v>214</v>
      </c>
      <c r="P418" s="84">
        <v>44518.62886574074</v>
      </c>
      <c r="Q418" s="82" t="s">
        <v>877</v>
      </c>
      <c r="R418" s="82"/>
      <c r="S418" s="82"/>
      <c r="T418" s="87" t="s">
        <v>1139</v>
      </c>
      <c r="U418" s="85" t="str">
        <f>HYPERLINK("https://pbs.twimg.com/media/FEfB2WgUUAk8GNy.jpg")</f>
        <v>https://pbs.twimg.com/media/FEfB2WgUUAk8GNy.jpg</v>
      </c>
      <c r="V418" s="85" t="str">
        <f>HYPERLINK("https://pbs.twimg.com/media/FEfB2WgUUAk8GNy.jpg")</f>
        <v>https://pbs.twimg.com/media/FEfB2WgUUAk8GNy.jpg</v>
      </c>
      <c r="W418" s="84">
        <v>44518.62886574074</v>
      </c>
      <c r="X418" s="90">
        <v>44518</v>
      </c>
      <c r="Y418" s="87" t="s">
        <v>1439</v>
      </c>
      <c r="Z418" s="85" t="str">
        <f>HYPERLINK("https://twitter.com/battlesuperbugs/status/1461349872972427265")</f>
        <v>https://twitter.com/battlesuperbugs/status/1461349872972427265</v>
      </c>
      <c r="AA418" s="82"/>
      <c r="AB418" s="82"/>
      <c r="AC418" s="87" t="s">
        <v>1797</v>
      </c>
      <c r="AD418" s="82"/>
      <c r="AE418" s="82" t="b">
        <v>0</v>
      </c>
      <c r="AF418" s="82">
        <v>17</v>
      </c>
      <c r="AG418" s="87" t="s">
        <v>1815</v>
      </c>
      <c r="AH418" s="82" t="b">
        <v>0</v>
      </c>
      <c r="AI418" s="82" t="s">
        <v>1826</v>
      </c>
      <c r="AJ418" s="82"/>
      <c r="AK418" s="87" t="s">
        <v>1815</v>
      </c>
      <c r="AL418" s="82" t="b">
        <v>0</v>
      </c>
      <c r="AM418" s="82">
        <v>9</v>
      </c>
      <c r="AN418" s="87" t="s">
        <v>1815</v>
      </c>
      <c r="AO418" s="87" t="s">
        <v>1870</v>
      </c>
      <c r="AP418" s="82" t="b">
        <v>0</v>
      </c>
      <c r="AQ418" s="87" t="s">
        <v>1797</v>
      </c>
      <c r="AR418" s="82"/>
      <c r="AS418" s="82">
        <v>0</v>
      </c>
      <c r="AT418" s="82">
        <v>0</v>
      </c>
      <c r="AU418" s="82"/>
      <c r="AV418" s="82"/>
      <c r="AW418" s="82"/>
      <c r="AX418" s="82"/>
      <c r="AY418" s="82"/>
      <c r="AZ418" s="82"/>
      <c r="BA418" s="82"/>
      <c r="BB418" s="82"/>
      <c r="BC418">
        <v>11</v>
      </c>
      <c r="BD418" s="81" t="str">
        <f>REPLACE(INDEX(GroupVertices[Group],MATCH(Edges[[#This Row],[Vertex 1]],GroupVertices[Vertex],0)),1,1,"")</f>
        <v>2</v>
      </c>
      <c r="BE418" s="81" t="str">
        <f>REPLACE(INDEX(GroupVertices[Group],MATCH(Edges[[#This Row],[Vertex 2]],GroupVertices[Vertex],0)),1,1,"")</f>
        <v>2</v>
      </c>
      <c r="BF418" s="49">
        <v>0</v>
      </c>
      <c r="BG418" s="50">
        <v>0</v>
      </c>
      <c r="BH418" s="49">
        <v>4</v>
      </c>
      <c r="BI418" s="50">
        <v>11.428571428571429</v>
      </c>
      <c r="BJ418" s="49">
        <v>0</v>
      </c>
      <c r="BK418" s="50">
        <v>0</v>
      </c>
      <c r="BL418" s="49">
        <v>31</v>
      </c>
      <c r="BM418" s="50">
        <v>88.57142857142857</v>
      </c>
      <c r="BN418" s="49">
        <v>35</v>
      </c>
    </row>
    <row r="419" spans="1:66" ht="15">
      <c r="A419" s="66" t="s">
        <v>441</v>
      </c>
      <c r="B419" s="66" t="s">
        <v>441</v>
      </c>
      <c r="C419" s="67" t="s">
        <v>4517</v>
      </c>
      <c r="D419" s="68">
        <v>9.363636363636363</v>
      </c>
      <c r="E419" s="69" t="s">
        <v>136</v>
      </c>
      <c r="F419" s="70">
        <v>24.972972972972972</v>
      </c>
      <c r="G419" s="67"/>
      <c r="H419" s="71"/>
      <c r="I419" s="72"/>
      <c r="J419" s="72"/>
      <c r="K419" s="35" t="s">
        <v>65</v>
      </c>
      <c r="L419" s="80">
        <v>419</v>
      </c>
      <c r="M419" s="80"/>
      <c r="N419" s="74"/>
      <c r="O419" s="82" t="s">
        <v>214</v>
      </c>
      <c r="P419" s="84">
        <v>44518.6531712963</v>
      </c>
      <c r="Q419" s="82" t="s">
        <v>878</v>
      </c>
      <c r="R419" s="82"/>
      <c r="S419" s="82"/>
      <c r="T419" s="87" t="s">
        <v>1139</v>
      </c>
      <c r="U419" s="85" t="str">
        <f>HYPERLINK("https://pbs.twimg.com/media/FEfJ2zyVcAMuXZD.jpg")</f>
        <v>https://pbs.twimg.com/media/FEfJ2zyVcAMuXZD.jpg</v>
      </c>
      <c r="V419" s="85" t="str">
        <f>HYPERLINK("https://pbs.twimg.com/media/FEfJ2zyVcAMuXZD.jpg")</f>
        <v>https://pbs.twimg.com/media/FEfJ2zyVcAMuXZD.jpg</v>
      </c>
      <c r="W419" s="84">
        <v>44518.6531712963</v>
      </c>
      <c r="X419" s="90">
        <v>44518</v>
      </c>
      <c r="Y419" s="87" t="s">
        <v>1183</v>
      </c>
      <c r="Z419" s="85" t="str">
        <f>HYPERLINK("https://twitter.com/battlesuperbugs/status/1461358680591376387")</f>
        <v>https://twitter.com/battlesuperbugs/status/1461358680591376387</v>
      </c>
      <c r="AA419" s="82"/>
      <c r="AB419" s="82"/>
      <c r="AC419" s="87" t="s">
        <v>1798</v>
      </c>
      <c r="AD419" s="82"/>
      <c r="AE419" s="82" t="b">
        <v>0</v>
      </c>
      <c r="AF419" s="82">
        <v>3</v>
      </c>
      <c r="AG419" s="87" t="s">
        <v>1815</v>
      </c>
      <c r="AH419" s="82" t="b">
        <v>0</v>
      </c>
      <c r="AI419" s="82" t="s">
        <v>1826</v>
      </c>
      <c r="AJ419" s="82"/>
      <c r="AK419" s="87" t="s">
        <v>1815</v>
      </c>
      <c r="AL419" s="82" t="b">
        <v>0</v>
      </c>
      <c r="AM419" s="82">
        <v>1</v>
      </c>
      <c r="AN419" s="87" t="s">
        <v>1815</v>
      </c>
      <c r="AO419" s="87" t="s">
        <v>1870</v>
      </c>
      <c r="AP419" s="82" t="b">
        <v>0</v>
      </c>
      <c r="AQ419" s="87" t="s">
        <v>1798</v>
      </c>
      <c r="AR419" s="82"/>
      <c r="AS419" s="82">
        <v>0</v>
      </c>
      <c r="AT419" s="82">
        <v>0</v>
      </c>
      <c r="AU419" s="82"/>
      <c r="AV419" s="82"/>
      <c r="AW419" s="82"/>
      <c r="AX419" s="82"/>
      <c r="AY419" s="82"/>
      <c r="AZ419" s="82"/>
      <c r="BA419" s="82"/>
      <c r="BB419" s="82"/>
      <c r="BC419">
        <v>11</v>
      </c>
      <c r="BD419" s="81" t="str">
        <f>REPLACE(INDEX(GroupVertices[Group],MATCH(Edges[[#This Row],[Vertex 1]],GroupVertices[Vertex],0)),1,1,"")</f>
        <v>2</v>
      </c>
      <c r="BE419" s="81" t="str">
        <f>REPLACE(INDEX(GroupVertices[Group],MATCH(Edges[[#This Row],[Vertex 2]],GroupVertices[Vertex],0)),1,1,"")</f>
        <v>2</v>
      </c>
      <c r="BF419" s="49">
        <v>0</v>
      </c>
      <c r="BG419" s="50">
        <v>0</v>
      </c>
      <c r="BH419" s="49">
        <v>0</v>
      </c>
      <c r="BI419" s="50">
        <v>0</v>
      </c>
      <c r="BJ419" s="49">
        <v>0</v>
      </c>
      <c r="BK419" s="50">
        <v>0</v>
      </c>
      <c r="BL419" s="49">
        <v>16</v>
      </c>
      <c r="BM419" s="50">
        <v>100</v>
      </c>
      <c r="BN419" s="49">
        <v>16</v>
      </c>
    </row>
    <row r="420" spans="1:66" ht="15">
      <c r="A420" s="66" t="s">
        <v>441</v>
      </c>
      <c r="B420" s="66" t="s">
        <v>441</v>
      </c>
      <c r="C420" s="67" t="s">
        <v>4517</v>
      </c>
      <c r="D420" s="68">
        <v>9.363636363636363</v>
      </c>
      <c r="E420" s="69" t="s">
        <v>136</v>
      </c>
      <c r="F420" s="70">
        <v>24.972972972972972</v>
      </c>
      <c r="G420" s="67"/>
      <c r="H420" s="71"/>
      <c r="I420" s="72"/>
      <c r="J420" s="72"/>
      <c r="K420" s="35" t="s">
        <v>65</v>
      </c>
      <c r="L420" s="80">
        <v>420</v>
      </c>
      <c r="M420" s="80"/>
      <c r="N420" s="74"/>
      <c r="O420" s="82" t="s">
        <v>214</v>
      </c>
      <c r="P420" s="84">
        <v>44518.649733796294</v>
      </c>
      <c r="Q420" s="82" t="s">
        <v>879</v>
      </c>
      <c r="R420" s="82"/>
      <c r="S420" s="82"/>
      <c r="T420" s="87" t="s">
        <v>1139</v>
      </c>
      <c r="U420" s="85" t="str">
        <f>HYPERLINK("https://pbs.twimg.com/media/FEfIuAaUcBA5OXn.jpg")</f>
        <v>https://pbs.twimg.com/media/FEfIuAaUcBA5OXn.jpg</v>
      </c>
      <c r="V420" s="85" t="str">
        <f>HYPERLINK("https://pbs.twimg.com/media/FEfIuAaUcBA5OXn.jpg")</f>
        <v>https://pbs.twimg.com/media/FEfIuAaUcBA5OXn.jpg</v>
      </c>
      <c r="W420" s="84">
        <v>44518.649733796294</v>
      </c>
      <c r="X420" s="90">
        <v>44518</v>
      </c>
      <c r="Y420" s="87" t="s">
        <v>1440</v>
      </c>
      <c r="Z420" s="85" t="str">
        <f>HYPERLINK("https://twitter.com/battlesuperbugs/status/1461357433691926531")</f>
        <v>https://twitter.com/battlesuperbugs/status/1461357433691926531</v>
      </c>
      <c r="AA420" s="82"/>
      <c r="AB420" s="82"/>
      <c r="AC420" s="87" t="s">
        <v>1799</v>
      </c>
      <c r="AD420" s="82"/>
      <c r="AE420" s="82" t="b">
        <v>0</v>
      </c>
      <c r="AF420" s="82">
        <v>12</v>
      </c>
      <c r="AG420" s="87" t="s">
        <v>1815</v>
      </c>
      <c r="AH420" s="82" t="b">
        <v>0</v>
      </c>
      <c r="AI420" s="82" t="s">
        <v>1826</v>
      </c>
      <c r="AJ420" s="82"/>
      <c r="AK420" s="87" t="s">
        <v>1815</v>
      </c>
      <c r="AL420" s="82" t="b">
        <v>0</v>
      </c>
      <c r="AM420" s="82">
        <v>7</v>
      </c>
      <c r="AN420" s="87" t="s">
        <v>1815</v>
      </c>
      <c r="AO420" s="87" t="s">
        <v>1870</v>
      </c>
      <c r="AP420" s="82" t="b">
        <v>0</v>
      </c>
      <c r="AQ420" s="87" t="s">
        <v>1799</v>
      </c>
      <c r="AR420" s="82"/>
      <c r="AS420" s="82">
        <v>0</v>
      </c>
      <c r="AT420" s="82">
        <v>0</v>
      </c>
      <c r="AU420" s="82"/>
      <c r="AV420" s="82"/>
      <c r="AW420" s="82"/>
      <c r="AX420" s="82"/>
      <c r="AY420" s="82"/>
      <c r="AZ420" s="82"/>
      <c r="BA420" s="82"/>
      <c r="BB420" s="82"/>
      <c r="BC420">
        <v>11</v>
      </c>
      <c r="BD420" s="81" t="str">
        <f>REPLACE(INDEX(GroupVertices[Group],MATCH(Edges[[#This Row],[Vertex 1]],GroupVertices[Vertex],0)),1,1,"")</f>
        <v>2</v>
      </c>
      <c r="BE420" s="81" t="str">
        <f>REPLACE(INDEX(GroupVertices[Group],MATCH(Edges[[#This Row],[Vertex 2]],GroupVertices[Vertex],0)),1,1,"")</f>
        <v>2</v>
      </c>
      <c r="BF420" s="49">
        <v>1</v>
      </c>
      <c r="BG420" s="50">
        <v>7.142857142857143</v>
      </c>
      <c r="BH420" s="49">
        <v>0</v>
      </c>
      <c r="BI420" s="50">
        <v>0</v>
      </c>
      <c r="BJ420" s="49">
        <v>0</v>
      </c>
      <c r="BK420" s="50">
        <v>0</v>
      </c>
      <c r="BL420" s="49">
        <v>13</v>
      </c>
      <c r="BM420" s="50">
        <v>92.85714285714286</v>
      </c>
      <c r="BN420" s="49">
        <v>14</v>
      </c>
    </row>
    <row r="421" spans="1:66" ht="15">
      <c r="A421" s="66" t="s">
        <v>441</v>
      </c>
      <c r="B421" s="66" t="s">
        <v>441</v>
      </c>
      <c r="C421" s="67" t="s">
        <v>4517</v>
      </c>
      <c r="D421" s="68">
        <v>9.363636363636363</v>
      </c>
      <c r="E421" s="69" t="s">
        <v>136</v>
      </c>
      <c r="F421" s="70">
        <v>24.972972972972972</v>
      </c>
      <c r="G421" s="67"/>
      <c r="H421" s="71"/>
      <c r="I421" s="72"/>
      <c r="J421" s="72"/>
      <c r="K421" s="35" t="s">
        <v>65</v>
      </c>
      <c r="L421" s="80">
        <v>421</v>
      </c>
      <c r="M421" s="80"/>
      <c r="N421" s="74"/>
      <c r="O421" s="82" t="s">
        <v>214</v>
      </c>
      <c r="P421" s="84">
        <v>44518.63927083334</v>
      </c>
      <c r="Q421" s="82" t="s">
        <v>880</v>
      </c>
      <c r="R421" s="82"/>
      <c r="S421" s="82"/>
      <c r="T421" s="87" t="s">
        <v>1142</v>
      </c>
      <c r="U421" s="85" t="str">
        <f>HYPERLINK("https://pbs.twimg.com/media/FEfFRuBVgBYsmpZ.jpg")</f>
        <v>https://pbs.twimg.com/media/FEfFRuBVgBYsmpZ.jpg</v>
      </c>
      <c r="V421" s="85" t="str">
        <f>HYPERLINK("https://pbs.twimg.com/media/FEfFRuBVgBYsmpZ.jpg")</f>
        <v>https://pbs.twimg.com/media/FEfFRuBVgBYsmpZ.jpg</v>
      </c>
      <c r="W421" s="84">
        <v>44518.63927083334</v>
      </c>
      <c r="X421" s="90">
        <v>44518</v>
      </c>
      <c r="Y421" s="87" t="s">
        <v>1280</v>
      </c>
      <c r="Z421" s="85" t="str">
        <f>HYPERLINK("https://twitter.com/battlesuperbugs/status/1461353641600716806")</f>
        <v>https://twitter.com/battlesuperbugs/status/1461353641600716806</v>
      </c>
      <c r="AA421" s="82"/>
      <c r="AB421" s="82"/>
      <c r="AC421" s="87" t="s">
        <v>1800</v>
      </c>
      <c r="AD421" s="82"/>
      <c r="AE421" s="82" t="b">
        <v>0</v>
      </c>
      <c r="AF421" s="82">
        <v>5</v>
      </c>
      <c r="AG421" s="87" t="s">
        <v>1815</v>
      </c>
      <c r="AH421" s="82" t="b">
        <v>0</v>
      </c>
      <c r="AI421" s="82" t="s">
        <v>1826</v>
      </c>
      <c r="AJ421" s="82"/>
      <c r="AK421" s="87" t="s">
        <v>1815</v>
      </c>
      <c r="AL421" s="82" t="b">
        <v>0</v>
      </c>
      <c r="AM421" s="82">
        <v>3</v>
      </c>
      <c r="AN421" s="87" t="s">
        <v>1815</v>
      </c>
      <c r="AO421" s="87" t="s">
        <v>1870</v>
      </c>
      <c r="AP421" s="82" t="b">
        <v>0</v>
      </c>
      <c r="AQ421" s="87" t="s">
        <v>1800</v>
      </c>
      <c r="AR421" s="82"/>
      <c r="AS421" s="82">
        <v>0</v>
      </c>
      <c r="AT421" s="82">
        <v>0</v>
      </c>
      <c r="AU421" s="82"/>
      <c r="AV421" s="82"/>
      <c r="AW421" s="82"/>
      <c r="AX421" s="82"/>
      <c r="AY421" s="82"/>
      <c r="AZ421" s="82"/>
      <c r="BA421" s="82"/>
      <c r="BB421" s="82"/>
      <c r="BC421">
        <v>11</v>
      </c>
      <c r="BD421" s="81" t="str">
        <f>REPLACE(INDEX(GroupVertices[Group],MATCH(Edges[[#This Row],[Vertex 1]],GroupVertices[Vertex],0)),1,1,"")</f>
        <v>2</v>
      </c>
      <c r="BE421" s="81" t="str">
        <f>REPLACE(INDEX(GroupVertices[Group],MATCH(Edges[[#This Row],[Vertex 2]],GroupVertices[Vertex],0)),1,1,"")</f>
        <v>2</v>
      </c>
      <c r="BF421" s="49">
        <v>0</v>
      </c>
      <c r="BG421" s="50">
        <v>0</v>
      </c>
      <c r="BH421" s="49">
        <v>0</v>
      </c>
      <c r="BI421" s="50">
        <v>0</v>
      </c>
      <c r="BJ421" s="49">
        <v>0</v>
      </c>
      <c r="BK421" s="50">
        <v>0</v>
      </c>
      <c r="BL421" s="49">
        <v>19</v>
      </c>
      <c r="BM421" s="50">
        <v>100</v>
      </c>
      <c r="BN421" s="49">
        <v>19</v>
      </c>
    </row>
    <row r="422" spans="1:66" ht="15">
      <c r="A422" s="66" t="s">
        <v>441</v>
      </c>
      <c r="B422" s="66" t="s">
        <v>441</v>
      </c>
      <c r="C422" s="67" t="s">
        <v>4517</v>
      </c>
      <c r="D422" s="68">
        <v>9.363636363636363</v>
      </c>
      <c r="E422" s="69" t="s">
        <v>136</v>
      </c>
      <c r="F422" s="70">
        <v>24.972972972972972</v>
      </c>
      <c r="G422" s="67"/>
      <c r="H422" s="71"/>
      <c r="I422" s="72"/>
      <c r="J422" s="72"/>
      <c r="K422" s="35" t="s">
        <v>65</v>
      </c>
      <c r="L422" s="80">
        <v>422</v>
      </c>
      <c r="M422" s="80"/>
      <c r="N422" s="74"/>
      <c r="O422" s="82" t="s">
        <v>214</v>
      </c>
      <c r="P422" s="84">
        <v>44518.63243055555</v>
      </c>
      <c r="Q422" s="82" t="s">
        <v>881</v>
      </c>
      <c r="R422" s="82"/>
      <c r="S422" s="82"/>
      <c r="T422" s="87" t="s">
        <v>1139</v>
      </c>
      <c r="U422" s="85" t="str">
        <f>HYPERLINK("https://pbs.twimg.com/media/FEfC_2_VkAcqt-m.jpg")</f>
        <v>https://pbs.twimg.com/media/FEfC_2_VkAcqt-m.jpg</v>
      </c>
      <c r="V422" s="85" t="str">
        <f>HYPERLINK("https://pbs.twimg.com/media/FEfC_2_VkAcqt-m.jpg")</f>
        <v>https://pbs.twimg.com/media/FEfC_2_VkAcqt-m.jpg</v>
      </c>
      <c r="W422" s="84">
        <v>44518.63243055555</v>
      </c>
      <c r="X422" s="90">
        <v>44518</v>
      </c>
      <c r="Y422" s="87" t="s">
        <v>1441</v>
      </c>
      <c r="Z422" s="85" t="str">
        <f>HYPERLINK("https://twitter.com/battlesuperbugs/status/1461351161601003521")</f>
        <v>https://twitter.com/battlesuperbugs/status/1461351161601003521</v>
      </c>
      <c r="AA422" s="82"/>
      <c r="AB422" s="82"/>
      <c r="AC422" s="87" t="s">
        <v>1801</v>
      </c>
      <c r="AD422" s="82"/>
      <c r="AE422" s="82" t="b">
        <v>0</v>
      </c>
      <c r="AF422" s="82">
        <v>4</v>
      </c>
      <c r="AG422" s="87" t="s">
        <v>1815</v>
      </c>
      <c r="AH422" s="82" t="b">
        <v>0</v>
      </c>
      <c r="AI422" s="82" t="s">
        <v>1826</v>
      </c>
      <c r="AJ422" s="82"/>
      <c r="AK422" s="87" t="s">
        <v>1815</v>
      </c>
      <c r="AL422" s="82" t="b">
        <v>0</v>
      </c>
      <c r="AM422" s="82">
        <v>3</v>
      </c>
      <c r="AN422" s="87" t="s">
        <v>1815</v>
      </c>
      <c r="AO422" s="87" t="s">
        <v>1870</v>
      </c>
      <c r="AP422" s="82" t="b">
        <v>0</v>
      </c>
      <c r="AQ422" s="87" t="s">
        <v>1801</v>
      </c>
      <c r="AR422" s="82"/>
      <c r="AS422" s="82">
        <v>0</v>
      </c>
      <c r="AT422" s="82">
        <v>0</v>
      </c>
      <c r="AU422" s="82"/>
      <c r="AV422" s="82"/>
      <c r="AW422" s="82"/>
      <c r="AX422" s="82"/>
      <c r="AY422" s="82"/>
      <c r="AZ422" s="82"/>
      <c r="BA422" s="82"/>
      <c r="BB422" s="82"/>
      <c r="BC422">
        <v>11</v>
      </c>
      <c r="BD422" s="81" t="str">
        <f>REPLACE(INDEX(GroupVertices[Group],MATCH(Edges[[#This Row],[Vertex 1]],GroupVertices[Vertex],0)),1,1,"")</f>
        <v>2</v>
      </c>
      <c r="BE422" s="81" t="str">
        <f>REPLACE(INDEX(GroupVertices[Group],MATCH(Edges[[#This Row],[Vertex 2]],GroupVertices[Vertex],0)),1,1,"")</f>
        <v>2</v>
      </c>
      <c r="BF422" s="49">
        <v>0</v>
      </c>
      <c r="BG422" s="50">
        <v>0</v>
      </c>
      <c r="BH422" s="49">
        <v>0</v>
      </c>
      <c r="BI422" s="50">
        <v>0</v>
      </c>
      <c r="BJ422" s="49">
        <v>0</v>
      </c>
      <c r="BK422" s="50">
        <v>0</v>
      </c>
      <c r="BL422" s="49">
        <v>9</v>
      </c>
      <c r="BM422" s="50">
        <v>100</v>
      </c>
      <c r="BN422" s="49">
        <v>9</v>
      </c>
    </row>
    <row r="423" spans="1:66" ht="15">
      <c r="A423" s="66" t="s">
        <v>441</v>
      </c>
      <c r="B423" s="66" t="s">
        <v>441</v>
      </c>
      <c r="C423" s="67" t="s">
        <v>4517</v>
      </c>
      <c r="D423" s="68">
        <v>9.363636363636363</v>
      </c>
      <c r="E423" s="69" t="s">
        <v>136</v>
      </c>
      <c r="F423" s="70">
        <v>24.972972972972972</v>
      </c>
      <c r="G423" s="67"/>
      <c r="H423" s="71"/>
      <c r="I423" s="72"/>
      <c r="J423" s="72"/>
      <c r="K423" s="35" t="s">
        <v>65</v>
      </c>
      <c r="L423" s="80">
        <v>423</v>
      </c>
      <c r="M423" s="80"/>
      <c r="N423" s="74"/>
      <c r="O423" s="82" t="s">
        <v>214</v>
      </c>
      <c r="P423" s="84">
        <v>44518.646469907406</v>
      </c>
      <c r="Q423" s="82" t="s">
        <v>882</v>
      </c>
      <c r="R423" s="82"/>
      <c r="S423" s="82"/>
      <c r="T423" s="87" t="s">
        <v>1139</v>
      </c>
      <c r="U423" s="85" t="str">
        <f>HYPERLINK("https://pbs.twimg.com/media/FEfHo30VcAcwYzN.jpg")</f>
        <v>https://pbs.twimg.com/media/FEfHo30VcAcwYzN.jpg</v>
      </c>
      <c r="V423" s="85" t="str">
        <f>HYPERLINK("https://pbs.twimg.com/media/FEfHo30VcAcwYzN.jpg")</f>
        <v>https://pbs.twimg.com/media/FEfHo30VcAcwYzN.jpg</v>
      </c>
      <c r="W423" s="84">
        <v>44518.646469907406</v>
      </c>
      <c r="X423" s="90">
        <v>44518</v>
      </c>
      <c r="Y423" s="87" t="s">
        <v>1442</v>
      </c>
      <c r="Z423" s="85" t="str">
        <f>HYPERLINK("https://twitter.com/battlesuperbugs/status/1461356249845415953")</f>
        <v>https://twitter.com/battlesuperbugs/status/1461356249845415953</v>
      </c>
      <c r="AA423" s="82"/>
      <c r="AB423" s="82"/>
      <c r="AC423" s="87" t="s">
        <v>1802</v>
      </c>
      <c r="AD423" s="82"/>
      <c r="AE423" s="82" t="b">
        <v>0</v>
      </c>
      <c r="AF423" s="82">
        <v>5</v>
      </c>
      <c r="AG423" s="87" t="s">
        <v>1815</v>
      </c>
      <c r="AH423" s="82" t="b">
        <v>0</v>
      </c>
      <c r="AI423" s="82" t="s">
        <v>1826</v>
      </c>
      <c r="AJ423" s="82"/>
      <c r="AK423" s="87" t="s">
        <v>1815</v>
      </c>
      <c r="AL423" s="82" t="b">
        <v>0</v>
      </c>
      <c r="AM423" s="82">
        <v>3</v>
      </c>
      <c r="AN423" s="87" t="s">
        <v>1815</v>
      </c>
      <c r="AO423" s="87" t="s">
        <v>1870</v>
      </c>
      <c r="AP423" s="82" t="b">
        <v>0</v>
      </c>
      <c r="AQ423" s="87" t="s">
        <v>1802</v>
      </c>
      <c r="AR423" s="82"/>
      <c r="AS423" s="82">
        <v>0</v>
      </c>
      <c r="AT423" s="82">
        <v>0</v>
      </c>
      <c r="AU423" s="82"/>
      <c r="AV423" s="82"/>
      <c r="AW423" s="82"/>
      <c r="AX423" s="82"/>
      <c r="AY423" s="82"/>
      <c r="AZ423" s="82"/>
      <c r="BA423" s="82"/>
      <c r="BB423" s="82"/>
      <c r="BC423">
        <v>11</v>
      </c>
      <c r="BD423" s="81" t="str">
        <f>REPLACE(INDEX(GroupVertices[Group],MATCH(Edges[[#This Row],[Vertex 1]],GroupVertices[Vertex],0)),1,1,"")</f>
        <v>2</v>
      </c>
      <c r="BE423" s="81" t="str">
        <f>REPLACE(INDEX(GroupVertices[Group],MATCH(Edges[[#This Row],[Vertex 2]],GroupVertices[Vertex],0)),1,1,"")</f>
        <v>2</v>
      </c>
      <c r="BF423" s="49">
        <v>0</v>
      </c>
      <c r="BG423" s="50">
        <v>0</v>
      </c>
      <c r="BH423" s="49">
        <v>1</v>
      </c>
      <c r="BI423" s="50">
        <v>5.555555555555555</v>
      </c>
      <c r="BJ423" s="49">
        <v>0</v>
      </c>
      <c r="BK423" s="50">
        <v>0</v>
      </c>
      <c r="BL423" s="49">
        <v>17</v>
      </c>
      <c r="BM423" s="50">
        <v>94.44444444444444</v>
      </c>
      <c r="BN423" s="49">
        <v>18</v>
      </c>
    </row>
    <row r="424" spans="1:66" ht="15">
      <c r="A424" s="66" t="s">
        <v>442</v>
      </c>
      <c r="B424" s="66" t="s">
        <v>442</v>
      </c>
      <c r="C424" s="67" t="s">
        <v>4509</v>
      </c>
      <c r="D424" s="68">
        <v>3</v>
      </c>
      <c r="E424" s="69" t="s">
        <v>132</v>
      </c>
      <c r="F424" s="70">
        <v>32</v>
      </c>
      <c r="G424" s="67"/>
      <c r="H424" s="71"/>
      <c r="I424" s="72"/>
      <c r="J424" s="72"/>
      <c r="K424" s="35" t="s">
        <v>65</v>
      </c>
      <c r="L424" s="80">
        <v>424</v>
      </c>
      <c r="M424" s="80"/>
      <c r="N424" s="74"/>
      <c r="O424" s="82" t="s">
        <v>214</v>
      </c>
      <c r="P424" s="84">
        <v>44518.65684027778</v>
      </c>
      <c r="Q424" s="82" t="s">
        <v>883</v>
      </c>
      <c r="R424" s="85" t="str">
        <f>HYPERLINK("https://twitter.com/HealthSAcademy/status/1461353075248021515")</f>
        <v>https://twitter.com/HealthSAcademy/status/1461353075248021515</v>
      </c>
      <c r="S424" s="82" t="s">
        <v>914</v>
      </c>
      <c r="T424" s="87" t="s">
        <v>966</v>
      </c>
      <c r="U424" s="82"/>
      <c r="V424" s="85" t="str">
        <f>HYPERLINK("https://pbs.twimg.com/profile_images/1439622484920356865/5oBgu2Sy_normal.jpg")</f>
        <v>https://pbs.twimg.com/profile_images/1439622484920356865/5oBgu2Sy_normal.jpg</v>
      </c>
      <c r="W424" s="84">
        <v>44518.65684027778</v>
      </c>
      <c r="X424" s="90">
        <v>44518</v>
      </c>
      <c r="Y424" s="87" t="s">
        <v>1443</v>
      </c>
      <c r="Z424" s="85" t="str">
        <f>HYPERLINK("https://twitter.com/arsl_raza/status/1461360008575127564")</f>
        <v>https://twitter.com/arsl_raza/status/1461360008575127564</v>
      </c>
      <c r="AA424" s="82"/>
      <c r="AB424" s="82"/>
      <c r="AC424" s="87" t="s">
        <v>1803</v>
      </c>
      <c r="AD424" s="82"/>
      <c r="AE424" s="82" t="b">
        <v>0</v>
      </c>
      <c r="AF424" s="82">
        <v>0</v>
      </c>
      <c r="AG424" s="87" t="s">
        <v>1815</v>
      </c>
      <c r="AH424" s="82" t="b">
        <v>1</v>
      </c>
      <c r="AI424" s="82" t="s">
        <v>1826</v>
      </c>
      <c r="AJ424" s="82"/>
      <c r="AK424" s="87" t="s">
        <v>1626</v>
      </c>
      <c r="AL424" s="82" t="b">
        <v>0</v>
      </c>
      <c r="AM424" s="82">
        <v>1</v>
      </c>
      <c r="AN424" s="87" t="s">
        <v>1815</v>
      </c>
      <c r="AO424" s="87" t="s">
        <v>1851</v>
      </c>
      <c r="AP424" s="82" t="b">
        <v>0</v>
      </c>
      <c r="AQ424" s="87" t="s">
        <v>1803</v>
      </c>
      <c r="AR424" s="82"/>
      <c r="AS424" s="82">
        <v>0</v>
      </c>
      <c r="AT424" s="82">
        <v>0</v>
      </c>
      <c r="AU424" s="82"/>
      <c r="AV424" s="82"/>
      <c r="AW424" s="82"/>
      <c r="AX424" s="82"/>
      <c r="AY424" s="82"/>
      <c r="AZ424" s="82"/>
      <c r="BA424" s="82"/>
      <c r="BB424" s="82"/>
      <c r="BC424">
        <v>1</v>
      </c>
      <c r="BD424" s="81" t="str">
        <f>REPLACE(INDEX(GroupVertices[Group],MATCH(Edges[[#This Row],[Vertex 1]],GroupVertices[Vertex],0)),1,1,"")</f>
        <v>1</v>
      </c>
      <c r="BE424" s="81" t="str">
        <f>REPLACE(INDEX(GroupVertices[Group],MATCH(Edges[[#This Row],[Vertex 2]],GroupVertices[Vertex],0)),1,1,"")</f>
        <v>1</v>
      </c>
      <c r="BF424" s="49">
        <v>0</v>
      </c>
      <c r="BG424" s="50">
        <v>0</v>
      </c>
      <c r="BH424" s="49">
        <v>1</v>
      </c>
      <c r="BI424" s="50">
        <v>11.11111111111111</v>
      </c>
      <c r="BJ424" s="49">
        <v>0</v>
      </c>
      <c r="BK424" s="50">
        <v>0</v>
      </c>
      <c r="BL424" s="49">
        <v>8</v>
      </c>
      <c r="BM424" s="50">
        <v>88.88888888888889</v>
      </c>
      <c r="BN424" s="49">
        <v>9</v>
      </c>
    </row>
    <row r="425" spans="1:66" ht="15">
      <c r="A425" s="66" t="s">
        <v>443</v>
      </c>
      <c r="B425" s="66" t="s">
        <v>443</v>
      </c>
      <c r="C425" s="67" t="s">
        <v>4509</v>
      </c>
      <c r="D425" s="68">
        <v>3</v>
      </c>
      <c r="E425" s="69" t="s">
        <v>132</v>
      </c>
      <c r="F425" s="70">
        <v>32</v>
      </c>
      <c r="G425" s="67"/>
      <c r="H425" s="71"/>
      <c r="I425" s="72"/>
      <c r="J425" s="72"/>
      <c r="K425" s="35" t="s">
        <v>65</v>
      </c>
      <c r="L425" s="80">
        <v>425</v>
      </c>
      <c r="M425" s="80"/>
      <c r="N425" s="74"/>
      <c r="O425" s="82" t="s">
        <v>214</v>
      </c>
      <c r="P425" s="84">
        <v>44518.62699074074</v>
      </c>
      <c r="Q425" s="82" t="s">
        <v>884</v>
      </c>
      <c r="R425" s="82"/>
      <c r="S425" s="82"/>
      <c r="T425" s="87" t="s">
        <v>1143</v>
      </c>
      <c r="U425" s="82"/>
      <c r="V425" s="85" t="str">
        <f>HYPERLINK("https://pbs.twimg.com/profile_images/903770110900482052/85m5GTap_normal.jpg")</f>
        <v>https://pbs.twimg.com/profile_images/903770110900482052/85m5GTap_normal.jpg</v>
      </c>
      <c r="W425" s="84">
        <v>44518.62699074074</v>
      </c>
      <c r="X425" s="90">
        <v>44518</v>
      </c>
      <c r="Y425" s="87" t="s">
        <v>1444</v>
      </c>
      <c r="Z425" s="85" t="str">
        <f>HYPERLINK("https://twitter.com/alinfectdis/status/1461349193126060041")</f>
        <v>https://twitter.com/alinfectdis/status/1461349193126060041</v>
      </c>
      <c r="AA425" s="82"/>
      <c r="AB425" s="82"/>
      <c r="AC425" s="87" t="s">
        <v>1804</v>
      </c>
      <c r="AD425" s="82"/>
      <c r="AE425" s="82" t="b">
        <v>0</v>
      </c>
      <c r="AF425" s="82">
        <v>7</v>
      </c>
      <c r="AG425" s="87" t="s">
        <v>1815</v>
      </c>
      <c r="AH425" s="82" t="b">
        <v>0</v>
      </c>
      <c r="AI425" s="82" t="s">
        <v>1826</v>
      </c>
      <c r="AJ425" s="82"/>
      <c r="AK425" s="87" t="s">
        <v>1815</v>
      </c>
      <c r="AL425" s="82" t="b">
        <v>0</v>
      </c>
      <c r="AM425" s="82">
        <v>5</v>
      </c>
      <c r="AN425" s="87" t="s">
        <v>1815</v>
      </c>
      <c r="AO425" s="87" t="s">
        <v>1851</v>
      </c>
      <c r="AP425" s="82" t="b">
        <v>0</v>
      </c>
      <c r="AQ425" s="87" t="s">
        <v>1804</v>
      </c>
      <c r="AR425" s="82"/>
      <c r="AS425" s="82">
        <v>0</v>
      </c>
      <c r="AT425" s="82">
        <v>0</v>
      </c>
      <c r="AU425" s="82"/>
      <c r="AV425" s="82"/>
      <c r="AW425" s="82"/>
      <c r="AX425" s="82"/>
      <c r="AY425" s="82"/>
      <c r="AZ425" s="82"/>
      <c r="BA425" s="82"/>
      <c r="BB425" s="82"/>
      <c r="BC425">
        <v>1</v>
      </c>
      <c r="BD425" s="81" t="str">
        <f>REPLACE(INDEX(GroupVertices[Group],MATCH(Edges[[#This Row],[Vertex 1]],GroupVertices[Vertex],0)),1,1,"")</f>
        <v>1</v>
      </c>
      <c r="BE425" s="81" t="str">
        <f>REPLACE(INDEX(GroupVertices[Group],MATCH(Edges[[#This Row],[Vertex 2]],GroupVertices[Vertex],0)),1,1,"")</f>
        <v>1</v>
      </c>
      <c r="BF425" s="49">
        <v>0</v>
      </c>
      <c r="BG425" s="50">
        <v>0</v>
      </c>
      <c r="BH425" s="49">
        <v>3</v>
      </c>
      <c r="BI425" s="50">
        <v>7.894736842105263</v>
      </c>
      <c r="BJ425" s="49">
        <v>0</v>
      </c>
      <c r="BK425" s="50">
        <v>0</v>
      </c>
      <c r="BL425" s="49">
        <v>35</v>
      </c>
      <c r="BM425" s="50">
        <v>92.10526315789474</v>
      </c>
      <c r="BN425" s="49">
        <v>38</v>
      </c>
    </row>
    <row r="426" spans="1:66" ht="15">
      <c r="A426" s="66" t="s">
        <v>444</v>
      </c>
      <c r="B426" s="66" t="s">
        <v>444</v>
      </c>
      <c r="C426" s="67" t="s">
        <v>4509</v>
      </c>
      <c r="D426" s="68">
        <v>3</v>
      </c>
      <c r="E426" s="69" t="s">
        <v>132</v>
      </c>
      <c r="F426" s="70">
        <v>32</v>
      </c>
      <c r="G426" s="67"/>
      <c r="H426" s="71"/>
      <c r="I426" s="72"/>
      <c r="J426" s="72"/>
      <c r="K426" s="35" t="s">
        <v>65</v>
      </c>
      <c r="L426" s="80">
        <v>426</v>
      </c>
      <c r="M426" s="80"/>
      <c r="N426" s="74"/>
      <c r="O426" s="82" t="s">
        <v>214</v>
      </c>
      <c r="P426" s="84">
        <v>44518.62710648148</v>
      </c>
      <c r="Q426" s="82" t="s">
        <v>885</v>
      </c>
      <c r="R426" s="85" t="str">
        <f>HYPERLINK("https://www.frimleyhealthandcare.org.uk/news/posts/2021/november/keep-antibiotics-working/?utm_source=Twitter&amp;utm_medium=social&amp;utm_campaign=Orlo")</f>
        <v>https://www.frimleyhealthandcare.org.uk/news/posts/2021/november/keep-antibiotics-working/?utm_source=Twitter&amp;utm_medium=social&amp;utm_campaign=Orlo</v>
      </c>
      <c r="S426" s="82" t="s">
        <v>921</v>
      </c>
      <c r="T426" s="87" t="s">
        <v>1007</v>
      </c>
      <c r="U426" s="85" t="str">
        <f>HYPERLINK("https://pbs.twimg.com/media/FEfBFN7UUA4A2ng.jpg")</f>
        <v>https://pbs.twimg.com/media/FEfBFN7UUA4A2ng.jpg</v>
      </c>
      <c r="V426" s="85" t="str">
        <f>HYPERLINK("https://pbs.twimg.com/media/FEfBFN7UUA4A2ng.jpg")</f>
        <v>https://pbs.twimg.com/media/FEfBFN7UUA4A2ng.jpg</v>
      </c>
      <c r="W426" s="84">
        <v>44518.62710648148</v>
      </c>
      <c r="X426" s="90">
        <v>44518</v>
      </c>
      <c r="Y426" s="87" t="s">
        <v>1397</v>
      </c>
      <c r="Z426" s="85" t="str">
        <f>HYPERLINK("https://twitter.com/ebpcooh/status/1461349231747219459")</f>
        <v>https://twitter.com/ebpcooh/status/1461349231747219459</v>
      </c>
      <c r="AA426" s="82"/>
      <c r="AB426" s="82"/>
      <c r="AC426" s="87" t="s">
        <v>1805</v>
      </c>
      <c r="AD426" s="82"/>
      <c r="AE426" s="82" t="b">
        <v>0</v>
      </c>
      <c r="AF426" s="82">
        <v>0</v>
      </c>
      <c r="AG426" s="87" t="s">
        <v>1815</v>
      </c>
      <c r="AH426" s="82" t="b">
        <v>0</v>
      </c>
      <c r="AI426" s="82" t="s">
        <v>1826</v>
      </c>
      <c r="AJ426" s="82"/>
      <c r="AK426" s="87" t="s">
        <v>1815</v>
      </c>
      <c r="AL426" s="82" t="b">
        <v>0</v>
      </c>
      <c r="AM426" s="82">
        <v>0</v>
      </c>
      <c r="AN426" s="87" t="s">
        <v>1815</v>
      </c>
      <c r="AO426" s="87" t="s">
        <v>1868</v>
      </c>
      <c r="AP426" s="82" t="b">
        <v>0</v>
      </c>
      <c r="AQ426" s="87" t="s">
        <v>1805</v>
      </c>
      <c r="AR426" s="82"/>
      <c r="AS426" s="82">
        <v>0</v>
      </c>
      <c r="AT426" s="82">
        <v>0</v>
      </c>
      <c r="AU426" s="82"/>
      <c r="AV426" s="82"/>
      <c r="AW426" s="82"/>
      <c r="AX426" s="82"/>
      <c r="AY426" s="82"/>
      <c r="AZ426" s="82"/>
      <c r="BA426" s="82"/>
      <c r="BB426" s="82"/>
      <c r="BC426">
        <v>1</v>
      </c>
      <c r="BD426" s="81" t="str">
        <f>REPLACE(INDEX(GroupVertices[Group],MATCH(Edges[[#This Row],[Vertex 1]],GroupVertices[Vertex],0)),1,1,"")</f>
        <v>1</v>
      </c>
      <c r="BE426" s="81" t="str">
        <f>REPLACE(INDEX(GroupVertices[Group],MATCH(Edges[[#This Row],[Vertex 2]],GroupVertices[Vertex],0)),1,1,"")</f>
        <v>1</v>
      </c>
      <c r="BF426" s="49">
        <v>1</v>
      </c>
      <c r="BG426" s="50">
        <v>3.125</v>
      </c>
      <c r="BH426" s="49">
        <v>0</v>
      </c>
      <c r="BI426" s="50">
        <v>0</v>
      </c>
      <c r="BJ426" s="49">
        <v>0</v>
      </c>
      <c r="BK426" s="50">
        <v>0</v>
      </c>
      <c r="BL426" s="49">
        <v>31</v>
      </c>
      <c r="BM426" s="50">
        <v>96.875</v>
      </c>
      <c r="BN426" s="49">
        <v>32</v>
      </c>
    </row>
    <row r="427" spans="1:66" ht="15">
      <c r="A427" s="66" t="s">
        <v>445</v>
      </c>
      <c r="B427" s="66" t="s">
        <v>445</v>
      </c>
      <c r="C427" s="67" t="s">
        <v>4509</v>
      </c>
      <c r="D427" s="68">
        <v>3</v>
      </c>
      <c r="E427" s="69" t="s">
        <v>132</v>
      </c>
      <c r="F427" s="70">
        <v>32</v>
      </c>
      <c r="G427" s="67"/>
      <c r="H427" s="71"/>
      <c r="I427" s="72"/>
      <c r="J427" s="72"/>
      <c r="K427" s="35" t="s">
        <v>65</v>
      </c>
      <c r="L427" s="80">
        <v>427</v>
      </c>
      <c r="M427" s="80"/>
      <c r="N427" s="74"/>
      <c r="O427" s="82" t="s">
        <v>214</v>
      </c>
      <c r="P427" s="84">
        <v>44518.639074074075</v>
      </c>
      <c r="Q427" s="82" t="s">
        <v>886</v>
      </c>
      <c r="R427" s="85" t="str">
        <f>HYPERLINK("https://www.cdc.gov/antibiotic-use/week/index.html")</f>
        <v>https://www.cdc.gov/antibiotic-use/week/index.html</v>
      </c>
      <c r="S427" s="82" t="s">
        <v>903</v>
      </c>
      <c r="T427" s="87" t="s">
        <v>1144</v>
      </c>
      <c r="U427" s="82"/>
      <c r="V427" s="85" t="str">
        <f>HYPERLINK("https://pbs.twimg.com/profile_images/783718012146835456/tI0Xt5Nk_normal.jpg")</f>
        <v>https://pbs.twimg.com/profile_images/783718012146835456/tI0Xt5Nk_normal.jpg</v>
      </c>
      <c r="W427" s="84">
        <v>44518.639074074075</v>
      </c>
      <c r="X427" s="90">
        <v>44518</v>
      </c>
      <c r="Y427" s="87" t="s">
        <v>1445</v>
      </c>
      <c r="Z427" s="85" t="str">
        <f>HYPERLINK("https://twitter.com/awg_news/status/1461353569240576016")</f>
        <v>https://twitter.com/awg_news/status/1461353569240576016</v>
      </c>
      <c r="AA427" s="82"/>
      <c r="AB427" s="82"/>
      <c r="AC427" s="87" t="s">
        <v>1806</v>
      </c>
      <c r="AD427" s="82"/>
      <c r="AE427" s="82" t="b">
        <v>0</v>
      </c>
      <c r="AF427" s="82">
        <v>7</v>
      </c>
      <c r="AG427" s="87" t="s">
        <v>1815</v>
      </c>
      <c r="AH427" s="82" t="b">
        <v>0</v>
      </c>
      <c r="AI427" s="82" t="s">
        <v>1826</v>
      </c>
      <c r="AJ427" s="82"/>
      <c r="AK427" s="87" t="s">
        <v>1815</v>
      </c>
      <c r="AL427" s="82" t="b">
        <v>0</v>
      </c>
      <c r="AM427" s="82">
        <v>2</v>
      </c>
      <c r="AN427" s="87" t="s">
        <v>1815</v>
      </c>
      <c r="AO427" s="87" t="s">
        <v>1856</v>
      </c>
      <c r="AP427" s="82" t="b">
        <v>0</v>
      </c>
      <c r="AQ427" s="87" t="s">
        <v>1806</v>
      </c>
      <c r="AR427" s="82"/>
      <c r="AS427" s="82">
        <v>0</v>
      </c>
      <c r="AT427" s="82">
        <v>0</v>
      </c>
      <c r="AU427" s="82"/>
      <c r="AV427" s="82"/>
      <c r="AW427" s="82"/>
      <c r="AX427" s="82"/>
      <c r="AY427" s="82"/>
      <c r="AZ427" s="82"/>
      <c r="BA427" s="82"/>
      <c r="BB427" s="82"/>
      <c r="BC427">
        <v>1</v>
      </c>
      <c r="BD427" s="81" t="str">
        <f>REPLACE(INDEX(GroupVertices[Group],MATCH(Edges[[#This Row],[Vertex 1]],GroupVertices[Vertex],0)),1,1,"")</f>
        <v>1</v>
      </c>
      <c r="BE427" s="81" t="str">
        <f>REPLACE(INDEX(GroupVertices[Group],MATCH(Edges[[#This Row],[Vertex 2]],GroupVertices[Vertex],0)),1,1,"")</f>
        <v>1</v>
      </c>
      <c r="BF427" s="49">
        <v>1</v>
      </c>
      <c r="BG427" s="50">
        <v>3.125</v>
      </c>
      <c r="BH427" s="49">
        <v>1</v>
      </c>
      <c r="BI427" s="50">
        <v>3.125</v>
      </c>
      <c r="BJ427" s="49">
        <v>0</v>
      </c>
      <c r="BK427" s="50">
        <v>0</v>
      </c>
      <c r="BL427" s="49">
        <v>30</v>
      </c>
      <c r="BM427" s="50">
        <v>93.75</v>
      </c>
      <c r="BN427" s="49">
        <v>32</v>
      </c>
    </row>
    <row r="428" spans="1:66" ht="15">
      <c r="A428" s="66" t="s">
        <v>446</v>
      </c>
      <c r="B428" s="66" t="s">
        <v>446</v>
      </c>
      <c r="C428" s="67" t="s">
        <v>4509</v>
      </c>
      <c r="D428" s="68">
        <v>3</v>
      </c>
      <c r="E428" s="69" t="s">
        <v>132</v>
      </c>
      <c r="F428" s="70">
        <v>32</v>
      </c>
      <c r="G428" s="67"/>
      <c r="H428" s="71"/>
      <c r="I428" s="72"/>
      <c r="J428" s="72"/>
      <c r="K428" s="35" t="s">
        <v>65</v>
      </c>
      <c r="L428" s="80">
        <v>428</v>
      </c>
      <c r="M428" s="80"/>
      <c r="N428" s="74"/>
      <c r="O428" s="82" t="s">
        <v>214</v>
      </c>
      <c r="P428" s="84">
        <v>44518.62719907407</v>
      </c>
      <c r="Q428" s="82" t="s">
        <v>887</v>
      </c>
      <c r="R428" s="82"/>
      <c r="S428" s="82"/>
      <c r="T428" s="87" t="s">
        <v>955</v>
      </c>
      <c r="U428" s="85" t="str">
        <f>HYPERLINK("https://pbs.twimg.com/media/FEfBabkVkAATSJx.jpg")</f>
        <v>https://pbs.twimg.com/media/FEfBabkVkAATSJx.jpg</v>
      </c>
      <c r="V428" s="85" t="str">
        <f>HYPERLINK("https://pbs.twimg.com/media/FEfBabkVkAATSJx.jpg")</f>
        <v>https://pbs.twimg.com/media/FEfBabkVkAATSJx.jpg</v>
      </c>
      <c r="W428" s="84">
        <v>44518.62719907407</v>
      </c>
      <c r="X428" s="90">
        <v>44518</v>
      </c>
      <c r="Y428" s="87" t="s">
        <v>1446</v>
      </c>
      <c r="Z428" s="85" t="str">
        <f>HYPERLINK("https://twitter.com/dse22/status/1461349266710876163")</f>
        <v>https://twitter.com/dse22/status/1461349266710876163</v>
      </c>
      <c r="AA428" s="82"/>
      <c r="AB428" s="82"/>
      <c r="AC428" s="87" t="s">
        <v>1807</v>
      </c>
      <c r="AD428" s="82"/>
      <c r="AE428" s="82" t="b">
        <v>0</v>
      </c>
      <c r="AF428" s="82">
        <v>0</v>
      </c>
      <c r="AG428" s="87" t="s">
        <v>1815</v>
      </c>
      <c r="AH428" s="82" t="b">
        <v>0</v>
      </c>
      <c r="AI428" s="82" t="s">
        <v>1826</v>
      </c>
      <c r="AJ428" s="82"/>
      <c r="AK428" s="87" t="s">
        <v>1815</v>
      </c>
      <c r="AL428" s="82" t="b">
        <v>0</v>
      </c>
      <c r="AM428" s="82">
        <v>0</v>
      </c>
      <c r="AN428" s="87" t="s">
        <v>1815</v>
      </c>
      <c r="AO428" s="87" t="s">
        <v>1852</v>
      </c>
      <c r="AP428" s="82" t="b">
        <v>0</v>
      </c>
      <c r="AQ428" s="87" t="s">
        <v>1807</v>
      </c>
      <c r="AR428" s="82"/>
      <c r="AS428" s="82">
        <v>0</v>
      </c>
      <c r="AT428" s="82">
        <v>0</v>
      </c>
      <c r="AU428" s="82"/>
      <c r="AV428" s="82"/>
      <c r="AW428" s="82"/>
      <c r="AX428" s="82"/>
      <c r="AY428" s="82"/>
      <c r="AZ428" s="82"/>
      <c r="BA428" s="82"/>
      <c r="BB428" s="82"/>
      <c r="BC428">
        <v>1</v>
      </c>
      <c r="BD428" s="81" t="str">
        <f>REPLACE(INDEX(GroupVertices[Group],MATCH(Edges[[#This Row],[Vertex 1]],GroupVertices[Vertex],0)),1,1,"")</f>
        <v>1</v>
      </c>
      <c r="BE428" s="81" t="str">
        <f>REPLACE(INDEX(GroupVertices[Group],MATCH(Edges[[#This Row],[Vertex 2]],GroupVertices[Vertex],0)),1,1,"")</f>
        <v>1</v>
      </c>
      <c r="BF428" s="49">
        <v>0</v>
      </c>
      <c r="BG428" s="50">
        <v>0</v>
      </c>
      <c r="BH428" s="49">
        <v>2</v>
      </c>
      <c r="BI428" s="50">
        <v>6.0606060606060606</v>
      </c>
      <c r="BJ428" s="49">
        <v>0</v>
      </c>
      <c r="BK428" s="50">
        <v>0</v>
      </c>
      <c r="BL428" s="49">
        <v>31</v>
      </c>
      <c r="BM428" s="50">
        <v>93.93939393939394</v>
      </c>
      <c r="BN428" s="49">
        <v>33</v>
      </c>
    </row>
    <row r="429" spans="1:66" ht="15">
      <c r="A429" s="66" t="s">
        <v>447</v>
      </c>
      <c r="B429" s="66" t="s">
        <v>447</v>
      </c>
      <c r="C429" s="67" t="s">
        <v>4509</v>
      </c>
      <c r="D429" s="68">
        <v>3</v>
      </c>
      <c r="E429" s="69" t="s">
        <v>132</v>
      </c>
      <c r="F429" s="70">
        <v>32</v>
      </c>
      <c r="G429" s="67"/>
      <c r="H429" s="71"/>
      <c r="I429" s="72"/>
      <c r="J429" s="72"/>
      <c r="K429" s="35" t="s">
        <v>65</v>
      </c>
      <c r="L429" s="80">
        <v>429</v>
      </c>
      <c r="M429" s="80"/>
      <c r="N429" s="74"/>
      <c r="O429" s="82" t="s">
        <v>214</v>
      </c>
      <c r="P429" s="84">
        <v>44518.625023148146</v>
      </c>
      <c r="Q429" s="82" t="s">
        <v>888</v>
      </c>
      <c r="R429" s="85" t="str">
        <f>HYPERLINK("https://www.cdc.gov/drugresistance/covid19.html")</f>
        <v>https://www.cdc.gov/drugresistance/covid19.html</v>
      </c>
      <c r="S429" s="82" t="s">
        <v>903</v>
      </c>
      <c r="T429" s="87" t="s">
        <v>954</v>
      </c>
      <c r="U429" s="85" t="str">
        <f>HYPERLINK("https://pbs.twimg.com/media/FEWZbKJXMAY4FeS.jpg")</f>
        <v>https://pbs.twimg.com/media/FEWZbKJXMAY4FeS.jpg</v>
      </c>
      <c r="V429" s="85" t="str">
        <f>HYPERLINK("https://pbs.twimg.com/media/FEWZbKJXMAY4FeS.jpg")</f>
        <v>https://pbs.twimg.com/media/FEWZbKJXMAY4FeS.jpg</v>
      </c>
      <c r="W429" s="84">
        <v>44518.625023148146</v>
      </c>
      <c r="X429" s="90">
        <v>44518</v>
      </c>
      <c r="Y429" s="87" t="s">
        <v>1265</v>
      </c>
      <c r="Z429" s="85" t="str">
        <f>HYPERLINK("https://twitter.com/arlgnetwork/status/1461348480446865408")</f>
        <v>https://twitter.com/arlgnetwork/status/1461348480446865408</v>
      </c>
      <c r="AA429" s="82"/>
      <c r="AB429" s="82"/>
      <c r="AC429" s="87" t="s">
        <v>1808</v>
      </c>
      <c r="AD429" s="82"/>
      <c r="AE429" s="82" t="b">
        <v>0</v>
      </c>
      <c r="AF429" s="82">
        <v>9</v>
      </c>
      <c r="AG429" s="87" t="s">
        <v>1815</v>
      </c>
      <c r="AH429" s="82" t="b">
        <v>0</v>
      </c>
      <c r="AI429" s="82" t="s">
        <v>1826</v>
      </c>
      <c r="AJ429" s="82"/>
      <c r="AK429" s="87" t="s">
        <v>1815</v>
      </c>
      <c r="AL429" s="82" t="b">
        <v>0</v>
      </c>
      <c r="AM429" s="82">
        <v>1</v>
      </c>
      <c r="AN429" s="87" t="s">
        <v>1815</v>
      </c>
      <c r="AO429" s="87" t="s">
        <v>1853</v>
      </c>
      <c r="AP429" s="82" t="b">
        <v>0</v>
      </c>
      <c r="AQ429" s="87" t="s">
        <v>1808</v>
      </c>
      <c r="AR429" s="82"/>
      <c r="AS429" s="82">
        <v>0</v>
      </c>
      <c r="AT429" s="82">
        <v>0</v>
      </c>
      <c r="AU429" s="82"/>
      <c r="AV429" s="82"/>
      <c r="AW429" s="82"/>
      <c r="AX429" s="82"/>
      <c r="AY429" s="82"/>
      <c r="AZ429" s="82"/>
      <c r="BA429" s="82"/>
      <c r="BB429" s="82"/>
      <c r="BC429">
        <v>1</v>
      </c>
      <c r="BD429" s="81" t="str">
        <f>REPLACE(INDEX(GroupVertices[Group],MATCH(Edges[[#This Row],[Vertex 1]],GroupVertices[Vertex],0)),1,1,"")</f>
        <v>1</v>
      </c>
      <c r="BE429" s="81" t="str">
        <f>REPLACE(INDEX(GroupVertices[Group],MATCH(Edges[[#This Row],[Vertex 2]],GroupVertices[Vertex],0)),1,1,"")</f>
        <v>1</v>
      </c>
      <c r="BF429" s="49">
        <v>0</v>
      </c>
      <c r="BG429" s="50">
        <v>0</v>
      </c>
      <c r="BH429" s="49">
        <v>1</v>
      </c>
      <c r="BI429" s="50">
        <v>3.0303030303030303</v>
      </c>
      <c r="BJ429" s="49">
        <v>0</v>
      </c>
      <c r="BK429" s="50">
        <v>0</v>
      </c>
      <c r="BL429" s="49">
        <v>32</v>
      </c>
      <c r="BM429" s="50">
        <v>96.96969696969697</v>
      </c>
      <c r="BN429" s="49">
        <v>33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9"/>
    <dataValidation allowBlank="1" showErrorMessage="1" sqref="N2:N4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9"/>
    <dataValidation allowBlank="1" showInputMessage="1" promptTitle="Edge Color" prompt="To select an optional edge color, right-click and select Select Color on the right-click menu." sqref="C3:C429"/>
    <dataValidation allowBlank="1" showInputMessage="1" promptTitle="Edge Width" prompt="Enter an optional edge width between 1 and 10." errorTitle="Invalid Edge Width" error="The optional edge width must be a whole number between 1 and 10." sqref="D3:D429"/>
    <dataValidation allowBlank="1" showInputMessage="1" promptTitle="Edge Opacity" prompt="Enter an optional edge opacity between 0 (transparent) and 100 (opaque)." errorTitle="Invalid Edge Opacity" error="The optional edge opacity must be a whole number between 0 and 10." sqref="F3:F4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9">
      <formula1>ValidEdgeVisibilities</formula1>
    </dataValidation>
    <dataValidation allowBlank="1" showInputMessage="1" showErrorMessage="1" promptTitle="Vertex 1 Name" prompt="Enter the name of the edge's first vertex." sqref="A3:A429"/>
    <dataValidation allowBlank="1" showInputMessage="1" showErrorMessage="1" promptTitle="Vertex 2 Name" prompt="Enter the name of the edge's second vertex." sqref="B3:B429"/>
    <dataValidation allowBlank="1" showInputMessage="1" showErrorMessage="1" promptTitle="Edge Label" prompt="Enter an optional edge label." errorTitle="Invalid Edge Visibility" error="You have entered an unrecognized edge visibility.  Try selecting from the drop-down list instead." sqref="H3:H4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29"/>
  </dataValidations>
  <hyperlinks>
    <hyperlink ref="R18" r:id="rId1" display="https://eur01.safelinks.protection.outlook.com/?url=https://www.gov.uk/government/publications/english-surveillance-programme-antimicrobial-utilisation-and-resistance-espaur-report&amp;data=04|01|Nick.Tiplady@phe.gov.uk|ccf5cbaf22ec41b3e5d808d88bb2bc3b|ee4e14994a354b2ead475f3cf9de8666|0|0|637412947057544774|Unknown|TWFpbGZsb3d8eyJWIjoiMC4wLjAwMDAiLCJQIjoiV2luMzIiLCJBTiI6Ik1haWwiLCJXVCI6Mn0%3D|1000&amp;sdata=3T%2BA/jwtsw3BsLevI4dVIUBfBARB2oQ2Ncsbpb/OZuo%3D&amp;reserved=0"/>
    <hyperlink ref="R389" r:id="rId2" display="https://eur01.safelinks.protection.outlook.com/?url=https://www.gov.uk/government/publications/english-surveillance-programme-antimicrobial-utilisation-and-resistance-espaur-report&amp;data=04|01|Nick.Tiplady@phe.gov.uk|ccf5cbaf22ec41b3e5d808d88bb2bc3b|ee4e14994a354b2ead475f3cf9de8666|0|0|637412947057544774|Unknown|TWFpbGZsb3d8eyJWIjoiMC4wLjAwMDAiLCJQIjoiV2luMzIiLCJBTiI6Ik1haWwiLCJXVCI6Mn0%3D|1000&amp;sdata=3T%2BA/jwtsw3BsLevI4dVIUBfBARB2oQ2Ncsbpb/OZuo%3D&amp;reserved=0"/>
  </hyperlinks>
  <printOptions/>
  <pageMargins left="0.7" right="0.7" top="0.75" bottom="0.75" header="0.3" footer="0.3"/>
  <pageSetup horizontalDpi="600" verticalDpi="600" orientation="portrait" r:id="rId6"/>
  <legacyDrawing r:id="rId4"/>
  <tableParts>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BBD90-050B-4B5B-8F36-BC83D597ED89}">
  <dimension ref="A1:L851"/>
  <sheetViews>
    <sheetView workbookViewId="0" topLeftCell="A1"/>
  </sheetViews>
  <sheetFormatPr defaultColWidth="9.140625" defaultRowHeight="15"/>
  <cols>
    <col min="1" max="2" width="8.421875" style="0" bestFit="1" customWidth="1"/>
    <col min="3" max="3" width="7.421875" style="0" bestFit="1" customWidth="1"/>
    <col min="4" max="4" width="8.8515625" style="0" bestFit="1" customWidth="1"/>
    <col min="5" max="5" width="18.00390625" style="0" bestFit="1" customWidth="1"/>
    <col min="6" max="6" width="7.57421875" style="0" bestFit="1" customWidth="1"/>
    <col min="7" max="12" width="28.57421875" style="0" bestFit="1" customWidth="1"/>
  </cols>
  <sheetData>
    <row r="1" spans="1:12" ht="15" customHeight="1">
      <c r="A1" s="13" t="s">
        <v>4455</v>
      </c>
      <c r="B1" s="13" t="s">
        <v>4456</v>
      </c>
      <c r="C1" s="13" t="s">
        <v>4446</v>
      </c>
      <c r="D1" s="13" t="s">
        <v>4450</v>
      </c>
      <c r="E1" s="13" t="s">
        <v>4457</v>
      </c>
      <c r="F1" s="13" t="s">
        <v>144</v>
      </c>
      <c r="G1" s="13" t="s">
        <v>4458</v>
      </c>
      <c r="H1" s="13" t="s">
        <v>4459</v>
      </c>
      <c r="I1" s="13" t="s">
        <v>4460</v>
      </c>
      <c r="J1" s="13" t="s">
        <v>4461</v>
      </c>
      <c r="K1" s="13" t="s">
        <v>4462</v>
      </c>
      <c r="L1" s="13" t="s">
        <v>4463</v>
      </c>
    </row>
    <row r="2" spans="1:12" ht="15">
      <c r="A2" s="86" t="s">
        <v>3357</v>
      </c>
      <c r="B2" s="86" t="s">
        <v>3354</v>
      </c>
      <c r="C2" s="86">
        <v>94</v>
      </c>
      <c r="D2" s="115">
        <v>0.008633151434500375</v>
      </c>
      <c r="E2" s="115">
        <v>1.3323433991113578</v>
      </c>
      <c r="F2" s="86" t="s">
        <v>4451</v>
      </c>
      <c r="G2" s="86" t="b">
        <v>0</v>
      </c>
      <c r="H2" s="86" t="b">
        <v>0</v>
      </c>
      <c r="I2" s="86" t="b">
        <v>0</v>
      </c>
      <c r="J2" s="86" t="b">
        <v>0</v>
      </c>
      <c r="K2" s="86" t="b">
        <v>0</v>
      </c>
      <c r="L2" s="86" t="b">
        <v>0</v>
      </c>
    </row>
    <row r="3" spans="1:12" ht="15">
      <c r="A3" s="87" t="s">
        <v>3354</v>
      </c>
      <c r="B3" s="86" t="s">
        <v>3355</v>
      </c>
      <c r="C3" s="86">
        <v>64</v>
      </c>
      <c r="D3" s="115">
        <v>0.007550243491523309</v>
      </c>
      <c r="E3" s="115">
        <v>0.9829564393395787</v>
      </c>
      <c r="F3" s="86" t="s">
        <v>4451</v>
      </c>
      <c r="G3" s="86" t="b">
        <v>0</v>
      </c>
      <c r="H3" s="86" t="b">
        <v>0</v>
      </c>
      <c r="I3" s="86" t="b">
        <v>0</v>
      </c>
      <c r="J3" s="86" t="b">
        <v>0</v>
      </c>
      <c r="K3" s="86" t="b">
        <v>0</v>
      </c>
      <c r="L3" s="86" t="b">
        <v>0</v>
      </c>
    </row>
    <row r="4" spans="1:12" ht="15">
      <c r="A4" s="87" t="s">
        <v>4025</v>
      </c>
      <c r="B4" s="86" t="s">
        <v>3360</v>
      </c>
      <c r="C4" s="86">
        <v>61</v>
      </c>
      <c r="D4" s="115">
        <v>0.00739539586657475</v>
      </c>
      <c r="E4" s="115">
        <v>1.8023055220484905</v>
      </c>
      <c r="F4" s="86" t="s">
        <v>4451</v>
      </c>
      <c r="G4" s="86" t="b">
        <v>0</v>
      </c>
      <c r="H4" s="86" t="b">
        <v>0</v>
      </c>
      <c r="I4" s="86" t="b">
        <v>0</v>
      </c>
      <c r="J4" s="86" t="b">
        <v>0</v>
      </c>
      <c r="K4" s="86" t="b">
        <v>0</v>
      </c>
      <c r="L4" s="86" t="b">
        <v>0</v>
      </c>
    </row>
    <row r="5" spans="1:12" ht="15">
      <c r="A5" s="87" t="s">
        <v>3354</v>
      </c>
      <c r="B5" s="86" t="s">
        <v>3359</v>
      </c>
      <c r="C5" s="86">
        <v>60</v>
      </c>
      <c r="D5" s="115">
        <v>0.007341574969345458</v>
      </c>
      <c r="E5" s="115">
        <v>1.2815118158757044</v>
      </c>
      <c r="F5" s="86" t="s">
        <v>4451</v>
      </c>
      <c r="G5" s="86" t="b">
        <v>0</v>
      </c>
      <c r="H5" s="86" t="b">
        <v>0</v>
      </c>
      <c r="I5" s="86" t="b">
        <v>0</v>
      </c>
      <c r="J5" s="86" t="b">
        <v>0</v>
      </c>
      <c r="K5" s="86" t="b">
        <v>0</v>
      </c>
      <c r="L5" s="86" t="b">
        <v>0</v>
      </c>
    </row>
    <row r="6" spans="1:12" ht="15">
      <c r="A6" s="87" t="s">
        <v>3359</v>
      </c>
      <c r="B6" s="86" t="s">
        <v>3373</v>
      </c>
      <c r="C6" s="86">
        <v>60</v>
      </c>
      <c r="D6" s="115">
        <v>0.007341574969345458</v>
      </c>
      <c r="E6" s="115">
        <v>1.758977721420457</v>
      </c>
      <c r="F6" s="86" t="s">
        <v>4451</v>
      </c>
      <c r="G6" s="86" t="b">
        <v>0</v>
      </c>
      <c r="H6" s="86" t="b">
        <v>0</v>
      </c>
      <c r="I6" s="86" t="b">
        <v>0</v>
      </c>
      <c r="J6" s="86" t="b">
        <v>0</v>
      </c>
      <c r="K6" s="86" t="b">
        <v>0</v>
      </c>
      <c r="L6" s="86" t="b">
        <v>0</v>
      </c>
    </row>
    <row r="7" spans="1:12" ht="15">
      <c r="A7" s="87" t="s">
        <v>3373</v>
      </c>
      <c r="B7" s="86" t="s">
        <v>3374</v>
      </c>
      <c r="C7" s="86">
        <v>59</v>
      </c>
      <c r="D7" s="115">
        <v>0.00728662109723652</v>
      </c>
      <c r="E7" s="115">
        <v>1.9604851917954698</v>
      </c>
      <c r="F7" s="86" t="s">
        <v>4451</v>
      </c>
      <c r="G7" s="86" t="b">
        <v>0</v>
      </c>
      <c r="H7" s="86" t="b">
        <v>0</v>
      </c>
      <c r="I7" s="86" t="b">
        <v>0</v>
      </c>
      <c r="J7" s="86" t="b">
        <v>0</v>
      </c>
      <c r="K7" s="86" t="b">
        <v>0</v>
      </c>
      <c r="L7" s="86" t="b">
        <v>0</v>
      </c>
    </row>
    <row r="8" spans="1:12" ht="15">
      <c r="A8" s="87" t="s">
        <v>3364</v>
      </c>
      <c r="B8" s="86" t="s">
        <v>4023</v>
      </c>
      <c r="C8" s="86">
        <v>58</v>
      </c>
      <c r="D8" s="115">
        <v>0.007230515045460035</v>
      </c>
      <c r="E8" s="115">
        <v>1.9130292458752516</v>
      </c>
      <c r="F8" s="86" t="s">
        <v>4451</v>
      </c>
      <c r="G8" s="86" t="b">
        <v>0</v>
      </c>
      <c r="H8" s="86" t="b">
        <v>0</v>
      </c>
      <c r="I8" s="86" t="b">
        <v>0</v>
      </c>
      <c r="J8" s="86" t="b">
        <v>0</v>
      </c>
      <c r="K8" s="86" t="b">
        <v>1</v>
      </c>
      <c r="L8" s="86" t="b">
        <v>0</v>
      </c>
    </row>
    <row r="9" spans="1:12" ht="15">
      <c r="A9" s="87" t="s">
        <v>4023</v>
      </c>
      <c r="B9" s="86" t="s">
        <v>4022</v>
      </c>
      <c r="C9" s="86">
        <v>57</v>
      </c>
      <c r="D9" s="115">
        <v>0.00717323694689723</v>
      </c>
      <c r="E9" s="115">
        <v>1.9443941740151756</v>
      </c>
      <c r="F9" s="86" t="s">
        <v>4451</v>
      </c>
      <c r="G9" s="86" t="b">
        <v>0</v>
      </c>
      <c r="H9" s="86" t="b">
        <v>1</v>
      </c>
      <c r="I9" s="86" t="b">
        <v>0</v>
      </c>
      <c r="J9" s="86" t="b">
        <v>0</v>
      </c>
      <c r="K9" s="86" t="b">
        <v>0</v>
      </c>
      <c r="L9" s="86" t="b">
        <v>0</v>
      </c>
    </row>
    <row r="10" spans="1:12" ht="15">
      <c r="A10" s="87" t="s">
        <v>4022</v>
      </c>
      <c r="B10" s="86" t="s">
        <v>4021</v>
      </c>
      <c r="C10" s="86">
        <v>57</v>
      </c>
      <c r="D10" s="115">
        <v>0.00717323694689723</v>
      </c>
      <c r="E10" s="115">
        <v>1.916810652383087</v>
      </c>
      <c r="F10" s="86" t="s">
        <v>4451</v>
      </c>
      <c r="G10" s="86" t="b">
        <v>0</v>
      </c>
      <c r="H10" s="86" t="b">
        <v>0</v>
      </c>
      <c r="I10" s="86" t="b">
        <v>0</v>
      </c>
      <c r="J10" s="86" t="b">
        <v>0</v>
      </c>
      <c r="K10" s="86" t="b">
        <v>1</v>
      </c>
      <c r="L10" s="86" t="b">
        <v>0</v>
      </c>
    </row>
    <row r="11" spans="1:12" ht="15">
      <c r="A11" s="87" t="s">
        <v>4024</v>
      </c>
      <c r="B11" s="86" t="s">
        <v>4025</v>
      </c>
      <c r="C11" s="86">
        <v>57</v>
      </c>
      <c r="D11" s="115">
        <v>0.00717323694689723</v>
      </c>
      <c r="E11" s="115">
        <v>1.9652443129882957</v>
      </c>
      <c r="F11" s="86" t="s">
        <v>4451</v>
      </c>
      <c r="G11" s="86" t="b">
        <v>0</v>
      </c>
      <c r="H11" s="86" t="b">
        <v>0</v>
      </c>
      <c r="I11" s="86" t="b">
        <v>0</v>
      </c>
      <c r="J11" s="86" t="b">
        <v>0</v>
      </c>
      <c r="K11" s="86" t="b">
        <v>0</v>
      </c>
      <c r="L11" s="86" t="b">
        <v>0</v>
      </c>
    </row>
    <row r="12" spans="1:12" ht="15">
      <c r="A12" s="87" t="s">
        <v>4021</v>
      </c>
      <c r="B12" s="86" t="s">
        <v>3363</v>
      </c>
      <c r="C12" s="86">
        <v>55</v>
      </c>
      <c r="D12" s="115">
        <v>0.007055081617593171</v>
      </c>
      <c r="E12" s="115">
        <v>1.8098513688982851</v>
      </c>
      <c r="F12" s="86" t="s">
        <v>4451</v>
      </c>
      <c r="G12" s="86" t="b">
        <v>0</v>
      </c>
      <c r="H12" s="86" t="b">
        <v>1</v>
      </c>
      <c r="I12" s="86" t="b">
        <v>0</v>
      </c>
      <c r="J12" s="86" t="b">
        <v>0</v>
      </c>
      <c r="K12" s="86" t="b">
        <v>0</v>
      </c>
      <c r="L12" s="86" t="b">
        <v>0</v>
      </c>
    </row>
    <row r="13" spans="1:12" ht="15">
      <c r="A13" s="87" t="s">
        <v>3363</v>
      </c>
      <c r="B13" s="86" t="s">
        <v>3380</v>
      </c>
      <c r="C13" s="86">
        <v>54</v>
      </c>
      <c r="D13" s="115">
        <v>0.00699416101447954</v>
      </c>
      <c r="E13" s="115">
        <v>1.7283050706973835</v>
      </c>
      <c r="F13" s="86" t="s">
        <v>4451</v>
      </c>
      <c r="G13" s="86" t="b">
        <v>0</v>
      </c>
      <c r="H13" s="86" t="b">
        <v>0</v>
      </c>
      <c r="I13" s="86" t="b">
        <v>0</v>
      </c>
      <c r="J13" s="86" t="b">
        <v>0</v>
      </c>
      <c r="K13" s="86" t="b">
        <v>0</v>
      </c>
      <c r="L13" s="86" t="b">
        <v>0</v>
      </c>
    </row>
    <row r="14" spans="1:12" ht="15">
      <c r="A14" s="87" t="s">
        <v>3380</v>
      </c>
      <c r="B14" s="86" t="s">
        <v>3361</v>
      </c>
      <c r="C14" s="86">
        <v>54</v>
      </c>
      <c r="D14" s="115">
        <v>0.00699416101447954</v>
      </c>
      <c r="E14" s="115">
        <v>1.6510079685243102</v>
      </c>
      <c r="F14" s="86" t="s">
        <v>4451</v>
      </c>
      <c r="G14" s="86" t="b">
        <v>0</v>
      </c>
      <c r="H14" s="86" t="b">
        <v>0</v>
      </c>
      <c r="I14" s="86" t="b">
        <v>0</v>
      </c>
      <c r="J14" s="86" t="b">
        <v>0</v>
      </c>
      <c r="K14" s="86" t="b">
        <v>0</v>
      </c>
      <c r="L14" s="86" t="b">
        <v>0</v>
      </c>
    </row>
    <row r="15" spans="1:12" ht="15">
      <c r="A15" s="87" t="s">
        <v>4027</v>
      </c>
      <c r="B15" s="86" t="s">
        <v>4026</v>
      </c>
      <c r="C15" s="86">
        <v>52</v>
      </c>
      <c r="D15" s="115">
        <v>0.0068685194291545305</v>
      </c>
      <c r="E15" s="115">
        <v>2.0313939118771045</v>
      </c>
      <c r="F15" s="86" t="s">
        <v>4451</v>
      </c>
      <c r="G15" s="86" t="b">
        <v>0</v>
      </c>
      <c r="H15" s="86" t="b">
        <v>0</v>
      </c>
      <c r="I15" s="86" t="b">
        <v>0</v>
      </c>
      <c r="J15" s="86" t="b">
        <v>0</v>
      </c>
      <c r="K15" s="86" t="b">
        <v>0</v>
      </c>
      <c r="L15" s="86" t="b">
        <v>0</v>
      </c>
    </row>
    <row r="16" spans="1:12" ht="15">
      <c r="A16" s="87" t="s">
        <v>3358</v>
      </c>
      <c r="B16" s="86" t="s">
        <v>3364</v>
      </c>
      <c r="C16" s="86">
        <v>49</v>
      </c>
      <c r="D16" s="115">
        <v>0.0066701857419584195</v>
      </c>
      <c r="E16" s="115">
        <v>1.5759091446814135</v>
      </c>
      <c r="F16" s="86" t="s">
        <v>4451</v>
      </c>
      <c r="G16" s="86" t="b">
        <v>0</v>
      </c>
      <c r="H16" s="86" t="b">
        <v>0</v>
      </c>
      <c r="I16" s="86" t="b">
        <v>0</v>
      </c>
      <c r="J16" s="86" t="b">
        <v>0</v>
      </c>
      <c r="K16" s="86" t="b">
        <v>0</v>
      </c>
      <c r="L16" s="86" t="b">
        <v>0</v>
      </c>
    </row>
    <row r="17" spans="1:12" ht="15">
      <c r="A17" s="87" t="s">
        <v>3356</v>
      </c>
      <c r="B17" s="86" t="s">
        <v>3357</v>
      </c>
      <c r="C17" s="86">
        <v>47</v>
      </c>
      <c r="D17" s="115">
        <v>0.006531070911522705</v>
      </c>
      <c r="E17" s="115">
        <v>1.0674331517548423</v>
      </c>
      <c r="F17" s="86" t="s">
        <v>4451</v>
      </c>
      <c r="G17" s="86" t="b">
        <v>0</v>
      </c>
      <c r="H17" s="86" t="b">
        <v>0</v>
      </c>
      <c r="I17" s="86" t="b">
        <v>0</v>
      </c>
      <c r="J17" s="86" t="b">
        <v>0</v>
      </c>
      <c r="K17" s="86" t="b">
        <v>0</v>
      </c>
      <c r="L17" s="86" t="b">
        <v>0</v>
      </c>
    </row>
    <row r="18" spans="1:12" ht="15">
      <c r="A18" s="87" t="s">
        <v>4030</v>
      </c>
      <c r="B18" s="86" t="s">
        <v>4031</v>
      </c>
      <c r="C18" s="86">
        <v>43</v>
      </c>
      <c r="D18" s="115">
        <v>0.0062352232409814716</v>
      </c>
      <c r="E18" s="115">
        <v>2.1465606717577517</v>
      </c>
      <c r="F18" s="86" t="s">
        <v>4451</v>
      </c>
      <c r="G18" s="86" t="b">
        <v>0</v>
      </c>
      <c r="H18" s="86" t="b">
        <v>0</v>
      </c>
      <c r="I18" s="86" t="b">
        <v>0</v>
      </c>
      <c r="J18" s="86" t="b">
        <v>0</v>
      </c>
      <c r="K18" s="86" t="b">
        <v>0</v>
      </c>
      <c r="L18" s="86" t="b">
        <v>0</v>
      </c>
    </row>
    <row r="19" spans="1:12" ht="15">
      <c r="A19" s="87" t="s">
        <v>4031</v>
      </c>
      <c r="B19" s="86" t="s">
        <v>4027</v>
      </c>
      <c r="C19" s="86">
        <v>43</v>
      </c>
      <c r="D19" s="115">
        <v>0.0062352232409814716</v>
      </c>
      <c r="E19" s="115">
        <v>2.055753257736549</v>
      </c>
      <c r="F19" s="86" t="s">
        <v>4451</v>
      </c>
      <c r="G19" s="86" t="b">
        <v>0</v>
      </c>
      <c r="H19" s="86" t="b">
        <v>0</v>
      </c>
      <c r="I19" s="86" t="b">
        <v>0</v>
      </c>
      <c r="J19" s="86" t="b">
        <v>0</v>
      </c>
      <c r="K19" s="86" t="b">
        <v>0</v>
      </c>
      <c r="L19" s="86" t="b">
        <v>0</v>
      </c>
    </row>
    <row r="20" spans="1:12" ht="15">
      <c r="A20" s="87" t="s">
        <v>3360</v>
      </c>
      <c r="B20" s="86" t="s">
        <v>4029</v>
      </c>
      <c r="C20" s="86">
        <v>41</v>
      </c>
      <c r="D20" s="115">
        <v>0.006077951714035288</v>
      </c>
      <c r="E20" s="115">
        <v>1.7618768649928824</v>
      </c>
      <c r="F20" s="86" t="s">
        <v>4451</v>
      </c>
      <c r="G20" s="86" t="b">
        <v>0</v>
      </c>
      <c r="H20" s="86" t="b">
        <v>0</v>
      </c>
      <c r="I20" s="86" t="b">
        <v>0</v>
      </c>
      <c r="J20" s="86" t="b">
        <v>0</v>
      </c>
      <c r="K20" s="86" t="b">
        <v>0</v>
      </c>
      <c r="L20" s="86" t="b">
        <v>0</v>
      </c>
    </row>
    <row r="21" spans="1:12" ht="15">
      <c r="A21" s="87" t="s">
        <v>4029</v>
      </c>
      <c r="B21" s="86" t="s">
        <v>4030</v>
      </c>
      <c r="C21" s="86">
        <v>41</v>
      </c>
      <c r="D21" s="115">
        <v>0.006077951714035288</v>
      </c>
      <c r="E21" s="115">
        <v>2.1061320147021436</v>
      </c>
      <c r="F21" s="86" t="s">
        <v>4451</v>
      </c>
      <c r="G21" s="86" t="b">
        <v>0</v>
      </c>
      <c r="H21" s="86" t="b">
        <v>0</v>
      </c>
      <c r="I21" s="86" t="b">
        <v>0</v>
      </c>
      <c r="J21" s="86" t="b">
        <v>0</v>
      </c>
      <c r="K21" s="86" t="b">
        <v>0</v>
      </c>
      <c r="L21" s="86" t="b">
        <v>0</v>
      </c>
    </row>
    <row r="22" spans="1:12" ht="15">
      <c r="A22" s="87" t="s">
        <v>4026</v>
      </c>
      <c r="B22" s="86" t="s">
        <v>3356</v>
      </c>
      <c r="C22" s="86">
        <v>41</v>
      </c>
      <c r="D22" s="115">
        <v>0.006077951714035288</v>
      </c>
      <c r="E22" s="115">
        <v>1.4621185963925385</v>
      </c>
      <c r="F22" s="86" t="s">
        <v>4451</v>
      </c>
      <c r="G22" s="86" t="b">
        <v>0</v>
      </c>
      <c r="H22" s="86" t="b">
        <v>0</v>
      </c>
      <c r="I22" s="86" t="b">
        <v>0</v>
      </c>
      <c r="J22" s="86" t="b">
        <v>0</v>
      </c>
      <c r="K22" s="86" t="b">
        <v>0</v>
      </c>
      <c r="L22" s="86" t="b">
        <v>0</v>
      </c>
    </row>
    <row r="23" spans="1:12" ht="15">
      <c r="A23" s="87" t="s">
        <v>3307</v>
      </c>
      <c r="B23" s="86" t="s">
        <v>4024</v>
      </c>
      <c r="C23" s="86">
        <v>38</v>
      </c>
      <c r="D23" s="115">
        <v>0.0058294999342516024</v>
      </c>
      <c r="E23" s="115">
        <v>1.5137850485897697</v>
      </c>
      <c r="F23" s="86" t="s">
        <v>4451</v>
      </c>
      <c r="G23" s="86" t="b">
        <v>0</v>
      </c>
      <c r="H23" s="86" t="b">
        <v>0</v>
      </c>
      <c r="I23" s="86" t="b">
        <v>0</v>
      </c>
      <c r="J23" s="86" t="b">
        <v>0</v>
      </c>
      <c r="K23" s="86" t="b">
        <v>0</v>
      </c>
      <c r="L23" s="86" t="b">
        <v>0</v>
      </c>
    </row>
    <row r="24" spans="1:12" ht="15">
      <c r="A24" s="87" t="s">
        <v>3361</v>
      </c>
      <c r="B24" s="86" t="s">
        <v>3307</v>
      </c>
      <c r="C24" s="86">
        <v>36</v>
      </c>
      <c r="D24" s="115">
        <v>0.0056549927177457675</v>
      </c>
      <c r="E24" s="115">
        <v>1.3351173028184466</v>
      </c>
      <c r="F24" s="86" t="s">
        <v>4451</v>
      </c>
      <c r="G24" s="86" t="b">
        <v>0</v>
      </c>
      <c r="H24" s="86" t="b">
        <v>0</v>
      </c>
      <c r="I24" s="86" t="b">
        <v>0</v>
      </c>
      <c r="J24" s="86" t="b">
        <v>0</v>
      </c>
      <c r="K24" s="86" t="b">
        <v>0</v>
      </c>
      <c r="L24" s="86" t="b">
        <v>0</v>
      </c>
    </row>
    <row r="25" spans="1:12" ht="15">
      <c r="A25" s="87" t="s">
        <v>3327</v>
      </c>
      <c r="B25" s="86" t="s">
        <v>3381</v>
      </c>
      <c r="C25" s="86">
        <v>35</v>
      </c>
      <c r="D25" s="115">
        <v>0.005564931964940412</v>
      </c>
      <c r="E25" s="115">
        <v>1.5823154755444473</v>
      </c>
      <c r="F25" s="86" t="s">
        <v>4451</v>
      </c>
      <c r="G25" s="86" t="b">
        <v>0</v>
      </c>
      <c r="H25" s="86" t="b">
        <v>0</v>
      </c>
      <c r="I25" s="86" t="b">
        <v>0</v>
      </c>
      <c r="J25" s="86" t="b">
        <v>0</v>
      </c>
      <c r="K25" s="86" t="b">
        <v>0</v>
      </c>
      <c r="L25" s="86" t="b">
        <v>0</v>
      </c>
    </row>
    <row r="26" spans="1:12" ht="15">
      <c r="A26" s="87" t="s">
        <v>4034</v>
      </c>
      <c r="B26" s="86" t="s">
        <v>3382</v>
      </c>
      <c r="C26" s="86">
        <v>35</v>
      </c>
      <c r="D26" s="115">
        <v>0.005564931964940412</v>
      </c>
      <c r="E26" s="115">
        <v>2.0170292210263154</v>
      </c>
      <c r="F26" s="86" t="s">
        <v>4451</v>
      </c>
      <c r="G26" s="86" t="b">
        <v>0</v>
      </c>
      <c r="H26" s="86" t="b">
        <v>0</v>
      </c>
      <c r="I26" s="86" t="b">
        <v>0</v>
      </c>
      <c r="J26" s="86" t="b">
        <v>0</v>
      </c>
      <c r="K26" s="86" t="b">
        <v>0</v>
      </c>
      <c r="L26" s="86" t="b">
        <v>0</v>
      </c>
    </row>
    <row r="27" spans="1:12" ht="15">
      <c r="A27" s="87" t="s">
        <v>4037</v>
      </c>
      <c r="B27" s="86" t="s">
        <v>4038</v>
      </c>
      <c r="C27" s="86">
        <v>34</v>
      </c>
      <c r="D27" s="115">
        <v>0.005472928795083917</v>
      </c>
      <c r="E27" s="115">
        <v>2.2111374992620307</v>
      </c>
      <c r="F27" s="86" t="s">
        <v>4451</v>
      </c>
      <c r="G27" s="86" t="b">
        <v>0</v>
      </c>
      <c r="H27" s="86" t="b">
        <v>0</v>
      </c>
      <c r="I27" s="86" t="b">
        <v>0</v>
      </c>
      <c r="J27" s="86" t="b">
        <v>0</v>
      </c>
      <c r="K27" s="86" t="b">
        <v>0</v>
      </c>
      <c r="L27" s="86" t="b">
        <v>0</v>
      </c>
    </row>
    <row r="28" spans="1:12" ht="15">
      <c r="A28" s="87" t="s">
        <v>4032</v>
      </c>
      <c r="B28" s="86" t="s">
        <v>3383</v>
      </c>
      <c r="C28" s="86">
        <v>33</v>
      </c>
      <c r="D28" s="115">
        <v>0.005378926062016189</v>
      </c>
      <c r="E28" s="115">
        <v>2.140180575119976</v>
      </c>
      <c r="F28" s="86" t="s">
        <v>4451</v>
      </c>
      <c r="G28" s="86" t="b">
        <v>0</v>
      </c>
      <c r="H28" s="86" t="b">
        <v>1</v>
      </c>
      <c r="I28" s="86" t="b">
        <v>0</v>
      </c>
      <c r="J28" s="86" t="b">
        <v>0</v>
      </c>
      <c r="K28" s="86" t="b">
        <v>0</v>
      </c>
      <c r="L28" s="86" t="b">
        <v>0</v>
      </c>
    </row>
    <row r="29" spans="1:12" ht="15">
      <c r="A29" s="87" t="s">
        <v>3383</v>
      </c>
      <c r="B29" s="86" t="s">
        <v>3379</v>
      </c>
      <c r="C29" s="86">
        <v>33</v>
      </c>
      <c r="D29" s="115">
        <v>0.005378926062016189</v>
      </c>
      <c r="E29" s="115">
        <v>2.0655469568230718</v>
      </c>
      <c r="F29" s="86" t="s">
        <v>4451</v>
      </c>
      <c r="G29" s="86" t="b">
        <v>0</v>
      </c>
      <c r="H29" s="86" t="b">
        <v>0</v>
      </c>
      <c r="I29" s="86" t="b">
        <v>0</v>
      </c>
      <c r="J29" s="86" t="b">
        <v>0</v>
      </c>
      <c r="K29" s="86" t="b">
        <v>0</v>
      </c>
      <c r="L29" s="86" t="b">
        <v>0</v>
      </c>
    </row>
    <row r="30" spans="1:12" ht="15">
      <c r="A30" s="87" t="s">
        <v>3356</v>
      </c>
      <c r="B30" s="86" t="s">
        <v>4039</v>
      </c>
      <c r="C30" s="86">
        <v>32</v>
      </c>
      <c r="D30" s="115">
        <v>0.00528286315462805</v>
      </c>
      <c r="E30" s="115">
        <v>1.493137794945162</v>
      </c>
      <c r="F30" s="86" t="s">
        <v>4451</v>
      </c>
      <c r="G30" s="86" t="b">
        <v>0</v>
      </c>
      <c r="H30" s="86" t="b">
        <v>0</v>
      </c>
      <c r="I30" s="86" t="b">
        <v>0</v>
      </c>
      <c r="J30" s="86" t="b">
        <v>0</v>
      </c>
      <c r="K30" s="86" t="b">
        <v>0</v>
      </c>
      <c r="L30" s="86" t="b">
        <v>0</v>
      </c>
    </row>
    <row r="31" spans="1:12" ht="15">
      <c r="A31" s="87" t="s">
        <v>4039</v>
      </c>
      <c r="B31" s="86" t="s">
        <v>4045</v>
      </c>
      <c r="C31" s="86">
        <v>32</v>
      </c>
      <c r="D31" s="115">
        <v>0.00528286315462805</v>
      </c>
      <c r="E31" s="115">
        <v>2.2225971214290814</v>
      </c>
      <c r="F31" s="86" t="s">
        <v>4451</v>
      </c>
      <c r="G31" s="86" t="b">
        <v>0</v>
      </c>
      <c r="H31" s="86" t="b">
        <v>0</v>
      </c>
      <c r="I31" s="86" t="b">
        <v>0</v>
      </c>
      <c r="J31" s="86" t="b">
        <v>0</v>
      </c>
      <c r="K31" s="86" t="b">
        <v>0</v>
      </c>
      <c r="L31" s="86" t="b">
        <v>0</v>
      </c>
    </row>
    <row r="32" spans="1:12" ht="15">
      <c r="A32" s="87" t="s">
        <v>4045</v>
      </c>
      <c r="B32" s="86" t="s">
        <v>4032</v>
      </c>
      <c r="C32" s="86">
        <v>32</v>
      </c>
      <c r="D32" s="115">
        <v>0.00528286315462805</v>
      </c>
      <c r="E32" s="115">
        <v>2.1646051744513946</v>
      </c>
      <c r="F32" s="86" t="s">
        <v>4451</v>
      </c>
      <c r="G32" s="86" t="b">
        <v>0</v>
      </c>
      <c r="H32" s="86" t="b">
        <v>0</v>
      </c>
      <c r="I32" s="86" t="b">
        <v>0</v>
      </c>
      <c r="J32" s="86" t="b">
        <v>0</v>
      </c>
      <c r="K32" s="86" t="b">
        <v>1</v>
      </c>
      <c r="L32" s="86" t="b">
        <v>0</v>
      </c>
    </row>
    <row r="33" spans="1:12" ht="15">
      <c r="A33" s="87" t="s">
        <v>3379</v>
      </c>
      <c r="B33" s="86" t="s">
        <v>4033</v>
      </c>
      <c r="C33" s="86">
        <v>32</v>
      </c>
      <c r="D33" s="115">
        <v>0.00528286315462805</v>
      </c>
      <c r="E33" s="115">
        <v>2.04263767735886</v>
      </c>
      <c r="F33" s="86" t="s">
        <v>4451</v>
      </c>
      <c r="G33" s="86" t="b">
        <v>0</v>
      </c>
      <c r="H33" s="86" t="b">
        <v>0</v>
      </c>
      <c r="I33" s="86" t="b">
        <v>0</v>
      </c>
      <c r="J33" s="86" t="b">
        <v>0</v>
      </c>
      <c r="K33" s="86" t="b">
        <v>0</v>
      </c>
      <c r="L33" s="86" t="b">
        <v>0</v>
      </c>
    </row>
    <row r="34" spans="1:12" ht="15">
      <c r="A34" s="87" t="s">
        <v>4046</v>
      </c>
      <c r="B34" s="86" t="s">
        <v>4040</v>
      </c>
      <c r="C34" s="86">
        <v>32</v>
      </c>
      <c r="D34" s="115">
        <v>0.00528286315462805</v>
      </c>
      <c r="E34" s="115">
        <v>2.2225971214290814</v>
      </c>
      <c r="F34" s="86" t="s">
        <v>4451</v>
      </c>
      <c r="G34" s="86" t="b">
        <v>0</v>
      </c>
      <c r="H34" s="86" t="b">
        <v>0</v>
      </c>
      <c r="I34" s="86" t="b">
        <v>0</v>
      </c>
      <c r="J34" s="86" t="b">
        <v>0</v>
      </c>
      <c r="K34" s="86" t="b">
        <v>0</v>
      </c>
      <c r="L34" s="86" t="b">
        <v>0</v>
      </c>
    </row>
    <row r="35" spans="1:12" ht="15">
      <c r="A35" s="87" t="s">
        <v>4040</v>
      </c>
      <c r="B35" s="86" t="s">
        <v>4036</v>
      </c>
      <c r="C35" s="86">
        <v>32</v>
      </c>
      <c r="D35" s="115">
        <v>0.00528286315462805</v>
      </c>
      <c r="E35" s="115">
        <v>2.172909337239974</v>
      </c>
      <c r="F35" s="86" t="s">
        <v>4451</v>
      </c>
      <c r="G35" s="86" t="b">
        <v>0</v>
      </c>
      <c r="H35" s="86" t="b">
        <v>0</v>
      </c>
      <c r="I35" s="86" t="b">
        <v>0</v>
      </c>
      <c r="J35" s="86" t="b">
        <v>0</v>
      </c>
      <c r="K35" s="86" t="b">
        <v>0</v>
      </c>
      <c r="L35" s="86" t="b">
        <v>0</v>
      </c>
    </row>
    <row r="36" spans="1:12" ht="15">
      <c r="A36" s="87" t="s">
        <v>4036</v>
      </c>
      <c r="B36" s="86" t="s">
        <v>3360</v>
      </c>
      <c r="C36" s="86">
        <v>32</v>
      </c>
      <c r="D36" s="115">
        <v>0.00528286315462805</v>
      </c>
      <c r="E36" s="115">
        <v>1.7392537763014015</v>
      </c>
      <c r="F36" s="86" t="s">
        <v>4451</v>
      </c>
      <c r="G36" s="86" t="b">
        <v>0</v>
      </c>
      <c r="H36" s="86" t="b">
        <v>0</v>
      </c>
      <c r="I36" s="86" t="b">
        <v>0</v>
      </c>
      <c r="J36" s="86" t="b">
        <v>0</v>
      </c>
      <c r="K36" s="86" t="b">
        <v>0</v>
      </c>
      <c r="L36" s="86" t="b">
        <v>0</v>
      </c>
    </row>
    <row r="37" spans="1:12" ht="15">
      <c r="A37" s="87" t="s">
        <v>3360</v>
      </c>
      <c r="B37" s="86" t="s">
        <v>4037</v>
      </c>
      <c r="C37" s="86">
        <v>32</v>
      </c>
      <c r="D37" s="115">
        <v>0.00528286315462805</v>
      </c>
      <c r="E37" s="115">
        <v>1.7511529996011093</v>
      </c>
      <c r="F37" s="86" t="s">
        <v>4451</v>
      </c>
      <c r="G37" s="86" t="b">
        <v>0</v>
      </c>
      <c r="H37" s="86" t="b">
        <v>0</v>
      </c>
      <c r="I37" s="86" t="b">
        <v>0</v>
      </c>
      <c r="J37" s="86" t="b">
        <v>0</v>
      </c>
      <c r="K37" s="86" t="b">
        <v>0</v>
      </c>
      <c r="L37" s="86" t="b">
        <v>0</v>
      </c>
    </row>
    <row r="38" spans="1:12" ht="15">
      <c r="A38" s="87" t="s">
        <v>4038</v>
      </c>
      <c r="B38" s="86" t="s">
        <v>4043</v>
      </c>
      <c r="C38" s="86">
        <v>32</v>
      </c>
      <c r="D38" s="115">
        <v>0.00528286315462805</v>
      </c>
      <c r="E38" s="115">
        <v>2.197397687847702</v>
      </c>
      <c r="F38" s="86" t="s">
        <v>4451</v>
      </c>
      <c r="G38" s="86" t="b">
        <v>0</v>
      </c>
      <c r="H38" s="86" t="b">
        <v>0</v>
      </c>
      <c r="I38" s="86" t="b">
        <v>0</v>
      </c>
      <c r="J38" s="86" t="b">
        <v>0</v>
      </c>
      <c r="K38" s="86" t="b">
        <v>0</v>
      </c>
      <c r="L38" s="86" t="b">
        <v>0</v>
      </c>
    </row>
    <row r="39" spans="1:12" ht="15">
      <c r="A39" s="87" t="s">
        <v>4043</v>
      </c>
      <c r="B39" s="86" t="s">
        <v>4047</v>
      </c>
      <c r="C39" s="86">
        <v>32</v>
      </c>
      <c r="D39" s="115">
        <v>0.00528286315462805</v>
      </c>
      <c r="E39" s="115">
        <v>2.2351862487371017</v>
      </c>
      <c r="F39" s="86" t="s">
        <v>4451</v>
      </c>
      <c r="G39" s="86" t="b">
        <v>0</v>
      </c>
      <c r="H39" s="86" t="b">
        <v>0</v>
      </c>
      <c r="I39" s="86" t="b">
        <v>0</v>
      </c>
      <c r="J39" s="86" t="b">
        <v>0</v>
      </c>
      <c r="K39" s="86" t="b">
        <v>0</v>
      </c>
      <c r="L39" s="86" t="b">
        <v>0</v>
      </c>
    </row>
    <row r="40" spans="1:12" ht="15">
      <c r="A40" s="87" t="s">
        <v>4049</v>
      </c>
      <c r="B40" s="86" t="s">
        <v>4046</v>
      </c>
      <c r="C40" s="86">
        <v>29</v>
      </c>
      <c r="D40" s="115">
        <v>0.004981648174515188</v>
      </c>
      <c r="E40" s="115">
        <v>2.2325514915241342</v>
      </c>
      <c r="F40" s="86" t="s">
        <v>4451</v>
      </c>
      <c r="G40" s="86" t="b">
        <v>0</v>
      </c>
      <c r="H40" s="86" t="b">
        <v>0</v>
      </c>
      <c r="I40" s="86" t="b">
        <v>0</v>
      </c>
      <c r="J40" s="86" t="b">
        <v>0</v>
      </c>
      <c r="K40" s="86" t="b">
        <v>0</v>
      </c>
      <c r="L40" s="86" t="b">
        <v>0</v>
      </c>
    </row>
    <row r="41" spans="1:12" ht="15">
      <c r="A41" s="87" t="s">
        <v>3381</v>
      </c>
      <c r="B41" s="86" t="s">
        <v>4034</v>
      </c>
      <c r="C41" s="86">
        <v>29</v>
      </c>
      <c r="D41" s="115">
        <v>0.004981648174515188</v>
      </c>
      <c r="E41" s="115">
        <v>1.8589708287115414</v>
      </c>
      <c r="F41" s="86" t="s">
        <v>4451</v>
      </c>
      <c r="G41" s="86" t="b">
        <v>0</v>
      </c>
      <c r="H41" s="86" t="b">
        <v>0</v>
      </c>
      <c r="I41" s="86" t="b">
        <v>0</v>
      </c>
      <c r="J41" s="86" t="b">
        <v>0</v>
      </c>
      <c r="K41" s="86" t="b">
        <v>0</v>
      </c>
      <c r="L41" s="86" t="b">
        <v>0</v>
      </c>
    </row>
    <row r="42" spans="1:12" ht="15">
      <c r="A42" s="87" t="s">
        <v>3327</v>
      </c>
      <c r="B42" s="86" t="s">
        <v>4020</v>
      </c>
      <c r="C42" s="86">
        <v>29</v>
      </c>
      <c r="D42" s="115">
        <v>0.004981648174515188</v>
      </c>
      <c r="E42" s="115">
        <v>1.473493183049513</v>
      </c>
      <c r="F42" s="86" t="s">
        <v>4451</v>
      </c>
      <c r="G42" s="86" t="b">
        <v>0</v>
      </c>
      <c r="H42" s="86" t="b">
        <v>0</v>
      </c>
      <c r="I42" s="86" t="b">
        <v>0</v>
      </c>
      <c r="J42" s="86" t="b">
        <v>0</v>
      </c>
      <c r="K42" s="86" t="b">
        <v>1</v>
      </c>
      <c r="L42" s="86" t="b">
        <v>0</v>
      </c>
    </row>
    <row r="43" spans="1:12" ht="15">
      <c r="A43" s="87" t="s">
        <v>3358</v>
      </c>
      <c r="B43" s="86" t="s">
        <v>3354</v>
      </c>
      <c r="C43" s="86">
        <v>29</v>
      </c>
      <c r="D43" s="115">
        <v>0.004981648174515188</v>
      </c>
      <c r="E43" s="115">
        <v>0.858755351415182</v>
      </c>
      <c r="F43" s="86" t="s">
        <v>4451</v>
      </c>
      <c r="G43" s="86" t="b">
        <v>0</v>
      </c>
      <c r="H43" s="86" t="b">
        <v>0</v>
      </c>
      <c r="I43" s="86" t="b">
        <v>0</v>
      </c>
      <c r="J43" s="86" t="b">
        <v>0</v>
      </c>
      <c r="K43" s="86" t="b">
        <v>0</v>
      </c>
      <c r="L43" s="86" t="b">
        <v>0</v>
      </c>
    </row>
    <row r="44" spans="1:12" ht="15">
      <c r="A44" s="87" t="s">
        <v>4050</v>
      </c>
      <c r="B44" s="86" t="s">
        <v>3358</v>
      </c>
      <c r="C44" s="86">
        <v>28</v>
      </c>
      <c r="D44" s="115">
        <v>0.004876656851374082</v>
      </c>
      <c r="E44" s="115">
        <v>1.9723974712823475</v>
      </c>
      <c r="F44" s="86" t="s">
        <v>4451</v>
      </c>
      <c r="G44" s="86" t="b">
        <v>0</v>
      </c>
      <c r="H44" s="86" t="b">
        <v>0</v>
      </c>
      <c r="I44" s="86" t="b">
        <v>0</v>
      </c>
      <c r="J44" s="86" t="b">
        <v>0</v>
      </c>
      <c r="K44" s="86" t="b">
        <v>0</v>
      </c>
      <c r="L44" s="86" t="b">
        <v>0</v>
      </c>
    </row>
    <row r="45" spans="1:12" ht="15">
      <c r="A45" s="87" t="s">
        <v>462</v>
      </c>
      <c r="B45" s="86" t="s">
        <v>4049</v>
      </c>
      <c r="C45" s="86">
        <v>27</v>
      </c>
      <c r="D45" s="115">
        <v>0.004769237320970791</v>
      </c>
      <c r="E45" s="115">
        <v>2.2157576968987756</v>
      </c>
      <c r="F45" s="86" t="s">
        <v>4451</v>
      </c>
      <c r="G45" s="86" t="b">
        <v>0</v>
      </c>
      <c r="H45" s="86" t="b">
        <v>0</v>
      </c>
      <c r="I45" s="86" t="b">
        <v>0</v>
      </c>
      <c r="J45" s="86" t="b">
        <v>0</v>
      </c>
      <c r="K45" s="86" t="b">
        <v>0</v>
      </c>
      <c r="L45" s="86" t="b">
        <v>0</v>
      </c>
    </row>
    <row r="46" spans="1:12" ht="15">
      <c r="A46" s="87" t="s">
        <v>3354</v>
      </c>
      <c r="B46" s="86" t="s">
        <v>4053</v>
      </c>
      <c r="C46" s="86">
        <v>27</v>
      </c>
      <c r="D46" s="115">
        <v>0.004769237320970791</v>
      </c>
      <c r="E46" s="115">
        <v>1.4989957600896109</v>
      </c>
      <c r="F46" s="86" t="s">
        <v>4451</v>
      </c>
      <c r="G46" s="86" t="b">
        <v>0</v>
      </c>
      <c r="H46" s="86" t="b">
        <v>0</v>
      </c>
      <c r="I46" s="86" t="b">
        <v>0</v>
      </c>
      <c r="J46" s="86" t="b">
        <v>0</v>
      </c>
      <c r="K46" s="86" t="b">
        <v>0</v>
      </c>
      <c r="L46" s="86" t="b">
        <v>0</v>
      </c>
    </row>
    <row r="47" spans="1:12" ht="15">
      <c r="A47" s="87" t="s">
        <v>4033</v>
      </c>
      <c r="B47" s="86" t="s">
        <v>462</v>
      </c>
      <c r="C47" s="86">
        <v>26</v>
      </c>
      <c r="D47" s="115">
        <v>0.004659299609281211</v>
      </c>
      <c r="E47" s="115">
        <v>2.0854239284037694</v>
      </c>
      <c r="F47" s="86" t="s">
        <v>4451</v>
      </c>
      <c r="G47" s="86" t="b">
        <v>0</v>
      </c>
      <c r="H47" s="86" t="b">
        <v>0</v>
      </c>
      <c r="I47" s="86" t="b">
        <v>0</v>
      </c>
      <c r="J47" s="86" t="b">
        <v>0</v>
      </c>
      <c r="K47" s="86" t="b">
        <v>0</v>
      </c>
      <c r="L47" s="86" t="b">
        <v>0</v>
      </c>
    </row>
    <row r="48" spans="1:12" ht="15">
      <c r="A48" s="87" t="s">
        <v>4052</v>
      </c>
      <c r="B48" s="86" t="s">
        <v>3327</v>
      </c>
      <c r="C48" s="86">
        <v>26</v>
      </c>
      <c r="D48" s="115">
        <v>0.004659299609281211</v>
      </c>
      <c r="E48" s="115">
        <v>1.8502173526754957</v>
      </c>
      <c r="F48" s="86" t="s">
        <v>4451</v>
      </c>
      <c r="G48" s="86" t="b">
        <v>0</v>
      </c>
      <c r="H48" s="86" t="b">
        <v>0</v>
      </c>
      <c r="I48" s="86" t="b">
        <v>0</v>
      </c>
      <c r="J48" s="86" t="b">
        <v>0</v>
      </c>
      <c r="K48" s="86" t="b">
        <v>0</v>
      </c>
      <c r="L48" s="86" t="b">
        <v>0</v>
      </c>
    </row>
    <row r="49" spans="1:12" ht="15">
      <c r="A49" s="87" t="s">
        <v>4047</v>
      </c>
      <c r="B49" s="86" t="s">
        <v>4052</v>
      </c>
      <c r="C49" s="86">
        <v>25</v>
      </c>
      <c r="D49" s="115">
        <v>0.004546746816262619</v>
      </c>
      <c r="E49" s="115">
        <v>2.2122971647892693</v>
      </c>
      <c r="F49" s="86" t="s">
        <v>4451</v>
      </c>
      <c r="G49" s="86" t="b">
        <v>0</v>
      </c>
      <c r="H49" s="86" t="b">
        <v>0</v>
      </c>
      <c r="I49" s="86" t="b">
        <v>0</v>
      </c>
      <c r="J49" s="86" t="b">
        <v>0</v>
      </c>
      <c r="K49" s="86" t="b">
        <v>0</v>
      </c>
      <c r="L49" s="86" t="b">
        <v>0</v>
      </c>
    </row>
    <row r="50" spans="1:12" ht="15">
      <c r="A50" s="87" t="s">
        <v>3382</v>
      </c>
      <c r="B50" s="86" t="s">
        <v>3355</v>
      </c>
      <c r="C50" s="86">
        <v>25</v>
      </c>
      <c r="D50" s="115">
        <v>0.004546746816262619</v>
      </c>
      <c r="E50" s="115">
        <v>1.1397464976406575</v>
      </c>
      <c r="F50" s="86" t="s">
        <v>4451</v>
      </c>
      <c r="G50" s="86" t="b">
        <v>0</v>
      </c>
      <c r="H50" s="86" t="b">
        <v>0</v>
      </c>
      <c r="I50" s="86" t="b">
        <v>0</v>
      </c>
      <c r="J50" s="86" t="b">
        <v>0</v>
      </c>
      <c r="K50" s="86" t="b">
        <v>0</v>
      </c>
      <c r="L50" s="86" t="b">
        <v>0</v>
      </c>
    </row>
    <row r="51" spans="1:12" ht="15">
      <c r="A51" s="87" t="s">
        <v>3363</v>
      </c>
      <c r="B51" s="86" t="s">
        <v>3361</v>
      </c>
      <c r="C51" s="86">
        <v>24</v>
      </c>
      <c r="D51" s="115">
        <v>0.00443147428389234</v>
      </c>
      <c r="E51" s="115">
        <v>1.2988254504129477</v>
      </c>
      <c r="F51" s="86" t="s">
        <v>4451</v>
      </c>
      <c r="G51" s="86" t="b">
        <v>0</v>
      </c>
      <c r="H51" s="86" t="b">
        <v>0</v>
      </c>
      <c r="I51" s="86" t="b">
        <v>0</v>
      </c>
      <c r="J51" s="86" t="b">
        <v>0</v>
      </c>
      <c r="K51" s="86" t="b">
        <v>0</v>
      </c>
      <c r="L51" s="86" t="b">
        <v>0</v>
      </c>
    </row>
    <row r="52" spans="1:12" ht="15">
      <c r="A52" s="87" t="s">
        <v>4028</v>
      </c>
      <c r="B52" s="86" t="s">
        <v>4041</v>
      </c>
      <c r="C52" s="86">
        <v>23</v>
      </c>
      <c r="D52" s="115">
        <v>0.004313368625360143</v>
      </c>
      <c r="E52" s="115">
        <v>1.9074928389761419</v>
      </c>
      <c r="F52" s="86" t="s">
        <v>4451</v>
      </c>
      <c r="G52" s="86" t="b">
        <v>0</v>
      </c>
      <c r="H52" s="86" t="b">
        <v>0</v>
      </c>
      <c r="I52" s="86" t="b">
        <v>0</v>
      </c>
      <c r="J52" s="86" t="b">
        <v>0</v>
      </c>
      <c r="K52" s="86" t="b">
        <v>0</v>
      </c>
      <c r="L52" s="86" t="b">
        <v>0</v>
      </c>
    </row>
    <row r="53" spans="1:12" ht="15">
      <c r="A53" s="87" t="s">
        <v>4053</v>
      </c>
      <c r="B53" s="86" t="s">
        <v>3355</v>
      </c>
      <c r="C53" s="86">
        <v>21</v>
      </c>
      <c r="D53" s="115">
        <v>0.004068153691711701</v>
      </c>
      <c r="E53" s="115">
        <v>1.3650557793665203</v>
      </c>
      <c r="F53" s="86" t="s">
        <v>4451</v>
      </c>
      <c r="G53" s="86" t="b">
        <v>0</v>
      </c>
      <c r="H53" s="86" t="b">
        <v>0</v>
      </c>
      <c r="I53" s="86" t="b">
        <v>0</v>
      </c>
      <c r="J53" s="86" t="b">
        <v>0</v>
      </c>
      <c r="K53" s="86" t="b">
        <v>0</v>
      </c>
      <c r="L53" s="86" t="b">
        <v>0</v>
      </c>
    </row>
    <row r="54" spans="1:12" ht="15">
      <c r="A54" s="87" t="s">
        <v>4035</v>
      </c>
      <c r="B54" s="86" t="s">
        <v>4020</v>
      </c>
      <c r="C54" s="86">
        <v>21</v>
      </c>
      <c r="D54" s="115">
        <v>0.004068153691711701</v>
      </c>
      <c r="E54" s="115">
        <v>1.7029208899125787</v>
      </c>
      <c r="F54" s="86" t="s">
        <v>4451</v>
      </c>
      <c r="G54" s="86" t="b">
        <v>0</v>
      </c>
      <c r="H54" s="86" t="b">
        <v>0</v>
      </c>
      <c r="I54" s="86" t="b">
        <v>0</v>
      </c>
      <c r="J54" s="86" t="b">
        <v>0</v>
      </c>
      <c r="K54" s="86" t="b">
        <v>1</v>
      </c>
      <c r="L54" s="86" t="b">
        <v>0</v>
      </c>
    </row>
    <row r="55" spans="1:12" ht="15">
      <c r="A55" s="87" t="s">
        <v>3356</v>
      </c>
      <c r="B55" s="86" t="s">
        <v>3355</v>
      </c>
      <c r="C55" s="86">
        <v>19</v>
      </c>
      <c r="D55" s="115">
        <v>0.0038099714286402237</v>
      </c>
      <c r="E55" s="115">
        <v>0.4885901671944414</v>
      </c>
      <c r="F55" s="86" t="s">
        <v>4451</v>
      </c>
      <c r="G55" s="86" t="b">
        <v>0</v>
      </c>
      <c r="H55" s="86" t="b">
        <v>0</v>
      </c>
      <c r="I55" s="86" t="b">
        <v>0</v>
      </c>
      <c r="J55" s="86" t="b">
        <v>0</v>
      </c>
      <c r="K55" s="86" t="b">
        <v>0</v>
      </c>
      <c r="L55" s="86" t="b">
        <v>0</v>
      </c>
    </row>
    <row r="56" spans="1:12" ht="15">
      <c r="A56" s="87" t="s">
        <v>4044</v>
      </c>
      <c r="B56" s="86" t="s">
        <v>4060</v>
      </c>
      <c r="C56" s="86">
        <v>19</v>
      </c>
      <c r="D56" s="115">
        <v>0.0038099714286402237</v>
      </c>
      <c r="E56" s="115">
        <v>2.2485502102950834</v>
      </c>
      <c r="F56" s="86" t="s">
        <v>4451</v>
      </c>
      <c r="G56" s="86" t="b">
        <v>0</v>
      </c>
      <c r="H56" s="86" t="b">
        <v>0</v>
      </c>
      <c r="I56" s="86" t="b">
        <v>0</v>
      </c>
      <c r="J56" s="86" t="b">
        <v>0</v>
      </c>
      <c r="K56" s="86" t="b">
        <v>0</v>
      </c>
      <c r="L56" s="86" t="b">
        <v>0</v>
      </c>
    </row>
    <row r="57" spans="1:12" ht="15">
      <c r="A57" s="87" t="s">
        <v>4060</v>
      </c>
      <c r="B57" s="86" t="s">
        <v>4056</v>
      </c>
      <c r="C57" s="86">
        <v>19</v>
      </c>
      <c r="D57" s="115">
        <v>0.0038099714286402237</v>
      </c>
      <c r="E57" s="115">
        <v>2.478999131673357</v>
      </c>
      <c r="F57" s="86" t="s">
        <v>4451</v>
      </c>
      <c r="G57" s="86" t="b">
        <v>0</v>
      </c>
      <c r="H57" s="86" t="b">
        <v>0</v>
      </c>
      <c r="I57" s="86" t="b">
        <v>0</v>
      </c>
      <c r="J57" s="86" t="b">
        <v>0</v>
      </c>
      <c r="K57" s="86" t="b">
        <v>0</v>
      </c>
      <c r="L57" s="86" t="b">
        <v>0</v>
      </c>
    </row>
    <row r="58" spans="1:12" ht="15">
      <c r="A58" s="87" t="s">
        <v>3355</v>
      </c>
      <c r="B58" s="86" t="s">
        <v>3356</v>
      </c>
      <c r="C58" s="86">
        <v>19</v>
      </c>
      <c r="D58" s="115">
        <v>0.0038099714286402237</v>
      </c>
      <c r="E58" s="115">
        <v>0.959966011241226</v>
      </c>
      <c r="F58" s="86" t="s">
        <v>4451</v>
      </c>
      <c r="G58" s="86" t="b">
        <v>0</v>
      </c>
      <c r="H58" s="86" t="b">
        <v>0</v>
      </c>
      <c r="I58" s="86" t="b">
        <v>0</v>
      </c>
      <c r="J58" s="86" t="b">
        <v>0</v>
      </c>
      <c r="K58" s="86" t="b">
        <v>0</v>
      </c>
      <c r="L58" s="86" t="b">
        <v>0</v>
      </c>
    </row>
    <row r="59" spans="1:12" ht="15">
      <c r="A59" s="87" t="s">
        <v>3327</v>
      </c>
      <c r="B59" s="86" t="s">
        <v>4028</v>
      </c>
      <c r="C59" s="86">
        <v>16</v>
      </c>
      <c r="D59" s="115">
        <v>0.003395302281747222</v>
      </c>
      <c r="E59" s="115">
        <v>1.3445630233198367</v>
      </c>
      <c r="F59" s="86" t="s">
        <v>4451</v>
      </c>
      <c r="G59" s="86" t="b">
        <v>0</v>
      </c>
      <c r="H59" s="86" t="b">
        <v>0</v>
      </c>
      <c r="I59" s="86" t="b">
        <v>0</v>
      </c>
      <c r="J59" s="86" t="b">
        <v>0</v>
      </c>
      <c r="K59" s="86" t="b">
        <v>0</v>
      </c>
      <c r="L59" s="86" t="b">
        <v>0</v>
      </c>
    </row>
    <row r="60" spans="1:12" ht="15">
      <c r="A60" s="87" t="s">
        <v>3358</v>
      </c>
      <c r="B60" s="86" t="s">
        <v>3355</v>
      </c>
      <c r="C60" s="86">
        <v>15</v>
      </c>
      <c r="D60" s="115">
        <v>0.0032489013131486097</v>
      </c>
      <c r="E60" s="115">
        <v>0.5846830689889188</v>
      </c>
      <c r="F60" s="86" t="s">
        <v>4451</v>
      </c>
      <c r="G60" s="86" t="b">
        <v>0</v>
      </c>
      <c r="H60" s="86" t="b">
        <v>0</v>
      </c>
      <c r="I60" s="86" t="b">
        <v>0</v>
      </c>
      <c r="J60" s="86" t="b">
        <v>0</v>
      </c>
      <c r="K60" s="86" t="b">
        <v>0</v>
      </c>
      <c r="L60" s="86" t="b">
        <v>0</v>
      </c>
    </row>
    <row r="61" spans="1:12" ht="15">
      <c r="A61" s="87" t="s">
        <v>3367</v>
      </c>
      <c r="B61" s="86" t="s">
        <v>3356</v>
      </c>
      <c r="C61" s="86">
        <v>15</v>
      </c>
      <c r="D61" s="115">
        <v>0.0032489013131486097</v>
      </c>
      <c r="E61" s="115">
        <v>1.4040608522051352</v>
      </c>
      <c r="F61" s="86" t="s">
        <v>4451</v>
      </c>
      <c r="G61" s="86" t="b">
        <v>0</v>
      </c>
      <c r="H61" s="86" t="b">
        <v>0</v>
      </c>
      <c r="I61" s="86" t="b">
        <v>0</v>
      </c>
      <c r="J61" s="86" t="b">
        <v>0</v>
      </c>
      <c r="K61" s="86" t="b">
        <v>0</v>
      </c>
      <c r="L61" s="86" t="b">
        <v>0</v>
      </c>
    </row>
    <row r="62" spans="1:12" ht="15">
      <c r="A62" s="87" t="s">
        <v>4020</v>
      </c>
      <c r="B62" s="86" t="s">
        <v>4063</v>
      </c>
      <c r="C62" s="86">
        <v>14</v>
      </c>
      <c r="D62" s="115">
        <v>0.0030979652920660895</v>
      </c>
      <c r="E62" s="115">
        <v>1.8761643060954338</v>
      </c>
      <c r="F62" s="86" t="s">
        <v>4451</v>
      </c>
      <c r="G62" s="86" t="b">
        <v>0</v>
      </c>
      <c r="H62" s="86" t="b">
        <v>1</v>
      </c>
      <c r="I62" s="86" t="b">
        <v>0</v>
      </c>
      <c r="J62" s="86" t="b">
        <v>0</v>
      </c>
      <c r="K62" s="86" t="b">
        <v>0</v>
      </c>
      <c r="L62" s="86" t="b">
        <v>0</v>
      </c>
    </row>
    <row r="63" spans="1:12" ht="15">
      <c r="A63" s="87" t="s">
        <v>4063</v>
      </c>
      <c r="B63" s="86" t="s">
        <v>3363</v>
      </c>
      <c r="C63" s="86">
        <v>14</v>
      </c>
      <c r="D63" s="115">
        <v>0.0030979652920660895</v>
      </c>
      <c r="E63" s="115">
        <v>1.798081150346861</v>
      </c>
      <c r="F63" s="86" t="s">
        <v>4451</v>
      </c>
      <c r="G63" s="86" t="b">
        <v>0</v>
      </c>
      <c r="H63" s="86" t="b">
        <v>0</v>
      </c>
      <c r="I63" s="86" t="b">
        <v>0</v>
      </c>
      <c r="J63" s="86" t="b">
        <v>0</v>
      </c>
      <c r="K63" s="86" t="b">
        <v>0</v>
      </c>
      <c r="L63" s="86" t="b">
        <v>0</v>
      </c>
    </row>
    <row r="64" spans="1:12" ht="15">
      <c r="A64" s="87" t="s">
        <v>3361</v>
      </c>
      <c r="B64" s="86" t="s">
        <v>4061</v>
      </c>
      <c r="C64" s="86">
        <v>14</v>
      </c>
      <c r="D64" s="115">
        <v>0.0030979652920660895</v>
      </c>
      <c r="E64" s="115">
        <v>1.707096830566715</v>
      </c>
      <c r="F64" s="86" t="s">
        <v>4451</v>
      </c>
      <c r="G64" s="86" t="b">
        <v>0</v>
      </c>
      <c r="H64" s="86" t="b">
        <v>0</v>
      </c>
      <c r="I64" s="86" t="b">
        <v>0</v>
      </c>
      <c r="J64" s="86" t="b">
        <v>0</v>
      </c>
      <c r="K64" s="86" t="b">
        <v>1</v>
      </c>
      <c r="L64" s="86" t="b">
        <v>0</v>
      </c>
    </row>
    <row r="65" spans="1:12" ht="15">
      <c r="A65" s="87" t="s">
        <v>4061</v>
      </c>
      <c r="B65" s="86" t="s">
        <v>4068</v>
      </c>
      <c r="C65" s="86">
        <v>14</v>
      </c>
      <c r="D65" s="115">
        <v>0.0030979652920660895</v>
      </c>
      <c r="E65" s="115">
        <v>2.494793398856589</v>
      </c>
      <c r="F65" s="86" t="s">
        <v>4451</v>
      </c>
      <c r="G65" s="86" t="b">
        <v>0</v>
      </c>
      <c r="H65" s="86" t="b">
        <v>1</v>
      </c>
      <c r="I65" s="86" t="b">
        <v>0</v>
      </c>
      <c r="J65" s="86" t="b">
        <v>0</v>
      </c>
      <c r="K65" s="86" t="b">
        <v>0</v>
      </c>
      <c r="L65" s="86" t="b">
        <v>0</v>
      </c>
    </row>
    <row r="66" spans="1:12" ht="15">
      <c r="A66" s="87" t="s">
        <v>4068</v>
      </c>
      <c r="B66" s="86" t="s">
        <v>4064</v>
      </c>
      <c r="C66" s="86">
        <v>14</v>
      </c>
      <c r="D66" s="115">
        <v>0.0030979652920660895</v>
      </c>
      <c r="E66" s="115">
        <v>2.519616982581621</v>
      </c>
      <c r="F66" s="86" t="s">
        <v>4451</v>
      </c>
      <c r="G66" s="86" t="b">
        <v>0</v>
      </c>
      <c r="H66" s="86" t="b">
        <v>0</v>
      </c>
      <c r="I66" s="86" t="b">
        <v>0</v>
      </c>
      <c r="J66" s="86" t="b">
        <v>0</v>
      </c>
      <c r="K66" s="86" t="b">
        <v>1</v>
      </c>
      <c r="L66" s="86" t="b">
        <v>0</v>
      </c>
    </row>
    <row r="67" spans="1:12" ht="15">
      <c r="A67" s="87" t="s">
        <v>4064</v>
      </c>
      <c r="B67" s="86" t="s">
        <v>4065</v>
      </c>
      <c r="C67" s="86">
        <v>14</v>
      </c>
      <c r="D67" s="115">
        <v>0.0030979652920660895</v>
      </c>
      <c r="E67" s="115">
        <v>2.4652593202590283</v>
      </c>
      <c r="F67" s="86" t="s">
        <v>4451</v>
      </c>
      <c r="G67" s="86" t="b">
        <v>0</v>
      </c>
      <c r="H67" s="86" t="b">
        <v>1</v>
      </c>
      <c r="I67" s="86" t="b">
        <v>0</v>
      </c>
      <c r="J67" s="86" t="b">
        <v>0</v>
      </c>
      <c r="K67" s="86" t="b">
        <v>0</v>
      </c>
      <c r="L67" s="86" t="b">
        <v>0</v>
      </c>
    </row>
    <row r="68" spans="1:12" ht="15">
      <c r="A68" s="87" t="s">
        <v>4067</v>
      </c>
      <c r="B68" s="86" t="s">
        <v>4066</v>
      </c>
      <c r="C68" s="86">
        <v>14</v>
      </c>
      <c r="D68" s="115">
        <v>0.0030979652920660895</v>
      </c>
      <c r="E68" s="115">
        <v>2.517917197703727</v>
      </c>
      <c r="F68" s="86" t="s">
        <v>4451</v>
      </c>
      <c r="G68" s="86" t="b">
        <v>0</v>
      </c>
      <c r="H68" s="86" t="b">
        <v>0</v>
      </c>
      <c r="I68" s="86" t="b">
        <v>0</v>
      </c>
      <c r="J68" s="86" t="b">
        <v>0</v>
      </c>
      <c r="K68" s="86" t="b">
        <v>1</v>
      </c>
      <c r="L68" s="86" t="b">
        <v>0</v>
      </c>
    </row>
    <row r="69" spans="1:12" ht="15">
      <c r="A69" s="87" t="s">
        <v>4058</v>
      </c>
      <c r="B69" s="86" t="s">
        <v>4028</v>
      </c>
      <c r="C69" s="86">
        <v>13</v>
      </c>
      <c r="D69" s="115">
        <v>0.0030129018511269906</v>
      </c>
      <c r="E69" s="115">
        <v>1.9250227986628323</v>
      </c>
      <c r="F69" s="86" t="s">
        <v>4451</v>
      </c>
      <c r="G69" s="86" t="b">
        <v>0</v>
      </c>
      <c r="H69" s="86" t="b">
        <v>0</v>
      </c>
      <c r="I69" s="86" t="b">
        <v>0</v>
      </c>
      <c r="J69" s="86" t="b">
        <v>0</v>
      </c>
      <c r="K69" s="86" t="b">
        <v>0</v>
      </c>
      <c r="L69" s="86" t="b">
        <v>0</v>
      </c>
    </row>
    <row r="70" spans="1:12" ht="15">
      <c r="A70" s="87" t="s">
        <v>4056</v>
      </c>
      <c r="B70" s="86" t="s">
        <v>4035</v>
      </c>
      <c r="C70" s="86">
        <v>13</v>
      </c>
      <c r="D70" s="115">
        <v>0.0029421697519925786</v>
      </c>
      <c r="E70" s="115">
        <v>2.024740759913199</v>
      </c>
      <c r="F70" s="86" t="s">
        <v>4451</v>
      </c>
      <c r="G70" s="86" t="b">
        <v>0</v>
      </c>
      <c r="H70" s="86" t="b">
        <v>0</v>
      </c>
      <c r="I70" s="86" t="b">
        <v>0</v>
      </c>
      <c r="J70" s="86" t="b">
        <v>0</v>
      </c>
      <c r="K70" s="86" t="b">
        <v>0</v>
      </c>
      <c r="L70" s="86" t="b">
        <v>0</v>
      </c>
    </row>
    <row r="71" spans="1:12" ht="15">
      <c r="A71" s="87" t="s">
        <v>4065</v>
      </c>
      <c r="B71" s="86" t="s">
        <v>4078</v>
      </c>
      <c r="C71" s="86">
        <v>13</v>
      </c>
      <c r="D71" s="115">
        <v>0.0029421697519925786</v>
      </c>
      <c r="E71" s="115">
        <v>2.5495802059590646</v>
      </c>
      <c r="F71" s="86" t="s">
        <v>4451</v>
      </c>
      <c r="G71" s="86" t="b">
        <v>0</v>
      </c>
      <c r="H71" s="86" t="b">
        <v>0</v>
      </c>
      <c r="I71" s="86" t="b">
        <v>0</v>
      </c>
      <c r="J71" s="86" t="b">
        <v>0</v>
      </c>
      <c r="K71" s="86" t="b">
        <v>0</v>
      </c>
      <c r="L71" s="86" t="b">
        <v>0</v>
      </c>
    </row>
    <row r="72" spans="1:12" ht="15">
      <c r="A72" s="87" t="s">
        <v>4078</v>
      </c>
      <c r="B72" s="86" t="s">
        <v>4067</v>
      </c>
      <c r="C72" s="86">
        <v>13</v>
      </c>
      <c r="D72" s="115">
        <v>0.0029421697519925786</v>
      </c>
      <c r="E72" s="115">
        <v>2.5759091446814133</v>
      </c>
      <c r="F72" s="86" t="s">
        <v>4451</v>
      </c>
      <c r="G72" s="86" t="b">
        <v>0</v>
      </c>
      <c r="H72" s="86" t="b">
        <v>0</v>
      </c>
      <c r="I72" s="86" t="b">
        <v>0</v>
      </c>
      <c r="J72" s="86" t="b">
        <v>0</v>
      </c>
      <c r="K72" s="86" t="b">
        <v>0</v>
      </c>
      <c r="L72" s="86" t="b">
        <v>0</v>
      </c>
    </row>
    <row r="73" spans="1:12" ht="15">
      <c r="A73" s="87" t="s">
        <v>4066</v>
      </c>
      <c r="B73" s="86" t="s">
        <v>4069</v>
      </c>
      <c r="C73" s="86">
        <v>13</v>
      </c>
      <c r="D73" s="115">
        <v>0.0029421697519925786</v>
      </c>
      <c r="E73" s="115">
        <v>2.513761237932569</v>
      </c>
      <c r="F73" s="86" t="s">
        <v>4451</v>
      </c>
      <c r="G73" s="86" t="b">
        <v>0</v>
      </c>
      <c r="H73" s="86" t="b">
        <v>1</v>
      </c>
      <c r="I73" s="86" t="b">
        <v>0</v>
      </c>
      <c r="J73" s="86" t="b">
        <v>0</v>
      </c>
      <c r="K73" s="86" t="b">
        <v>0</v>
      </c>
      <c r="L73" s="86" t="b">
        <v>0</v>
      </c>
    </row>
    <row r="74" spans="1:12" ht="15">
      <c r="A74" s="87" t="s">
        <v>4070</v>
      </c>
      <c r="B74" s="86" t="s">
        <v>4074</v>
      </c>
      <c r="C74" s="86">
        <v>13</v>
      </c>
      <c r="D74" s="115">
        <v>0.0029421697519925786</v>
      </c>
      <c r="E74" s="115">
        <v>2.6017164082876993</v>
      </c>
      <c r="F74" s="86" t="s">
        <v>4451</v>
      </c>
      <c r="G74" s="86" t="b">
        <v>0</v>
      </c>
      <c r="H74" s="86" t="b">
        <v>0</v>
      </c>
      <c r="I74" s="86" t="b">
        <v>0</v>
      </c>
      <c r="J74" s="86" t="b">
        <v>0</v>
      </c>
      <c r="K74" s="86" t="b">
        <v>0</v>
      </c>
      <c r="L74" s="86" t="b">
        <v>0</v>
      </c>
    </row>
    <row r="75" spans="1:12" ht="15">
      <c r="A75" s="87" t="s">
        <v>4074</v>
      </c>
      <c r="B75" s="86" t="s">
        <v>4048</v>
      </c>
      <c r="C75" s="86">
        <v>13</v>
      </c>
      <c r="D75" s="115">
        <v>0.0029421697519925786</v>
      </c>
      <c r="E75" s="115">
        <v>2.3164806798069497</v>
      </c>
      <c r="F75" s="86" t="s">
        <v>4451</v>
      </c>
      <c r="G75" s="86" t="b">
        <v>0</v>
      </c>
      <c r="H75" s="86" t="b">
        <v>0</v>
      </c>
      <c r="I75" s="86" t="b">
        <v>0</v>
      </c>
      <c r="J75" s="86" t="b">
        <v>0</v>
      </c>
      <c r="K75" s="86" t="b">
        <v>0</v>
      </c>
      <c r="L75" s="86" t="b">
        <v>0</v>
      </c>
    </row>
    <row r="76" spans="1:12" ht="15">
      <c r="A76" s="87" t="s">
        <v>4048</v>
      </c>
      <c r="B76" s="86" t="s">
        <v>4050</v>
      </c>
      <c r="C76" s="86">
        <v>13</v>
      </c>
      <c r="D76" s="115">
        <v>0.0029421697519925786</v>
      </c>
      <c r="E76" s="115">
        <v>1.9440947756073004</v>
      </c>
      <c r="F76" s="86" t="s">
        <v>4451</v>
      </c>
      <c r="G76" s="86" t="b">
        <v>0</v>
      </c>
      <c r="H76" s="86" t="b">
        <v>0</v>
      </c>
      <c r="I76" s="86" t="b">
        <v>0</v>
      </c>
      <c r="J76" s="86" t="b">
        <v>0</v>
      </c>
      <c r="K76" s="86" t="b">
        <v>0</v>
      </c>
      <c r="L76" s="86" t="b">
        <v>0</v>
      </c>
    </row>
    <row r="77" spans="1:12" ht="15">
      <c r="A77" s="87" t="s">
        <v>3356</v>
      </c>
      <c r="B77" s="86" t="s">
        <v>3366</v>
      </c>
      <c r="C77" s="86">
        <v>13</v>
      </c>
      <c r="D77" s="115">
        <v>0.0029421697519925786</v>
      </c>
      <c r="E77" s="115">
        <v>1.022749922884468</v>
      </c>
      <c r="F77" s="86" t="s">
        <v>4451</v>
      </c>
      <c r="G77" s="86" t="b">
        <v>0</v>
      </c>
      <c r="H77" s="86" t="b">
        <v>0</v>
      </c>
      <c r="I77" s="86" t="b">
        <v>0</v>
      </c>
      <c r="J77" s="86" t="b">
        <v>0</v>
      </c>
      <c r="K77" s="86" t="b">
        <v>0</v>
      </c>
      <c r="L77" s="86" t="b">
        <v>0</v>
      </c>
    </row>
    <row r="78" spans="1:12" ht="15">
      <c r="A78" s="87" t="s">
        <v>4076</v>
      </c>
      <c r="B78" s="86" t="s">
        <v>4024</v>
      </c>
      <c r="C78" s="86">
        <v>12</v>
      </c>
      <c r="D78" s="115">
        <v>0.002781140170271068</v>
      </c>
      <c r="E78" s="115">
        <v>1.9599371860673593</v>
      </c>
      <c r="F78" s="86" t="s">
        <v>4451</v>
      </c>
      <c r="G78" s="86" t="b">
        <v>0</v>
      </c>
      <c r="H78" s="86" t="b">
        <v>0</v>
      </c>
      <c r="I78" s="86" t="b">
        <v>0</v>
      </c>
      <c r="J78" s="86" t="b">
        <v>0</v>
      </c>
      <c r="K78" s="86" t="b">
        <v>0</v>
      </c>
      <c r="L78" s="86" t="b">
        <v>0</v>
      </c>
    </row>
    <row r="79" spans="1:12" ht="15">
      <c r="A79" s="87" t="s">
        <v>3356</v>
      </c>
      <c r="B79" s="86" t="s">
        <v>3364</v>
      </c>
      <c r="C79" s="86">
        <v>12</v>
      </c>
      <c r="D79" s="115">
        <v>0.002781140170271068</v>
      </c>
      <c r="E79" s="115">
        <v>0.7661390670088997</v>
      </c>
      <c r="F79" s="86" t="s">
        <v>4451</v>
      </c>
      <c r="G79" s="86" t="b">
        <v>0</v>
      </c>
      <c r="H79" s="86" t="b">
        <v>0</v>
      </c>
      <c r="I79" s="86" t="b">
        <v>0</v>
      </c>
      <c r="J79" s="86" t="b">
        <v>0</v>
      </c>
      <c r="K79" s="86" t="b">
        <v>0</v>
      </c>
      <c r="L79" s="86" t="b">
        <v>0</v>
      </c>
    </row>
    <row r="80" spans="1:12" ht="15">
      <c r="A80" s="87" t="s">
        <v>3368</v>
      </c>
      <c r="B80" s="86" t="s">
        <v>3367</v>
      </c>
      <c r="C80" s="86">
        <v>12</v>
      </c>
      <c r="D80" s="115">
        <v>0.002781140170271068</v>
      </c>
      <c r="E80" s="115">
        <v>1.9257230855362577</v>
      </c>
      <c r="F80" s="86" t="s">
        <v>4451</v>
      </c>
      <c r="G80" s="86" t="b">
        <v>0</v>
      </c>
      <c r="H80" s="86" t="b">
        <v>0</v>
      </c>
      <c r="I80" s="86" t="b">
        <v>0</v>
      </c>
      <c r="J80" s="86" t="b">
        <v>0</v>
      </c>
      <c r="K80" s="86" t="b">
        <v>0</v>
      </c>
      <c r="L80" s="86" t="b">
        <v>0</v>
      </c>
    </row>
    <row r="81" spans="1:12" ht="15">
      <c r="A81" s="87" t="s">
        <v>4055</v>
      </c>
      <c r="B81" s="86" t="s">
        <v>3357</v>
      </c>
      <c r="C81" s="86">
        <v>12</v>
      </c>
      <c r="D81" s="115">
        <v>0.002781140170271068</v>
      </c>
      <c r="E81" s="115">
        <v>1.400270511494637</v>
      </c>
      <c r="F81" s="86" t="s">
        <v>4451</v>
      </c>
      <c r="G81" s="86" t="b">
        <v>0</v>
      </c>
      <c r="H81" s="86" t="b">
        <v>0</v>
      </c>
      <c r="I81" s="86" t="b">
        <v>0</v>
      </c>
      <c r="J81" s="86" t="b">
        <v>0</v>
      </c>
      <c r="K81" s="86" t="b">
        <v>0</v>
      </c>
      <c r="L81" s="86" t="b">
        <v>0</v>
      </c>
    </row>
    <row r="82" spans="1:12" ht="15">
      <c r="A82" s="87" t="s">
        <v>4026</v>
      </c>
      <c r="B82" s="86" t="s">
        <v>3327</v>
      </c>
      <c r="C82" s="86">
        <v>11</v>
      </c>
      <c r="D82" s="115">
        <v>0.0026144394018871127</v>
      </c>
      <c r="E82" s="115">
        <v>1.183432031710878</v>
      </c>
      <c r="F82" s="86" t="s">
        <v>4451</v>
      </c>
      <c r="G82" s="86" t="b">
        <v>0</v>
      </c>
      <c r="H82" s="86" t="b">
        <v>0</v>
      </c>
      <c r="I82" s="86" t="b">
        <v>0</v>
      </c>
      <c r="J82" s="86" t="b">
        <v>0</v>
      </c>
      <c r="K82" s="86" t="b">
        <v>0</v>
      </c>
      <c r="L82" s="86" t="b">
        <v>0</v>
      </c>
    </row>
    <row r="83" spans="1:12" ht="15">
      <c r="A83" s="87" t="s">
        <v>3366</v>
      </c>
      <c r="B83" s="86" t="s">
        <v>3354</v>
      </c>
      <c r="C83" s="86">
        <v>11</v>
      </c>
      <c r="D83" s="115">
        <v>0.0026144394018871127</v>
      </c>
      <c r="E83" s="115">
        <v>0.8057268239690453</v>
      </c>
      <c r="F83" s="86" t="s">
        <v>4451</v>
      </c>
      <c r="G83" s="86" t="b">
        <v>0</v>
      </c>
      <c r="H83" s="86" t="b">
        <v>0</v>
      </c>
      <c r="I83" s="86" t="b">
        <v>0</v>
      </c>
      <c r="J83" s="86" t="b">
        <v>0</v>
      </c>
      <c r="K83" s="86" t="b">
        <v>0</v>
      </c>
      <c r="L83" s="86" t="b">
        <v>0</v>
      </c>
    </row>
    <row r="84" spans="1:12" ht="15">
      <c r="A84" s="87" t="s">
        <v>4079</v>
      </c>
      <c r="B84" s="86" t="s">
        <v>4055</v>
      </c>
      <c r="C84" s="86">
        <v>11</v>
      </c>
      <c r="D84" s="115">
        <v>0.0026144394018871127</v>
      </c>
      <c r="E84" s="115">
        <v>2.36505577936652</v>
      </c>
      <c r="F84" s="86" t="s">
        <v>4451</v>
      </c>
      <c r="G84" s="86" t="b">
        <v>0</v>
      </c>
      <c r="H84" s="86" t="b">
        <v>0</v>
      </c>
      <c r="I84" s="86" t="b">
        <v>0</v>
      </c>
      <c r="J84" s="86" t="b">
        <v>0</v>
      </c>
      <c r="K84" s="86" t="b">
        <v>0</v>
      </c>
      <c r="L84" s="86" t="b">
        <v>0</v>
      </c>
    </row>
    <row r="85" spans="1:12" ht="15">
      <c r="A85" s="87" t="s">
        <v>3366</v>
      </c>
      <c r="B85" s="86" t="s">
        <v>4076</v>
      </c>
      <c r="C85" s="86">
        <v>10</v>
      </c>
      <c r="D85" s="115">
        <v>0.0024415505165692793</v>
      </c>
      <c r="E85" s="115">
        <v>1.9848445376549142</v>
      </c>
      <c r="F85" s="86" t="s">
        <v>4451</v>
      </c>
      <c r="G85" s="86" t="b">
        <v>0</v>
      </c>
      <c r="H85" s="86" t="b">
        <v>0</v>
      </c>
      <c r="I85" s="86" t="b">
        <v>0</v>
      </c>
      <c r="J85" s="86" t="b">
        <v>0</v>
      </c>
      <c r="K85" s="86" t="b">
        <v>0</v>
      </c>
      <c r="L85" s="86" t="b">
        <v>0</v>
      </c>
    </row>
    <row r="86" spans="1:12" ht="15">
      <c r="A86" s="87" t="s">
        <v>3360</v>
      </c>
      <c r="B86" s="86" t="s">
        <v>4027</v>
      </c>
      <c r="C86" s="86">
        <v>10</v>
      </c>
      <c r="D86" s="115">
        <v>0.0024415505165692793</v>
      </c>
      <c r="E86" s="115">
        <v>1.0780296524477015</v>
      </c>
      <c r="F86" s="86" t="s">
        <v>4451</v>
      </c>
      <c r="G86" s="86" t="b">
        <v>0</v>
      </c>
      <c r="H86" s="86" t="b">
        <v>0</v>
      </c>
      <c r="I86" s="86" t="b">
        <v>0</v>
      </c>
      <c r="J86" s="86" t="b">
        <v>0</v>
      </c>
      <c r="K86" s="86" t="b">
        <v>0</v>
      </c>
      <c r="L86" s="86" t="b">
        <v>0</v>
      </c>
    </row>
    <row r="87" spans="1:12" ht="15">
      <c r="A87" s="87" t="s">
        <v>4091</v>
      </c>
      <c r="B87" s="86" t="s">
        <v>3380</v>
      </c>
      <c r="C87" s="86">
        <v>10</v>
      </c>
      <c r="D87" s="115">
        <v>0.0024415505165692793</v>
      </c>
      <c r="E87" s="115">
        <v>1.8935384021648565</v>
      </c>
      <c r="F87" s="86" t="s">
        <v>4451</v>
      </c>
      <c r="G87" s="86" t="b">
        <v>0</v>
      </c>
      <c r="H87" s="86" t="b">
        <v>0</v>
      </c>
      <c r="I87" s="86" t="b">
        <v>0</v>
      </c>
      <c r="J87" s="86" t="b">
        <v>0</v>
      </c>
      <c r="K87" s="86" t="b">
        <v>0</v>
      </c>
      <c r="L87" s="86" t="b">
        <v>0</v>
      </c>
    </row>
    <row r="88" spans="1:12" ht="15">
      <c r="A88" s="87" t="s">
        <v>3354</v>
      </c>
      <c r="B88" s="86" t="s">
        <v>3357</v>
      </c>
      <c r="C88" s="86">
        <v>10</v>
      </c>
      <c r="D88" s="115">
        <v>0.0024415505165692793</v>
      </c>
      <c r="E88" s="115">
        <v>0.362275192933204</v>
      </c>
      <c r="F88" s="86" t="s">
        <v>4451</v>
      </c>
      <c r="G88" s="86" t="b">
        <v>0</v>
      </c>
      <c r="H88" s="86" t="b">
        <v>0</v>
      </c>
      <c r="I88" s="86" t="b">
        <v>0</v>
      </c>
      <c r="J88" s="86" t="b">
        <v>0</v>
      </c>
      <c r="K88" s="86" t="b">
        <v>0</v>
      </c>
      <c r="L88" s="86" t="b">
        <v>0</v>
      </c>
    </row>
    <row r="89" spans="1:12" ht="15">
      <c r="A89" s="87" t="s">
        <v>3355</v>
      </c>
      <c r="B89" s="86" t="s">
        <v>3368</v>
      </c>
      <c r="C89" s="86">
        <v>10</v>
      </c>
      <c r="D89" s="115">
        <v>0.0024415505165692793</v>
      </c>
      <c r="E89" s="115">
        <v>1.199446250522971</v>
      </c>
      <c r="F89" s="86" t="s">
        <v>4451</v>
      </c>
      <c r="G89" s="86" t="b">
        <v>0</v>
      </c>
      <c r="H89" s="86" t="b">
        <v>0</v>
      </c>
      <c r="I89" s="86" t="b">
        <v>0</v>
      </c>
      <c r="J89" s="86" t="b">
        <v>0</v>
      </c>
      <c r="K89" s="86" t="b">
        <v>0</v>
      </c>
      <c r="L89" s="86" t="b">
        <v>0</v>
      </c>
    </row>
    <row r="90" spans="1:12" ht="15">
      <c r="A90" s="87" t="s">
        <v>3361</v>
      </c>
      <c r="B90" s="86" t="s">
        <v>4095</v>
      </c>
      <c r="C90" s="86">
        <v>9</v>
      </c>
      <c r="D90" s="115">
        <v>0.0022618527219237894</v>
      </c>
      <c r="E90" s="115">
        <v>1.816241299991783</v>
      </c>
      <c r="F90" s="86" t="s">
        <v>4451</v>
      </c>
      <c r="G90" s="86" t="b">
        <v>0</v>
      </c>
      <c r="H90" s="86" t="b">
        <v>0</v>
      </c>
      <c r="I90" s="86" t="b">
        <v>0</v>
      </c>
      <c r="J90" s="86" t="b">
        <v>0</v>
      </c>
      <c r="K90" s="86" t="b">
        <v>0</v>
      </c>
      <c r="L90" s="86" t="b">
        <v>0</v>
      </c>
    </row>
    <row r="91" spans="1:12" ht="15">
      <c r="A91" s="87" t="s">
        <v>3381</v>
      </c>
      <c r="B91" s="86" t="s">
        <v>3307</v>
      </c>
      <c r="C91" s="86">
        <v>9</v>
      </c>
      <c r="D91" s="115">
        <v>0.0023339098047264863</v>
      </c>
      <c r="E91" s="115">
        <v>0.9044534493377857</v>
      </c>
      <c r="F91" s="86" t="s">
        <v>4451</v>
      </c>
      <c r="G91" s="86" t="b">
        <v>0</v>
      </c>
      <c r="H91" s="86" t="b">
        <v>0</v>
      </c>
      <c r="I91" s="86" t="b">
        <v>0</v>
      </c>
      <c r="J91" s="86" t="b">
        <v>0</v>
      </c>
      <c r="K91" s="86" t="b">
        <v>0</v>
      </c>
      <c r="L91" s="86" t="b">
        <v>0</v>
      </c>
    </row>
    <row r="92" spans="1:12" ht="15">
      <c r="A92" s="87" t="s">
        <v>4073</v>
      </c>
      <c r="B92" s="86" t="s">
        <v>3357</v>
      </c>
      <c r="C92" s="86">
        <v>9</v>
      </c>
      <c r="D92" s="115">
        <v>0.0022618527219237894</v>
      </c>
      <c r="E92" s="115">
        <v>1.4514230339420184</v>
      </c>
      <c r="F92" s="86" t="s">
        <v>4451</v>
      </c>
      <c r="G92" s="86" t="b">
        <v>0</v>
      </c>
      <c r="H92" s="86" t="b">
        <v>0</v>
      </c>
      <c r="I92" s="86" t="b">
        <v>0</v>
      </c>
      <c r="J92" s="86" t="b">
        <v>0</v>
      </c>
      <c r="K92" s="86" t="b">
        <v>0</v>
      </c>
      <c r="L92" s="86" t="b">
        <v>0</v>
      </c>
    </row>
    <row r="93" spans="1:12" ht="15">
      <c r="A93" s="87" t="s">
        <v>4054</v>
      </c>
      <c r="B93" s="86" t="s">
        <v>4035</v>
      </c>
      <c r="C93" s="86">
        <v>9</v>
      </c>
      <c r="D93" s="115">
        <v>0.0022618527219237894</v>
      </c>
      <c r="E93" s="115">
        <v>1.7858586709980622</v>
      </c>
      <c r="F93" s="86" t="s">
        <v>4451</v>
      </c>
      <c r="G93" s="86" t="b">
        <v>0</v>
      </c>
      <c r="H93" s="86" t="b">
        <v>0</v>
      </c>
      <c r="I93" s="86" t="b">
        <v>0</v>
      </c>
      <c r="J93" s="86" t="b">
        <v>0</v>
      </c>
      <c r="K93" s="86" t="b">
        <v>0</v>
      </c>
      <c r="L93" s="86" t="b">
        <v>0</v>
      </c>
    </row>
    <row r="94" spans="1:12" ht="15">
      <c r="A94" s="87" t="s">
        <v>4035</v>
      </c>
      <c r="B94" s="86" t="s">
        <v>4028</v>
      </c>
      <c r="C94" s="86">
        <v>9</v>
      </c>
      <c r="D94" s="115">
        <v>0.0022618527219237894</v>
      </c>
      <c r="E94" s="115">
        <v>1.4642919601313393</v>
      </c>
      <c r="F94" s="86" t="s">
        <v>4451</v>
      </c>
      <c r="G94" s="86" t="b">
        <v>0</v>
      </c>
      <c r="H94" s="86" t="b">
        <v>0</v>
      </c>
      <c r="I94" s="86" t="b">
        <v>0</v>
      </c>
      <c r="J94" s="86" t="b">
        <v>0</v>
      </c>
      <c r="K94" s="86" t="b">
        <v>0</v>
      </c>
      <c r="L94" s="86" t="b">
        <v>0</v>
      </c>
    </row>
    <row r="95" spans="1:12" ht="15">
      <c r="A95" s="87" t="s">
        <v>4028</v>
      </c>
      <c r="B95" s="86" t="s">
        <v>4082</v>
      </c>
      <c r="C95" s="86">
        <v>8</v>
      </c>
      <c r="D95" s="115">
        <v>0.00207458649309021</v>
      </c>
      <c r="E95" s="115">
        <v>1.9137417882531433</v>
      </c>
      <c r="F95" s="86" t="s">
        <v>4451</v>
      </c>
      <c r="G95" s="86" t="b">
        <v>0</v>
      </c>
      <c r="H95" s="86" t="b">
        <v>0</v>
      </c>
      <c r="I95" s="86" t="b">
        <v>0</v>
      </c>
      <c r="J95" s="86" t="b">
        <v>0</v>
      </c>
      <c r="K95" s="86" t="b">
        <v>0</v>
      </c>
      <c r="L95" s="86" t="b">
        <v>0</v>
      </c>
    </row>
    <row r="96" spans="1:12" ht="15">
      <c r="A96" s="87" t="s">
        <v>4082</v>
      </c>
      <c r="B96" s="86" t="s">
        <v>4020</v>
      </c>
      <c r="C96" s="86">
        <v>8</v>
      </c>
      <c r="D96" s="115">
        <v>0.00207458649309021</v>
      </c>
      <c r="E96" s="115">
        <v>1.7843939327397884</v>
      </c>
      <c r="F96" s="86" t="s">
        <v>4451</v>
      </c>
      <c r="G96" s="86" t="b">
        <v>0</v>
      </c>
      <c r="H96" s="86" t="b">
        <v>0</v>
      </c>
      <c r="I96" s="86" t="b">
        <v>0</v>
      </c>
      <c r="J96" s="86" t="b">
        <v>0</v>
      </c>
      <c r="K96" s="86" t="b">
        <v>1</v>
      </c>
      <c r="L96" s="86" t="b">
        <v>0</v>
      </c>
    </row>
    <row r="97" spans="1:12" ht="15">
      <c r="A97" s="87" t="s">
        <v>4042</v>
      </c>
      <c r="B97" s="86" t="s">
        <v>3354</v>
      </c>
      <c r="C97" s="86">
        <v>8</v>
      </c>
      <c r="D97" s="115">
        <v>0.00207458649309021</v>
      </c>
      <c r="E97" s="115">
        <v>0.8045973188280754</v>
      </c>
      <c r="F97" s="86" t="s">
        <v>4451</v>
      </c>
      <c r="G97" s="86" t="b">
        <v>0</v>
      </c>
      <c r="H97" s="86" t="b">
        <v>0</v>
      </c>
      <c r="I97" s="86" t="b">
        <v>0</v>
      </c>
      <c r="J97" s="86" t="b">
        <v>0</v>
      </c>
      <c r="K97" s="86" t="b">
        <v>0</v>
      </c>
      <c r="L97" s="86" t="b">
        <v>0</v>
      </c>
    </row>
    <row r="98" spans="1:12" ht="15">
      <c r="A98" s="87" t="s">
        <v>4069</v>
      </c>
      <c r="B98" s="86" t="s">
        <v>4109</v>
      </c>
      <c r="C98" s="86">
        <v>8</v>
      </c>
      <c r="D98" s="115">
        <v>0.00207458649309021</v>
      </c>
      <c r="E98" s="115">
        <v>2.603937868281657</v>
      </c>
      <c r="F98" s="86" t="s">
        <v>4451</v>
      </c>
      <c r="G98" s="86" t="b">
        <v>0</v>
      </c>
      <c r="H98" s="86" t="b">
        <v>0</v>
      </c>
      <c r="I98" s="86" t="b">
        <v>0</v>
      </c>
      <c r="J98" s="86" t="b">
        <v>0</v>
      </c>
      <c r="K98" s="86" t="b">
        <v>0</v>
      </c>
      <c r="L98" s="86" t="b">
        <v>0</v>
      </c>
    </row>
    <row r="99" spans="1:12" ht="15">
      <c r="A99" s="87" t="s">
        <v>4109</v>
      </c>
      <c r="B99" s="86" t="s">
        <v>4070</v>
      </c>
      <c r="C99" s="86">
        <v>8</v>
      </c>
      <c r="D99" s="115">
        <v>0.00207458649309021</v>
      </c>
      <c r="E99" s="115">
        <v>2.603937868281657</v>
      </c>
      <c r="F99" s="86" t="s">
        <v>4451</v>
      </c>
      <c r="G99" s="86" t="b">
        <v>0</v>
      </c>
      <c r="H99" s="86" t="b">
        <v>0</v>
      </c>
      <c r="I99" s="86" t="b">
        <v>0</v>
      </c>
      <c r="J99" s="86" t="b">
        <v>0</v>
      </c>
      <c r="K99" s="86" t="b">
        <v>0</v>
      </c>
      <c r="L99" s="86" t="b">
        <v>0</v>
      </c>
    </row>
    <row r="100" spans="1:12" ht="15">
      <c r="A100" s="87" t="s">
        <v>3368</v>
      </c>
      <c r="B100" s="86" t="s">
        <v>4051</v>
      </c>
      <c r="C100" s="86">
        <v>8</v>
      </c>
      <c r="D100" s="115">
        <v>0.00207458649309021</v>
      </c>
      <c r="E100" s="115">
        <v>1.7174471431091753</v>
      </c>
      <c r="F100" s="86" t="s">
        <v>4451</v>
      </c>
      <c r="G100" s="86" t="b">
        <v>0</v>
      </c>
      <c r="H100" s="86" t="b">
        <v>0</v>
      </c>
      <c r="I100" s="86" t="b">
        <v>0</v>
      </c>
      <c r="J100" s="86" t="b">
        <v>0</v>
      </c>
      <c r="K100" s="86" t="b">
        <v>0</v>
      </c>
      <c r="L100" s="86" t="b">
        <v>0</v>
      </c>
    </row>
    <row r="101" spans="1:12" ht="15">
      <c r="A101" s="87" t="s">
        <v>3354</v>
      </c>
      <c r="B101" s="86" t="s">
        <v>3358</v>
      </c>
      <c r="C101" s="86">
        <v>8</v>
      </c>
      <c r="D101" s="115">
        <v>0.00207458649309021</v>
      </c>
      <c r="E101" s="115">
        <v>0.6096940575833005</v>
      </c>
      <c r="F101" s="86" t="s">
        <v>4451</v>
      </c>
      <c r="G101" s="86" t="b">
        <v>0</v>
      </c>
      <c r="H101" s="86" t="b">
        <v>0</v>
      </c>
      <c r="I101" s="86" t="b">
        <v>0</v>
      </c>
      <c r="J101" s="86" t="b">
        <v>0</v>
      </c>
      <c r="K101" s="86" t="b">
        <v>0</v>
      </c>
      <c r="L101" s="86" t="b">
        <v>0</v>
      </c>
    </row>
    <row r="102" spans="1:12" ht="15">
      <c r="A102" s="87" t="s">
        <v>4075</v>
      </c>
      <c r="B102" s="86" t="s">
        <v>4105</v>
      </c>
      <c r="C102" s="86">
        <v>7</v>
      </c>
      <c r="D102" s="115">
        <v>0.0018788010792225686</v>
      </c>
      <c r="E102" s="115">
        <v>2.6080938280528145</v>
      </c>
      <c r="F102" s="86" t="s">
        <v>4451</v>
      </c>
      <c r="G102" s="86" t="b">
        <v>0</v>
      </c>
      <c r="H102" s="86" t="b">
        <v>0</v>
      </c>
      <c r="I102" s="86" t="b">
        <v>0</v>
      </c>
      <c r="J102" s="86" t="b">
        <v>0</v>
      </c>
      <c r="K102" s="86" t="b">
        <v>0</v>
      </c>
      <c r="L102" s="86" t="b">
        <v>0</v>
      </c>
    </row>
    <row r="103" spans="1:12" ht="15">
      <c r="A103" s="87" t="s">
        <v>4105</v>
      </c>
      <c r="B103" s="86" t="s">
        <v>4106</v>
      </c>
      <c r="C103" s="86">
        <v>7</v>
      </c>
      <c r="D103" s="115">
        <v>0.0018788010792225686</v>
      </c>
      <c r="E103" s="115">
        <v>2.8189471933677077</v>
      </c>
      <c r="F103" s="86" t="s">
        <v>4451</v>
      </c>
      <c r="G103" s="86" t="b">
        <v>0</v>
      </c>
      <c r="H103" s="86" t="b">
        <v>0</v>
      </c>
      <c r="I103" s="86" t="b">
        <v>0</v>
      </c>
      <c r="J103" s="86" t="b">
        <v>0</v>
      </c>
      <c r="K103" s="86" t="b">
        <v>0</v>
      </c>
      <c r="L103" s="86" t="b">
        <v>0</v>
      </c>
    </row>
    <row r="104" spans="1:12" ht="15">
      <c r="A104" s="87" t="s">
        <v>4095</v>
      </c>
      <c r="B104" s="86" t="s">
        <v>3366</v>
      </c>
      <c r="C104" s="86">
        <v>7</v>
      </c>
      <c r="D104" s="115">
        <v>0.0018788010792225686</v>
      </c>
      <c r="E104" s="115">
        <v>2.0476353675143697</v>
      </c>
      <c r="F104" s="86" t="s">
        <v>4451</v>
      </c>
      <c r="G104" s="86" t="b">
        <v>0</v>
      </c>
      <c r="H104" s="86" t="b">
        <v>0</v>
      </c>
      <c r="I104" s="86" t="b">
        <v>0</v>
      </c>
      <c r="J104" s="86" t="b">
        <v>0</v>
      </c>
      <c r="K104" s="86" t="b">
        <v>0</v>
      </c>
      <c r="L104" s="86" t="b">
        <v>0</v>
      </c>
    </row>
    <row r="105" spans="1:12" ht="15">
      <c r="A105" s="87" t="s">
        <v>4117</v>
      </c>
      <c r="B105" s="86" t="s">
        <v>4086</v>
      </c>
      <c r="C105" s="86">
        <v>7</v>
      </c>
      <c r="D105" s="115">
        <v>0.0018788010792225686</v>
      </c>
      <c r="E105" s="115">
        <v>2.7386364421791134</v>
      </c>
      <c r="F105" s="86" t="s">
        <v>4451</v>
      </c>
      <c r="G105" s="86" t="b">
        <v>0</v>
      </c>
      <c r="H105" s="86" t="b">
        <v>0</v>
      </c>
      <c r="I105" s="86" t="b">
        <v>0</v>
      </c>
      <c r="J105" s="86" t="b">
        <v>0</v>
      </c>
      <c r="K105" s="86" t="b">
        <v>0</v>
      </c>
      <c r="L105" s="86" t="b">
        <v>0</v>
      </c>
    </row>
    <row r="106" spans="1:12" ht="15">
      <c r="A106" s="87" t="s">
        <v>3356</v>
      </c>
      <c r="B106" s="86" t="s">
        <v>3368</v>
      </c>
      <c r="C106" s="86">
        <v>7</v>
      </c>
      <c r="D106" s="115">
        <v>0.0018788010792225686</v>
      </c>
      <c r="E106" s="115">
        <v>0.705056043054071</v>
      </c>
      <c r="F106" s="86" t="s">
        <v>4451</v>
      </c>
      <c r="G106" s="86" t="b">
        <v>0</v>
      </c>
      <c r="H106" s="86" t="b">
        <v>0</v>
      </c>
      <c r="I106" s="86" t="b">
        <v>0</v>
      </c>
      <c r="J106" s="86" t="b">
        <v>0</v>
      </c>
      <c r="K106" s="86" t="b">
        <v>0</v>
      </c>
      <c r="L106" s="86" t="b">
        <v>0</v>
      </c>
    </row>
    <row r="107" spans="1:12" ht="15">
      <c r="A107" s="87" t="s">
        <v>4125</v>
      </c>
      <c r="B107" s="86" t="s">
        <v>3358</v>
      </c>
      <c r="C107" s="86">
        <v>7</v>
      </c>
      <c r="D107" s="115">
        <v>0.0018788010792225686</v>
      </c>
      <c r="E107" s="115">
        <v>1.9876374378390844</v>
      </c>
      <c r="F107" s="86" t="s">
        <v>4451</v>
      </c>
      <c r="G107" s="86" t="b">
        <v>0</v>
      </c>
      <c r="H107" s="86" t="b">
        <v>0</v>
      </c>
      <c r="I107" s="86" t="b">
        <v>0</v>
      </c>
      <c r="J107" s="86" t="b">
        <v>0</v>
      </c>
      <c r="K107" s="86" t="b">
        <v>0</v>
      </c>
      <c r="L107" s="86" t="b">
        <v>0</v>
      </c>
    </row>
    <row r="108" spans="1:12" ht="15">
      <c r="A108" s="87" t="s">
        <v>4080</v>
      </c>
      <c r="B108" s="86" t="s">
        <v>3359</v>
      </c>
      <c r="C108" s="86">
        <v>7</v>
      </c>
      <c r="D108" s="115">
        <v>0.0018788010792225686</v>
      </c>
      <c r="E108" s="115">
        <v>1.5155486204472084</v>
      </c>
      <c r="F108" s="86" t="s">
        <v>4451</v>
      </c>
      <c r="G108" s="86" t="b">
        <v>1</v>
      </c>
      <c r="H108" s="86" t="b">
        <v>0</v>
      </c>
      <c r="I108" s="86" t="b">
        <v>0</v>
      </c>
      <c r="J108" s="86" t="b">
        <v>0</v>
      </c>
      <c r="K108" s="86" t="b">
        <v>0</v>
      </c>
      <c r="L108" s="86" t="b">
        <v>0</v>
      </c>
    </row>
    <row r="109" spans="1:12" ht="15">
      <c r="A109" s="87" t="s">
        <v>3359</v>
      </c>
      <c r="B109" s="86" t="s">
        <v>4071</v>
      </c>
      <c r="C109" s="86">
        <v>7</v>
      </c>
      <c r="D109" s="115">
        <v>0.0018788010792225686</v>
      </c>
      <c r="E109" s="115">
        <v>1.475908054696215</v>
      </c>
      <c r="F109" s="86" t="s">
        <v>4451</v>
      </c>
      <c r="G109" s="86" t="b">
        <v>0</v>
      </c>
      <c r="H109" s="86" t="b">
        <v>0</v>
      </c>
      <c r="I109" s="86" t="b">
        <v>0</v>
      </c>
      <c r="J109" s="86" t="b">
        <v>0</v>
      </c>
      <c r="K109" s="86" t="b">
        <v>0</v>
      </c>
      <c r="L109" s="86" t="b">
        <v>0</v>
      </c>
    </row>
    <row r="110" spans="1:12" ht="15">
      <c r="A110" s="87" t="s">
        <v>4084</v>
      </c>
      <c r="B110" s="86" t="s">
        <v>3382</v>
      </c>
      <c r="C110" s="86">
        <v>6</v>
      </c>
      <c r="D110" s="115">
        <v>0.001673271599297983</v>
      </c>
      <c r="E110" s="115">
        <v>1.8007843489279578</v>
      </c>
      <c r="F110" s="86" t="s">
        <v>4451</v>
      </c>
      <c r="G110" s="86" t="b">
        <v>0</v>
      </c>
      <c r="H110" s="86" t="b">
        <v>0</v>
      </c>
      <c r="I110" s="86" t="b">
        <v>0</v>
      </c>
      <c r="J110" s="86" t="b">
        <v>0</v>
      </c>
      <c r="K110" s="86" t="b">
        <v>0</v>
      </c>
      <c r="L110" s="86" t="b">
        <v>0</v>
      </c>
    </row>
    <row r="111" spans="1:12" ht="15">
      <c r="A111" s="87" t="s">
        <v>4051</v>
      </c>
      <c r="B111" s="86" t="s">
        <v>3368</v>
      </c>
      <c r="C111" s="86">
        <v>6</v>
      </c>
      <c r="D111" s="115">
        <v>0.001673271599297983</v>
      </c>
      <c r="E111" s="115">
        <v>1.488142511113227</v>
      </c>
      <c r="F111" s="86" t="s">
        <v>4451</v>
      </c>
      <c r="G111" s="86" t="b">
        <v>0</v>
      </c>
      <c r="H111" s="86" t="b">
        <v>0</v>
      </c>
      <c r="I111" s="86" t="b">
        <v>0</v>
      </c>
      <c r="J111" s="86" t="b">
        <v>0</v>
      </c>
      <c r="K111" s="86" t="b">
        <v>0</v>
      </c>
      <c r="L111" s="86" t="b">
        <v>0</v>
      </c>
    </row>
    <row r="112" spans="1:12" ht="15">
      <c r="A112" s="87" t="s">
        <v>4075</v>
      </c>
      <c r="B112" s="86" t="s">
        <v>4104</v>
      </c>
      <c r="C112" s="86">
        <v>6</v>
      </c>
      <c r="D112" s="115">
        <v>0.001673271599297983</v>
      </c>
      <c r="E112" s="115">
        <v>2.5411470384222015</v>
      </c>
      <c r="F112" s="86" t="s">
        <v>4451</v>
      </c>
      <c r="G112" s="86" t="b">
        <v>0</v>
      </c>
      <c r="H112" s="86" t="b">
        <v>0</v>
      </c>
      <c r="I112" s="86" t="b">
        <v>0</v>
      </c>
      <c r="J112" s="86" t="b">
        <v>0</v>
      </c>
      <c r="K112" s="86" t="b">
        <v>0</v>
      </c>
      <c r="L112" s="86" t="b">
        <v>0</v>
      </c>
    </row>
    <row r="113" spans="1:12" ht="15">
      <c r="A113" s="87" t="s">
        <v>4126</v>
      </c>
      <c r="B113" s="86" t="s">
        <v>4075</v>
      </c>
      <c r="C113" s="86">
        <v>6</v>
      </c>
      <c r="D113" s="115">
        <v>0.001673271599297983</v>
      </c>
      <c r="E113" s="115">
        <v>2.6660857750305014</v>
      </c>
      <c r="F113" s="86" t="s">
        <v>4451</v>
      </c>
      <c r="G113" s="86" t="b">
        <v>0</v>
      </c>
      <c r="H113" s="86" t="b">
        <v>0</v>
      </c>
      <c r="I113" s="86" t="b">
        <v>0</v>
      </c>
      <c r="J113" s="86" t="b">
        <v>0</v>
      </c>
      <c r="K113" s="86" t="b">
        <v>0</v>
      </c>
      <c r="L113" s="86" t="b">
        <v>0</v>
      </c>
    </row>
    <row r="114" spans="1:12" ht="15">
      <c r="A114" s="87" t="s">
        <v>4042</v>
      </c>
      <c r="B114" s="86" t="s">
        <v>4087</v>
      </c>
      <c r="C114" s="86">
        <v>6</v>
      </c>
      <c r="D114" s="115">
        <v>0.001673271599297983</v>
      </c>
      <c r="E114" s="115">
        <v>2.0141123333707065</v>
      </c>
      <c r="F114" s="86" t="s">
        <v>4451</v>
      </c>
      <c r="G114" s="86" t="b">
        <v>0</v>
      </c>
      <c r="H114" s="86" t="b">
        <v>0</v>
      </c>
      <c r="I114" s="86" t="b">
        <v>0</v>
      </c>
      <c r="J114" s="86" t="b">
        <v>0</v>
      </c>
      <c r="K114" s="86" t="b">
        <v>0</v>
      </c>
      <c r="L114" s="86" t="b">
        <v>0</v>
      </c>
    </row>
    <row r="115" spans="1:12" ht="15">
      <c r="A115" s="87" t="s">
        <v>3382</v>
      </c>
      <c r="B115" s="86" t="s">
        <v>4062</v>
      </c>
      <c r="C115" s="86">
        <v>6</v>
      </c>
      <c r="D115" s="115">
        <v>0.001673271599297983</v>
      </c>
      <c r="E115" s="115">
        <v>1.5869045289828767</v>
      </c>
      <c r="F115" s="86" t="s">
        <v>4451</v>
      </c>
      <c r="G115" s="86" t="b">
        <v>0</v>
      </c>
      <c r="H115" s="86" t="b">
        <v>0</v>
      </c>
      <c r="I115" s="86" t="b">
        <v>0</v>
      </c>
      <c r="J115" s="86" t="b">
        <v>0</v>
      </c>
      <c r="K115" s="86" t="b">
        <v>0</v>
      </c>
      <c r="L115" s="86" t="b">
        <v>0</v>
      </c>
    </row>
    <row r="116" spans="1:12" ht="15">
      <c r="A116" s="87" t="s">
        <v>3357</v>
      </c>
      <c r="B116" s="86" t="s">
        <v>3355</v>
      </c>
      <c r="C116" s="86">
        <v>6</v>
      </c>
      <c r="D116" s="115">
        <v>0.001673271599297983</v>
      </c>
      <c r="E116" s="115">
        <v>0.14960125231231441</v>
      </c>
      <c r="F116" s="86" t="s">
        <v>4451</v>
      </c>
      <c r="G116" s="86" t="b">
        <v>0</v>
      </c>
      <c r="H116" s="86" t="b">
        <v>0</v>
      </c>
      <c r="I116" s="86" t="b">
        <v>0</v>
      </c>
      <c r="J116" s="86" t="b">
        <v>0</v>
      </c>
      <c r="K116" s="86" t="b">
        <v>0</v>
      </c>
      <c r="L116" s="86" t="b">
        <v>0</v>
      </c>
    </row>
    <row r="117" spans="1:12" ht="15">
      <c r="A117" s="87" t="s">
        <v>3361</v>
      </c>
      <c r="B117" s="86" t="s">
        <v>3366</v>
      </c>
      <c r="C117" s="86">
        <v>6</v>
      </c>
      <c r="D117" s="115">
        <v>0.001673271599297983</v>
      </c>
      <c r="E117" s="115">
        <v>0.9711432599775263</v>
      </c>
      <c r="F117" s="86" t="s">
        <v>4451</v>
      </c>
      <c r="G117" s="86" t="b">
        <v>0</v>
      </c>
      <c r="H117" s="86" t="b">
        <v>0</v>
      </c>
      <c r="I117" s="86" t="b">
        <v>0</v>
      </c>
      <c r="J117" s="86" t="b">
        <v>0</v>
      </c>
      <c r="K117" s="86" t="b">
        <v>0</v>
      </c>
      <c r="L117" s="86" t="b">
        <v>0</v>
      </c>
    </row>
    <row r="118" spans="1:12" ht="15">
      <c r="A118" s="87" t="s">
        <v>3366</v>
      </c>
      <c r="B118" s="86" t="s">
        <v>4024</v>
      </c>
      <c r="C118" s="86">
        <v>6</v>
      </c>
      <c r="D118" s="115">
        <v>0.001673271599297983</v>
      </c>
      <c r="E118" s="115">
        <v>1.0916093053346276</v>
      </c>
      <c r="F118" s="86" t="s">
        <v>4451</v>
      </c>
      <c r="G118" s="86" t="b">
        <v>0</v>
      </c>
      <c r="H118" s="86" t="b">
        <v>0</v>
      </c>
      <c r="I118" s="86" t="b">
        <v>0</v>
      </c>
      <c r="J118" s="86" t="b">
        <v>0</v>
      </c>
      <c r="K118" s="86" t="b">
        <v>0</v>
      </c>
      <c r="L118" s="86" t="b">
        <v>0</v>
      </c>
    </row>
    <row r="119" spans="1:12" ht="15">
      <c r="A119" s="87" t="s">
        <v>4047</v>
      </c>
      <c r="B119" s="86" t="s">
        <v>3327</v>
      </c>
      <c r="C119" s="86">
        <v>6</v>
      </c>
      <c r="D119" s="115">
        <v>0.001673271599297983</v>
      </c>
      <c r="E119" s="115">
        <v>1.142039346552653</v>
      </c>
      <c r="F119" s="86" t="s">
        <v>4451</v>
      </c>
      <c r="G119" s="86" t="b">
        <v>0</v>
      </c>
      <c r="H119" s="86" t="b">
        <v>0</v>
      </c>
      <c r="I119" s="86" t="b">
        <v>0</v>
      </c>
      <c r="J119" s="86" t="b">
        <v>0</v>
      </c>
      <c r="K119" s="86" t="b">
        <v>0</v>
      </c>
      <c r="L119" s="86" t="b">
        <v>0</v>
      </c>
    </row>
    <row r="120" spans="1:12" ht="15">
      <c r="A120" s="87" t="s">
        <v>4056</v>
      </c>
      <c r="B120" s="86" t="s">
        <v>4044</v>
      </c>
      <c r="C120" s="86">
        <v>6</v>
      </c>
      <c r="D120" s="115">
        <v>0.001673271599297983</v>
      </c>
      <c r="E120" s="115">
        <v>2.143207029750164</v>
      </c>
      <c r="F120" s="86" t="s">
        <v>4451</v>
      </c>
      <c r="G120" s="86" t="b">
        <v>0</v>
      </c>
      <c r="H120" s="86" t="b">
        <v>0</v>
      </c>
      <c r="I120" s="86" t="b">
        <v>0</v>
      </c>
      <c r="J120" s="86" t="b">
        <v>0</v>
      </c>
      <c r="K120" s="86" t="b">
        <v>0</v>
      </c>
      <c r="L120" s="86" t="b">
        <v>0</v>
      </c>
    </row>
    <row r="121" spans="1:12" ht="15">
      <c r="A121" s="87" t="s">
        <v>4122</v>
      </c>
      <c r="B121" s="86" t="s">
        <v>4123</v>
      </c>
      <c r="C121" s="86">
        <v>6</v>
      </c>
      <c r="D121" s="115">
        <v>0.001673271599297983</v>
      </c>
      <c r="E121" s="115">
        <v>2.8679842976924683</v>
      </c>
      <c r="F121" s="86" t="s">
        <v>4451</v>
      </c>
      <c r="G121" s="86" t="b">
        <v>0</v>
      </c>
      <c r="H121" s="86" t="b">
        <v>0</v>
      </c>
      <c r="I121" s="86" t="b">
        <v>0</v>
      </c>
      <c r="J121" s="86" t="b">
        <v>0</v>
      </c>
      <c r="K121" s="86" t="b">
        <v>0</v>
      </c>
      <c r="L121" s="86" t="b">
        <v>0</v>
      </c>
    </row>
    <row r="122" spans="1:12" ht="15">
      <c r="A122" s="87" t="s">
        <v>4123</v>
      </c>
      <c r="B122" s="86" t="s">
        <v>4124</v>
      </c>
      <c r="C122" s="86">
        <v>6</v>
      </c>
      <c r="D122" s="115">
        <v>0.001673271599297983</v>
      </c>
      <c r="E122" s="115">
        <v>2.9349310873230814</v>
      </c>
      <c r="F122" s="86" t="s">
        <v>4451</v>
      </c>
      <c r="G122" s="86" t="b">
        <v>0</v>
      </c>
      <c r="H122" s="86" t="b">
        <v>0</v>
      </c>
      <c r="I122" s="86" t="b">
        <v>0</v>
      </c>
      <c r="J122" s="86" t="b">
        <v>0</v>
      </c>
      <c r="K122" s="86" t="b">
        <v>0</v>
      </c>
      <c r="L122" s="86" t="b">
        <v>0</v>
      </c>
    </row>
    <row r="123" spans="1:12" ht="15">
      <c r="A123" s="87" t="s">
        <v>4142</v>
      </c>
      <c r="B123" s="86" t="s">
        <v>4028</v>
      </c>
      <c r="C123" s="86">
        <v>5</v>
      </c>
      <c r="D123" s="115">
        <v>0.0014563598534200139</v>
      </c>
      <c r="E123" s="115">
        <v>2.0898330473088245</v>
      </c>
      <c r="F123" s="86" t="s">
        <v>4451</v>
      </c>
      <c r="G123" s="86" t="b">
        <v>0</v>
      </c>
      <c r="H123" s="86" t="b">
        <v>0</v>
      </c>
      <c r="I123" s="86" t="b">
        <v>0</v>
      </c>
      <c r="J123" s="86" t="b">
        <v>0</v>
      </c>
      <c r="K123" s="86" t="b">
        <v>0</v>
      </c>
      <c r="L123" s="86" t="b">
        <v>0</v>
      </c>
    </row>
    <row r="124" spans="1:12" ht="15">
      <c r="A124" s="87" t="s">
        <v>4028</v>
      </c>
      <c r="B124" s="86" t="s">
        <v>4044</v>
      </c>
      <c r="C124" s="86">
        <v>5</v>
      </c>
      <c r="D124" s="115">
        <v>0.0014563598534200139</v>
      </c>
      <c r="E124" s="115">
        <v>1.6748596993380067</v>
      </c>
      <c r="F124" s="86" t="s">
        <v>4451</v>
      </c>
      <c r="G124" s="86" t="b">
        <v>0</v>
      </c>
      <c r="H124" s="86" t="b">
        <v>0</v>
      </c>
      <c r="I124" s="86" t="b">
        <v>0</v>
      </c>
      <c r="J124" s="86" t="b">
        <v>0</v>
      </c>
      <c r="K124" s="86" t="b">
        <v>0</v>
      </c>
      <c r="L124" s="86" t="b">
        <v>0</v>
      </c>
    </row>
    <row r="125" spans="1:12" ht="15">
      <c r="A125" s="87" t="s">
        <v>4149</v>
      </c>
      <c r="B125" s="86" t="s">
        <v>4098</v>
      </c>
      <c r="C125" s="86">
        <v>5</v>
      </c>
      <c r="D125" s="115">
        <v>0.0014563598534200139</v>
      </c>
      <c r="E125" s="115">
        <v>2.8257866178980136</v>
      </c>
      <c r="F125" s="86" t="s">
        <v>4451</v>
      </c>
      <c r="G125" s="86" t="b">
        <v>0</v>
      </c>
      <c r="H125" s="86" t="b">
        <v>0</v>
      </c>
      <c r="I125" s="86" t="b">
        <v>0</v>
      </c>
      <c r="J125" s="86" t="b">
        <v>0</v>
      </c>
      <c r="K125" s="86" t="b">
        <v>0</v>
      </c>
      <c r="L125" s="86" t="b">
        <v>0</v>
      </c>
    </row>
    <row r="126" spans="1:12" ht="15">
      <c r="A126" s="87" t="s">
        <v>4098</v>
      </c>
      <c r="B126" s="86" t="s">
        <v>4077</v>
      </c>
      <c r="C126" s="86">
        <v>5</v>
      </c>
      <c r="D126" s="115">
        <v>0.0014563598534200139</v>
      </c>
      <c r="E126" s="115">
        <v>2.4108132699271954</v>
      </c>
      <c r="F126" s="86" t="s">
        <v>4451</v>
      </c>
      <c r="G126" s="86" t="b">
        <v>0</v>
      </c>
      <c r="H126" s="86" t="b">
        <v>0</v>
      </c>
      <c r="I126" s="86" t="b">
        <v>0</v>
      </c>
      <c r="J126" s="86" t="b">
        <v>0</v>
      </c>
      <c r="K126" s="86" t="b">
        <v>0</v>
      </c>
      <c r="L126" s="86" t="b">
        <v>0</v>
      </c>
    </row>
    <row r="127" spans="1:12" ht="15">
      <c r="A127" s="87" t="s">
        <v>4131</v>
      </c>
      <c r="B127" s="86" t="s">
        <v>4085</v>
      </c>
      <c r="C127" s="86">
        <v>5</v>
      </c>
      <c r="D127" s="115">
        <v>0.0014563598534200139</v>
      </c>
      <c r="E127" s="115">
        <v>2.6594551961314883</v>
      </c>
      <c r="F127" s="86" t="s">
        <v>4451</v>
      </c>
      <c r="G127" s="86" t="b">
        <v>0</v>
      </c>
      <c r="H127" s="86" t="b">
        <v>0</v>
      </c>
      <c r="I127" s="86" t="b">
        <v>0</v>
      </c>
      <c r="J127" s="86" t="b">
        <v>0</v>
      </c>
      <c r="K127" s="86" t="b">
        <v>0</v>
      </c>
      <c r="L127" s="86" t="b">
        <v>0</v>
      </c>
    </row>
    <row r="128" spans="1:12" ht="15">
      <c r="A128" s="87" t="s">
        <v>3356</v>
      </c>
      <c r="B128" s="86" t="s">
        <v>4051</v>
      </c>
      <c r="C128" s="86">
        <v>5</v>
      </c>
      <c r="D128" s="115">
        <v>0.0014563598534200139</v>
      </c>
      <c r="E128" s="115">
        <v>0.7838678339693314</v>
      </c>
      <c r="F128" s="86" t="s">
        <v>4451</v>
      </c>
      <c r="G128" s="86" t="b">
        <v>0</v>
      </c>
      <c r="H128" s="86" t="b">
        <v>0</v>
      </c>
      <c r="I128" s="86" t="b">
        <v>0</v>
      </c>
      <c r="J128" s="86" t="b">
        <v>0</v>
      </c>
      <c r="K128" s="86" t="b">
        <v>0</v>
      </c>
      <c r="L128" s="86" t="b">
        <v>0</v>
      </c>
    </row>
    <row r="129" spans="1:12" ht="15">
      <c r="A129" s="87" t="s">
        <v>4108</v>
      </c>
      <c r="B129" s="86" t="s">
        <v>3366</v>
      </c>
      <c r="C129" s="86">
        <v>5</v>
      </c>
      <c r="D129" s="115">
        <v>0.0014563598534200139</v>
      </c>
      <c r="E129" s="115">
        <v>1.952659854283513</v>
      </c>
      <c r="F129" s="86" t="s">
        <v>4451</v>
      </c>
      <c r="G129" s="86" t="b">
        <v>0</v>
      </c>
      <c r="H129" s="86" t="b">
        <v>0</v>
      </c>
      <c r="I129" s="86" t="b">
        <v>0</v>
      </c>
      <c r="J129" s="86" t="b">
        <v>0</v>
      </c>
      <c r="K129" s="86" t="b">
        <v>0</v>
      </c>
      <c r="L129" s="86" t="b">
        <v>0</v>
      </c>
    </row>
    <row r="130" spans="1:12" ht="15">
      <c r="A130" s="87" t="s">
        <v>3366</v>
      </c>
      <c r="B130" s="86" t="s">
        <v>4077</v>
      </c>
      <c r="C130" s="86">
        <v>5</v>
      </c>
      <c r="D130" s="115">
        <v>0.0014563598534200139</v>
      </c>
      <c r="E130" s="115">
        <v>1.6838145419909332</v>
      </c>
      <c r="F130" s="86" t="s">
        <v>4451</v>
      </c>
      <c r="G130" s="86" t="b">
        <v>0</v>
      </c>
      <c r="H130" s="86" t="b">
        <v>0</v>
      </c>
      <c r="I130" s="86" t="b">
        <v>0</v>
      </c>
      <c r="J130" s="86" t="b">
        <v>0</v>
      </c>
      <c r="K130" s="86" t="b">
        <v>0</v>
      </c>
      <c r="L130" s="86" t="b">
        <v>0</v>
      </c>
    </row>
    <row r="131" spans="1:12" ht="15">
      <c r="A131" s="87" t="s">
        <v>4053</v>
      </c>
      <c r="B131" s="86" t="s">
        <v>3359</v>
      </c>
      <c r="C131" s="86">
        <v>5</v>
      </c>
      <c r="D131" s="115">
        <v>0.0014563598534200139</v>
      </c>
      <c r="E131" s="115">
        <v>1.0683905891049892</v>
      </c>
      <c r="F131" s="86" t="s">
        <v>4451</v>
      </c>
      <c r="G131" s="86" t="b">
        <v>0</v>
      </c>
      <c r="H131" s="86" t="b">
        <v>0</v>
      </c>
      <c r="I131" s="86" t="b">
        <v>0</v>
      </c>
      <c r="J131" s="86" t="b">
        <v>0</v>
      </c>
      <c r="K131" s="86" t="b">
        <v>0</v>
      </c>
      <c r="L131" s="86" t="b">
        <v>0</v>
      </c>
    </row>
    <row r="132" spans="1:12" ht="15">
      <c r="A132" s="87" t="s">
        <v>3380</v>
      </c>
      <c r="B132" s="86" t="s">
        <v>3327</v>
      </c>
      <c r="C132" s="86">
        <v>5</v>
      </c>
      <c r="D132" s="115">
        <v>0.0014563598534200139</v>
      </c>
      <c r="E132" s="115">
        <v>0.6837449490924742</v>
      </c>
      <c r="F132" s="86" t="s">
        <v>4451</v>
      </c>
      <c r="G132" s="86" t="b">
        <v>0</v>
      </c>
      <c r="H132" s="86" t="b">
        <v>0</v>
      </c>
      <c r="I132" s="86" t="b">
        <v>0</v>
      </c>
      <c r="J132" s="86" t="b">
        <v>0</v>
      </c>
      <c r="K132" s="86" t="b">
        <v>0</v>
      </c>
      <c r="L132" s="86" t="b">
        <v>0</v>
      </c>
    </row>
    <row r="133" spans="1:12" ht="15">
      <c r="A133" s="87" t="s">
        <v>3368</v>
      </c>
      <c r="B133" s="86" t="s">
        <v>3355</v>
      </c>
      <c r="C133" s="86">
        <v>5</v>
      </c>
      <c r="D133" s="115">
        <v>0.0014563598534200139</v>
      </c>
      <c r="E133" s="115">
        <v>0.6382658970615503</v>
      </c>
      <c r="F133" s="86" t="s">
        <v>4451</v>
      </c>
      <c r="G133" s="86" t="b">
        <v>0</v>
      </c>
      <c r="H133" s="86" t="b">
        <v>0</v>
      </c>
      <c r="I133" s="86" t="b">
        <v>0</v>
      </c>
      <c r="J133" s="86" t="b">
        <v>0</v>
      </c>
      <c r="K133" s="86" t="b">
        <v>0</v>
      </c>
      <c r="L133" s="86" t="b">
        <v>0</v>
      </c>
    </row>
    <row r="134" spans="1:12" ht="15">
      <c r="A134" s="87" t="s">
        <v>3358</v>
      </c>
      <c r="B134" s="86" t="s">
        <v>3356</v>
      </c>
      <c r="C134" s="86">
        <v>5</v>
      </c>
      <c r="D134" s="115">
        <v>0.0014563598534200139</v>
      </c>
      <c r="E134" s="115">
        <v>0.2394494108328841</v>
      </c>
      <c r="F134" s="86" t="s">
        <v>4451</v>
      </c>
      <c r="G134" s="86" t="b">
        <v>0</v>
      </c>
      <c r="H134" s="86" t="b">
        <v>0</v>
      </c>
      <c r="I134" s="86" t="b">
        <v>0</v>
      </c>
      <c r="J134" s="86" t="b">
        <v>0</v>
      </c>
      <c r="K134" s="86" t="b">
        <v>0</v>
      </c>
      <c r="L134" s="86" t="b">
        <v>0</v>
      </c>
    </row>
    <row r="135" spans="1:12" ht="15">
      <c r="A135" s="87" t="s">
        <v>4069</v>
      </c>
      <c r="B135" s="86" t="s">
        <v>4161</v>
      </c>
      <c r="C135" s="86">
        <v>5</v>
      </c>
      <c r="D135" s="115">
        <v>0.0014563598534200139</v>
      </c>
      <c r="E135" s="115">
        <v>2.603937868281657</v>
      </c>
      <c r="F135" s="86" t="s">
        <v>4451</v>
      </c>
      <c r="G135" s="86" t="b">
        <v>0</v>
      </c>
      <c r="H135" s="86" t="b">
        <v>0</v>
      </c>
      <c r="I135" s="86" t="b">
        <v>0</v>
      </c>
      <c r="J135" s="86" t="b">
        <v>0</v>
      </c>
      <c r="K135" s="86" t="b">
        <v>0</v>
      </c>
      <c r="L135" s="86" t="b">
        <v>0</v>
      </c>
    </row>
    <row r="136" spans="1:12" ht="15">
      <c r="A136" s="87" t="s">
        <v>4161</v>
      </c>
      <c r="B136" s="86" t="s">
        <v>4070</v>
      </c>
      <c r="C136" s="86">
        <v>5</v>
      </c>
      <c r="D136" s="115">
        <v>0.0014563598534200139</v>
      </c>
      <c r="E136" s="115">
        <v>2.603937868281657</v>
      </c>
      <c r="F136" s="86" t="s">
        <v>4451</v>
      </c>
      <c r="G136" s="86" t="b">
        <v>0</v>
      </c>
      <c r="H136" s="86" t="b">
        <v>0</v>
      </c>
      <c r="I136" s="86" t="b">
        <v>0</v>
      </c>
      <c r="J136" s="86" t="b">
        <v>0</v>
      </c>
      <c r="K136" s="86" t="b">
        <v>0</v>
      </c>
      <c r="L136" s="86" t="b">
        <v>0</v>
      </c>
    </row>
    <row r="137" spans="1:12" ht="15">
      <c r="A137" s="87" t="s">
        <v>4162</v>
      </c>
      <c r="B137" s="86" t="s">
        <v>4137</v>
      </c>
      <c r="C137" s="86">
        <v>5</v>
      </c>
      <c r="D137" s="115">
        <v>0.0014563598534200139</v>
      </c>
      <c r="E137" s="115">
        <v>3.001877876953695</v>
      </c>
      <c r="F137" s="86" t="s">
        <v>4451</v>
      </c>
      <c r="G137" s="86" t="b">
        <v>0</v>
      </c>
      <c r="H137" s="86" t="b">
        <v>0</v>
      </c>
      <c r="I137" s="86" t="b">
        <v>0</v>
      </c>
      <c r="J137" s="86" t="b">
        <v>0</v>
      </c>
      <c r="K137" s="86" t="b">
        <v>0</v>
      </c>
      <c r="L137" s="86" t="b">
        <v>0</v>
      </c>
    </row>
    <row r="138" spans="1:12" ht="15">
      <c r="A138" s="87" t="s">
        <v>4041</v>
      </c>
      <c r="B138" s="86" t="s">
        <v>4163</v>
      </c>
      <c r="C138" s="86">
        <v>5</v>
      </c>
      <c r="D138" s="115">
        <v>0.0014563598534200139</v>
      </c>
      <c r="E138" s="115">
        <v>2.2359610829870626</v>
      </c>
      <c r="F138" s="86" t="s">
        <v>4451</v>
      </c>
      <c r="G138" s="86" t="b">
        <v>0</v>
      </c>
      <c r="H138" s="86" t="b">
        <v>0</v>
      </c>
      <c r="I138" s="86" t="b">
        <v>0</v>
      </c>
      <c r="J138" s="86" t="b">
        <v>1</v>
      </c>
      <c r="K138" s="86" t="b">
        <v>0</v>
      </c>
      <c r="L138" s="86" t="b">
        <v>0</v>
      </c>
    </row>
    <row r="139" spans="1:12" ht="15">
      <c r="A139" s="87" t="s">
        <v>4163</v>
      </c>
      <c r="B139" s="86" t="s">
        <v>4164</v>
      </c>
      <c r="C139" s="86">
        <v>5</v>
      </c>
      <c r="D139" s="115">
        <v>0.0014563598534200139</v>
      </c>
      <c r="E139" s="115">
        <v>3.0810591230013196</v>
      </c>
      <c r="F139" s="86" t="s">
        <v>4451</v>
      </c>
      <c r="G139" s="86" t="b">
        <v>1</v>
      </c>
      <c r="H139" s="86" t="b">
        <v>0</v>
      </c>
      <c r="I139" s="86" t="b">
        <v>0</v>
      </c>
      <c r="J139" s="86" t="b">
        <v>0</v>
      </c>
      <c r="K139" s="86" t="b">
        <v>0</v>
      </c>
      <c r="L139" s="86" t="b">
        <v>0</v>
      </c>
    </row>
    <row r="140" spans="1:12" ht="15">
      <c r="A140" s="87" t="s">
        <v>4164</v>
      </c>
      <c r="B140" s="86" t="s">
        <v>4122</v>
      </c>
      <c r="C140" s="86">
        <v>5</v>
      </c>
      <c r="D140" s="115">
        <v>0.0014563598534200139</v>
      </c>
      <c r="E140" s="115">
        <v>2.9349310873230814</v>
      </c>
      <c r="F140" s="86" t="s">
        <v>4451</v>
      </c>
      <c r="G140" s="86" t="b">
        <v>0</v>
      </c>
      <c r="H140" s="86" t="b">
        <v>0</v>
      </c>
      <c r="I140" s="86" t="b">
        <v>0</v>
      </c>
      <c r="J140" s="86" t="b">
        <v>0</v>
      </c>
      <c r="K140" s="86" t="b">
        <v>0</v>
      </c>
      <c r="L140" s="86" t="b">
        <v>0</v>
      </c>
    </row>
    <row r="141" spans="1:12" ht="15">
      <c r="A141" s="87" t="s">
        <v>3355</v>
      </c>
      <c r="B141" s="86" t="s">
        <v>3354</v>
      </c>
      <c r="C141" s="86">
        <v>5</v>
      </c>
      <c r="D141" s="115">
        <v>0.0014563598534200139</v>
      </c>
      <c r="E141" s="115">
        <v>0.2360603616437765</v>
      </c>
      <c r="F141" s="86" t="s">
        <v>4451</v>
      </c>
      <c r="G141" s="86" t="b">
        <v>0</v>
      </c>
      <c r="H141" s="86" t="b">
        <v>0</v>
      </c>
      <c r="I141" s="86" t="b">
        <v>0</v>
      </c>
      <c r="J141" s="86" t="b">
        <v>0</v>
      </c>
      <c r="K141" s="86" t="b">
        <v>0</v>
      </c>
      <c r="L141" s="86" t="b">
        <v>0</v>
      </c>
    </row>
    <row r="142" spans="1:12" ht="15">
      <c r="A142" s="87" t="s">
        <v>4054</v>
      </c>
      <c r="B142" s="86" t="s">
        <v>3327</v>
      </c>
      <c r="C142" s="86">
        <v>5</v>
      </c>
      <c r="D142" s="115">
        <v>0.0014563598534200139</v>
      </c>
      <c r="E142" s="115">
        <v>1.2011607986713098</v>
      </c>
      <c r="F142" s="86" t="s">
        <v>4451</v>
      </c>
      <c r="G142" s="86" t="b">
        <v>0</v>
      </c>
      <c r="H142" s="86" t="b">
        <v>0</v>
      </c>
      <c r="I142" s="86" t="b">
        <v>0</v>
      </c>
      <c r="J142" s="86" t="b">
        <v>0</v>
      </c>
      <c r="K142" s="86" t="b">
        <v>0</v>
      </c>
      <c r="L142" s="86" t="b">
        <v>0</v>
      </c>
    </row>
    <row r="143" spans="1:12" ht="15">
      <c r="A143" s="87" t="s">
        <v>4042</v>
      </c>
      <c r="B143" s="86" t="s">
        <v>4111</v>
      </c>
      <c r="C143" s="86">
        <v>5</v>
      </c>
      <c r="D143" s="115">
        <v>0.0014563598534200139</v>
      </c>
      <c r="E143" s="115">
        <v>2.031841100331138</v>
      </c>
      <c r="F143" s="86" t="s">
        <v>4451</v>
      </c>
      <c r="G143" s="86" t="b">
        <v>0</v>
      </c>
      <c r="H143" s="86" t="b">
        <v>0</v>
      </c>
      <c r="I143" s="86" t="b">
        <v>0</v>
      </c>
      <c r="J143" s="86" t="b">
        <v>0</v>
      </c>
      <c r="K143" s="86" t="b">
        <v>0</v>
      </c>
      <c r="L143" s="86" t="b">
        <v>0</v>
      </c>
    </row>
    <row r="144" spans="1:12" ht="15">
      <c r="A144" s="87" t="s">
        <v>4175</v>
      </c>
      <c r="B144" s="86" t="s">
        <v>3307</v>
      </c>
      <c r="C144" s="86">
        <v>5</v>
      </c>
      <c r="D144" s="115">
        <v>0.0014563598534200139</v>
      </c>
      <c r="E144" s="115">
        <v>1.7426026293967147</v>
      </c>
      <c r="F144" s="86" t="s">
        <v>4451</v>
      </c>
      <c r="G144" s="86" t="b">
        <v>0</v>
      </c>
      <c r="H144" s="86" t="b">
        <v>0</v>
      </c>
      <c r="I144" s="86" t="b">
        <v>0</v>
      </c>
      <c r="J144" s="86" t="b">
        <v>0</v>
      </c>
      <c r="K144" s="86" t="b">
        <v>0</v>
      </c>
      <c r="L144" s="86" t="b">
        <v>0</v>
      </c>
    </row>
    <row r="145" spans="1:12" ht="15">
      <c r="A145" s="87" t="s">
        <v>3357</v>
      </c>
      <c r="B145" s="86" t="s">
        <v>4101</v>
      </c>
      <c r="C145" s="86">
        <v>5</v>
      </c>
      <c r="D145" s="115">
        <v>0.0014563598534200139</v>
      </c>
      <c r="E145" s="115">
        <v>1.4895493140066653</v>
      </c>
      <c r="F145" s="86" t="s">
        <v>4451</v>
      </c>
      <c r="G145" s="86" t="b">
        <v>0</v>
      </c>
      <c r="H145" s="86" t="b">
        <v>0</v>
      </c>
      <c r="I145" s="86" t="b">
        <v>0</v>
      </c>
      <c r="J145" s="86" t="b">
        <v>0</v>
      </c>
      <c r="K145" s="86" t="b">
        <v>0</v>
      </c>
      <c r="L145" s="86" t="b">
        <v>0</v>
      </c>
    </row>
    <row r="146" spans="1:12" ht="15">
      <c r="A146" s="87" t="s">
        <v>4101</v>
      </c>
      <c r="B146" s="86" t="s">
        <v>4042</v>
      </c>
      <c r="C146" s="86">
        <v>5</v>
      </c>
      <c r="D146" s="115">
        <v>0.0014563598534200139</v>
      </c>
      <c r="E146" s="115">
        <v>1.9806885778837566</v>
      </c>
      <c r="F146" s="86" t="s">
        <v>4451</v>
      </c>
      <c r="G146" s="86" t="b">
        <v>0</v>
      </c>
      <c r="H146" s="86" t="b">
        <v>0</v>
      </c>
      <c r="I146" s="86" t="b">
        <v>0</v>
      </c>
      <c r="J146" s="86" t="b">
        <v>0</v>
      </c>
      <c r="K146" s="86" t="b">
        <v>0</v>
      </c>
      <c r="L146" s="86" t="b">
        <v>0</v>
      </c>
    </row>
    <row r="147" spans="1:12" ht="15">
      <c r="A147" s="87" t="s">
        <v>3354</v>
      </c>
      <c r="B147" s="86" t="s">
        <v>4125</v>
      </c>
      <c r="C147" s="86">
        <v>5</v>
      </c>
      <c r="D147" s="115">
        <v>0.0014563598534200139</v>
      </c>
      <c r="E147" s="115">
        <v>1.419814514041986</v>
      </c>
      <c r="F147" s="86" t="s">
        <v>4451</v>
      </c>
      <c r="G147" s="86" t="b">
        <v>0</v>
      </c>
      <c r="H147" s="86" t="b">
        <v>0</v>
      </c>
      <c r="I147" s="86" t="b">
        <v>0</v>
      </c>
      <c r="J147" s="86" t="b">
        <v>0</v>
      </c>
      <c r="K147" s="86" t="b">
        <v>0</v>
      </c>
      <c r="L147" s="86" t="b">
        <v>0</v>
      </c>
    </row>
    <row r="148" spans="1:12" ht="15">
      <c r="A148" s="87" t="s">
        <v>4080</v>
      </c>
      <c r="B148" s="86" t="s">
        <v>3355</v>
      </c>
      <c r="C148" s="86">
        <v>5</v>
      </c>
      <c r="D148" s="115">
        <v>0.0014563598534200139</v>
      </c>
      <c r="E148" s="115">
        <v>1.042836484632601</v>
      </c>
      <c r="F148" s="86" t="s">
        <v>4451</v>
      </c>
      <c r="G148" s="86" t="b">
        <v>1</v>
      </c>
      <c r="H148" s="86" t="b">
        <v>0</v>
      </c>
      <c r="I148" s="86" t="b">
        <v>0</v>
      </c>
      <c r="J148" s="86" t="b">
        <v>0</v>
      </c>
      <c r="K148" s="86" t="b">
        <v>0</v>
      </c>
      <c r="L148" s="86" t="b">
        <v>0</v>
      </c>
    </row>
    <row r="149" spans="1:12" ht="15">
      <c r="A149" s="87" t="s">
        <v>3355</v>
      </c>
      <c r="B149" s="86" t="s">
        <v>4071</v>
      </c>
      <c r="C149" s="86">
        <v>5</v>
      </c>
      <c r="D149" s="115">
        <v>0.0014563598534200139</v>
      </c>
      <c r="E149" s="115">
        <v>1.3944228537390262</v>
      </c>
      <c r="F149" s="86" t="s">
        <v>4451</v>
      </c>
      <c r="G149" s="86" t="b">
        <v>0</v>
      </c>
      <c r="H149" s="86" t="b">
        <v>0</v>
      </c>
      <c r="I149" s="86" t="b">
        <v>0</v>
      </c>
      <c r="J149" s="86" t="b">
        <v>0</v>
      </c>
      <c r="K149" s="86" t="b">
        <v>0</v>
      </c>
      <c r="L149" s="86" t="b">
        <v>0</v>
      </c>
    </row>
    <row r="150" spans="1:12" ht="15">
      <c r="A150" s="87" t="s">
        <v>4104</v>
      </c>
      <c r="B150" s="86" t="s">
        <v>4126</v>
      </c>
      <c r="C150" s="86">
        <v>4</v>
      </c>
      <c r="D150" s="115">
        <v>0.0012257609226534044</v>
      </c>
      <c r="E150" s="115">
        <v>2.7008478812897136</v>
      </c>
      <c r="F150" s="86" t="s">
        <v>4451</v>
      </c>
      <c r="G150" s="86" t="b">
        <v>0</v>
      </c>
      <c r="H150" s="86" t="b">
        <v>0</v>
      </c>
      <c r="I150" s="86" t="b">
        <v>0</v>
      </c>
      <c r="J150" s="86" t="b">
        <v>0</v>
      </c>
      <c r="K150" s="86" t="b">
        <v>0</v>
      </c>
      <c r="L150" s="86" t="b">
        <v>0</v>
      </c>
    </row>
    <row r="151" spans="1:12" ht="15">
      <c r="A151" s="87" t="s">
        <v>4106</v>
      </c>
      <c r="B151" s="86" t="s">
        <v>3354</v>
      </c>
      <c r="C151" s="86">
        <v>4</v>
      </c>
      <c r="D151" s="115">
        <v>0.0012257609226534044</v>
      </c>
      <c r="E151" s="115">
        <v>1.202537327500113</v>
      </c>
      <c r="F151" s="86" t="s">
        <v>4451</v>
      </c>
      <c r="G151" s="86" t="b">
        <v>0</v>
      </c>
      <c r="H151" s="86" t="b">
        <v>0</v>
      </c>
      <c r="I151" s="86" t="b">
        <v>0</v>
      </c>
      <c r="J151" s="86" t="b">
        <v>0</v>
      </c>
      <c r="K151" s="86" t="b">
        <v>0</v>
      </c>
      <c r="L151" s="86" t="b">
        <v>0</v>
      </c>
    </row>
    <row r="152" spans="1:12" ht="15">
      <c r="A152" s="87" t="s">
        <v>3355</v>
      </c>
      <c r="B152" s="86" t="s">
        <v>3357</v>
      </c>
      <c r="C152" s="86">
        <v>4</v>
      </c>
      <c r="D152" s="115">
        <v>0.0012257609226534044</v>
      </c>
      <c r="E152" s="115">
        <v>0.3368835326302443</v>
      </c>
      <c r="F152" s="86" t="s">
        <v>4451</v>
      </c>
      <c r="G152" s="86" t="b">
        <v>0</v>
      </c>
      <c r="H152" s="86" t="b">
        <v>0</v>
      </c>
      <c r="I152" s="86" t="b">
        <v>0</v>
      </c>
      <c r="J152" s="86" t="b">
        <v>0</v>
      </c>
      <c r="K152" s="86" t="b">
        <v>0</v>
      </c>
      <c r="L152" s="86" t="b">
        <v>0</v>
      </c>
    </row>
    <row r="153" spans="1:12" ht="15">
      <c r="A153" s="87" t="s">
        <v>4020</v>
      </c>
      <c r="B153" s="86" t="s">
        <v>3355</v>
      </c>
      <c r="C153" s="86">
        <v>4</v>
      </c>
      <c r="D153" s="115">
        <v>0.0012257609226534044</v>
      </c>
      <c r="E153" s="115">
        <v>0.24032588838951277</v>
      </c>
      <c r="F153" s="86" t="s">
        <v>4451</v>
      </c>
      <c r="G153" s="86" t="b">
        <v>0</v>
      </c>
      <c r="H153" s="86" t="b">
        <v>1</v>
      </c>
      <c r="I153" s="86" t="b">
        <v>0</v>
      </c>
      <c r="J153" s="86" t="b">
        <v>0</v>
      </c>
      <c r="K153" s="86" t="b">
        <v>0</v>
      </c>
      <c r="L153" s="86" t="b">
        <v>0</v>
      </c>
    </row>
    <row r="154" spans="1:12" ht="15">
      <c r="A154" s="87" t="s">
        <v>4048</v>
      </c>
      <c r="B154" s="86" t="s">
        <v>4145</v>
      </c>
      <c r="C154" s="86">
        <v>4</v>
      </c>
      <c r="D154" s="115">
        <v>0.0012257609226534044</v>
      </c>
      <c r="E154" s="115">
        <v>2.261515187459451</v>
      </c>
      <c r="F154" s="86" t="s">
        <v>4451</v>
      </c>
      <c r="G154" s="86" t="b">
        <v>0</v>
      </c>
      <c r="H154" s="86" t="b">
        <v>0</v>
      </c>
      <c r="I154" s="86" t="b">
        <v>0</v>
      </c>
      <c r="J154" s="86" t="b">
        <v>0</v>
      </c>
      <c r="K154" s="86" t="b">
        <v>0</v>
      </c>
      <c r="L154" s="86" t="b">
        <v>0</v>
      </c>
    </row>
    <row r="155" spans="1:12" ht="15">
      <c r="A155" s="87" t="s">
        <v>3360</v>
      </c>
      <c r="B155" s="86" t="s">
        <v>4150</v>
      </c>
      <c r="C155" s="86">
        <v>4</v>
      </c>
      <c r="D155" s="115">
        <v>0.0012257609226534044</v>
      </c>
      <c r="E155" s="115">
        <v>1.7053955090404342</v>
      </c>
      <c r="F155" s="86" t="s">
        <v>4451</v>
      </c>
      <c r="G155" s="86" t="b">
        <v>0</v>
      </c>
      <c r="H155" s="86" t="b">
        <v>0</v>
      </c>
      <c r="I155" s="86" t="b">
        <v>0</v>
      </c>
      <c r="J155" s="86" t="b">
        <v>1</v>
      </c>
      <c r="K155" s="86" t="b">
        <v>0</v>
      </c>
      <c r="L155" s="86" t="b">
        <v>0</v>
      </c>
    </row>
    <row r="156" spans="1:12" ht="15">
      <c r="A156" s="87" t="s">
        <v>4150</v>
      </c>
      <c r="B156" s="86" t="s">
        <v>3356</v>
      </c>
      <c r="C156" s="86">
        <v>4</v>
      </c>
      <c r="D156" s="115">
        <v>0.0012257609226534044</v>
      </c>
      <c r="E156" s="115">
        <v>1.4927874161589905</v>
      </c>
      <c r="F156" s="86" t="s">
        <v>4451</v>
      </c>
      <c r="G156" s="86" t="b">
        <v>1</v>
      </c>
      <c r="H156" s="86" t="b">
        <v>0</v>
      </c>
      <c r="I156" s="86" t="b">
        <v>0</v>
      </c>
      <c r="J156" s="86" t="b">
        <v>0</v>
      </c>
      <c r="K156" s="86" t="b">
        <v>0</v>
      </c>
      <c r="L156" s="86" t="b">
        <v>0</v>
      </c>
    </row>
    <row r="157" spans="1:12" ht="15">
      <c r="A157" s="87" t="s">
        <v>3307</v>
      </c>
      <c r="B157" s="86" t="s">
        <v>4057</v>
      </c>
      <c r="C157" s="86">
        <v>4</v>
      </c>
      <c r="D157" s="115">
        <v>0.0012257609226534044</v>
      </c>
      <c r="E157" s="115">
        <v>1.0426376773588601</v>
      </c>
      <c r="F157" s="86" t="s">
        <v>4451</v>
      </c>
      <c r="G157" s="86" t="b">
        <v>0</v>
      </c>
      <c r="H157" s="86" t="b">
        <v>0</v>
      </c>
      <c r="I157" s="86" t="b">
        <v>0</v>
      </c>
      <c r="J157" s="86" t="b">
        <v>0</v>
      </c>
      <c r="K157" s="86" t="b">
        <v>0</v>
      </c>
      <c r="L157" s="86" t="b">
        <v>0</v>
      </c>
    </row>
    <row r="158" spans="1:12" ht="15">
      <c r="A158" s="87" t="s">
        <v>4057</v>
      </c>
      <c r="B158" s="86" t="s">
        <v>4131</v>
      </c>
      <c r="C158" s="86">
        <v>4</v>
      </c>
      <c r="D158" s="115">
        <v>0.0012257609226534044</v>
      </c>
      <c r="E158" s="115">
        <v>2.4043655133764528</v>
      </c>
      <c r="F158" s="86" t="s">
        <v>4451</v>
      </c>
      <c r="G158" s="86" t="b">
        <v>0</v>
      </c>
      <c r="H158" s="86" t="b">
        <v>0</v>
      </c>
      <c r="I158" s="86" t="b">
        <v>0</v>
      </c>
      <c r="J158" s="86" t="b">
        <v>0</v>
      </c>
      <c r="K158" s="86" t="b">
        <v>0</v>
      </c>
      <c r="L158" s="86" t="b">
        <v>0</v>
      </c>
    </row>
    <row r="159" spans="1:12" ht="15">
      <c r="A159" s="87" t="s">
        <v>4085</v>
      </c>
      <c r="B159" s="86" t="s">
        <v>4075</v>
      </c>
      <c r="C159" s="86">
        <v>4</v>
      </c>
      <c r="D159" s="115">
        <v>0.0012257609226534044</v>
      </c>
      <c r="E159" s="115">
        <v>2.226753081200239</v>
      </c>
      <c r="F159" s="86" t="s">
        <v>4451</v>
      </c>
      <c r="G159" s="86" t="b">
        <v>0</v>
      </c>
      <c r="H159" s="86" t="b">
        <v>0</v>
      </c>
      <c r="I159" s="86" t="b">
        <v>0</v>
      </c>
      <c r="J159" s="86" t="b">
        <v>0</v>
      </c>
      <c r="K159" s="86" t="b">
        <v>0</v>
      </c>
      <c r="L159" s="86" t="b">
        <v>0</v>
      </c>
    </row>
    <row r="160" spans="1:12" ht="15">
      <c r="A160" s="87" t="s">
        <v>3355</v>
      </c>
      <c r="B160" s="86" t="s">
        <v>3367</v>
      </c>
      <c r="C160" s="86">
        <v>4</v>
      </c>
      <c r="D160" s="115">
        <v>0.0012257609226534044</v>
      </c>
      <c r="E160" s="115">
        <v>1.058630751815833</v>
      </c>
      <c r="F160" s="86" t="s">
        <v>4451</v>
      </c>
      <c r="G160" s="86" t="b">
        <v>0</v>
      </c>
      <c r="H160" s="86" t="b">
        <v>0</v>
      </c>
      <c r="I160" s="86" t="b">
        <v>0</v>
      </c>
      <c r="J160" s="86" t="b">
        <v>0</v>
      </c>
      <c r="K160" s="86" t="b">
        <v>0</v>
      </c>
      <c r="L160" s="86" t="b">
        <v>0</v>
      </c>
    </row>
    <row r="161" spans="1:12" ht="15">
      <c r="A161" s="87" t="s">
        <v>4077</v>
      </c>
      <c r="B161" s="86" t="s">
        <v>3364</v>
      </c>
      <c r="C161" s="86">
        <v>4</v>
      </c>
      <c r="D161" s="115">
        <v>0.0012257609226534044</v>
      </c>
      <c r="E161" s="115">
        <v>1.4230477263442072</v>
      </c>
      <c r="F161" s="86" t="s">
        <v>4451</v>
      </c>
      <c r="G161" s="86" t="b">
        <v>0</v>
      </c>
      <c r="H161" s="86" t="b">
        <v>0</v>
      </c>
      <c r="I161" s="86" t="b">
        <v>0</v>
      </c>
      <c r="J161" s="86" t="b">
        <v>0</v>
      </c>
      <c r="K161" s="86" t="b">
        <v>0</v>
      </c>
      <c r="L161" s="86" t="b">
        <v>0</v>
      </c>
    </row>
    <row r="162" spans="1:12" ht="15">
      <c r="A162" s="87" t="s">
        <v>3364</v>
      </c>
      <c r="B162" s="86" t="s">
        <v>4183</v>
      </c>
      <c r="C162" s="86">
        <v>4</v>
      </c>
      <c r="D162" s="115">
        <v>0.0012257609226534044</v>
      </c>
      <c r="E162" s="115">
        <v>1.9349310873230816</v>
      </c>
      <c r="F162" s="86" t="s">
        <v>4451</v>
      </c>
      <c r="G162" s="86" t="b">
        <v>0</v>
      </c>
      <c r="H162" s="86" t="b">
        <v>0</v>
      </c>
      <c r="I162" s="86" t="b">
        <v>0</v>
      </c>
      <c r="J162" s="86" t="b">
        <v>0</v>
      </c>
      <c r="K162" s="86" t="b">
        <v>0</v>
      </c>
      <c r="L162" s="86" t="b">
        <v>0</v>
      </c>
    </row>
    <row r="163" spans="1:12" ht="15">
      <c r="A163" s="87" t="s">
        <v>4183</v>
      </c>
      <c r="B163" s="86" t="s">
        <v>4042</v>
      </c>
      <c r="C163" s="86">
        <v>4</v>
      </c>
      <c r="D163" s="115">
        <v>0.0012257609226534044</v>
      </c>
      <c r="E163" s="115">
        <v>2.2359610829870626</v>
      </c>
      <c r="F163" s="86" t="s">
        <v>4451</v>
      </c>
      <c r="G163" s="86" t="b">
        <v>0</v>
      </c>
      <c r="H163" s="86" t="b">
        <v>0</v>
      </c>
      <c r="I163" s="86" t="b">
        <v>0</v>
      </c>
      <c r="J163" s="86" t="b">
        <v>0</v>
      </c>
      <c r="K163" s="86" t="b">
        <v>0</v>
      </c>
      <c r="L163" s="86" t="b">
        <v>0</v>
      </c>
    </row>
    <row r="164" spans="1:12" ht="15">
      <c r="A164" s="87" t="s">
        <v>4051</v>
      </c>
      <c r="B164" s="86" t="s">
        <v>3355</v>
      </c>
      <c r="C164" s="86">
        <v>4</v>
      </c>
      <c r="D164" s="115">
        <v>0.0012257609226534044</v>
      </c>
      <c r="E164" s="115">
        <v>0.6619298152593439</v>
      </c>
      <c r="F164" s="86" t="s">
        <v>4451</v>
      </c>
      <c r="G164" s="86" t="b">
        <v>0</v>
      </c>
      <c r="H164" s="86" t="b">
        <v>0</v>
      </c>
      <c r="I164" s="86" t="b">
        <v>0</v>
      </c>
      <c r="J164" s="86" t="b">
        <v>0</v>
      </c>
      <c r="K164" s="86" t="b">
        <v>0</v>
      </c>
      <c r="L164" s="86" t="b">
        <v>0</v>
      </c>
    </row>
    <row r="165" spans="1:12" ht="15">
      <c r="A165" s="87" t="s">
        <v>4100</v>
      </c>
      <c r="B165" s="86" t="s">
        <v>4051</v>
      </c>
      <c r="C165" s="86">
        <v>4</v>
      </c>
      <c r="D165" s="115">
        <v>0.0012257609226534044</v>
      </c>
      <c r="E165" s="115">
        <v>1.9806885778837566</v>
      </c>
      <c r="F165" s="86" t="s">
        <v>4451</v>
      </c>
      <c r="G165" s="86" t="b">
        <v>1</v>
      </c>
      <c r="H165" s="86" t="b">
        <v>0</v>
      </c>
      <c r="I165" s="86" t="b">
        <v>0</v>
      </c>
      <c r="J165" s="86" t="b">
        <v>0</v>
      </c>
      <c r="K165" s="86" t="b">
        <v>0</v>
      </c>
      <c r="L165" s="86" t="b">
        <v>0</v>
      </c>
    </row>
    <row r="166" spans="1:12" ht="15">
      <c r="A166" s="87" t="s">
        <v>4051</v>
      </c>
      <c r="B166" s="86" t="s">
        <v>4187</v>
      </c>
      <c r="C166" s="86">
        <v>4</v>
      </c>
      <c r="D166" s="115">
        <v>0.0012257609226534044</v>
      </c>
      <c r="E166" s="115">
        <v>2.382089118665301</v>
      </c>
      <c r="F166" s="86" t="s">
        <v>4451</v>
      </c>
      <c r="G166" s="86" t="b">
        <v>0</v>
      </c>
      <c r="H166" s="86" t="b">
        <v>0</v>
      </c>
      <c r="I166" s="86" t="b">
        <v>0</v>
      </c>
      <c r="J166" s="86" t="b">
        <v>0</v>
      </c>
      <c r="K166" s="86" t="b">
        <v>0</v>
      </c>
      <c r="L166" s="86" t="b">
        <v>0</v>
      </c>
    </row>
    <row r="167" spans="1:12" ht="15">
      <c r="A167" s="87" t="s">
        <v>4187</v>
      </c>
      <c r="B167" s="86" t="s">
        <v>4091</v>
      </c>
      <c r="C167" s="86">
        <v>4</v>
      </c>
      <c r="D167" s="115">
        <v>0.0012257609226534044</v>
      </c>
      <c r="E167" s="115">
        <v>2.8257866178980136</v>
      </c>
      <c r="F167" s="86" t="s">
        <v>4451</v>
      </c>
      <c r="G167" s="86" t="b">
        <v>0</v>
      </c>
      <c r="H167" s="86" t="b">
        <v>0</v>
      </c>
      <c r="I167" s="86" t="b">
        <v>0</v>
      </c>
      <c r="J167" s="86" t="b">
        <v>0</v>
      </c>
      <c r="K167" s="86" t="b">
        <v>0</v>
      </c>
      <c r="L167" s="86" t="b">
        <v>0</v>
      </c>
    </row>
    <row r="168" spans="1:12" ht="15">
      <c r="A168" s="87" t="s">
        <v>4087</v>
      </c>
      <c r="B168" s="86" t="s">
        <v>4102</v>
      </c>
      <c r="C168" s="86">
        <v>4</v>
      </c>
      <c r="D168" s="115">
        <v>0.0012257609226534044</v>
      </c>
      <c r="E168" s="115">
        <v>2.427846609225976</v>
      </c>
      <c r="F168" s="86" t="s">
        <v>4451</v>
      </c>
      <c r="G168" s="86" t="b">
        <v>0</v>
      </c>
      <c r="H168" s="86" t="b">
        <v>0</v>
      </c>
      <c r="I168" s="86" t="b">
        <v>0</v>
      </c>
      <c r="J168" s="86" t="b">
        <v>0</v>
      </c>
      <c r="K168" s="86" t="b">
        <v>0</v>
      </c>
      <c r="L168" s="86" t="b">
        <v>0</v>
      </c>
    </row>
    <row r="169" spans="1:12" ht="15">
      <c r="A169" s="87" t="s">
        <v>3359</v>
      </c>
      <c r="B169" s="86" t="s">
        <v>3354</v>
      </c>
      <c r="C169" s="86">
        <v>4</v>
      </c>
      <c r="D169" s="115">
        <v>0.0012257609226534044</v>
      </c>
      <c r="E169" s="115">
        <v>0.07450751391467121</v>
      </c>
      <c r="F169" s="86" t="s">
        <v>4451</v>
      </c>
      <c r="G169" s="86" t="b">
        <v>0</v>
      </c>
      <c r="H169" s="86" t="b">
        <v>0</v>
      </c>
      <c r="I169" s="86" t="b">
        <v>0</v>
      </c>
      <c r="J169" s="86" t="b">
        <v>0</v>
      </c>
      <c r="K169" s="86" t="b">
        <v>0</v>
      </c>
      <c r="L169" s="86" t="b">
        <v>0</v>
      </c>
    </row>
    <row r="170" spans="1:12" ht="15">
      <c r="A170" s="87" t="s">
        <v>3376</v>
      </c>
      <c r="B170" s="86" t="s">
        <v>3357</v>
      </c>
      <c r="C170" s="86">
        <v>4</v>
      </c>
      <c r="D170" s="115">
        <v>0.0012257609226534044</v>
      </c>
      <c r="E170" s="115">
        <v>0.9231492567749747</v>
      </c>
      <c r="F170" s="86" t="s">
        <v>4451</v>
      </c>
      <c r="G170" s="86" t="b">
        <v>0</v>
      </c>
      <c r="H170" s="86" t="b">
        <v>0</v>
      </c>
      <c r="I170" s="86" t="b">
        <v>0</v>
      </c>
      <c r="J170" s="86" t="b">
        <v>0</v>
      </c>
      <c r="K170" s="86" t="b">
        <v>0</v>
      </c>
      <c r="L170" s="86" t="b">
        <v>0</v>
      </c>
    </row>
    <row r="171" spans="1:12" ht="15">
      <c r="A171" s="87" t="s">
        <v>4044</v>
      </c>
      <c r="B171" s="86" t="s">
        <v>4058</v>
      </c>
      <c r="C171" s="86">
        <v>4</v>
      </c>
      <c r="D171" s="115">
        <v>0.0012257609226534044</v>
      </c>
      <c r="E171" s="115">
        <v>1.6745189425673643</v>
      </c>
      <c r="F171" s="86" t="s">
        <v>4451</v>
      </c>
      <c r="G171" s="86" t="b">
        <v>0</v>
      </c>
      <c r="H171" s="86" t="b">
        <v>0</v>
      </c>
      <c r="I171" s="86" t="b">
        <v>0</v>
      </c>
      <c r="J171" s="86" t="b">
        <v>0</v>
      </c>
      <c r="K171" s="86" t="b">
        <v>0</v>
      </c>
      <c r="L171" s="86" t="b">
        <v>0</v>
      </c>
    </row>
    <row r="172" spans="1:12" ht="15">
      <c r="A172" s="87" t="s">
        <v>4124</v>
      </c>
      <c r="B172" s="86" t="s">
        <v>4134</v>
      </c>
      <c r="C172" s="86">
        <v>4</v>
      </c>
      <c r="D172" s="115">
        <v>0.0012257609226534044</v>
      </c>
      <c r="E172" s="115">
        <v>2.7588398282674005</v>
      </c>
      <c r="F172" s="86" t="s">
        <v>4451</v>
      </c>
      <c r="G172" s="86" t="b">
        <v>0</v>
      </c>
      <c r="H172" s="86" t="b">
        <v>0</v>
      </c>
      <c r="I172" s="86" t="b">
        <v>0</v>
      </c>
      <c r="J172" s="86" t="b">
        <v>0</v>
      </c>
      <c r="K172" s="86" t="b">
        <v>0</v>
      </c>
      <c r="L172" s="86" t="b">
        <v>0</v>
      </c>
    </row>
    <row r="173" spans="1:12" ht="15">
      <c r="A173" s="87" t="s">
        <v>4134</v>
      </c>
      <c r="B173" s="86" t="s">
        <v>4054</v>
      </c>
      <c r="C173" s="86">
        <v>4</v>
      </c>
      <c r="D173" s="115">
        <v>0.0012257609226534044</v>
      </c>
      <c r="E173" s="115">
        <v>2.3029078726176757</v>
      </c>
      <c r="F173" s="86" t="s">
        <v>4451</v>
      </c>
      <c r="G173" s="86" t="b">
        <v>0</v>
      </c>
      <c r="H173" s="86" t="b">
        <v>0</v>
      </c>
      <c r="I173" s="86" t="b">
        <v>0</v>
      </c>
      <c r="J173" s="86" t="b">
        <v>0</v>
      </c>
      <c r="K173" s="86" t="b">
        <v>0</v>
      </c>
      <c r="L173" s="86" t="b">
        <v>0</v>
      </c>
    </row>
    <row r="174" spans="1:12" ht="15">
      <c r="A174" s="87" t="s">
        <v>4102</v>
      </c>
      <c r="B174" s="86" t="s">
        <v>3376</v>
      </c>
      <c r="C174" s="86">
        <v>4</v>
      </c>
      <c r="D174" s="115">
        <v>0.0012257609226534044</v>
      </c>
      <c r="E174" s="115">
        <v>2.0854239284037694</v>
      </c>
      <c r="F174" s="86" t="s">
        <v>4451</v>
      </c>
      <c r="G174" s="86" t="b">
        <v>0</v>
      </c>
      <c r="H174" s="86" t="b">
        <v>0</v>
      </c>
      <c r="I174" s="86" t="b">
        <v>0</v>
      </c>
      <c r="J174" s="86" t="b">
        <v>0</v>
      </c>
      <c r="K174" s="86" t="b">
        <v>0</v>
      </c>
      <c r="L174" s="86" t="b">
        <v>0</v>
      </c>
    </row>
    <row r="175" spans="1:12" ht="15">
      <c r="A175" s="87" t="s">
        <v>4094</v>
      </c>
      <c r="B175" s="86" t="s">
        <v>4203</v>
      </c>
      <c r="C175" s="86">
        <v>4</v>
      </c>
      <c r="D175" s="115">
        <v>0.0012257609226534044</v>
      </c>
      <c r="E175" s="115">
        <v>2.7800291273373383</v>
      </c>
      <c r="F175" s="86" t="s">
        <v>4451</v>
      </c>
      <c r="G175" s="86" t="b">
        <v>0</v>
      </c>
      <c r="H175" s="86" t="b">
        <v>0</v>
      </c>
      <c r="I175" s="86" t="b">
        <v>0</v>
      </c>
      <c r="J175" s="86" t="b">
        <v>0</v>
      </c>
      <c r="K175" s="86" t="b">
        <v>0</v>
      </c>
      <c r="L175" s="86" t="b">
        <v>0</v>
      </c>
    </row>
    <row r="176" spans="1:12" ht="15">
      <c r="A176" s="87" t="s">
        <v>3361</v>
      </c>
      <c r="B176" s="86" t="s">
        <v>4172</v>
      </c>
      <c r="C176" s="86">
        <v>4</v>
      </c>
      <c r="D176" s="115">
        <v>0.0012257609226534044</v>
      </c>
      <c r="E176" s="115">
        <v>1.7193312869837267</v>
      </c>
      <c r="F176" s="86" t="s">
        <v>4451</v>
      </c>
      <c r="G176" s="86" t="b">
        <v>0</v>
      </c>
      <c r="H176" s="86" t="b">
        <v>0</v>
      </c>
      <c r="I176" s="86" t="b">
        <v>0</v>
      </c>
      <c r="J176" s="86" t="b">
        <v>0</v>
      </c>
      <c r="K176" s="86" t="b">
        <v>0</v>
      </c>
      <c r="L176" s="86" t="b">
        <v>0</v>
      </c>
    </row>
    <row r="177" spans="1:12" ht="15">
      <c r="A177" s="87" t="s">
        <v>4172</v>
      </c>
      <c r="B177" s="86" t="s">
        <v>4204</v>
      </c>
      <c r="C177" s="86">
        <v>4</v>
      </c>
      <c r="D177" s="115">
        <v>0.0012257609226534044</v>
      </c>
      <c r="E177" s="115">
        <v>3.0810591230013196</v>
      </c>
      <c r="F177" s="86" t="s">
        <v>4451</v>
      </c>
      <c r="G177" s="86" t="b">
        <v>0</v>
      </c>
      <c r="H177" s="86" t="b">
        <v>0</v>
      </c>
      <c r="I177" s="86" t="b">
        <v>0</v>
      </c>
      <c r="J177" s="86" t="b">
        <v>0</v>
      </c>
      <c r="K177" s="86" t="b">
        <v>0</v>
      </c>
      <c r="L177" s="86" t="b">
        <v>0</v>
      </c>
    </row>
    <row r="178" spans="1:12" ht="15">
      <c r="A178" s="87" t="s">
        <v>3357</v>
      </c>
      <c r="B178" s="86" t="s">
        <v>3358</v>
      </c>
      <c r="C178" s="86">
        <v>4</v>
      </c>
      <c r="D178" s="115">
        <v>0.0012257609226534044</v>
      </c>
      <c r="E178" s="115">
        <v>0.5033375984922986</v>
      </c>
      <c r="F178" s="86" t="s">
        <v>4451</v>
      </c>
      <c r="G178" s="86" t="b">
        <v>0</v>
      </c>
      <c r="H178" s="86" t="b">
        <v>0</v>
      </c>
      <c r="I178" s="86" t="b">
        <v>0</v>
      </c>
      <c r="J178" s="86" t="b">
        <v>0</v>
      </c>
      <c r="K178" s="86" t="b">
        <v>0</v>
      </c>
      <c r="L178" s="86" t="b">
        <v>0</v>
      </c>
    </row>
    <row r="179" spans="1:12" ht="15">
      <c r="A179" s="87" t="s">
        <v>3355</v>
      </c>
      <c r="B179" s="86" t="s">
        <v>381</v>
      </c>
      <c r="C179" s="86">
        <v>4</v>
      </c>
      <c r="D179" s="115">
        <v>0.0012257609226534044</v>
      </c>
      <c r="E179" s="115">
        <v>1.8715441084586886</v>
      </c>
      <c r="F179" s="86" t="s">
        <v>4451</v>
      </c>
      <c r="G179" s="86" t="b">
        <v>0</v>
      </c>
      <c r="H179" s="86" t="b">
        <v>0</v>
      </c>
      <c r="I179" s="86" t="b">
        <v>0</v>
      </c>
      <c r="J179" s="86" t="b">
        <v>0</v>
      </c>
      <c r="K179" s="86" t="b">
        <v>0</v>
      </c>
      <c r="L179" s="86" t="b">
        <v>0</v>
      </c>
    </row>
    <row r="180" spans="1:12" ht="15">
      <c r="A180" s="87" t="s">
        <v>381</v>
      </c>
      <c r="B180" s="86" t="s">
        <v>493</v>
      </c>
      <c r="C180" s="86">
        <v>4</v>
      </c>
      <c r="D180" s="115">
        <v>0.0012257609226534044</v>
      </c>
      <c r="E180" s="115">
        <v>3.177969136009376</v>
      </c>
      <c r="F180" s="86" t="s">
        <v>4451</v>
      </c>
      <c r="G180" s="86" t="b">
        <v>0</v>
      </c>
      <c r="H180" s="86" t="b">
        <v>0</v>
      </c>
      <c r="I180" s="86" t="b">
        <v>0</v>
      </c>
      <c r="J180" s="86" t="b">
        <v>0</v>
      </c>
      <c r="K180" s="86" t="b">
        <v>0</v>
      </c>
      <c r="L180" s="86" t="b">
        <v>0</v>
      </c>
    </row>
    <row r="181" spans="1:12" ht="15">
      <c r="A181" s="87" t="s">
        <v>3355</v>
      </c>
      <c r="B181" s="86" t="s">
        <v>3359</v>
      </c>
      <c r="C181" s="86">
        <v>4</v>
      </c>
      <c r="D181" s="115">
        <v>0.0012257609226534044</v>
      </c>
      <c r="E181" s="115">
        <v>0.47796890518910107</v>
      </c>
      <c r="F181" s="86" t="s">
        <v>4451</v>
      </c>
      <c r="G181" s="86" t="b">
        <v>0</v>
      </c>
      <c r="H181" s="86" t="b">
        <v>0</v>
      </c>
      <c r="I181" s="86" t="b">
        <v>0</v>
      </c>
      <c r="J181" s="86" t="b">
        <v>0</v>
      </c>
      <c r="K181" s="86" t="b">
        <v>0</v>
      </c>
      <c r="L181" s="86" t="b">
        <v>0</v>
      </c>
    </row>
    <row r="182" spans="1:12" ht="15">
      <c r="A182" s="87" t="s">
        <v>3361</v>
      </c>
      <c r="B182" s="86" t="s">
        <v>3356</v>
      </c>
      <c r="C182" s="86">
        <v>4</v>
      </c>
      <c r="D182" s="115">
        <v>0.0012257609226534044</v>
      </c>
      <c r="E182" s="115">
        <v>0.22796959314945406</v>
      </c>
      <c r="F182" s="86" t="s">
        <v>4451</v>
      </c>
      <c r="G182" s="86" t="b">
        <v>0</v>
      </c>
      <c r="H182" s="86" t="b">
        <v>0</v>
      </c>
      <c r="I182" s="86" t="b">
        <v>0</v>
      </c>
      <c r="J182" s="86" t="b">
        <v>0</v>
      </c>
      <c r="K182" s="86" t="b">
        <v>0</v>
      </c>
      <c r="L182" s="86" t="b">
        <v>0</v>
      </c>
    </row>
    <row r="183" spans="1:12" ht="15">
      <c r="A183" s="87" t="s">
        <v>4100</v>
      </c>
      <c r="B183" s="86" t="s">
        <v>4206</v>
      </c>
      <c r="C183" s="86">
        <v>4</v>
      </c>
      <c r="D183" s="115">
        <v>0.0012257609226534044</v>
      </c>
      <c r="E183" s="115">
        <v>2.8257866178980136</v>
      </c>
      <c r="F183" s="86" t="s">
        <v>4451</v>
      </c>
      <c r="G183" s="86" t="b">
        <v>1</v>
      </c>
      <c r="H183" s="86" t="b">
        <v>0</v>
      </c>
      <c r="I183" s="86" t="b">
        <v>0</v>
      </c>
      <c r="J183" s="86" t="b">
        <v>1</v>
      </c>
      <c r="K183" s="86" t="b">
        <v>0</v>
      </c>
      <c r="L183" s="86" t="b">
        <v>0</v>
      </c>
    </row>
    <row r="184" spans="1:12" ht="15">
      <c r="A184" s="87" t="s">
        <v>4206</v>
      </c>
      <c r="B184" s="86" t="s">
        <v>4140</v>
      </c>
      <c r="C184" s="86">
        <v>4</v>
      </c>
      <c r="D184" s="115">
        <v>0.0012257609226534044</v>
      </c>
      <c r="E184" s="115">
        <v>3.001877876953695</v>
      </c>
      <c r="F184" s="86" t="s">
        <v>4451</v>
      </c>
      <c r="G184" s="86" t="b">
        <v>1</v>
      </c>
      <c r="H184" s="86" t="b">
        <v>0</v>
      </c>
      <c r="I184" s="86" t="b">
        <v>0</v>
      </c>
      <c r="J184" s="86" t="b">
        <v>0</v>
      </c>
      <c r="K184" s="86" t="b">
        <v>0</v>
      </c>
      <c r="L184" s="86" t="b">
        <v>0</v>
      </c>
    </row>
    <row r="185" spans="1:12" ht="15">
      <c r="A185" s="87" t="s">
        <v>4140</v>
      </c>
      <c r="B185" s="86" t="s">
        <v>4207</v>
      </c>
      <c r="C185" s="86">
        <v>4</v>
      </c>
      <c r="D185" s="115">
        <v>0.0012257609226534044</v>
      </c>
      <c r="E185" s="115">
        <v>3.001877876953695</v>
      </c>
      <c r="F185" s="86" t="s">
        <v>4451</v>
      </c>
      <c r="G185" s="86" t="b">
        <v>0</v>
      </c>
      <c r="H185" s="86" t="b">
        <v>0</v>
      </c>
      <c r="I185" s="86" t="b">
        <v>0</v>
      </c>
      <c r="J185" s="86" t="b">
        <v>0</v>
      </c>
      <c r="K185" s="86" t="b">
        <v>0</v>
      </c>
      <c r="L185" s="86" t="b">
        <v>0</v>
      </c>
    </row>
    <row r="186" spans="1:12" ht="15">
      <c r="A186" s="87" t="s">
        <v>4207</v>
      </c>
      <c r="B186" s="86" t="s">
        <v>4130</v>
      </c>
      <c r="C186" s="86">
        <v>4</v>
      </c>
      <c r="D186" s="115">
        <v>0.0012257609226534044</v>
      </c>
      <c r="E186" s="115">
        <v>3.001877876953695</v>
      </c>
      <c r="F186" s="86" t="s">
        <v>4451</v>
      </c>
      <c r="G186" s="86" t="b">
        <v>0</v>
      </c>
      <c r="H186" s="86" t="b">
        <v>0</v>
      </c>
      <c r="I186" s="86" t="b">
        <v>0</v>
      </c>
      <c r="J186" s="86" t="b">
        <v>0</v>
      </c>
      <c r="K186" s="86" t="b">
        <v>0</v>
      </c>
      <c r="L186" s="86" t="b">
        <v>0</v>
      </c>
    </row>
    <row r="187" spans="1:12" ht="15">
      <c r="A187" s="87" t="s">
        <v>4130</v>
      </c>
      <c r="B187" s="86" t="s">
        <v>4042</v>
      </c>
      <c r="C187" s="86">
        <v>4</v>
      </c>
      <c r="D187" s="115">
        <v>0.0012257609226534044</v>
      </c>
      <c r="E187" s="115">
        <v>2.0598698239313813</v>
      </c>
      <c r="F187" s="86" t="s">
        <v>4451</v>
      </c>
      <c r="G187" s="86" t="b">
        <v>0</v>
      </c>
      <c r="H187" s="86" t="b">
        <v>0</v>
      </c>
      <c r="I187" s="86" t="b">
        <v>0</v>
      </c>
      <c r="J187" s="86" t="b">
        <v>0</v>
      </c>
      <c r="K187" s="86" t="b">
        <v>0</v>
      </c>
      <c r="L187" s="86" t="b">
        <v>0</v>
      </c>
    </row>
    <row r="188" spans="1:12" ht="15">
      <c r="A188" s="87" t="s">
        <v>4111</v>
      </c>
      <c r="B188" s="86" t="s">
        <v>4092</v>
      </c>
      <c r="C188" s="86">
        <v>4</v>
      </c>
      <c r="D188" s="115">
        <v>0.0012257609226534044</v>
      </c>
      <c r="E188" s="115">
        <v>2.478999131673357</v>
      </c>
      <c r="F188" s="86" t="s">
        <v>4451</v>
      </c>
      <c r="G188" s="86" t="b">
        <v>0</v>
      </c>
      <c r="H188" s="86" t="b">
        <v>0</v>
      </c>
      <c r="I188" s="86" t="b">
        <v>0</v>
      </c>
      <c r="J188" s="86" t="b">
        <v>0</v>
      </c>
      <c r="K188" s="86" t="b">
        <v>0</v>
      </c>
      <c r="L188" s="86" t="b">
        <v>0</v>
      </c>
    </row>
    <row r="189" spans="1:12" ht="15">
      <c r="A189" s="87" t="s">
        <v>4092</v>
      </c>
      <c r="B189" s="86" t="s">
        <v>4175</v>
      </c>
      <c r="C189" s="86">
        <v>4</v>
      </c>
      <c r="D189" s="115">
        <v>0.0012257609226534044</v>
      </c>
      <c r="E189" s="115">
        <v>2.683119114329282</v>
      </c>
      <c r="F189" s="86" t="s">
        <v>4451</v>
      </c>
      <c r="G189" s="86" t="b">
        <v>0</v>
      </c>
      <c r="H189" s="86" t="b">
        <v>0</v>
      </c>
      <c r="I189" s="86" t="b">
        <v>0</v>
      </c>
      <c r="J189" s="86" t="b">
        <v>0</v>
      </c>
      <c r="K189" s="86" t="b">
        <v>0</v>
      </c>
      <c r="L189" s="86" t="b">
        <v>0</v>
      </c>
    </row>
    <row r="190" spans="1:12" ht="15">
      <c r="A190" s="87" t="s">
        <v>3307</v>
      </c>
      <c r="B190" s="86" t="s">
        <v>4036</v>
      </c>
      <c r="C190" s="86">
        <v>4</v>
      </c>
      <c r="D190" s="115">
        <v>0.0012257609226534044</v>
      </c>
      <c r="E190" s="115">
        <v>0.7531895542446941</v>
      </c>
      <c r="F190" s="86" t="s">
        <v>4451</v>
      </c>
      <c r="G190" s="86" t="b">
        <v>0</v>
      </c>
      <c r="H190" s="86" t="b">
        <v>0</v>
      </c>
      <c r="I190" s="86" t="b">
        <v>0</v>
      </c>
      <c r="J190" s="86" t="b">
        <v>0</v>
      </c>
      <c r="K190" s="86" t="b">
        <v>0</v>
      </c>
      <c r="L190" s="86" t="b">
        <v>0</v>
      </c>
    </row>
    <row r="191" spans="1:12" ht="15">
      <c r="A191" s="87" t="s">
        <v>4036</v>
      </c>
      <c r="B191" s="86" t="s">
        <v>4034</v>
      </c>
      <c r="C191" s="86">
        <v>4</v>
      </c>
      <c r="D191" s="115">
        <v>0.0012257609226534044</v>
      </c>
      <c r="E191" s="115">
        <v>1.2228227875718065</v>
      </c>
      <c r="F191" s="86" t="s">
        <v>4451</v>
      </c>
      <c r="G191" s="86" t="b">
        <v>0</v>
      </c>
      <c r="H191" s="86" t="b">
        <v>0</v>
      </c>
      <c r="I191" s="86" t="b">
        <v>0</v>
      </c>
      <c r="J191" s="86" t="b">
        <v>0</v>
      </c>
      <c r="K191" s="86" t="b">
        <v>0</v>
      </c>
      <c r="L191" s="86" t="b">
        <v>0</v>
      </c>
    </row>
    <row r="192" spans="1:12" ht="15">
      <c r="A192" s="87" t="s">
        <v>4171</v>
      </c>
      <c r="B192" s="86" t="s">
        <v>4055</v>
      </c>
      <c r="C192" s="86">
        <v>4</v>
      </c>
      <c r="D192" s="115">
        <v>0.0012257609226534044</v>
      </c>
      <c r="E192" s="115">
        <v>2.340696433507076</v>
      </c>
      <c r="F192" s="86" t="s">
        <v>4451</v>
      </c>
      <c r="G192" s="86" t="b">
        <v>0</v>
      </c>
      <c r="H192" s="86" t="b">
        <v>0</v>
      </c>
      <c r="I192" s="86" t="b">
        <v>0</v>
      </c>
      <c r="J192" s="86" t="b">
        <v>0</v>
      </c>
      <c r="K192" s="86" t="b">
        <v>0</v>
      </c>
      <c r="L192" s="86" t="b">
        <v>0</v>
      </c>
    </row>
    <row r="193" spans="1:12" ht="15">
      <c r="A193" s="87" t="s">
        <v>4055</v>
      </c>
      <c r="B193" s="86" t="s">
        <v>3356</v>
      </c>
      <c r="C193" s="86">
        <v>4</v>
      </c>
      <c r="D193" s="115">
        <v>0.0012257609226534044</v>
      </c>
      <c r="E193" s="115">
        <v>0.86953812576109</v>
      </c>
      <c r="F193" s="86" t="s">
        <v>4451</v>
      </c>
      <c r="G193" s="86" t="b">
        <v>0</v>
      </c>
      <c r="H193" s="86" t="b">
        <v>0</v>
      </c>
      <c r="I193" s="86" t="b">
        <v>0</v>
      </c>
      <c r="J193" s="86" t="b">
        <v>0</v>
      </c>
      <c r="K193" s="86" t="b">
        <v>0</v>
      </c>
      <c r="L193" s="86" t="b">
        <v>0</v>
      </c>
    </row>
    <row r="194" spans="1:12" ht="15">
      <c r="A194" s="87" t="s">
        <v>4174</v>
      </c>
      <c r="B194" s="86" t="s">
        <v>4167</v>
      </c>
      <c r="C194" s="86">
        <v>4</v>
      </c>
      <c r="D194" s="115">
        <v>0.0012257609226534044</v>
      </c>
      <c r="E194" s="115">
        <v>2.9841491099932633</v>
      </c>
      <c r="F194" s="86" t="s">
        <v>4451</v>
      </c>
      <c r="G194" s="86" t="b">
        <v>0</v>
      </c>
      <c r="H194" s="86" t="b">
        <v>0</v>
      </c>
      <c r="I194" s="86" t="b">
        <v>0</v>
      </c>
      <c r="J194" s="86" t="b">
        <v>0</v>
      </c>
      <c r="K194" s="86" t="b">
        <v>0</v>
      </c>
      <c r="L194" s="86" t="b">
        <v>0</v>
      </c>
    </row>
    <row r="195" spans="1:12" ht="15">
      <c r="A195" s="87" t="s">
        <v>4141</v>
      </c>
      <c r="B195" s="86" t="s">
        <v>4048</v>
      </c>
      <c r="C195" s="86">
        <v>3</v>
      </c>
      <c r="D195" s="115">
        <v>0.000977986556730216</v>
      </c>
      <c r="E195" s="115">
        <v>2.126816613561995</v>
      </c>
      <c r="F195" s="86" t="s">
        <v>4451</v>
      </c>
      <c r="G195" s="86" t="b">
        <v>0</v>
      </c>
      <c r="H195" s="86" t="b">
        <v>0</v>
      </c>
      <c r="I195" s="86" t="b">
        <v>0</v>
      </c>
      <c r="J195" s="86" t="b">
        <v>0</v>
      </c>
      <c r="K195" s="86" t="b">
        <v>0</v>
      </c>
      <c r="L195" s="86" t="b">
        <v>0</v>
      </c>
    </row>
    <row r="196" spans="1:12" ht="15">
      <c r="A196" s="87" t="s">
        <v>3381</v>
      </c>
      <c r="B196" s="86" t="s">
        <v>4103</v>
      </c>
      <c r="C196" s="86">
        <v>3</v>
      </c>
      <c r="D196" s="115">
        <v>0.000977986556730216</v>
      </c>
      <c r="E196" s="115">
        <v>1.5616687055668033</v>
      </c>
      <c r="F196" s="86" t="s">
        <v>4451</v>
      </c>
      <c r="G196" s="86" t="b">
        <v>0</v>
      </c>
      <c r="H196" s="86" t="b">
        <v>0</v>
      </c>
      <c r="I196" s="86" t="b">
        <v>0</v>
      </c>
      <c r="J196" s="86" t="b">
        <v>0</v>
      </c>
      <c r="K196" s="86" t="b">
        <v>0</v>
      </c>
      <c r="L196" s="86" t="b">
        <v>0</v>
      </c>
    </row>
    <row r="197" spans="1:12" ht="15">
      <c r="A197" s="87" t="s">
        <v>3307</v>
      </c>
      <c r="B197" s="86" t="s">
        <v>4085</v>
      </c>
      <c r="C197" s="86">
        <v>3</v>
      </c>
      <c r="D197" s="115">
        <v>0.000977986556730216</v>
      </c>
      <c r="E197" s="115">
        <v>1.155059856545164</v>
      </c>
      <c r="F197" s="86" t="s">
        <v>4451</v>
      </c>
      <c r="G197" s="86" t="b">
        <v>0</v>
      </c>
      <c r="H197" s="86" t="b">
        <v>0</v>
      </c>
      <c r="I197" s="86" t="b">
        <v>0</v>
      </c>
      <c r="J197" s="86" t="b">
        <v>0</v>
      </c>
      <c r="K197" s="86" t="b">
        <v>0</v>
      </c>
      <c r="L197" s="86" t="b">
        <v>0</v>
      </c>
    </row>
    <row r="198" spans="1:12" ht="15">
      <c r="A198" s="87" t="s">
        <v>4085</v>
      </c>
      <c r="B198" s="86" t="s">
        <v>3361</v>
      </c>
      <c r="C198" s="86">
        <v>3</v>
      </c>
      <c r="D198" s="115">
        <v>0.000977986556730216</v>
      </c>
      <c r="E198" s="115">
        <v>1.2519698695532204</v>
      </c>
      <c r="F198" s="86" t="s">
        <v>4451</v>
      </c>
      <c r="G198" s="86" t="b">
        <v>0</v>
      </c>
      <c r="H198" s="86" t="b">
        <v>0</v>
      </c>
      <c r="I198" s="86" t="b">
        <v>0</v>
      </c>
      <c r="J198" s="86" t="b">
        <v>0</v>
      </c>
      <c r="K198" s="86" t="b">
        <v>0</v>
      </c>
      <c r="L198" s="86" t="b">
        <v>0</v>
      </c>
    </row>
    <row r="199" spans="1:12" ht="15">
      <c r="A199" s="87" t="s">
        <v>3361</v>
      </c>
      <c r="B199" s="86" t="s">
        <v>4143</v>
      </c>
      <c r="C199" s="86">
        <v>3</v>
      </c>
      <c r="D199" s="115">
        <v>0.000977986556730216</v>
      </c>
      <c r="E199" s="115">
        <v>1.5943925503754268</v>
      </c>
      <c r="F199" s="86" t="s">
        <v>4451</v>
      </c>
      <c r="G199" s="86" t="b">
        <v>0</v>
      </c>
      <c r="H199" s="86" t="b">
        <v>0</v>
      </c>
      <c r="I199" s="86" t="b">
        <v>0</v>
      </c>
      <c r="J199" s="86" t="b">
        <v>0</v>
      </c>
      <c r="K199" s="86" t="b">
        <v>0</v>
      </c>
      <c r="L199" s="86" t="b">
        <v>0</v>
      </c>
    </row>
    <row r="200" spans="1:12" ht="15">
      <c r="A200" s="87" t="s">
        <v>4143</v>
      </c>
      <c r="B200" s="86" t="s">
        <v>4081</v>
      </c>
      <c r="C200" s="86">
        <v>3</v>
      </c>
      <c r="D200" s="115">
        <v>0.000977986556730216</v>
      </c>
      <c r="E200" s="115">
        <v>2.516787692562757</v>
      </c>
      <c r="F200" s="86" t="s">
        <v>4451</v>
      </c>
      <c r="G200" s="86" t="b">
        <v>0</v>
      </c>
      <c r="H200" s="86" t="b">
        <v>0</v>
      </c>
      <c r="I200" s="86" t="b">
        <v>0</v>
      </c>
      <c r="J200" s="86" t="b">
        <v>1</v>
      </c>
      <c r="K200" s="86" t="b">
        <v>0</v>
      </c>
      <c r="L200" s="86" t="b">
        <v>0</v>
      </c>
    </row>
    <row r="201" spans="1:12" ht="15">
      <c r="A201" s="87" t="s">
        <v>4081</v>
      </c>
      <c r="B201" s="86" t="s">
        <v>4114</v>
      </c>
      <c r="C201" s="86">
        <v>3</v>
      </c>
      <c r="D201" s="115">
        <v>0.000977986556730216</v>
      </c>
      <c r="E201" s="115">
        <v>2.3998178856257324</v>
      </c>
      <c r="F201" s="86" t="s">
        <v>4451</v>
      </c>
      <c r="G201" s="86" t="b">
        <v>1</v>
      </c>
      <c r="H201" s="86" t="b">
        <v>0</v>
      </c>
      <c r="I201" s="86" t="b">
        <v>0</v>
      </c>
      <c r="J201" s="86" t="b">
        <v>0</v>
      </c>
      <c r="K201" s="86" t="b">
        <v>0</v>
      </c>
      <c r="L201" s="86" t="b">
        <v>0</v>
      </c>
    </row>
    <row r="202" spans="1:12" ht="15">
      <c r="A202" s="87" t="s">
        <v>4114</v>
      </c>
      <c r="B202" s="86" t="s">
        <v>4057</v>
      </c>
      <c r="C202" s="86">
        <v>3</v>
      </c>
      <c r="D202" s="115">
        <v>0.000977986556730216</v>
      </c>
      <c r="E202" s="115">
        <v>2.133298741089915</v>
      </c>
      <c r="F202" s="86" t="s">
        <v>4451</v>
      </c>
      <c r="G202" s="86" t="b">
        <v>0</v>
      </c>
      <c r="H202" s="86" t="b">
        <v>0</v>
      </c>
      <c r="I202" s="86" t="b">
        <v>0</v>
      </c>
      <c r="J202" s="86" t="b">
        <v>0</v>
      </c>
      <c r="K202" s="86" t="b">
        <v>0</v>
      </c>
      <c r="L202" s="86" t="b">
        <v>0</v>
      </c>
    </row>
    <row r="203" spans="1:12" ht="15">
      <c r="A203" s="87" t="s">
        <v>4057</v>
      </c>
      <c r="B203" s="86" t="s">
        <v>4208</v>
      </c>
      <c r="C203" s="86">
        <v>3</v>
      </c>
      <c r="D203" s="115">
        <v>0.000977986556730216</v>
      </c>
      <c r="E203" s="115">
        <v>2.5012755263845095</v>
      </c>
      <c r="F203" s="86" t="s">
        <v>4451</v>
      </c>
      <c r="G203" s="86" t="b">
        <v>0</v>
      </c>
      <c r="H203" s="86" t="b">
        <v>0</v>
      </c>
      <c r="I203" s="86" t="b">
        <v>0</v>
      </c>
      <c r="J203" s="86" t="b">
        <v>0</v>
      </c>
      <c r="K203" s="86" t="b">
        <v>0</v>
      </c>
      <c r="L203" s="86" t="b">
        <v>0</v>
      </c>
    </row>
    <row r="204" spans="1:12" ht="15">
      <c r="A204" s="87" t="s">
        <v>4208</v>
      </c>
      <c r="B204" s="86" t="s">
        <v>4075</v>
      </c>
      <c r="C204" s="86">
        <v>3</v>
      </c>
      <c r="D204" s="115">
        <v>0.000977986556730216</v>
      </c>
      <c r="E204" s="115">
        <v>2.6660857750305014</v>
      </c>
      <c r="F204" s="86" t="s">
        <v>4451</v>
      </c>
      <c r="G204" s="86" t="b">
        <v>0</v>
      </c>
      <c r="H204" s="86" t="b">
        <v>0</v>
      </c>
      <c r="I204" s="86" t="b">
        <v>0</v>
      </c>
      <c r="J204" s="86" t="b">
        <v>0</v>
      </c>
      <c r="K204" s="86" t="b">
        <v>0</v>
      </c>
      <c r="L204" s="86" t="b">
        <v>0</v>
      </c>
    </row>
    <row r="205" spans="1:12" ht="15">
      <c r="A205" s="87" t="s">
        <v>4023</v>
      </c>
      <c r="B205" s="86" t="s">
        <v>4021</v>
      </c>
      <c r="C205" s="86">
        <v>3</v>
      </c>
      <c r="D205" s="115">
        <v>0.000977986556730216</v>
      </c>
      <c r="E205" s="115">
        <v>0.6589071904033782</v>
      </c>
      <c r="F205" s="86" t="s">
        <v>4451</v>
      </c>
      <c r="G205" s="86" t="b">
        <v>0</v>
      </c>
      <c r="H205" s="86" t="b">
        <v>1</v>
      </c>
      <c r="I205" s="86" t="b">
        <v>0</v>
      </c>
      <c r="J205" s="86" t="b">
        <v>0</v>
      </c>
      <c r="K205" s="86" t="b">
        <v>1</v>
      </c>
      <c r="L205" s="86" t="b">
        <v>0</v>
      </c>
    </row>
    <row r="206" spans="1:12" ht="15">
      <c r="A206" s="87" t="s">
        <v>4020</v>
      </c>
      <c r="B206" s="86" t="s">
        <v>4050</v>
      </c>
      <c r="C206" s="86">
        <v>3</v>
      </c>
      <c r="D206" s="115">
        <v>0.000977986556730216</v>
      </c>
      <c r="E206" s="115">
        <v>1.0062426823561448</v>
      </c>
      <c r="F206" s="86" t="s">
        <v>4451</v>
      </c>
      <c r="G206" s="86" t="b">
        <v>0</v>
      </c>
      <c r="H206" s="86" t="b">
        <v>1</v>
      </c>
      <c r="I206" s="86" t="b">
        <v>0</v>
      </c>
      <c r="J206" s="86" t="b">
        <v>0</v>
      </c>
      <c r="K206" s="86" t="b">
        <v>0</v>
      </c>
      <c r="L206" s="86" t="b">
        <v>0</v>
      </c>
    </row>
    <row r="207" spans="1:12" ht="15">
      <c r="A207" s="87" t="s">
        <v>4209</v>
      </c>
      <c r="B207" s="86" t="s">
        <v>4088</v>
      </c>
      <c r="C207" s="86">
        <v>3</v>
      </c>
      <c r="D207" s="115">
        <v>0.000977986556730216</v>
      </c>
      <c r="E207" s="115">
        <v>2.7800291273373383</v>
      </c>
      <c r="F207" s="86" t="s">
        <v>4451</v>
      </c>
      <c r="G207" s="86" t="b">
        <v>0</v>
      </c>
      <c r="H207" s="86" t="b">
        <v>0</v>
      </c>
      <c r="I207" s="86" t="b">
        <v>0</v>
      </c>
      <c r="J207" s="86" t="b">
        <v>0</v>
      </c>
      <c r="K207" s="86" t="b">
        <v>0</v>
      </c>
      <c r="L207" s="86" t="b">
        <v>0</v>
      </c>
    </row>
    <row r="208" spans="1:12" ht="15">
      <c r="A208" s="87" t="s">
        <v>4145</v>
      </c>
      <c r="B208" s="86" t="s">
        <v>3327</v>
      </c>
      <c r="C208" s="86">
        <v>3</v>
      </c>
      <c r="D208" s="115">
        <v>0.000977986556730216</v>
      </c>
      <c r="E208" s="115">
        <v>1.6605532864305406</v>
      </c>
      <c r="F208" s="86" t="s">
        <v>4451</v>
      </c>
      <c r="G208" s="86" t="b">
        <v>0</v>
      </c>
      <c r="H208" s="86" t="b">
        <v>0</v>
      </c>
      <c r="I208" s="86" t="b">
        <v>0</v>
      </c>
      <c r="J208" s="86" t="b">
        <v>0</v>
      </c>
      <c r="K208" s="86" t="b">
        <v>0</v>
      </c>
      <c r="L208" s="86" t="b">
        <v>0</v>
      </c>
    </row>
    <row r="209" spans="1:12" ht="15">
      <c r="A209" s="87" t="s">
        <v>4146</v>
      </c>
      <c r="B209" s="86" t="s">
        <v>3307</v>
      </c>
      <c r="C209" s="86">
        <v>3</v>
      </c>
      <c r="D209" s="115">
        <v>0.000977986556730216</v>
      </c>
      <c r="E209" s="115">
        <v>1.5207538797803584</v>
      </c>
      <c r="F209" s="86" t="s">
        <v>4451</v>
      </c>
      <c r="G209" s="86" t="b">
        <v>0</v>
      </c>
      <c r="H209" s="86" t="b">
        <v>0</v>
      </c>
      <c r="I209" s="86" t="b">
        <v>0</v>
      </c>
      <c r="J209" s="86" t="b">
        <v>0</v>
      </c>
      <c r="K209" s="86" t="b">
        <v>0</v>
      </c>
      <c r="L209" s="86" t="b">
        <v>0</v>
      </c>
    </row>
    <row r="210" spans="1:12" ht="15">
      <c r="A210" s="87" t="s">
        <v>3307</v>
      </c>
      <c r="B210" s="86" t="s">
        <v>4147</v>
      </c>
      <c r="C210" s="86">
        <v>3</v>
      </c>
      <c r="D210" s="115">
        <v>0.000977986556730216</v>
      </c>
      <c r="E210" s="115">
        <v>1.4974825373673704</v>
      </c>
      <c r="F210" s="86" t="s">
        <v>4451</v>
      </c>
      <c r="G210" s="86" t="b">
        <v>0</v>
      </c>
      <c r="H210" s="86" t="b">
        <v>0</v>
      </c>
      <c r="I210" s="86" t="b">
        <v>0</v>
      </c>
      <c r="J210" s="86" t="b">
        <v>0</v>
      </c>
      <c r="K210" s="86" t="b">
        <v>0</v>
      </c>
      <c r="L210" s="86" t="b">
        <v>0</v>
      </c>
    </row>
    <row r="211" spans="1:12" ht="15">
      <c r="A211" s="87" t="s">
        <v>3376</v>
      </c>
      <c r="B211" s="86" t="s">
        <v>3354</v>
      </c>
      <c r="C211" s="86">
        <v>3</v>
      </c>
      <c r="D211" s="115">
        <v>0.000977986556730216</v>
      </c>
      <c r="E211" s="115">
        <v>0.6004773361721506</v>
      </c>
      <c r="F211" s="86" t="s">
        <v>4451</v>
      </c>
      <c r="G211" s="86" t="b">
        <v>0</v>
      </c>
      <c r="H211" s="86" t="b">
        <v>0</v>
      </c>
      <c r="I211" s="86" t="b">
        <v>0</v>
      </c>
      <c r="J211" s="86" t="b">
        <v>0</v>
      </c>
      <c r="K211" s="86" t="b">
        <v>0</v>
      </c>
      <c r="L211" s="86" t="b">
        <v>0</v>
      </c>
    </row>
    <row r="212" spans="1:12" ht="15">
      <c r="A212" s="87" t="s">
        <v>4148</v>
      </c>
      <c r="B212" s="86" t="s">
        <v>4214</v>
      </c>
      <c r="C212" s="86">
        <v>3</v>
      </c>
      <c r="D212" s="115">
        <v>0.000977986556730216</v>
      </c>
      <c r="E212" s="115">
        <v>3.0810591230013196</v>
      </c>
      <c r="F212" s="86" t="s">
        <v>4451</v>
      </c>
      <c r="G212" s="86" t="b">
        <v>0</v>
      </c>
      <c r="H212" s="86" t="b">
        <v>0</v>
      </c>
      <c r="I212" s="86" t="b">
        <v>0</v>
      </c>
      <c r="J212" s="86" t="b">
        <v>0</v>
      </c>
      <c r="K212" s="86" t="b">
        <v>1</v>
      </c>
      <c r="L212" s="86" t="b">
        <v>0</v>
      </c>
    </row>
    <row r="213" spans="1:12" ht="15">
      <c r="A213" s="87" t="s">
        <v>3355</v>
      </c>
      <c r="B213" s="86" t="s">
        <v>4217</v>
      </c>
      <c r="C213" s="86">
        <v>3</v>
      </c>
      <c r="D213" s="115">
        <v>0.000977986556730216</v>
      </c>
      <c r="E213" s="115">
        <v>1.8715441084586886</v>
      </c>
      <c r="F213" s="86" t="s">
        <v>4451</v>
      </c>
      <c r="G213" s="86" t="b">
        <v>0</v>
      </c>
      <c r="H213" s="86" t="b">
        <v>0</v>
      </c>
      <c r="I213" s="86" t="b">
        <v>0</v>
      </c>
      <c r="J213" s="86" t="b">
        <v>0</v>
      </c>
      <c r="K213" s="86" t="b">
        <v>0</v>
      </c>
      <c r="L213" s="86" t="b">
        <v>0</v>
      </c>
    </row>
    <row r="214" spans="1:12" ht="15">
      <c r="A214" s="87" t="s">
        <v>3361</v>
      </c>
      <c r="B214" s="86" t="s">
        <v>4021</v>
      </c>
      <c r="C214" s="86">
        <v>3</v>
      </c>
      <c r="D214" s="115">
        <v>0.000977986556730216</v>
      </c>
      <c r="E214" s="115">
        <v>0.48044919806859</v>
      </c>
      <c r="F214" s="86" t="s">
        <v>4451</v>
      </c>
      <c r="G214" s="86" t="b">
        <v>0</v>
      </c>
      <c r="H214" s="86" t="b">
        <v>0</v>
      </c>
      <c r="I214" s="86" t="b">
        <v>0</v>
      </c>
      <c r="J214" s="86" t="b">
        <v>0</v>
      </c>
      <c r="K214" s="86" t="b">
        <v>1</v>
      </c>
      <c r="L214" s="86" t="b">
        <v>0</v>
      </c>
    </row>
    <row r="215" spans="1:12" ht="15">
      <c r="A215" s="87" t="s">
        <v>4221</v>
      </c>
      <c r="B215" s="86" t="s">
        <v>3370</v>
      </c>
      <c r="C215" s="86">
        <v>3</v>
      </c>
      <c r="D215" s="115">
        <v>0.000977986556730216</v>
      </c>
      <c r="E215" s="115">
        <v>3.0018778769536945</v>
      </c>
      <c r="F215" s="86" t="s">
        <v>4451</v>
      </c>
      <c r="G215" s="86" t="b">
        <v>0</v>
      </c>
      <c r="H215" s="86" t="b">
        <v>0</v>
      </c>
      <c r="I215" s="86" t="b">
        <v>0</v>
      </c>
      <c r="J215" s="86" t="b">
        <v>0</v>
      </c>
      <c r="K215" s="86" t="b">
        <v>0</v>
      </c>
      <c r="L215" s="86" t="b">
        <v>0</v>
      </c>
    </row>
    <row r="216" spans="1:12" ht="15">
      <c r="A216" s="87" t="s">
        <v>4041</v>
      </c>
      <c r="B216" s="86" t="s">
        <v>3355</v>
      </c>
      <c r="C216" s="86">
        <v>3</v>
      </c>
      <c r="D216" s="115">
        <v>0.000977986556730216</v>
      </c>
      <c r="E216" s="115">
        <v>0.39086304297280583</v>
      </c>
      <c r="F216" s="86" t="s">
        <v>4451</v>
      </c>
      <c r="G216" s="86" t="b">
        <v>0</v>
      </c>
      <c r="H216" s="86" t="b">
        <v>0</v>
      </c>
      <c r="I216" s="86" t="b">
        <v>0</v>
      </c>
      <c r="J216" s="86" t="b">
        <v>0</v>
      </c>
      <c r="K216" s="86" t="b">
        <v>0</v>
      </c>
      <c r="L216" s="86" t="b">
        <v>0</v>
      </c>
    </row>
    <row r="217" spans="1:12" ht="15">
      <c r="A217" s="87" t="s">
        <v>4222</v>
      </c>
      <c r="B217" s="86" t="s">
        <v>3366</v>
      </c>
      <c r="C217" s="86">
        <v>3</v>
      </c>
      <c r="D217" s="115">
        <v>0.000977986556730216</v>
      </c>
      <c r="E217" s="115">
        <v>2.156779836939438</v>
      </c>
      <c r="F217" s="86" t="s">
        <v>4451</v>
      </c>
      <c r="G217" s="86" t="b">
        <v>0</v>
      </c>
      <c r="H217" s="86" t="b">
        <v>0</v>
      </c>
      <c r="I217" s="86" t="b">
        <v>0</v>
      </c>
      <c r="J217" s="86" t="b">
        <v>0</v>
      </c>
      <c r="K217" s="86" t="b">
        <v>0</v>
      </c>
      <c r="L217" s="86" t="b">
        <v>0</v>
      </c>
    </row>
    <row r="218" spans="1:12" ht="15">
      <c r="A218" s="87" t="s">
        <v>4153</v>
      </c>
      <c r="B218" s="86" t="s">
        <v>4072</v>
      </c>
      <c r="C218" s="86">
        <v>3</v>
      </c>
      <c r="D218" s="115">
        <v>0.000977986556730216</v>
      </c>
      <c r="E218" s="115">
        <v>2.412052342042744</v>
      </c>
      <c r="F218" s="86" t="s">
        <v>4451</v>
      </c>
      <c r="G218" s="86" t="b">
        <v>0</v>
      </c>
      <c r="H218" s="86" t="b">
        <v>0</v>
      </c>
      <c r="I218" s="86" t="b">
        <v>0</v>
      </c>
      <c r="J218" s="86" t="b">
        <v>0</v>
      </c>
      <c r="K218" s="86" t="b">
        <v>0</v>
      </c>
      <c r="L218" s="86" t="b">
        <v>0</v>
      </c>
    </row>
    <row r="219" spans="1:12" ht="15">
      <c r="A219" s="87" t="s">
        <v>3355</v>
      </c>
      <c r="B219" s="86" t="s">
        <v>4051</v>
      </c>
      <c r="C219" s="86">
        <v>3</v>
      </c>
      <c r="D219" s="115">
        <v>0.000977986556730216</v>
      </c>
      <c r="E219" s="115">
        <v>0.9015073318361317</v>
      </c>
      <c r="F219" s="86" t="s">
        <v>4451</v>
      </c>
      <c r="G219" s="86" t="b">
        <v>0</v>
      </c>
      <c r="H219" s="86" t="b">
        <v>0</v>
      </c>
      <c r="I219" s="86" t="b">
        <v>0</v>
      </c>
      <c r="J219" s="86" t="b">
        <v>0</v>
      </c>
      <c r="K219" s="86" t="b">
        <v>0</v>
      </c>
      <c r="L219" s="86" t="b">
        <v>0</v>
      </c>
    </row>
    <row r="220" spans="1:12" ht="15">
      <c r="A220" s="87" t="s">
        <v>4051</v>
      </c>
      <c r="B220" s="86" t="s">
        <v>3356</v>
      </c>
      <c r="C220" s="86">
        <v>3</v>
      </c>
      <c r="D220" s="115">
        <v>0.000977986556730216</v>
      </c>
      <c r="E220" s="115">
        <v>0.6688786752146717</v>
      </c>
      <c r="F220" s="86" t="s">
        <v>4451</v>
      </c>
      <c r="G220" s="86" t="b">
        <v>0</v>
      </c>
      <c r="H220" s="86" t="b">
        <v>0</v>
      </c>
      <c r="I220" s="86" t="b">
        <v>0</v>
      </c>
      <c r="J220" s="86" t="b">
        <v>0</v>
      </c>
      <c r="K220" s="86" t="b">
        <v>0</v>
      </c>
      <c r="L220" s="86" t="b">
        <v>0</v>
      </c>
    </row>
    <row r="221" spans="1:12" ht="15">
      <c r="A221" s="87" t="s">
        <v>4225</v>
      </c>
      <c r="B221" s="86" t="s">
        <v>4100</v>
      </c>
      <c r="C221" s="86">
        <v>3</v>
      </c>
      <c r="D221" s="115">
        <v>0.000977986556730216</v>
      </c>
      <c r="E221" s="115">
        <v>3.0810591230013196</v>
      </c>
      <c r="F221" s="86" t="s">
        <v>4451</v>
      </c>
      <c r="G221" s="86" t="b">
        <v>0</v>
      </c>
      <c r="H221" s="86" t="b">
        <v>0</v>
      </c>
      <c r="I221" s="86" t="b">
        <v>0</v>
      </c>
      <c r="J221" s="86" t="b">
        <v>1</v>
      </c>
      <c r="K221" s="86" t="b">
        <v>0</v>
      </c>
      <c r="L221" s="86" t="b">
        <v>0</v>
      </c>
    </row>
    <row r="222" spans="1:12" ht="15">
      <c r="A222" s="87" t="s">
        <v>4084</v>
      </c>
      <c r="B222" s="86" t="s">
        <v>4226</v>
      </c>
      <c r="C222" s="86">
        <v>3</v>
      </c>
      <c r="D222" s="115">
        <v>0.000977986556730216</v>
      </c>
      <c r="E222" s="115">
        <v>2.7386364421791134</v>
      </c>
      <c r="F222" s="86" t="s">
        <v>4451</v>
      </c>
      <c r="G222" s="86" t="b">
        <v>0</v>
      </c>
      <c r="H222" s="86" t="b">
        <v>0</v>
      </c>
      <c r="I222" s="86" t="b">
        <v>0</v>
      </c>
      <c r="J222" s="86" t="b">
        <v>0</v>
      </c>
      <c r="K222" s="86" t="b">
        <v>0</v>
      </c>
      <c r="L222" s="86" t="b">
        <v>0</v>
      </c>
    </row>
    <row r="223" spans="1:12" ht="15">
      <c r="A223" s="87" t="s">
        <v>4226</v>
      </c>
      <c r="B223" s="86" t="s">
        <v>3368</v>
      </c>
      <c r="C223" s="86">
        <v>3</v>
      </c>
      <c r="D223" s="115">
        <v>0.000977986556730216</v>
      </c>
      <c r="E223" s="115">
        <v>2.107931269401621</v>
      </c>
      <c r="F223" s="86" t="s">
        <v>4451</v>
      </c>
      <c r="G223" s="86" t="b">
        <v>0</v>
      </c>
      <c r="H223" s="86" t="b">
        <v>0</v>
      </c>
      <c r="I223" s="86" t="b">
        <v>0</v>
      </c>
      <c r="J223" s="86" t="b">
        <v>0</v>
      </c>
      <c r="K223" s="86" t="b">
        <v>0</v>
      </c>
      <c r="L223" s="86" t="b">
        <v>0</v>
      </c>
    </row>
    <row r="224" spans="1:12" ht="15">
      <c r="A224" s="87" t="s">
        <v>4086</v>
      </c>
      <c r="B224" s="86" t="s">
        <v>3382</v>
      </c>
      <c r="C224" s="86">
        <v>3</v>
      </c>
      <c r="D224" s="115">
        <v>0.000977986556730216</v>
      </c>
      <c r="E224" s="115">
        <v>1.4997543532639765</v>
      </c>
      <c r="F224" s="86" t="s">
        <v>4451</v>
      </c>
      <c r="G224" s="86" t="b">
        <v>0</v>
      </c>
      <c r="H224" s="86" t="b">
        <v>0</v>
      </c>
      <c r="I224" s="86" t="b">
        <v>0</v>
      </c>
      <c r="J224" s="86" t="b">
        <v>0</v>
      </c>
      <c r="K224" s="86" t="b">
        <v>0</v>
      </c>
      <c r="L224" s="86" t="b">
        <v>0</v>
      </c>
    </row>
    <row r="225" spans="1:12" ht="15">
      <c r="A225" s="87" t="s">
        <v>4156</v>
      </c>
      <c r="B225" s="86" t="s">
        <v>3381</v>
      </c>
      <c r="C225" s="86">
        <v>3</v>
      </c>
      <c r="D225" s="115">
        <v>0.000977986556730216</v>
      </c>
      <c r="E225" s="115">
        <v>1.7657886882227283</v>
      </c>
      <c r="F225" s="86" t="s">
        <v>4451</v>
      </c>
      <c r="G225" s="86" t="b">
        <v>0</v>
      </c>
      <c r="H225" s="86" t="b">
        <v>0</v>
      </c>
      <c r="I225" s="86" t="b">
        <v>0</v>
      </c>
      <c r="J225" s="86" t="b">
        <v>0</v>
      </c>
      <c r="K225" s="86" t="b">
        <v>0</v>
      </c>
      <c r="L225" s="86" t="b">
        <v>0</v>
      </c>
    </row>
    <row r="226" spans="1:12" ht="15">
      <c r="A226" s="87" t="s">
        <v>4087</v>
      </c>
      <c r="B226" s="86" t="s">
        <v>3356</v>
      </c>
      <c r="C226" s="86">
        <v>3</v>
      </c>
      <c r="D226" s="115">
        <v>0.000977986556730216</v>
      </c>
      <c r="E226" s="115">
        <v>1.0668186838867093</v>
      </c>
      <c r="F226" s="86" t="s">
        <v>4451</v>
      </c>
      <c r="G226" s="86" t="b">
        <v>0</v>
      </c>
      <c r="H226" s="86" t="b">
        <v>0</v>
      </c>
      <c r="I226" s="86" t="b">
        <v>0</v>
      </c>
      <c r="J226" s="86" t="b">
        <v>0</v>
      </c>
      <c r="K226" s="86" t="b">
        <v>0</v>
      </c>
      <c r="L226" s="86" t="b">
        <v>0</v>
      </c>
    </row>
    <row r="227" spans="1:12" ht="15">
      <c r="A227" s="87" t="s">
        <v>4048</v>
      </c>
      <c r="B227" s="86" t="s">
        <v>3356</v>
      </c>
      <c r="C227" s="86">
        <v>3</v>
      </c>
      <c r="D227" s="115">
        <v>0.000977986556730216</v>
      </c>
      <c r="E227" s="115">
        <v>0.5483047440088218</v>
      </c>
      <c r="F227" s="86" t="s">
        <v>4451</v>
      </c>
      <c r="G227" s="86" t="b">
        <v>0</v>
      </c>
      <c r="H227" s="86" t="b">
        <v>0</v>
      </c>
      <c r="I227" s="86" t="b">
        <v>0</v>
      </c>
      <c r="J227" s="86" t="b">
        <v>0</v>
      </c>
      <c r="K227" s="86" t="b">
        <v>0</v>
      </c>
      <c r="L227" s="86" t="b">
        <v>0</v>
      </c>
    </row>
    <row r="228" spans="1:12" ht="15">
      <c r="A228" s="87" t="s">
        <v>4236</v>
      </c>
      <c r="B228" s="86" t="s">
        <v>3380</v>
      </c>
      <c r="C228" s="86">
        <v>3</v>
      </c>
      <c r="D228" s="115">
        <v>0.000977986556730216</v>
      </c>
      <c r="E228" s="115">
        <v>1.8935384021648565</v>
      </c>
      <c r="F228" s="86" t="s">
        <v>4451</v>
      </c>
      <c r="G228" s="86" t="b">
        <v>0</v>
      </c>
      <c r="H228" s="86" t="b">
        <v>0</v>
      </c>
      <c r="I228" s="86" t="b">
        <v>0</v>
      </c>
      <c r="J228" s="86" t="b">
        <v>0</v>
      </c>
      <c r="K228" s="86" t="b">
        <v>0</v>
      </c>
      <c r="L228" s="86" t="b">
        <v>0</v>
      </c>
    </row>
    <row r="229" spans="1:12" ht="15">
      <c r="A229" s="87" t="s">
        <v>4021</v>
      </c>
      <c r="B229" s="86" t="s">
        <v>4240</v>
      </c>
      <c r="C229" s="86">
        <v>3</v>
      </c>
      <c r="D229" s="115">
        <v>0.000977986556730216</v>
      </c>
      <c r="E229" s="115">
        <v>1.9671157706944828</v>
      </c>
      <c r="F229" s="86" t="s">
        <v>4451</v>
      </c>
      <c r="G229" s="86" t="b">
        <v>0</v>
      </c>
      <c r="H229" s="86" t="b">
        <v>1</v>
      </c>
      <c r="I229" s="86" t="b">
        <v>0</v>
      </c>
      <c r="J229" s="86" t="b">
        <v>0</v>
      </c>
      <c r="K229" s="86" t="b">
        <v>0</v>
      </c>
      <c r="L229" s="86" t="b">
        <v>0</v>
      </c>
    </row>
    <row r="230" spans="1:12" ht="15">
      <c r="A230" s="87" t="s">
        <v>4240</v>
      </c>
      <c r="B230" s="86" t="s">
        <v>3361</v>
      </c>
      <c r="C230" s="86">
        <v>3</v>
      </c>
      <c r="D230" s="115">
        <v>0.000977986556730216</v>
      </c>
      <c r="E230" s="115">
        <v>1.816241299991783</v>
      </c>
      <c r="F230" s="86" t="s">
        <v>4451</v>
      </c>
      <c r="G230" s="86" t="b">
        <v>0</v>
      </c>
      <c r="H230" s="86" t="b">
        <v>0</v>
      </c>
      <c r="I230" s="86" t="b">
        <v>0</v>
      </c>
      <c r="J230" s="86" t="b">
        <v>0</v>
      </c>
      <c r="K230" s="86" t="b">
        <v>0</v>
      </c>
      <c r="L230" s="86" t="b">
        <v>0</v>
      </c>
    </row>
    <row r="231" spans="1:12" ht="15">
      <c r="A231" s="87" t="s">
        <v>4152</v>
      </c>
      <c r="B231" s="86" t="s">
        <v>4194</v>
      </c>
      <c r="C231" s="86">
        <v>3</v>
      </c>
      <c r="D231" s="115">
        <v>0.000977986556730216</v>
      </c>
      <c r="E231" s="115">
        <v>2.9561203863930197</v>
      </c>
      <c r="F231" s="86" t="s">
        <v>4451</v>
      </c>
      <c r="G231" s="86" t="b">
        <v>0</v>
      </c>
      <c r="H231" s="86" t="b">
        <v>0</v>
      </c>
      <c r="I231" s="86" t="b">
        <v>0</v>
      </c>
      <c r="J231" s="86" t="b">
        <v>0</v>
      </c>
      <c r="K231" s="86" t="b">
        <v>0</v>
      </c>
      <c r="L231" s="86" t="b">
        <v>0</v>
      </c>
    </row>
    <row r="232" spans="1:12" ht="15">
      <c r="A232" s="87" t="s">
        <v>4020</v>
      </c>
      <c r="B232" s="86" t="s">
        <v>4054</v>
      </c>
      <c r="C232" s="86">
        <v>3</v>
      </c>
      <c r="D232" s="115">
        <v>0.000977986556730216</v>
      </c>
      <c r="E232" s="115">
        <v>1.1365764508511509</v>
      </c>
      <c r="F232" s="86" t="s">
        <v>4451</v>
      </c>
      <c r="G232" s="86" t="b">
        <v>0</v>
      </c>
      <c r="H232" s="86" t="b">
        <v>1</v>
      </c>
      <c r="I232" s="86" t="b">
        <v>0</v>
      </c>
      <c r="J232" s="86" t="b">
        <v>0</v>
      </c>
      <c r="K232" s="86" t="b">
        <v>0</v>
      </c>
      <c r="L232" s="86" t="b">
        <v>0</v>
      </c>
    </row>
    <row r="233" spans="1:12" ht="15">
      <c r="A233" s="87" t="s">
        <v>4054</v>
      </c>
      <c r="B233" s="86" t="s">
        <v>4050</v>
      </c>
      <c r="C233" s="86">
        <v>3</v>
      </c>
      <c r="D233" s="115">
        <v>0.000977986556730216</v>
      </c>
      <c r="E233" s="115">
        <v>1.4455753761864074</v>
      </c>
      <c r="F233" s="86" t="s">
        <v>4451</v>
      </c>
      <c r="G233" s="86" t="b">
        <v>0</v>
      </c>
      <c r="H233" s="86" t="b">
        <v>0</v>
      </c>
      <c r="I233" s="86" t="b">
        <v>0</v>
      </c>
      <c r="J233" s="86" t="b">
        <v>0</v>
      </c>
      <c r="K233" s="86" t="b">
        <v>0</v>
      </c>
      <c r="L233" s="86" t="b">
        <v>0</v>
      </c>
    </row>
    <row r="234" spans="1:12" ht="15">
      <c r="A234" s="87" t="s">
        <v>3372</v>
      </c>
      <c r="B234" s="86" t="s">
        <v>4165</v>
      </c>
      <c r="C234" s="86">
        <v>3</v>
      </c>
      <c r="D234" s="115">
        <v>0.000977986556730216</v>
      </c>
      <c r="E234" s="115">
        <v>1.7800291273373383</v>
      </c>
      <c r="F234" s="86" t="s">
        <v>4451</v>
      </c>
      <c r="G234" s="86" t="b">
        <v>0</v>
      </c>
      <c r="H234" s="86" t="b">
        <v>0</v>
      </c>
      <c r="I234" s="86" t="b">
        <v>0</v>
      </c>
      <c r="J234" s="86" t="b">
        <v>0</v>
      </c>
      <c r="K234" s="86" t="b">
        <v>0</v>
      </c>
      <c r="L234" s="86" t="b">
        <v>0</v>
      </c>
    </row>
    <row r="235" spans="1:12" ht="15">
      <c r="A235" s="87" t="s">
        <v>3307</v>
      </c>
      <c r="B235" s="86" t="s">
        <v>3357</v>
      </c>
      <c r="C235" s="86">
        <v>3</v>
      </c>
      <c r="D235" s="115">
        <v>0.000977986556730216</v>
      </c>
      <c r="E235" s="115">
        <v>0.059731974546982314</v>
      </c>
      <c r="F235" s="86" t="s">
        <v>4451</v>
      </c>
      <c r="G235" s="86" t="b">
        <v>0</v>
      </c>
      <c r="H235" s="86" t="b">
        <v>0</v>
      </c>
      <c r="I235" s="86" t="b">
        <v>0</v>
      </c>
      <c r="J235" s="86" t="b">
        <v>0</v>
      </c>
      <c r="K235" s="86" t="b">
        <v>0</v>
      </c>
      <c r="L235" s="86" t="b">
        <v>0</v>
      </c>
    </row>
    <row r="236" spans="1:12" ht="15">
      <c r="A236" s="87" t="s">
        <v>4169</v>
      </c>
      <c r="B236" s="86" t="s">
        <v>4261</v>
      </c>
      <c r="C236" s="86">
        <v>3</v>
      </c>
      <c r="D236" s="115">
        <v>0.000977986556730216</v>
      </c>
      <c r="E236" s="115">
        <v>3.0810591230013196</v>
      </c>
      <c r="F236" s="86" t="s">
        <v>4451</v>
      </c>
      <c r="G236" s="86" t="b">
        <v>0</v>
      </c>
      <c r="H236" s="86" t="b">
        <v>0</v>
      </c>
      <c r="I236" s="86" t="b">
        <v>0</v>
      </c>
      <c r="J236" s="86" t="b">
        <v>0</v>
      </c>
      <c r="K236" s="86" t="b">
        <v>0</v>
      </c>
      <c r="L236" s="86" t="b">
        <v>0</v>
      </c>
    </row>
    <row r="237" spans="1:12" ht="15">
      <c r="A237" s="87" t="s">
        <v>4263</v>
      </c>
      <c r="B237" s="86" t="s">
        <v>4094</v>
      </c>
      <c r="C237" s="86">
        <v>3</v>
      </c>
      <c r="D237" s="115">
        <v>0.000977986556730216</v>
      </c>
      <c r="E237" s="115">
        <v>2.8769391403453946</v>
      </c>
      <c r="F237" s="86" t="s">
        <v>4451</v>
      </c>
      <c r="G237" s="86" t="b">
        <v>0</v>
      </c>
      <c r="H237" s="86" t="b">
        <v>0</v>
      </c>
      <c r="I237" s="86" t="b">
        <v>0</v>
      </c>
      <c r="J237" s="86" t="b">
        <v>0</v>
      </c>
      <c r="K237" s="86" t="b">
        <v>0</v>
      </c>
      <c r="L237" s="86" t="b">
        <v>0</v>
      </c>
    </row>
    <row r="238" spans="1:12" ht="15">
      <c r="A238" s="87" t="s">
        <v>4203</v>
      </c>
      <c r="B238" s="86" t="s">
        <v>3361</v>
      </c>
      <c r="C238" s="86">
        <v>3</v>
      </c>
      <c r="D238" s="115">
        <v>0.000977986556730216</v>
      </c>
      <c r="E238" s="115">
        <v>1.691302563383483</v>
      </c>
      <c r="F238" s="86" t="s">
        <v>4451</v>
      </c>
      <c r="G238" s="86" t="b">
        <v>0</v>
      </c>
      <c r="H238" s="86" t="b">
        <v>0</v>
      </c>
      <c r="I238" s="86" t="b">
        <v>0</v>
      </c>
      <c r="J238" s="86" t="b">
        <v>0</v>
      </c>
      <c r="K238" s="86" t="b">
        <v>0</v>
      </c>
      <c r="L238" s="86" t="b">
        <v>0</v>
      </c>
    </row>
    <row r="239" spans="1:12" ht="15">
      <c r="A239" s="87" t="s">
        <v>4204</v>
      </c>
      <c r="B239" s="86" t="s">
        <v>4058</v>
      </c>
      <c r="C239" s="86">
        <v>3</v>
      </c>
      <c r="D239" s="115">
        <v>0.000977986556730216</v>
      </c>
      <c r="E239" s="115">
        <v>2.478999131673357</v>
      </c>
      <c r="F239" s="86" t="s">
        <v>4451</v>
      </c>
      <c r="G239" s="86" t="b">
        <v>0</v>
      </c>
      <c r="H239" s="86" t="b">
        <v>0</v>
      </c>
      <c r="I239" s="86" t="b">
        <v>0</v>
      </c>
      <c r="J239" s="86" t="b">
        <v>0</v>
      </c>
      <c r="K239" s="86" t="b">
        <v>0</v>
      </c>
      <c r="L239" s="86" t="b">
        <v>0</v>
      </c>
    </row>
    <row r="240" spans="1:12" ht="15">
      <c r="A240" s="87" t="s">
        <v>4028</v>
      </c>
      <c r="B240" s="86" t="s">
        <v>4264</v>
      </c>
      <c r="C240" s="86">
        <v>3</v>
      </c>
      <c r="D240" s="115">
        <v>0.000977986556730216</v>
      </c>
      <c r="E240" s="115">
        <v>2.0898330473088245</v>
      </c>
      <c r="F240" s="86" t="s">
        <v>4451</v>
      </c>
      <c r="G240" s="86" t="b">
        <v>0</v>
      </c>
      <c r="H240" s="86" t="b">
        <v>0</v>
      </c>
      <c r="I240" s="86" t="b">
        <v>0</v>
      </c>
      <c r="J240" s="86" t="b">
        <v>0</v>
      </c>
      <c r="K240" s="86" t="b">
        <v>0</v>
      </c>
      <c r="L240" s="86" t="b">
        <v>0</v>
      </c>
    </row>
    <row r="241" spans="1:12" ht="15">
      <c r="A241" s="87" t="s">
        <v>3356</v>
      </c>
      <c r="B241" s="86" t="s">
        <v>3354</v>
      </c>
      <c r="C241" s="86">
        <v>3</v>
      </c>
      <c r="D241" s="115">
        <v>0.000977986556730216</v>
      </c>
      <c r="E241" s="115">
        <v>-0.32527663545573676</v>
      </c>
      <c r="F241" s="86" t="s">
        <v>4451</v>
      </c>
      <c r="G241" s="86" t="b">
        <v>0</v>
      </c>
      <c r="H241" s="86" t="b">
        <v>0</v>
      </c>
      <c r="I241" s="86" t="b">
        <v>0</v>
      </c>
      <c r="J241" s="86" t="b">
        <v>0</v>
      </c>
      <c r="K241" s="86" t="b">
        <v>0</v>
      </c>
      <c r="L241" s="86" t="b">
        <v>0</v>
      </c>
    </row>
    <row r="242" spans="1:12" ht="15">
      <c r="A242" s="87" t="s">
        <v>3307</v>
      </c>
      <c r="B242" s="86" t="s">
        <v>4205</v>
      </c>
      <c r="C242" s="86">
        <v>3</v>
      </c>
      <c r="D242" s="115">
        <v>0.000977986556730216</v>
      </c>
      <c r="E242" s="115">
        <v>1.5943925503754266</v>
      </c>
      <c r="F242" s="86" t="s">
        <v>4451</v>
      </c>
      <c r="G242" s="86" t="b">
        <v>0</v>
      </c>
      <c r="H242" s="86" t="b">
        <v>0</v>
      </c>
      <c r="I242" s="86" t="b">
        <v>0</v>
      </c>
      <c r="J242" s="86" t="b">
        <v>0</v>
      </c>
      <c r="K242" s="86" t="b">
        <v>0</v>
      </c>
      <c r="L242" s="86" t="b">
        <v>0</v>
      </c>
    </row>
    <row r="243" spans="1:12" ht="15">
      <c r="A243" s="87" t="s">
        <v>4268</v>
      </c>
      <c r="B243" s="86" t="s">
        <v>4098</v>
      </c>
      <c r="C243" s="86">
        <v>3</v>
      </c>
      <c r="D243" s="115">
        <v>0.000977986556730216</v>
      </c>
      <c r="E243" s="115">
        <v>2.8257866178980136</v>
      </c>
      <c r="F243" s="86" t="s">
        <v>4451</v>
      </c>
      <c r="G243" s="86" t="b">
        <v>1</v>
      </c>
      <c r="H243" s="86" t="b">
        <v>0</v>
      </c>
      <c r="I243" s="86" t="b">
        <v>0</v>
      </c>
      <c r="J243" s="86" t="b">
        <v>0</v>
      </c>
      <c r="K243" s="86" t="b">
        <v>0</v>
      </c>
      <c r="L243" s="86" t="b">
        <v>0</v>
      </c>
    </row>
    <row r="244" spans="1:12" ht="15">
      <c r="A244" s="87" t="s">
        <v>4098</v>
      </c>
      <c r="B244" s="86" t="s">
        <v>4042</v>
      </c>
      <c r="C244" s="86">
        <v>3</v>
      </c>
      <c r="D244" s="115">
        <v>0.000977986556730216</v>
      </c>
      <c r="E244" s="115">
        <v>1.7588398282674003</v>
      </c>
      <c r="F244" s="86" t="s">
        <v>4451</v>
      </c>
      <c r="G244" s="86" t="b">
        <v>0</v>
      </c>
      <c r="H244" s="86" t="b">
        <v>0</v>
      </c>
      <c r="I244" s="86" t="b">
        <v>0</v>
      </c>
      <c r="J244" s="86" t="b">
        <v>0</v>
      </c>
      <c r="K244" s="86" t="b">
        <v>0</v>
      </c>
      <c r="L244" s="86" t="b">
        <v>0</v>
      </c>
    </row>
    <row r="245" spans="1:12" ht="15">
      <c r="A245" s="87" t="s">
        <v>4180</v>
      </c>
      <c r="B245" s="86" t="s">
        <v>4269</v>
      </c>
      <c r="C245" s="86">
        <v>3</v>
      </c>
      <c r="D245" s="115">
        <v>0.000977986556730216</v>
      </c>
      <c r="E245" s="115">
        <v>3.177969136009376</v>
      </c>
      <c r="F245" s="86" t="s">
        <v>4451</v>
      </c>
      <c r="G245" s="86" t="b">
        <v>0</v>
      </c>
      <c r="H245" s="86" t="b">
        <v>0</v>
      </c>
      <c r="I245" s="86" t="b">
        <v>0</v>
      </c>
      <c r="J245" s="86" t="b">
        <v>0</v>
      </c>
      <c r="K245" s="86" t="b">
        <v>0</v>
      </c>
      <c r="L245" s="86" t="b">
        <v>0</v>
      </c>
    </row>
    <row r="246" spans="1:12" ht="15">
      <c r="A246" s="87" t="s">
        <v>4205</v>
      </c>
      <c r="B246" s="86" t="s">
        <v>4112</v>
      </c>
      <c r="C246" s="86">
        <v>3</v>
      </c>
      <c r="D246" s="115">
        <v>0.000977986556730216</v>
      </c>
      <c r="E246" s="115">
        <v>2.7520004037370946</v>
      </c>
      <c r="F246" s="86" t="s">
        <v>4451</v>
      </c>
      <c r="G246" s="86" t="b">
        <v>0</v>
      </c>
      <c r="H246" s="86" t="b">
        <v>0</v>
      </c>
      <c r="I246" s="86" t="b">
        <v>0</v>
      </c>
      <c r="J246" s="86" t="b">
        <v>1</v>
      </c>
      <c r="K246" s="86" t="b">
        <v>0</v>
      </c>
      <c r="L246" s="86" t="b">
        <v>0</v>
      </c>
    </row>
    <row r="247" spans="1:12" ht="15">
      <c r="A247" s="87" t="s">
        <v>4021</v>
      </c>
      <c r="B247" s="86" t="s">
        <v>4139</v>
      </c>
      <c r="C247" s="86">
        <v>3</v>
      </c>
      <c r="D247" s="115">
        <v>0.000977986556730216</v>
      </c>
      <c r="E247" s="115">
        <v>1.7452670210781265</v>
      </c>
      <c r="F247" s="86" t="s">
        <v>4451</v>
      </c>
      <c r="G247" s="86" t="b">
        <v>0</v>
      </c>
      <c r="H247" s="86" t="b">
        <v>1</v>
      </c>
      <c r="I247" s="86" t="b">
        <v>0</v>
      </c>
      <c r="J247" s="86" t="b">
        <v>0</v>
      </c>
      <c r="K247" s="86" t="b">
        <v>0</v>
      </c>
      <c r="L247" s="86" t="b">
        <v>0</v>
      </c>
    </row>
    <row r="248" spans="1:12" ht="15">
      <c r="A248" s="87" t="s">
        <v>3359</v>
      </c>
      <c r="B248" s="86" t="s">
        <v>3368</v>
      </c>
      <c r="C248" s="86">
        <v>3</v>
      </c>
      <c r="D248" s="115">
        <v>0.000977986556730216</v>
      </c>
      <c r="E248" s="115">
        <v>0.6119246705215846</v>
      </c>
      <c r="F248" s="86" t="s">
        <v>4451</v>
      </c>
      <c r="G248" s="86" t="b">
        <v>0</v>
      </c>
      <c r="H248" s="86" t="b">
        <v>0</v>
      </c>
      <c r="I248" s="86" t="b">
        <v>0</v>
      </c>
      <c r="J248" s="86" t="b">
        <v>0</v>
      </c>
      <c r="K248" s="86" t="b">
        <v>0</v>
      </c>
      <c r="L248" s="86" t="b">
        <v>0</v>
      </c>
    </row>
    <row r="249" spans="1:12" ht="15">
      <c r="A249" s="87" t="s">
        <v>4271</v>
      </c>
      <c r="B249" s="86" t="s">
        <v>3356</v>
      </c>
      <c r="C249" s="86">
        <v>3</v>
      </c>
      <c r="D249" s="115">
        <v>0.000977986556730216</v>
      </c>
      <c r="E249" s="115">
        <v>1.589697429167047</v>
      </c>
      <c r="F249" s="86" t="s">
        <v>4451</v>
      </c>
      <c r="G249" s="86" t="b">
        <v>0</v>
      </c>
      <c r="H249" s="86" t="b">
        <v>1</v>
      </c>
      <c r="I249" s="86" t="b">
        <v>0</v>
      </c>
      <c r="J249" s="86" t="b">
        <v>0</v>
      </c>
      <c r="K249" s="86" t="b">
        <v>0</v>
      </c>
      <c r="L249" s="86" t="b">
        <v>0</v>
      </c>
    </row>
    <row r="250" spans="1:12" ht="15">
      <c r="A250" s="87" t="s">
        <v>4022</v>
      </c>
      <c r="B250" s="86" t="s">
        <v>4162</v>
      </c>
      <c r="C250" s="86">
        <v>3</v>
      </c>
      <c r="D250" s="115">
        <v>0.000977986556730216</v>
      </c>
      <c r="E250" s="115">
        <v>1.9738491533534512</v>
      </c>
      <c r="F250" s="86" t="s">
        <v>4451</v>
      </c>
      <c r="G250" s="86" t="b">
        <v>0</v>
      </c>
      <c r="H250" s="86" t="b">
        <v>0</v>
      </c>
      <c r="I250" s="86" t="b">
        <v>0</v>
      </c>
      <c r="J250" s="86" t="b">
        <v>0</v>
      </c>
      <c r="K250" s="86" t="b">
        <v>0</v>
      </c>
      <c r="L250" s="86" t="b">
        <v>0</v>
      </c>
    </row>
    <row r="251" spans="1:12" ht="15">
      <c r="A251" s="87" t="s">
        <v>4020</v>
      </c>
      <c r="B251" s="86" t="s">
        <v>4062</v>
      </c>
      <c r="C251" s="86">
        <v>3</v>
      </c>
      <c r="D251" s="115">
        <v>0.000977986556730216</v>
      </c>
      <c r="E251" s="115">
        <v>1.1823339414118261</v>
      </c>
      <c r="F251" s="86" t="s">
        <v>4451</v>
      </c>
      <c r="G251" s="86" t="b">
        <v>0</v>
      </c>
      <c r="H251" s="86" t="b">
        <v>1</v>
      </c>
      <c r="I251" s="86" t="b">
        <v>0</v>
      </c>
      <c r="J251" s="86" t="b">
        <v>0</v>
      </c>
      <c r="K251" s="86" t="b">
        <v>0</v>
      </c>
      <c r="L251" s="86" t="b">
        <v>0</v>
      </c>
    </row>
    <row r="252" spans="1:12" ht="15">
      <c r="A252" s="87" t="s">
        <v>3386</v>
      </c>
      <c r="B252" s="86" t="s">
        <v>3357</v>
      </c>
      <c r="C252" s="86">
        <v>3</v>
      </c>
      <c r="D252" s="115">
        <v>0.000977986556730216</v>
      </c>
      <c r="E252" s="115">
        <v>1.275331774886337</v>
      </c>
      <c r="F252" s="86" t="s">
        <v>4451</v>
      </c>
      <c r="G252" s="86" t="b">
        <v>0</v>
      </c>
      <c r="H252" s="86" t="b">
        <v>0</v>
      </c>
      <c r="I252" s="86" t="b">
        <v>0</v>
      </c>
      <c r="J252" s="86" t="b">
        <v>0</v>
      </c>
      <c r="K252" s="86" t="b">
        <v>0</v>
      </c>
      <c r="L252" s="86" t="b">
        <v>0</v>
      </c>
    </row>
    <row r="253" spans="1:12" ht="15">
      <c r="A253" s="87" t="s">
        <v>4167</v>
      </c>
      <c r="B253" s="86" t="s">
        <v>4073</v>
      </c>
      <c r="C253" s="86">
        <v>3</v>
      </c>
      <c r="D253" s="115">
        <v>0.000977986556730216</v>
      </c>
      <c r="E253" s="115">
        <v>2.412052342042744</v>
      </c>
      <c r="F253" s="86" t="s">
        <v>4451</v>
      </c>
      <c r="G253" s="86" t="b">
        <v>0</v>
      </c>
      <c r="H253" s="86" t="b">
        <v>0</v>
      </c>
      <c r="I253" s="86" t="b">
        <v>0</v>
      </c>
      <c r="J253" s="86" t="b">
        <v>0</v>
      </c>
      <c r="K253" s="86" t="b">
        <v>0</v>
      </c>
      <c r="L253" s="86" t="b">
        <v>0</v>
      </c>
    </row>
    <row r="254" spans="1:12" ht="15">
      <c r="A254" s="87" t="s">
        <v>4033</v>
      </c>
      <c r="B254" s="86" t="s">
        <v>429</v>
      </c>
      <c r="C254" s="86">
        <v>3</v>
      </c>
      <c r="D254" s="115">
        <v>0.000977986556730216</v>
      </c>
      <c r="E254" s="115">
        <v>1.7629957880385578</v>
      </c>
      <c r="F254" s="86" t="s">
        <v>4451</v>
      </c>
      <c r="G254" s="86" t="b">
        <v>0</v>
      </c>
      <c r="H254" s="86" t="b">
        <v>0</v>
      </c>
      <c r="I254" s="86" t="b">
        <v>0</v>
      </c>
      <c r="J254" s="86" t="b">
        <v>0</v>
      </c>
      <c r="K254" s="86" t="b">
        <v>0</v>
      </c>
      <c r="L254" s="86" t="b">
        <v>0</v>
      </c>
    </row>
    <row r="255" spans="1:12" ht="15">
      <c r="A255" s="87" t="s">
        <v>3359</v>
      </c>
      <c r="B255" s="86" t="s">
        <v>3367</v>
      </c>
      <c r="C255" s="86">
        <v>3</v>
      </c>
      <c r="D255" s="115">
        <v>0.000977986556730216</v>
      </c>
      <c r="E255" s="115">
        <v>0.869049180486484</v>
      </c>
      <c r="F255" s="86" t="s">
        <v>4451</v>
      </c>
      <c r="G255" s="86" t="b">
        <v>0</v>
      </c>
      <c r="H255" s="86" t="b">
        <v>0</v>
      </c>
      <c r="I255" s="86" t="b">
        <v>0</v>
      </c>
      <c r="J255" s="86" t="b">
        <v>0</v>
      </c>
      <c r="K255" s="86" t="b">
        <v>0</v>
      </c>
      <c r="L255" s="86" t="b">
        <v>0</v>
      </c>
    </row>
    <row r="256" spans="1:12" ht="15">
      <c r="A256" s="87" t="s">
        <v>4028</v>
      </c>
      <c r="B256" s="86" t="s">
        <v>4279</v>
      </c>
      <c r="C256" s="86">
        <v>2</v>
      </c>
      <c r="D256" s="115">
        <v>0.0007071142993808518</v>
      </c>
      <c r="E256" s="115">
        <v>2.0898330473088245</v>
      </c>
      <c r="F256" s="86" t="s">
        <v>4451</v>
      </c>
      <c r="G256" s="86" t="b">
        <v>0</v>
      </c>
      <c r="H256" s="86" t="b">
        <v>0</v>
      </c>
      <c r="I256" s="86" t="b">
        <v>0</v>
      </c>
      <c r="J256" s="86" t="b">
        <v>0</v>
      </c>
      <c r="K256" s="86" t="b">
        <v>0</v>
      </c>
      <c r="L256" s="86" t="b">
        <v>0</v>
      </c>
    </row>
    <row r="257" spans="1:12" ht="15">
      <c r="A257" s="87" t="s">
        <v>4279</v>
      </c>
      <c r="B257" s="86" t="s">
        <v>4113</v>
      </c>
      <c r="C257" s="86">
        <v>2</v>
      </c>
      <c r="D257" s="115">
        <v>0.0007071142993808518</v>
      </c>
      <c r="E257" s="115">
        <v>2.9349310873230814</v>
      </c>
      <c r="F257" s="86" t="s">
        <v>4451</v>
      </c>
      <c r="G257" s="86" t="b">
        <v>0</v>
      </c>
      <c r="H257" s="86" t="b">
        <v>0</v>
      </c>
      <c r="I257" s="86" t="b">
        <v>0</v>
      </c>
      <c r="J257" s="86" t="b">
        <v>1</v>
      </c>
      <c r="K257" s="86" t="b">
        <v>0</v>
      </c>
      <c r="L257" s="86" t="b">
        <v>0</v>
      </c>
    </row>
    <row r="258" spans="1:12" ht="15">
      <c r="A258" s="87" t="s">
        <v>4113</v>
      </c>
      <c r="B258" s="86" t="s">
        <v>3327</v>
      </c>
      <c r="C258" s="86">
        <v>2</v>
      </c>
      <c r="D258" s="115">
        <v>0.0007071142993808518</v>
      </c>
      <c r="E258" s="115">
        <v>1.3383339916966213</v>
      </c>
      <c r="F258" s="86" t="s">
        <v>4451</v>
      </c>
      <c r="G258" s="86" t="b">
        <v>1</v>
      </c>
      <c r="H258" s="86" t="b">
        <v>0</v>
      </c>
      <c r="I258" s="86" t="b">
        <v>0</v>
      </c>
      <c r="J258" s="86" t="b">
        <v>0</v>
      </c>
      <c r="K258" s="86" t="b">
        <v>0</v>
      </c>
      <c r="L258" s="86" t="b">
        <v>0</v>
      </c>
    </row>
    <row r="259" spans="1:12" ht="15">
      <c r="A259" s="87" t="s">
        <v>4103</v>
      </c>
      <c r="B259" s="86" t="s">
        <v>4032</v>
      </c>
      <c r="C259" s="86">
        <v>2</v>
      </c>
      <c r="D259" s="115">
        <v>0.0007071142993808518</v>
      </c>
      <c r="E259" s="115">
        <v>1.5759091446814135</v>
      </c>
      <c r="F259" s="86" t="s">
        <v>4451</v>
      </c>
      <c r="G259" s="86" t="b">
        <v>0</v>
      </c>
      <c r="H259" s="86" t="b">
        <v>0</v>
      </c>
      <c r="I259" s="86" t="b">
        <v>0</v>
      </c>
      <c r="J259" s="86" t="b">
        <v>0</v>
      </c>
      <c r="K259" s="86" t="b">
        <v>1</v>
      </c>
      <c r="L259" s="86" t="b">
        <v>0</v>
      </c>
    </row>
    <row r="260" spans="1:12" ht="15">
      <c r="A260" s="87" t="s">
        <v>3356</v>
      </c>
      <c r="B260" s="86" t="s">
        <v>4084</v>
      </c>
      <c r="C260" s="86">
        <v>2</v>
      </c>
      <c r="D260" s="115">
        <v>0.0007071142993808518</v>
      </c>
      <c r="E260" s="115">
        <v>0.7916931714812878</v>
      </c>
      <c r="F260" s="86" t="s">
        <v>4451</v>
      </c>
      <c r="G260" s="86" t="b">
        <v>0</v>
      </c>
      <c r="H260" s="86" t="b">
        <v>0</v>
      </c>
      <c r="I260" s="86" t="b">
        <v>0</v>
      </c>
      <c r="J260" s="86" t="b">
        <v>0</v>
      </c>
      <c r="K260" s="86" t="b">
        <v>0</v>
      </c>
      <c r="L260" s="86" t="b">
        <v>0</v>
      </c>
    </row>
    <row r="261" spans="1:12" ht="15">
      <c r="A261" s="87" t="s">
        <v>3356</v>
      </c>
      <c r="B261" s="86" t="s">
        <v>4127</v>
      </c>
      <c r="C261" s="86">
        <v>2</v>
      </c>
      <c r="D261" s="115">
        <v>0.0007071142993808518</v>
      </c>
      <c r="E261" s="115">
        <v>1.0549346062558693</v>
      </c>
      <c r="F261" s="86" t="s">
        <v>4451</v>
      </c>
      <c r="G261" s="86" t="b">
        <v>0</v>
      </c>
      <c r="H261" s="86" t="b">
        <v>0</v>
      </c>
      <c r="I261" s="86" t="b">
        <v>0</v>
      </c>
      <c r="J261" s="86" t="b">
        <v>0</v>
      </c>
      <c r="K261" s="86" t="b">
        <v>0</v>
      </c>
      <c r="L261" s="86" t="b">
        <v>0</v>
      </c>
    </row>
    <row r="262" spans="1:12" ht="15">
      <c r="A262" s="87" t="s">
        <v>4072</v>
      </c>
      <c r="B262" s="86" t="s">
        <v>3307</v>
      </c>
      <c r="C262" s="86">
        <v>2</v>
      </c>
      <c r="D262" s="115">
        <v>0.0007071142993808518</v>
      </c>
      <c r="E262" s="115">
        <v>0.8975045893824579</v>
      </c>
      <c r="F262" s="86" t="s">
        <v>4451</v>
      </c>
      <c r="G262" s="86" t="b">
        <v>0</v>
      </c>
      <c r="H262" s="86" t="b">
        <v>0</v>
      </c>
      <c r="I262" s="86" t="b">
        <v>0</v>
      </c>
      <c r="J262" s="86" t="b">
        <v>0</v>
      </c>
      <c r="K262" s="86" t="b">
        <v>0</v>
      </c>
      <c r="L262" s="86" t="b">
        <v>0</v>
      </c>
    </row>
    <row r="263" spans="1:12" ht="15">
      <c r="A263" s="87" t="s">
        <v>4128</v>
      </c>
      <c r="B263" s="86" t="s">
        <v>4211</v>
      </c>
      <c r="C263" s="86">
        <v>2</v>
      </c>
      <c r="D263" s="115">
        <v>0.0007071142993808518</v>
      </c>
      <c r="E263" s="115">
        <v>2.8257866178980136</v>
      </c>
      <c r="F263" s="86" t="s">
        <v>4451</v>
      </c>
      <c r="G263" s="86" t="b">
        <v>1</v>
      </c>
      <c r="H263" s="86" t="b">
        <v>0</v>
      </c>
      <c r="I263" s="86" t="b">
        <v>0</v>
      </c>
      <c r="J263" s="86" t="b">
        <v>0</v>
      </c>
      <c r="K263" s="86" t="b">
        <v>0</v>
      </c>
      <c r="L263" s="86" t="b">
        <v>0</v>
      </c>
    </row>
    <row r="264" spans="1:12" ht="15">
      <c r="A264" s="87" t="s">
        <v>4212</v>
      </c>
      <c r="B264" s="86" t="s">
        <v>4282</v>
      </c>
      <c r="C264" s="86">
        <v>2</v>
      </c>
      <c r="D264" s="115">
        <v>0.0007071142993808518</v>
      </c>
      <c r="E264" s="115">
        <v>3.3029078726176757</v>
      </c>
      <c r="F264" s="86" t="s">
        <v>4451</v>
      </c>
      <c r="G264" s="86" t="b">
        <v>0</v>
      </c>
      <c r="H264" s="86" t="b">
        <v>1</v>
      </c>
      <c r="I264" s="86" t="b">
        <v>0</v>
      </c>
      <c r="J264" s="86" t="b">
        <v>0</v>
      </c>
      <c r="K264" s="86" t="b">
        <v>0</v>
      </c>
      <c r="L264" s="86" t="b">
        <v>0</v>
      </c>
    </row>
    <row r="265" spans="1:12" ht="15">
      <c r="A265" s="87" t="s">
        <v>4282</v>
      </c>
      <c r="B265" s="86" t="s">
        <v>4213</v>
      </c>
      <c r="C265" s="86">
        <v>2</v>
      </c>
      <c r="D265" s="115">
        <v>0.0007071142993808518</v>
      </c>
      <c r="E265" s="115">
        <v>3.3029078726176757</v>
      </c>
      <c r="F265" s="86" t="s">
        <v>4451</v>
      </c>
      <c r="G265" s="86" t="b">
        <v>0</v>
      </c>
      <c r="H265" s="86" t="b">
        <v>0</v>
      </c>
      <c r="I265" s="86" t="b">
        <v>0</v>
      </c>
      <c r="J265" s="86" t="b">
        <v>0</v>
      </c>
      <c r="K265" s="86" t="b">
        <v>0</v>
      </c>
      <c r="L265" s="86" t="b">
        <v>0</v>
      </c>
    </row>
    <row r="266" spans="1:12" ht="15">
      <c r="A266" s="87" t="s">
        <v>3360</v>
      </c>
      <c r="B266" s="86" t="s">
        <v>3356</v>
      </c>
      <c r="C266" s="86">
        <v>2</v>
      </c>
      <c r="D266" s="115">
        <v>0.0007071142993808518</v>
      </c>
      <c r="E266" s="115">
        <v>-0.08699618045781965</v>
      </c>
      <c r="F266" s="86" t="s">
        <v>4451</v>
      </c>
      <c r="G266" s="86" t="b">
        <v>0</v>
      </c>
      <c r="H266" s="86" t="b">
        <v>0</v>
      </c>
      <c r="I266" s="86" t="b">
        <v>0</v>
      </c>
      <c r="J266" s="86" t="b">
        <v>0</v>
      </c>
      <c r="K266" s="86" t="b">
        <v>0</v>
      </c>
      <c r="L266" s="86" t="b">
        <v>0</v>
      </c>
    </row>
    <row r="267" spans="1:12" ht="15">
      <c r="A267" s="87" t="s">
        <v>4097</v>
      </c>
      <c r="B267" s="86" t="s">
        <v>4178</v>
      </c>
      <c r="C267" s="86">
        <v>2</v>
      </c>
      <c r="D267" s="115">
        <v>0.0007071142993808518</v>
      </c>
      <c r="E267" s="115">
        <v>2.5247566222340323</v>
      </c>
      <c r="F267" s="86" t="s">
        <v>4451</v>
      </c>
      <c r="G267" s="86" t="b">
        <v>0</v>
      </c>
      <c r="H267" s="86" t="b">
        <v>0</v>
      </c>
      <c r="I267" s="86" t="b">
        <v>0</v>
      </c>
      <c r="J267" s="86" t="b">
        <v>0</v>
      </c>
      <c r="K267" s="86" t="b">
        <v>0</v>
      </c>
      <c r="L267" s="86" t="b">
        <v>0</v>
      </c>
    </row>
    <row r="268" spans="1:12" ht="15">
      <c r="A268" s="87" t="s">
        <v>4178</v>
      </c>
      <c r="B268" s="86" t="s">
        <v>4179</v>
      </c>
      <c r="C268" s="86">
        <v>2</v>
      </c>
      <c r="D268" s="115">
        <v>0.0007071142993808518</v>
      </c>
      <c r="E268" s="115">
        <v>2.8769391403453946</v>
      </c>
      <c r="F268" s="86" t="s">
        <v>4451</v>
      </c>
      <c r="G268" s="86" t="b">
        <v>0</v>
      </c>
      <c r="H268" s="86" t="b">
        <v>0</v>
      </c>
      <c r="I268" s="86" t="b">
        <v>0</v>
      </c>
      <c r="J268" s="86" t="b">
        <v>0</v>
      </c>
      <c r="K268" s="86" t="b">
        <v>0</v>
      </c>
      <c r="L268" s="86" t="b">
        <v>0</v>
      </c>
    </row>
    <row r="269" spans="1:12" ht="15">
      <c r="A269" s="87" t="s">
        <v>4179</v>
      </c>
      <c r="B269" s="86" t="s">
        <v>4024</v>
      </c>
      <c r="C269" s="86">
        <v>2</v>
      </c>
      <c r="D269" s="115">
        <v>0.0007071142993808518</v>
      </c>
      <c r="E269" s="115">
        <v>1.6936692966625901</v>
      </c>
      <c r="F269" s="86" t="s">
        <v>4451</v>
      </c>
      <c r="G269" s="86" t="b">
        <v>0</v>
      </c>
      <c r="H269" s="86" t="b">
        <v>0</v>
      </c>
      <c r="I269" s="86" t="b">
        <v>0</v>
      </c>
      <c r="J269" s="86" t="b">
        <v>0</v>
      </c>
      <c r="K269" s="86" t="b">
        <v>0</v>
      </c>
      <c r="L269" s="86" t="b">
        <v>0</v>
      </c>
    </row>
    <row r="270" spans="1:12" ht="15">
      <c r="A270" s="87" t="s">
        <v>3307</v>
      </c>
      <c r="B270" s="86" t="s">
        <v>4149</v>
      </c>
      <c r="C270" s="86">
        <v>2</v>
      </c>
      <c r="D270" s="115">
        <v>0.0007071142993808518</v>
      </c>
      <c r="E270" s="115">
        <v>1.321391278311689</v>
      </c>
      <c r="F270" s="86" t="s">
        <v>4451</v>
      </c>
      <c r="G270" s="86" t="b">
        <v>0</v>
      </c>
      <c r="H270" s="86" t="b">
        <v>0</v>
      </c>
      <c r="I270" s="86" t="b">
        <v>0</v>
      </c>
      <c r="J270" s="86" t="b">
        <v>0</v>
      </c>
      <c r="K270" s="86" t="b">
        <v>0</v>
      </c>
      <c r="L270" s="86" t="b">
        <v>0</v>
      </c>
    </row>
    <row r="271" spans="1:12" ht="15">
      <c r="A271" s="87" t="s">
        <v>3364</v>
      </c>
      <c r="B271" s="86" t="s">
        <v>4287</v>
      </c>
      <c r="C271" s="86">
        <v>2</v>
      </c>
      <c r="D271" s="115">
        <v>0.0007071142993808518</v>
      </c>
      <c r="E271" s="115">
        <v>1.9349310873230816</v>
      </c>
      <c r="F271" s="86" t="s">
        <v>4451</v>
      </c>
      <c r="G271" s="86" t="b">
        <v>0</v>
      </c>
      <c r="H271" s="86" t="b">
        <v>0</v>
      </c>
      <c r="I271" s="86" t="b">
        <v>0</v>
      </c>
      <c r="J271" s="86" t="b">
        <v>1</v>
      </c>
      <c r="K271" s="86" t="b">
        <v>0</v>
      </c>
      <c r="L271" s="86" t="b">
        <v>0</v>
      </c>
    </row>
    <row r="272" spans="1:12" ht="15">
      <c r="A272" s="87" t="s">
        <v>4287</v>
      </c>
      <c r="B272" s="86" t="s">
        <v>4151</v>
      </c>
      <c r="C272" s="86">
        <v>2</v>
      </c>
      <c r="D272" s="115">
        <v>0.0007071142993808518</v>
      </c>
      <c r="E272" s="115">
        <v>3.177969136009376</v>
      </c>
      <c r="F272" s="86" t="s">
        <v>4451</v>
      </c>
      <c r="G272" s="86" t="b">
        <v>1</v>
      </c>
      <c r="H272" s="86" t="b">
        <v>0</v>
      </c>
      <c r="I272" s="86" t="b">
        <v>0</v>
      </c>
      <c r="J272" s="86" t="b">
        <v>0</v>
      </c>
      <c r="K272" s="86" t="b">
        <v>0</v>
      </c>
      <c r="L272" s="86" t="b">
        <v>0</v>
      </c>
    </row>
    <row r="273" spans="1:12" ht="15">
      <c r="A273" s="87" t="s">
        <v>4088</v>
      </c>
      <c r="B273" s="86" t="s">
        <v>3355</v>
      </c>
      <c r="C273" s="86">
        <v>2</v>
      </c>
      <c r="D273" s="115">
        <v>0.0007071142993808518</v>
      </c>
      <c r="E273" s="115">
        <v>0.7588398282674003</v>
      </c>
      <c r="F273" s="86" t="s">
        <v>4451</v>
      </c>
      <c r="G273" s="86" t="b">
        <v>0</v>
      </c>
      <c r="H273" s="86" t="b">
        <v>0</v>
      </c>
      <c r="I273" s="86" t="b">
        <v>0</v>
      </c>
      <c r="J273" s="86" t="b">
        <v>0</v>
      </c>
      <c r="K273" s="86" t="b">
        <v>0</v>
      </c>
      <c r="L273" s="86" t="b">
        <v>0</v>
      </c>
    </row>
    <row r="274" spans="1:12" ht="15">
      <c r="A274" s="87" t="s">
        <v>4099</v>
      </c>
      <c r="B274" s="86" t="s">
        <v>4115</v>
      </c>
      <c r="C274" s="86">
        <v>2</v>
      </c>
      <c r="D274" s="115">
        <v>0.0007071142993808518</v>
      </c>
      <c r="E274" s="115">
        <v>2.4578098326034192</v>
      </c>
      <c r="F274" s="86" t="s">
        <v>4451</v>
      </c>
      <c r="G274" s="86" t="b">
        <v>0</v>
      </c>
      <c r="H274" s="86" t="b">
        <v>0</v>
      </c>
      <c r="I274" s="86" t="b">
        <v>0</v>
      </c>
      <c r="J274" s="86" t="b">
        <v>0</v>
      </c>
      <c r="K274" s="86" t="b">
        <v>0</v>
      </c>
      <c r="L274" s="86" t="b">
        <v>0</v>
      </c>
    </row>
    <row r="275" spans="1:12" ht="15">
      <c r="A275" s="87" t="s">
        <v>4219</v>
      </c>
      <c r="B275" s="86" t="s">
        <v>3356</v>
      </c>
      <c r="C275" s="86">
        <v>2</v>
      </c>
      <c r="D275" s="115">
        <v>0.0007071142993808518</v>
      </c>
      <c r="E275" s="115">
        <v>1.4136061701113656</v>
      </c>
      <c r="F275" s="86" t="s">
        <v>4451</v>
      </c>
      <c r="G275" s="86" t="b">
        <v>0</v>
      </c>
      <c r="H275" s="86" t="b">
        <v>0</v>
      </c>
      <c r="I275" s="86" t="b">
        <v>0</v>
      </c>
      <c r="J275" s="86" t="b">
        <v>0</v>
      </c>
      <c r="K275" s="86" t="b">
        <v>0</v>
      </c>
      <c r="L275" s="86" t="b">
        <v>0</v>
      </c>
    </row>
    <row r="276" spans="1:12" ht="15">
      <c r="A276" s="87" t="s">
        <v>4073</v>
      </c>
      <c r="B276" s="86" t="s">
        <v>4290</v>
      </c>
      <c r="C276" s="86">
        <v>2</v>
      </c>
      <c r="D276" s="115">
        <v>0.0007071142993808518</v>
      </c>
      <c r="E276" s="115">
        <v>2.6339010916591</v>
      </c>
      <c r="F276" s="86" t="s">
        <v>4451</v>
      </c>
      <c r="G276" s="86" t="b">
        <v>0</v>
      </c>
      <c r="H276" s="86" t="b">
        <v>0</v>
      </c>
      <c r="I276" s="86" t="b">
        <v>0</v>
      </c>
      <c r="J276" s="86" t="b">
        <v>0</v>
      </c>
      <c r="K276" s="86" t="b">
        <v>1</v>
      </c>
      <c r="L276" s="86" t="b">
        <v>0</v>
      </c>
    </row>
    <row r="277" spans="1:12" ht="15">
      <c r="A277" s="87" t="s">
        <v>4181</v>
      </c>
      <c r="B277" s="86" t="s">
        <v>4182</v>
      </c>
      <c r="C277" s="86">
        <v>2</v>
      </c>
      <c r="D277" s="115">
        <v>0.0007071142993808518</v>
      </c>
      <c r="E277" s="115">
        <v>2.8769391403453946</v>
      </c>
      <c r="F277" s="86" t="s">
        <v>4451</v>
      </c>
      <c r="G277" s="86" t="b">
        <v>0</v>
      </c>
      <c r="H277" s="86" t="b">
        <v>0</v>
      </c>
      <c r="I277" s="86" t="b">
        <v>0</v>
      </c>
      <c r="J277" s="86" t="b">
        <v>0</v>
      </c>
      <c r="K277" s="86" t="b">
        <v>0</v>
      </c>
      <c r="L277" s="86" t="b">
        <v>0</v>
      </c>
    </row>
    <row r="278" spans="1:12" ht="15">
      <c r="A278" s="87" t="s">
        <v>4182</v>
      </c>
      <c r="B278" s="86" t="s">
        <v>4057</v>
      </c>
      <c r="C278" s="86">
        <v>2</v>
      </c>
      <c r="D278" s="115">
        <v>0.0007071142993808518</v>
      </c>
      <c r="E278" s="115">
        <v>2.200245530720528</v>
      </c>
      <c r="F278" s="86" t="s">
        <v>4451</v>
      </c>
      <c r="G278" s="86" t="b">
        <v>0</v>
      </c>
      <c r="H278" s="86" t="b">
        <v>0</v>
      </c>
      <c r="I278" s="86" t="b">
        <v>0</v>
      </c>
      <c r="J278" s="86" t="b">
        <v>0</v>
      </c>
      <c r="K278" s="86" t="b">
        <v>0</v>
      </c>
      <c r="L278" s="86" t="b">
        <v>0</v>
      </c>
    </row>
    <row r="279" spans="1:12" ht="15">
      <c r="A279" s="87" t="s">
        <v>4057</v>
      </c>
      <c r="B279" s="86" t="s">
        <v>4042</v>
      </c>
      <c r="C279" s="86">
        <v>2</v>
      </c>
      <c r="D279" s="115">
        <v>0.0007071142993808518</v>
      </c>
      <c r="E279" s="115">
        <v>1.258237477698215</v>
      </c>
      <c r="F279" s="86" t="s">
        <v>4451</v>
      </c>
      <c r="G279" s="86" t="b">
        <v>0</v>
      </c>
      <c r="H279" s="86" t="b">
        <v>0</v>
      </c>
      <c r="I279" s="86" t="b">
        <v>0</v>
      </c>
      <c r="J279" s="86" t="b">
        <v>0</v>
      </c>
      <c r="K279" s="86" t="b">
        <v>0</v>
      </c>
      <c r="L279" s="86" t="b">
        <v>0</v>
      </c>
    </row>
    <row r="280" spans="1:12" ht="15">
      <c r="A280" s="87" t="s">
        <v>3354</v>
      </c>
      <c r="B280" s="86" t="s">
        <v>4057</v>
      </c>
      <c r="C280" s="86">
        <v>2</v>
      </c>
      <c r="D280" s="115">
        <v>0.0007071142993808518</v>
      </c>
      <c r="E280" s="115">
        <v>0.521272154800763</v>
      </c>
      <c r="F280" s="86" t="s">
        <v>4451</v>
      </c>
      <c r="G280" s="86" t="b">
        <v>0</v>
      </c>
      <c r="H280" s="86" t="b">
        <v>0</v>
      </c>
      <c r="I280" s="86" t="b">
        <v>0</v>
      </c>
      <c r="J280" s="86" t="b">
        <v>0</v>
      </c>
      <c r="K280" s="86" t="b">
        <v>0</v>
      </c>
      <c r="L280" s="86" t="b">
        <v>0</v>
      </c>
    </row>
    <row r="281" spans="1:12" ht="15">
      <c r="A281" s="87" t="s">
        <v>4057</v>
      </c>
      <c r="B281" s="86" t="s">
        <v>4221</v>
      </c>
      <c r="C281" s="86">
        <v>2</v>
      </c>
      <c r="D281" s="115">
        <v>0.0007071142993808518</v>
      </c>
      <c r="E281" s="115">
        <v>2.325184267328828</v>
      </c>
      <c r="F281" s="86" t="s">
        <v>4451</v>
      </c>
      <c r="G281" s="86" t="b">
        <v>0</v>
      </c>
      <c r="H281" s="86" t="b">
        <v>0</v>
      </c>
      <c r="I281" s="86" t="b">
        <v>0</v>
      </c>
      <c r="J281" s="86" t="b">
        <v>0</v>
      </c>
      <c r="K281" s="86" t="b">
        <v>0</v>
      </c>
      <c r="L281" s="86" t="b">
        <v>0</v>
      </c>
    </row>
    <row r="282" spans="1:12" ht="15">
      <c r="A282" s="87" t="s">
        <v>3370</v>
      </c>
      <c r="B282" s="86" t="s">
        <v>3307</v>
      </c>
      <c r="C282" s="86">
        <v>2</v>
      </c>
      <c r="D282" s="115">
        <v>0.0007071142993808518</v>
      </c>
      <c r="E282" s="115">
        <v>1.2654813746770521</v>
      </c>
      <c r="F282" s="86" t="s">
        <v>4451</v>
      </c>
      <c r="G282" s="86" t="b">
        <v>0</v>
      </c>
      <c r="H282" s="86" t="b">
        <v>0</v>
      </c>
      <c r="I282" s="86" t="b">
        <v>0</v>
      </c>
      <c r="J282" s="86" t="b">
        <v>0</v>
      </c>
      <c r="K282" s="86" t="b">
        <v>0</v>
      </c>
      <c r="L282" s="86" t="b">
        <v>0</v>
      </c>
    </row>
    <row r="283" spans="1:12" ht="15">
      <c r="A283" s="87" t="s">
        <v>4104</v>
      </c>
      <c r="B283" s="86" t="s">
        <v>3307</v>
      </c>
      <c r="C283" s="86">
        <v>2</v>
      </c>
      <c r="D283" s="115">
        <v>0.0007071142993808518</v>
      </c>
      <c r="E283" s="115">
        <v>1.1405426380687522</v>
      </c>
      <c r="F283" s="86" t="s">
        <v>4451</v>
      </c>
      <c r="G283" s="86" t="b">
        <v>0</v>
      </c>
      <c r="H283" s="86" t="b">
        <v>0</v>
      </c>
      <c r="I283" s="86" t="b">
        <v>0</v>
      </c>
      <c r="J283" s="86" t="b">
        <v>0</v>
      </c>
      <c r="K283" s="86" t="b">
        <v>0</v>
      </c>
      <c r="L283" s="86" t="b">
        <v>0</v>
      </c>
    </row>
    <row r="284" spans="1:12" ht="15">
      <c r="A284" s="87" t="s">
        <v>3307</v>
      </c>
      <c r="B284" s="86" t="s">
        <v>4126</v>
      </c>
      <c r="C284" s="86">
        <v>2</v>
      </c>
      <c r="D284" s="115">
        <v>0.0007071142993808518</v>
      </c>
      <c r="E284" s="115">
        <v>1.2422100322640641</v>
      </c>
      <c r="F284" s="86" t="s">
        <v>4451</v>
      </c>
      <c r="G284" s="86" t="b">
        <v>0</v>
      </c>
      <c r="H284" s="86" t="b">
        <v>0</v>
      </c>
      <c r="I284" s="86" t="b">
        <v>0</v>
      </c>
      <c r="J284" s="86" t="b">
        <v>0</v>
      </c>
      <c r="K284" s="86" t="b">
        <v>0</v>
      </c>
      <c r="L284" s="86" t="b">
        <v>0</v>
      </c>
    </row>
    <row r="285" spans="1:12" ht="15">
      <c r="A285" s="87" t="s">
        <v>4106</v>
      </c>
      <c r="B285" s="86" t="s">
        <v>4294</v>
      </c>
      <c r="C285" s="86">
        <v>2</v>
      </c>
      <c r="D285" s="115">
        <v>0.0007071142993808518</v>
      </c>
      <c r="E285" s="115">
        <v>2.9349310873230814</v>
      </c>
      <c r="F285" s="86" t="s">
        <v>4451</v>
      </c>
      <c r="G285" s="86" t="b">
        <v>0</v>
      </c>
      <c r="H285" s="86" t="b">
        <v>0</v>
      </c>
      <c r="I285" s="86" t="b">
        <v>0</v>
      </c>
      <c r="J285" s="86" t="b">
        <v>0</v>
      </c>
      <c r="K285" s="86" t="b">
        <v>0</v>
      </c>
      <c r="L285" s="86" t="b">
        <v>0</v>
      </c>
    </row>
    <row r="286" spans="1:12" ht="15">
      <c r="A286" s="87" t="s">
        <v>4294</v>
      </c>
      <c r="B286" s="86" t="s">
        <v>4041</v>
      </c>
      <c r="C286" s="86">
        <v>2</v>
      </c>
      <c r="D286" s="115">
        <v>0.0007071142993808518</v>
      </c>
      <c r="E286" s="115">
        <v>2.2359610829870626</v>
      </c>
      <c r="F286" s="86" t="s">
        <v>4451</v>
      </c>
      <c r="G286" s="86" t="b">
        <v>0</v>
      </c>
      <c r="H286" s="86" t="b">
        <v>0</v>
      </c>
      <c r="I286" s="86" t="b">
        <v>0</v>
      </c>
      <c r="J286" s="86" t="b">
        <v>0</v>
      </c>
      <c r="K286" s="86" t="b">
        <v>0</v>
      </c>
      <c r="L286" s="86" t="b">
        <v>0</v>
      </c>
    </row>
    <row r="287" spans="1:12" ht="15">
      <c r="A287" s="87" t="s">
        <v>4296</v>
      </c>
      <c r="B287" s="86" t="s">
        <v>4032</v>
      </c>
      <c r="C287" s="86">
        <v>2</v>
      </c>
      <c r="D287" s="115">
        <v>0.0007071142993808518</v>
      </c>
      <c r="E287" s="115">
        <v>2.177969136009376</v>
      </c>
      <c r="F287" s="86" t="s">
        <v>4451</v>
      </c>
      <c r="G287" s="86" t="b">
        <v>0</v>
      </c>
      <c r="H287" s="86" t="b">
        <v>0</v>
      </c>
      <c r="I287" s="86" t="b">
        <v>0</v>
      </c>
      <c r="J287" s="86" t="b">
        <v>0</v>
      </c>
      <c r="K287" s="86" t="b">
        <v>1</v>
      </c>
      <c r="L287" s="86" t="b">
        <v>0</v>
      </c>
    </row>
    <row r="288" spans="1:12" ht="15">
      <c r="A288" s="87" t="s">
        <v>4072</v>
      </c>
      <c r="B288" s="86" t="s">
        <v>4059</v>
      </c>
      <c r="C288" s="86">
        <v>2</v>
      </c>
      <c r="D288" s="115">
        <v>0.0007071142993808518</v>
      </c>
      <c r="E288" s="115">
        <v>1.6561774863702525</v>
      </c>
      <c r="F288" s="86" t="s">
        <v>4451</v>
      </c>
      <c r="G288" s="86" t="b">
        <v>0</v>
      </c>
      <c r="H288" s="86" t="b">
        <v>0</v>
      </c>
      <c r="I288" s="86" t="b">
        <v>0</v>
      </c>
      <c r="J288" s="86" t="b">
        <v>0</v>
      </c>
      <c r="K288" s="86" t="b">
        <v>1</v>
      </c>
      <c r="L288" s="86" t="b">
        <v>0</v>
      </c>
    </row>
    <row r="289" spans="1:12" ht="15">
      <c r="A289" s="87" t="s">
        <v>4072</v>
      </c>
      <c r="B289" s="86" t="s">
        <v>4302</v>
      </c>
      <c r="C289" s="86">
        <v>2</v>
      </c>
      <c r="D289" s="115">
        <v>0.0007071142993808518</v>
      </c>
      <c r="E289" s="115">
        <v>2.6339010916591</v>
      </c>
      <c r="F289" s="86" t="s">
        <v>4451</v>
      </c>
      <c r="G289" s="86" t="b">
        <v>0</v>
      </c>
      <c r="H289" s="86" t="b">
        <v>0</v>
      </c>
      <c r="I289" s="86" t="b">
        <v>0</v>
      </c>
      <c r="J289" s="86" t="b">
        <v>0</v>
      </c>
      <c r="K289" s="86" t="b">
        <v>0</v>
      </c>
      <c r="L289" s="86" t="b">
        <v>0</v>
      </c>
    </row>
    <row r="290" spans="1:12" ht="15">
      <c r="A290" s="87" t="s">
        <v>4051</v>
      </c>
      <c r="B290" s="86" t="s">
        <v>4062</v>
      </c>
      <c r="C290" s="86">
        <v>2</v>
      </c>
      <c r="D290" s="115">
        <v>0.0007071142993808518</v>
      </c>
      <c r="E290" s="115">
        <v>1.4278466092259758</v>
      </c>
      <c r="F290" s="86" t="s">
        <v>4451</v>
      </c>
      <c r="G290" s="86" t="b">
        <v>0</v>
      </c>
      <c r="H290" s="86" t="b">
        <v>0</v>
      </c>
      <c r="I290" s="86" t="b">
        <v>0</v>
      </c>
      <c r="J290" s="86" t="b">
        <v>0</v>
      </c>
      <c r="K290" s="86" t="b">
        <v>0</v>
      </c>
      <c r="L290" s="86" t="b">
        <v>0</v>
      </c>
    </row>
    <row r="291" spans="1:12" ht="15">
      <c r="A291" s="87" t="s">
        <v>4062</v>
      </c>
      <c r="B291" s="86" t="s">
        <v>3356</v>
      </c>
      <c r="C291" s="86">
        <v>2</v>
      </c>
      <c r="D291" s="115">
        <v>0.0007071142993808518</v>
      </c>
      <c r="E291" s="115">
        <v>1.1917574204950092</v>
      </c>
      <c r="F291" s="86" t="s">
        <v>4451</v>
      </c>
      <c r="G291" s="86" t="b">
        <v>0</v>
      </c>
      <c r="H291" s="86" t="b">
        <v>0</v>
      </c>
      <c r="I291" s="86" t="b">
        <v>0</v>
      </c>
      <c r="J291" s="86" t="b">
        <v>0</v>
      </c>
      <c r="K291" s="86" t="b">
        <v>0</v>
      </c>
      <c r="L291" s="86" t="b">
        <v>0</v>
      </c>
    </row>
    <row r="292" spans="1:12" ht="15">
      <c r="A292" s="87" t="s">
        <v>4041</v>
      </c>
      <c r="B292" s="86" t="s">
        <v>4084</v>
      </c>
      <c r="C292" s="86">
        <v>2</v>
      </c>
      <c r="D292" s="115">
        <v>0.0007071142993808518</v>
      </c>
      <c r="E292" s="115">
        <v>1.4955983934928188</v>
      </c>
      <c r="F292" s="86" t="s">
        <v>4451</v>
      </c>
      <c r="G292" s="86" t="b">
        <v>0</v>
      </c>
      <c r="H292" s="86" t="b">
        <v>0</v>
      </c>
      <c r="I292" s="86" t="b">
        <v>0</v>
      </c>
      <c r="J292" s="86" t="b">
        <v>0</v>
      </c>
      <c r="K292" s="86" t="b">
        <v>0</v>
      </c>
      <c r="L292" s="86" t="b">
        <v>0</v>
      </c>
    </row>
    <row r="293" spans="1:12" ht="15">
      <c r="A293" s="87" t="s">
        <v>3356</v>
      </c>
      <c r="B293" s="86" t="s">
        <v>3376</v>
      </c>
      <c r="C293" s="86">
        <v>2</v>
      </c>
      <c r="D293" s="115">
        <v>0.0007071142993808518</v>
      </c>
      <c r="E293" s="115">
        <v>0.4906631758173066</v>
      </c>
      <c r="F293" s="86" t="s">
        <v>4451</v>
      </c>
      <c r="G293" s="86" t="b">
        <v>0</v>
      </c>
      <c r="H293" s="86" t="b">
        <v>0</v>
      </c>
      <c r="I293" s="86" t="b">
        <v>0</v>
      </c>
      <c r="J293" s="86" t="b">
        <v>0</v>
      </c>
      <c r="K293" s="86" t="b">
        <v>0</v>
      </c>
      <c r="L293" s="86" t="b">
        <v>0</v>
      </c>
    </row>
    <row r="294" spans="1:12" ht="15">
      <c r="A294" s="87" t="s">
        <v>3359</v>
      </c>
      <c r="B294" s="86" t="s">
        <v>3355</v>
      </c>
      <c r="C294" s="86">
        <v>2</v>
      </c>
      <c r="D294" s="115">
        <v>0.0007071142993808518</v>
      </c>
      <c r="E294" s="115">
        <v>-0.21428802533229846</v>
      </c>
      <c r="F294" s="86" t="s">
        <v>4451</v>
      </c>
      <c r="G294" s="86" t="b">
        <v>0</v>
      </c>
      <c r="H294" s="86" t="b">
        <v>0</v>
      </c>
      <c r="I294" s="86" t="b">
        <v>0</v>
      </c>
      <c r="J294" s="86" t="b">
        <v>0</v>
      </c>
      <c r="K294" s="86" t="b">
        <v>0</v>
      </c>
      <c r="L294" s="86" t="b">
        <v>0</v>
      </c>
    </row>
    <row r="295" spans="1:12" ht="15">
      <c r="A295" s="87" t="s">
        <v>3367</v>
      </c>
      <c r="B295" s="86" t="s">
        <v>3354</v>
      </c>
      <c r="C295" s="86">
        <v>2</v>
      </c>
      <c r="D295" s="115">
        <v>0.0007071142993808518</v>
      </c>
      <c r="E295" s="115">
        <v>0.3848775358327959</v>
      </c>
      <c r="F295" s="86" t="s">
        <v>4451</v>
      </c>
      <c r="G295" s="86" t="b">
        <v>0</v>
      </c>
      <c r="H295" s="86" t="b">
        <v>0</v>
      </c>
      <c r="I295" s="86" t="b">
        <v>0</v>
      </c>
      <c r="J295" s="86" t="b">
        <v>0</v>
      </c>
      <c r="K295" s="86" t="b">
        <v>0</v>
      </c>
      <c r="L295" s="86" t="b">
        <v>0</v>
      </c>
    </row>
    <row r="296" spans="1:12" ht="15">
      <c r="A296" s="87" t="s">
        <v>3366</v>
      </c>
      <c r="B296" s="86" t="s">
        <v>3356</v>
      </c>
      <c r="C296" s="86">
        <v>2</v>
      </c>
      <c r="D296" s="115">
        <v>0.0007071142993808518</v>
      </c>
      <c r="E296" s="115">
        <v>0.20948618745544087</v>
      </c>
      <c r="F296" s="86" t="s">
        <v>4451</v>
      </c>
      <c r="G296" s="86" t="b">
        <v>0</v>
      </c>
      <c r="H296" s="86" t="b">
        <v>0</v>
      </c>
      <c r="I296" s="86" t="b">
        <v>0</v>
      </c>
      <c r="J296" s="86" t="b">
        <v>0</v>
      </c>
      <c r="K296" s="86" t="b">
        <v>0</v>
      </c>
      <c r="L296" s="86" t="b">
        <v>0</v>
      </c>
    </row>
    <row r="297" spans="1:12" ht="15">
      <c r="A297" s="87" t="s">
        <v>3355</v>
      </c>
      <c r="B297" s="86" t="s">
        <v>3376</v>
      </c>
      <c r="C297" s="86">
        <v>2</v>
      </c>
      <c r="D297" s="115">
        <v>0.0007071142993808518</v>
      </c>
      <c r="E297" s="115">
        <v>0.8301514233004635</v>
      </c>
      <c r="F297" s="86" t="s">
        <v>4451</v>
      </c>
      <c r="G297" s="86" t="b">
        <v>0</v>
      </c>
      <c r="H297" s="86" t="b">
        <v>0</v>
      </c>
      <c r="I297" s="86" t="b">
        <v>0</v>
      </c>
      <c r="J297" s="86" t="b">
        <v>0</v>
      </c>
      <c r="K297" s="86" t="b">
        <v>0</v>
      </c>
      <c r="L297" s="86" t="b">
        <v>0</v>
      </c>
    </row>
    <row r="298" spans="1:12" ht="15">
      <c r="A298" s="87" t="s">
        <v>4188</v>
      </c>
      <c r="B298" s="86" t="s">
        <v>3381</v>
      </c>
      <c r="C298" s="86">
        <v>2</v>
      </c>
      <c r="D298" s="115">
        <v>0.0007071142993808518</v>
      </c>
      <c r="E298" s="115">
        <v>1.6866074421751034</v>
      </c>
      <c r="F298" s="86" t="s">
        <v>4451</v>
      </c>
      <c r="G298" s="86" t="b">
        <v>0</v>
      </c>
      <c r="H298" s="86" t="b">
        <v>0</v>
      </c>
      <c r="I298" s="86" t="b">
        <v>0</v>
      </c>
      <c r="J298" s="86" t="b">
        <v>0</v>
      </c>
      <c r="K298" s="86" t="b">
        <v>0</v>
      </c>
      <c r="L298" s="86" t="b">
        <v>0</v>
      </c>
    </row>
    <row r="299" spans="1:12" ht="15">
      <c r="A299" s="87" t="s">
        <v>3327</v>
      </c>
      <c r="B299" s="86" t="s">
        <v>3377</v>
      </c>
      <c r="C299" s="86">
        <v>2</v>
      </c>
      <c r="D299" s="115">
        <v>0.0007071142993808518</v>
      </c>
      <c r="E299" s="115">
        <v>1.0902764311981819</v>
      </c>
      <c r="F299" s="86" t="s">
        <v>4451</v>
      </c>
      <c r="G299" s="86" t="b">
        <v>0</v>
      </c>
      <c r="H299" s="86" t="b">
        <v>0</v>
      </c>
      <c r="I299" s="86" t="b">
        <v>0</v>
      </c>
      <c r="J299" s="86" t="b">
        <v>1</v>
      </c>
      <c r="K299" s="86" t="b">
        <v>0</v>
      </c>
      <c r="L299" s="86" t="b">
        <v>0</v>
      </c>
    </row>
    <row r="300" spans="1:12" ht="15">
      <c r="A300" s="87" t="s">
        <v>3356</v>
      </c>
      <c r="B300" s="86" t="s">
        <v>4062</v>
      </c>
      <c r="C300" s="86">
        <v>2</v>
      </c>
      <c r="D300" s="115">
        <v>0.0007071142993808518</v>
      </c>
      <c r="E300" s="115">
        <v>0.5778133515362068</v>
      </c>
      <c r="F300" s="86" t="s">
        <v>4451</v>
      </c>
      <c r="G300" s="86" t="b">
        <v>0</v>
      </c>
      <c r="H300" s="86" t="b">
        <v>0</v>
      </c>
      <c r="I300" s="86" t="b">
        <v>0</v>
      </c>
      <c r="J300" s="86" t="b">
        <v>0</v>
      </c>
      <c r="K300" s="86" t="b">
        <v>0</v>
      </c>
      <c r="L300" s="86" t="b">
        <v>0</v>
      </c>
    </row>
    <row r="301" spans="1:12" ht="15">
      <c r="A301" s="87" t="s">
        <v>3383</v>
      </c>
      <c r="B301" s="86" t="s">
        <v>4054</v>
      </c>
      <c r="C301" s="86">
        <v>2</v>
      </c>
      <c r="D301" s="115">
        <v>0.0007071142993808518</v>
      </c>
      <c r="E301" s="115">
        <v>1.2002455307205282</v>
      </c>
      <c r="F301" s="86" t="s">
        <v>4451</v>
      </c>
      <c r="G301" s="86" t="b">
        <v>0</v>
      </c>
      <c r="H301" s="86" t="b">
        <v>0</v>
      </c>
      <c r="I301" s="86" t="b">
        <v>0</v>
      </c>
      <c r="J301" s="86" t="b">
        <v>0</v>
      </c>
      <c r="K301" s="86" t="b">
        <v>0</v>
      </c>
      <c r="L301" s="86" t="b">
        <v>0</v>
      </c>
    </row>
    <row r="302" spans="1:12" ht="15">
      <c r="A302" s="87" t="s">
        <v>4190</v>
      </c>
      <c r="B302" s="86" t="s">
        <v>4229</v>
      </c>
      <c r="C302" s="86">
        <v>2</v>
      </c>
      <c r="D302" s="115">
        <v>0.0007071142993808518</v>
      </c>
      <c r="E302" s="115">
        <v>3.177969136009376</v>
      </c>
      <c r="F302" s="86" t="s">
        <v>4451</v>
      </c>
      <c r="G302" s="86" t="b">
        <v>0</v>
      </c>
      <c r="H302" s="86" t="b">
        <v>0</v>
      </c>
      <c r="I302" s="86" t="b">
        <v>0</v>
      </c>
      <c r="J302" s="86" t="b">
        <v>0</v>
      </c>
      <c r="K302" s="86" t="b">
        <v>0</v>
      </c>
      <c r="L302" s="86" t="b">
        <v>0</v>
      </c>
    </row>
    <row r="303" spans="1:12" ht="15">
      <c r="A303" s="87" t="s">
        <v>4020</v>
      </c>
      <c r="B303" s="86" t="s">
        <v>3307</v>
      </c>
      <c r="C303" s="86">
        <v>2</v>
      </c>
      <c r="D303" s="115">
        <v>0.0007071142993808518</v>
      </c>
      <c r="E303" s="115">
        <v>0.22408868951882724</v>
      </c>
      <c r="F303" s="86" t="s">
        <v>4451</v>
      </c>
      <c r="G303" s="86" t="b">
        <v>0</v>
      </c>
      <c r="H303" s="86" t="b">
        <v>1</v>
      </c>
      <c r="I303" s="86" t="b">
        <v>0</v>
      </c>
      <c r="J303" s="86" t="b">
        <v>0</v>
      </c>
      <c r="K303" s="86" t="b">
        <v>0</v>
      </c>
      <c r="L303" s="86" t="b">
        <v>0</v>
      </c>
    </row>
    <row r="304" spans="1:12" ht="15">
      <c r="A304" s="87" t="s">
        <v>3385</v>
      </c>
      <c r="B304" s="86" t="s">
        <v>3388</v>
      </c>
      <c r="C304" s="86">
        <v>2</v>
      </c>
      <c r="D304" s="115">
        <v>0.0007071142993808518</v>
      </c>
      <c r="E304" s="115">
        <v>2.683119114329282</v>
      </c>
      <c r="F304" s="86" t="s">
        <v>4451</v>
      </c>
      <c r="G304" s="86" t="b">
        <v>1</v>
      </c>
      <c r="H304" s="86" t="b">
        <v>0</v>
      </c>
      <c r="I304" s="86" t="b">
        <v>0</v>
      </c>
      <c r="J304" s="86" t="b">
        <v>0</v>
      </c>
      <c r="K304" s="86" t="b">
        <v>0</v>
      </c>
      <c r="L304" s="86" t="b">
        <v>0</v>
      </c>
    </row>
    <row r="305" spans="1:12" ht="15">
      <c r="A305" s="87" t="s">
        <v>3319</v>
      </c>
      <c r="B305" s="86" t="s">
        <v>4313</v>
      </c>
      <c r="C305" s="86">
        <v>2</v>
      </c>
      <c r="D305" s="115">
        <v>0.0008013481374350015</v>
      </c>
      <c r="E305" s="115">
        <v>2.7800291273373383</v>
      </c>
      <c r="F305" s="86" t="s">
        <v>4451</v>
      </c>
      <c r="G305" s="86" t="b">
        <v>0</v>
      </c>
      <c r="H305" s="86" t="b">
        <v>0</v>
      </c>
      <c r="I305" s="86" t="b">
        <v>0</v>
      </c>
      <c r="J305" s="86" t="b">
        <v>0</v>
      </c>
      <c r="K305" s="86" t="b">
        <v>0</v>
      </c>
      <c r="L305" s="86" t="b">
        <v>0</v>
      </c>
    </row>
    <row r="306" spans="1:12" ht="15">
      <c r="A306" s="87" t="s">
        <v>3382</v>
      </c>
      <c r="B306" s="86" t="s">
        <v>3356</v>
      </c>
      <c r="C306" s="86">
        <v>2</v>
      </c>
      <c r="D306" s="115">
        <v>0.0007071142993808518</v>
      </c>
      <c r="E306" s="115">
        <v>0.17472408119622887</v>
      </c>
      <c r="F306" s="86" t="s">
        <v>4451</v>
      </c>
      <c r="G306" s="86" t="b">
        <v>0</v>
      </c>
      <c r="H306" s="86" t="b">
        <v>0</v>
      </c>
      <c r="I306" s="86" t="b">
        <v>0</v>
      </c>
      <c r="J306" s="86" t="b">
        <v>0</v>
      </c>
      <c r="K306" s="86" t="b">
        <v>0</v>
      </c>
      <c r="L306" s="86" t="b">
        <v>0</v>
      </c>
    </row>
    <row r="307" spans="1:12" ht="15">
      <c r="A307" s="87" t="s">
        <v>4093</v>
      </c>
      <c r="B307" s="86" t="s">
        <v>4236</v>
      </c>
      <c r="C307" s="86">
        <v>2</v>
      </c>
      <c r="D307" s="115">
        <v>0.0007071142993808518</v>
      </c>
      <c r="E307" s="115">
        <v>2.603937868281657</v>
      </c>
      <c r="F307" s="86" t="s">
        <v>4451</v>
      </c>
      <c r="G307" s="86" t="b">
        <v>0</v>
      </c>
      <c r="H307" s="86" t="b">
        <v>0</v>
      </c>
      <c r="I307" s="86" t="b">
        <v>0</v>
      </c>
      <c r="J307" s="86" t="b">
        <v>0</v>
      </c>
      <c r="K307" s="86" t="b">
        <v>0</v>
      </c>
      <c r="L307" s="86" t="b">
        <v>0</v>
      </c>
    </row>
    <row r="308" spans="1:12" ht="15">
      <c r="A308" s="87" t="s">
        <v>3380</v>
      </c>
      <c r="B308" s="86" t="s">
        <v>4317</v>
      </c>
      <c r="C308" s="86">
        <v>2</v>
      </c>
      <c r="D308" s="115">
        <v>0.0007071142993808518</v>
      </c>
      <c r="E308" s="115">
        <v>1.882402036046897</v>
      </c>
      <c r="F308" s="86" t="s">
        <v>4451</v>
      </c>
      <c r="G308" s="86" t="b">
        <v>0</v>
      </c>
      <c r="H308" s="86" t="b">
        <v>0</v>
      </c>
      <c r="I308" s="86" t="b">
        <v>0</v>
      </c>
      <c r="J308" s="86" t="b">
        <v>0</v>
      </c>
      <c r="K308" s="86" t="b">
        <v>0</v>
      </c>
      <c r="L308" s="86" t="b">
        <v>0</v>
      </c>
    </row>
    <row r="309" spans="1:12" ht="15">
      <c r="A309" s="87" t="s">
        <v>4317</v>
      </c>
      <c r="B309" s="86" t="s">
        <v>4318</v>
      </c>
      <c r="C309" s="86">
        <v>2</v>
      </c>
      <c r="D309" s="115">
        <v>0.0007071142993808518</v>
      </c>
      <c r="E309" s="115">
        <v>3.478999131673357</v>
      </c>
      <c r="F309" s="86" t="s">
        <v>4451</v>
      </c>
      <c r="G309" s="86" t="b">
        <v>0</v>
      </c>
      <c r="H309" s="86" t="b">
        <v>0</v>
      </c>
      <c r="I309" s="86" t="b">
        <v>0</v>
      </c>
      <c r="J309" s="86" t="b">
        <v>0</v>
      </c>
      <c r="K309" s="86" t="b">
        <v>0</v>
      </c>
      <c r="L309" s="86" t="b">
        <v>0</v>
      </c>
    </row>
    <row r="310" spans="1:12" ht="15">
      <c r="A310" s="87" t="s">
        <v>4318</v>
      </c>
      <c r="B310" s="86" t="s">
        <v>4058</v>
      </c>
      <c r="C310" s="86">
        <v>2</v>
      </c>
      <c r="D310" s="115">
        <v>0.0007071142993808518</v>
      </c>
      <c r="E310" s="115">
        <v>2.603937868281657</v>
      </c>
      <c r="F310" s="86" t="s">
        <v>4451</v>
      </c>
      <c r="G310" s="86" t="b">
        <v>0</v>
      </c>
      <c r="H310" s="86" t="b">
        <v>0</v>
      </c>
      <c r="I310" s="86" t="b">
        <v>0</v>
      </c>
      <c r="J310" s="86" t="b">
        <v>0</v>
      </c>
      <c r="K310" s="86" t="b">
        <v>0</v>
      </c>
      <c r="L310" s="86" t="b">
        <v>0</v>
      </c>
    </row>
    <row r="311" spans="1:12" ht="15">
      <c r="A311" s="87" t="s">
        <v>4058</v>
      </c>
      <c r="B311" s="86" t="s">
        <v>3379</v>
      </c>
      <c r="C311" s="86">
        <v>2</v>
      </c>
      <c r="D311" s="115">
        <v>0.0007071142993808518</v>
      </c>
      <c r="E311" s="115">
        <v>1.1490930082731468</v>
      </c>
      <c r="F311" s="86" t="s">
        <v>4451</v>
      </c>
      <c r="G311" s="86" t="b">
        <v>0</v>
      </c>
      <c r="H311" s="86" t="b">
        <v>0</v>
      </c>
      <c r="I311" s="86" t="b">
        <v>0</v>
      </c>
      <c r="J311" s="86" t="b">
        <v>0</v>
      </c>
      <c r="K311" s="86" t="b">
        <v>0</v>
      </c>
      <c r="L311" s="86" t="b">
        <v>0</v>
      </c>
    </row>
    <row r="312" spans="1:12" ht="15">
      <c r="A312" s="87" t="s">
        <v>3379</v>
      </c>
      <c r="B312" s="86" t="s">
        <v>4042</v>
      </c>
      <c r="C312" s="86">
        <v>2</v>
      </c>
      <c r="D312" s="115">
        <v>0.0007071142993808518</v>
      </c>
      <c r="E312" s="115">
        <v>0.8742332469694698</v>
      </c>
      <c r="F312" s="86" t="s">
        <v>4451</v>
      </c>
      <c r="G312" s="86" t="b">
        <v>0</v>
      </c>
      <c r="H312" s="86" t="b">
        <v>0</v>
      </c>
      <c r="I312" s="86" t="b">
        <v>0</v>
      </c>
      <c r="J312" s="86" t="b">
        <v>0</v>
      </c>
      <c r="K312" s="86" t="b">
        <v>0</v>
      </c>
      <c r="L312" s="86" t="b">
        <v>0</v>
      </c>
    </row>
    <row r="313" spans="1:12" ht="15">
      <c r="A313" s="87" t="s">
        <v>4102</v>
      </c>
      <c r="B313" s="86" t="s">
        <v>3356</v>
      </c>
      <c r="C313" s="86">
        <v>2</v>
      </c>
      <c r="D313" s="115">
        <v>0.0007071142993808518</v>
      </c>
      <c r="E313" s="115">
        <v>0.9364849153917032</v>
      </c>
      <c r="F313" s="86" t="s">
        <v>4451</v>
      </c>
      <c r="G313" s="86" t="b">
        <v>0</v>
      </c>
      <c r="H313" s="86" t="b">
        <v>0</v>
      </c>
      <c r="I313" s="86" t="b">
        <v>0</v>
      </c>
      <c r="J313" s="86" t="b">
        <v>0</v>
      </c>
      <c r="K313" s="86" t="b">
        <v>0</v>
      </c>
      <c r="L313" s="86" t="b">
        <v>0</v>
      </c>
    </row>
    <row r="314" spans="1:12" ht="15">
      <c r="A314" s="87" t="s">
        <v>3356</v>
      </c>
      <c r="B314" s="86" t="s">
        <v>4029</v>
      </c>
      <c r="C314" s="86">
        <v>2</v>
      </c>
      <c r="D314" s="115">
        <v>0.0007071142993808518</v>
      </c>
      <c r="E314" s="115">
        <v>0.1798733428641692</v>
      </c>
      <c r="F314" s="86" t="s">
        <v>4451</v>
      </c>
      <c r="G314" s="86" t="b">
        <v>0</v>
      </c>
      <c r="H314" s="86" t="b">
        <v>0</v>
      </c>
      <c r="I314" s="86" t="b">
        <v>0</v>
      </c>
      <c r="J314" s="86" t="b">
        <v>0</v>
      </c>
      <c r="K314" s="86" t="b">
        <v>0</v>
      </c>
      <c r="L314" s="86" t="b">
        <v>0</v>
      </c>
    </row>
    <row r="315" spans="1:12" ht="15">
      <c r="A315" s="87" t="s">
        <v>4029</v>
      </c>
      <c r="B315" s="86" t="s">
        <v>462</v>
      </c>
      <c r="C315" s="86">
        <v>2</v>
      </c>
      <c r="D315" s="115">
        <v>0.0007071142993808518</v>
      </c>
      <c r="E315" s="115">
        <v>0.9093326693480884</v>
      </c>
      <c r="F315" s="86" t="s">
        <v>4451</v>
      </c>
      <c r="G315" s="86" t="b">
        <v>0</v>
      </c>
      <c r="H315" s="86" t="b">
        <v>0</v>
      </c>
      <c r="I315" s="86" t="b">
        <v>0</v>
      </c>
      <c r="J315" s="86" t="b">
        <v>0</v>
      </c>
      <c r="K315" s="86" t="b">
        <v>0</v>
      </c>
      <c r="L315" s="86" t="b">
        <v>0</v>
      </c>
    </row>
    <row r="316" spans="1:12" ht="15">
      <c r="A316" s="87" t="s">
        <v>462</v>
      </c>
      <c r="B316" s="86" t="s">
        <v>4319</v>
      </c>
      <c r="C316" s="86">
        <v>2</v>
      </c>
      <c r="D316" s="115">
        <v>0.0007071142993808518</v>
      </c>
      <c r="E316" s="115">
        <v>2.261515187459451</v>
      </c>
      <c r="F316" s="86" t="s">
        <v>4451</v>
      </c>
      <c r="G316" s="86" t="b">
        <v>0</v>
      </c>
      <c r="H316" s="86" t="b">
        <v>0</v>
      </c>
      <c r="I316" s="86" t="b">
        <v>0</v>
      </c>
      <c r="J316" s="86" t="b">
        <v>0</v>
      </c>
      <c r="K316" s="86" t="b">
        <v>0</v>
      </c>
      <c r="L316" s="86" t="b">
        <v>0</v>
      </c>
    </row>
    <row r="317" spans="1:12" ht="15">
      <c r="A317" s="87" t="s">
        <v>4319</v>
      </c>
      <c r="B317" s="86" t="s">
        <v>4096</v>
      </c>
      <c r="C317" s="86">
        <v>2</v>
      </c>
      <c r="D317" s="115">
        <v>0.0007071142993808518</v>
      </c>
      <c r="E317" s="115">
        <v>2.8257866178980136</v>
      </c>
      <c r="F317" s="86" t="s">
        <v>4451</v>
      </c>
      <c r="G317" s="86" t="b">
        <v>0</v>
      </c>
      <c r="H317" s="86" t="b">
        <v>0</v>
      </c>
      <c r="I317" s="86" t="b">
        <v>0</v>
      </c>
      <c r="J317" s="86" t="b">
        <v>0</v>
      </c>
      <c r="K317" s="86" t="b">
        <v>1</v>
      </c>
      <c r="L317" s="86" t="b">
        <v>0</v>
      </c>
    </row>
    <row r="318" spans="1:12" ht="15">
      <c r="A318" s="87" t="s">
        <v>4096</v>
      </c>
      <c r="B318" s="86" t="s">
        <v>4224</v>
      </c>
      <c r="C318" s="86">
        <v>2</v>
      </c>
      <c r="D318" s="115">
        <v>0.0007071142993808518</v>
      </c>
      <c r="E318" s="115">
        <v>2.649695358842332</v>
      </c>
      <c r="F318" s="86" t="s">
        <v>4451</v>
      </c>
      <c r="G318" s="86" t="b">
        <v>0</v>
      </c>
      <c r="H318" s="86" t="b">
        <v>1</v>
      </c>
      <c r="I318" s="86" t="b">
        <v>0</v>
      </c>
      <c r="J318" s="86" t="b">
        <v>0</v>
      </c>
      <c r="K318" s="86" t="b">
        <v>0</v>
      </c>
      <c r="L318" s="86" t="b">
        <v>0</v>
      </c>
    </row>
    <row r="319" spans="1:12" ht="15">
      <c r="A319" s="87" t="s">
        <v>4224</v>
      </c>
      <c r="B319" s="86" t="s">
        <v>4320</v>
      </c>
      <c r="C319" s="86">
        <v>2</v>
      </c>
      <c r="D319" s="115">
        <v>0.0007071142993808518</v>
      </c>
      <c r="E319" s="115">
        <v>3.3029078726176757</v>
      </c>
      <c r="F319" s="86" t="s">
        <v>4451</v>
      </c>
      <c r="G319" s="86" t="b">
        <v>0</v>
      </c>
      <c r="H319" s="86" t="b">
        <v>0</v>
      </c>
      <c r="I319" s="86" t="b">
        <v>0</v>
      </c>
      <c r="J319" s="86" t="b">
        <v>0</v>
      </c>
      <c r="K319" s="86" t="b">
        <v>0</v>
      </c>
      <c r="L319" s="86" t="b">
        <v>0</v>
      </c>
    </row>
    <row r="320" spans="1:12" ht="15">
      <c r="A320" s="87" t="s">
        <v>4320</v>
      </c>
      <c r="B320" s="86" t="s">
        <v>4321</v>
      </c>
      <c r="C320" s="86">
        <v>2</v>
      </c>
      <c r="D320" s="115">
        <v>0.0007071142993808518</v>
      </c>
      <c r="E320" s="115">
        <v>3.478999131673357</v>
      </c>
      <c r="F320" s="86" t="s">
        <v>4451</v>
      </c>
      <c r="G320" s="86" t="b">
        <v>0</v>
      </c>
      <c r="H320" s="86" t="b">
        <v>0</v>
      </c>
      <c r="I320" s="86" t="b">
        <v>0</v>
      </c>
      <c r="J320" s="86" t="b">
        <v>0</v>
      </c>
      <c r="K320" s="86" t="b">
        <v>0</v>
      </c>
      <c r="L320" s="86" t="b">
        <v>0</v>
      </c>
    </row>
    <row r="321" spans="1:12" ht="15">
      <c r="A321" s="87" t="s">
        <v>4321</v>
      </c>
      <c r="B321" s="86" t="s">
        <v>4158</v>
      </c>
      <c r="C321" s="86">
        <v>2</v>
      </c>
      <c r="D321" s="115">
        <v>0.0007071142993808518</v>
      </c>
      <c r="E321" s="115">
        <v>3.0810591230013196</v>
      </c>
      <c r="F321" s="86" t="s">
        <v>4451</v>
      </c>
      <c r="G321" s="86" t="b">
        <v>0</v>
      </c>
      <c r="H321" s="86" t="b">
        <v>0</v>
      </c>
      <c r="I321" s="86" t="b">
        <v>0</v>
      </c>
      <c r="J321" s="86" t="b">
        <v>0</v>
      </c>
      <c r="K321" s="86" t="b">
        <v>0</v>
      </c>
      <c r="L321" s="86" t="b">
        <v>0</v>
      </c>
    </row>
    <row r="322" spans="1:12" ht="15">
      <c r="A322" s="87" t="s">
        <v>4158</v>
      </c>
      <c r="B322" s="86" t="s">
        <v>3363</v>
      </c>
      <c r="C322" s="86">
        <v>2</v>
      </c>
      <c r="D322" s="115">
        <v>0.0007071142993808518</v>
      </c>
      <c r="E322" s="115">
        <v>1.4844620273748594</v>
      </c>
      <c r="F322" s="86" t="s">
        <v>4451</v>
      </c>
      <c r="G322" s="86" t="b">
        <v>0</v>
      </c>
      <c r="H322" s="86" t="b">
        <v>0</v>
      </c>
      <c r="I322" s="86" t="b">
        <v>0</v>
      </c>
      <c r="J322" s="86" t="b">
        <v>0</v>
      </c>
      <c r="K322" s="86" t="b">
        <v>0</v>
      </c>
      <c r="L322" s="86" t="b">
        <v>0</v>
      </c>
    </row>
    <row r="323" spans="1:12" ht="15">
      <c r="A323" s="87" t="s">
        <v>3361</v>
      </c>
      <c r="B323" s="86" t="s">
        <v>4322</v>
      </c>
      <c r="C323" s="86">
        <v>2</v>
      </c>
      <c r="D323" s="115">
        <v>0.0007071142993808518</v>
      </c>
      <c r="E323" s="115">
        <v>1.816241299991783</v>
      </c>
      <c r="F323" s="86" t="s">
        <v>4451</v>
      </c>
      <c r="G323" s="86" t="b">
        <v>0</v>
      </c>
      <c r="H323" s="86" t="b">
        <v>0</v>
      </c>
      <c r="I323" s="86" t="b">
        <v>0</v>
      </c>
      <c r="J323" s="86" t="b">
        <v>0</v>
      </c>
      <c r="K323" s="86" t="b">
        <v>0</v>
      </c>
      <c r="L323" s="86" t="b">
        <v>0</v>
      </c>
    </row>
    <row r="324" spans="1:12" ht="15">
      <c r="A324" s="87" t="s">
        <v>3361</v>
      </c>
      <c r="B324" s="86" t="s">
        <v>4032</v>
      </c>
      <c r="C324" s="86">
        <v>2</v>
      </c>
      <c r="D324" s="115">
        <v>0.0007071142993808518</v>
      </c>
      <c r="E324" s="115">
        <v>0.5152113043278019</v>
      </c>
      <c r="F324" s="86" t="s">
        <v>4451</v>
      </c>
      <c r="G324" s="86" t="b">
        <v>0</v>
      </c>
      <c r="H324" s="86" t="b">
        <v>0</v>
      </c>
      <c r="I324" s="86" t="b">
        <v>0</v>
      </c>
      <c r="J324" s="86" t="b">
        <v>0</v>
      </c>
      <c r="K324" s="86" t="b">
        <v>1</v>
      </c>
      <c r="L324" s="86" t="b">
        <v>0</v>
      </c>
    </row>
    <row r="325" spans="1:12" ht="15">
      <c r="A325" s="87" t="s">
        <v>3327</v>
      </c>
      <c r="B325" s="86" t="s">
        <v>4072</v>
      </c>
      <c r="C325" s="86">
        <v>2</v>
      </c>
      <c r="D325" s="115">
        <v>0.0007071142993808518</v>
      </c>
      <c r="E325" s="115">
        <v>0.9855410806781688</v>
      </c>
      <c r="F325" s="86" t="s">
        <v>4451</v>
      </c>
      <c r="G325" s="86" t="b">
        <v>0</v>
      </c>
      <c r="H325" s="86" t="b">
        <v>0</v>
      </c>
      <c r="I325" s="86" t="b">
        <v>0</v>
      </c>
      <c r="J325" s="86" t="b">
        <v>0</v>
      </c>
      <c r="K325" s="86" t="b">
        <v>0</v>
      </c>
      <c r="L325" s="86" t="b">
        <v>0</v>
      </c>
    </row>
    <row r="326" spans="1:12" ht="15">
      <c r="A326" s="87" t="s">
        <v>4072</v>
      </c>
      <c r="B326" s="86" t="s">
        <v>4089</v>
      </c>
      <c r="C326" s="86">
        <v>2</v>
      </c>
      <c r="D326" s="115">
        <v>0.0007071142993808518</v>
      </c>
      <c r="E326" s="115">
        <v>1.9349310873230816</v>
      </c>
      <c r="F326" s="86" t="s">
        <v>4451</v>
      </c>
      <c r="G326" s="86" t="b">
        <v>0</v>
      </c>
      <c r="H326" s="86" t="b">
        <v>0</v>
      </c>
      <c r="I326" s="86" t="b">
        <v>0</v>
      </c>
      <c r="J326" s="86" t="b">
        <v>0</v>
      </c>
      <c r="K326" s="86" t="b">
        <v>0</v>
      </c>
      <c r="L326" s="86" t="b">
        <v>0</v>
      </c>
    </row>
    <row r="327" spans="1:12" ht="15">
      <c r="A327" s="87" t="s">
        <v>4330</v>
      </c>
      <c r="B327" s="86" t="s">
        <v>4059</v>
      </c>
      <c r="C327" s="86">
        <v>2</v>
      </c>
      <c r="D327" s="115">
        <v>0.0007071142993808518</v>
      </c>
      <c r="E327" s="115">
        <v>2.5012755263845095</v>
      </c>
      <c r="F327" s="86" t="s">
        <v>4451</v>
      </c>
      <c r="G327" s="86" t="b">
        <v>0</v>
      </c>
      <c r="H327" s="86" t="b">
        <v>0</v>
      </c>
      <c r="I327" s="86" t="b">
        <v>0</v>
      </c>
      <c r="J327" s="86" t="b">
        <v>0</v>
      </c>
      <c r="K327" s="86" t="b">
        <v>1</v>
      </c>
      <c r="L327" s="86" t="b">
        <v>0</v>
      </c>
    </row>
    <row r="328" spans="1:12" ht="15">
      <c r="A328" s="87" t="s">
        <v>4137</v>
      </c>
      <c r="B328" s="86" t="s">
        <v>3356</v>
      </c>
      <c r="C328" s="86">
        <v>2</v>
      </c>
      <c r="D328" s="115">
        <v>0.0007071142993808518</v>
      </c>
      <c r="E328" s="115">
        <v>1.1125761744473845</v>
      </c>
      <c r="F328" s="86" t="s">
        <v>4451</v>
      </c>
      <c r="G328" s="86" t="b">
        <v>0</v>
      </c>
      <c r="H328" s="86" t="b">
        <v>0</v>
      </c>
      <c r="I328" s="86" t="b">
        <v>0</v>
      </c>
      <c r="J328" s="86" t="b">
        <v>0</v>
      </c>
      <c r="K328" s="86" t="b">
        <v>0</v>
      </c>
      <c r="L328" s="86" t="b">
        <v>0</v>
      </c>
    </row>
    <row r="329" spans="1:12" ht="15">
      <c r="A329" s="87" t="s">
        <v>3355</v>
      </c>
      <c r="B329" s="86" t="s">
        <v>4241</v>
      </c>
      <c r="C329" s="86">
        <v>2</v>
      </c>
      <c r="D329" s="115">
        <v>0.0007071142993808518</v>
      </c>
      <c r="E329" s="115">
        <v>1.6954528494030074</v>
      </c>
      <c r="F329" s="86" t="s">
        <v>4451</v>
      </c>
      <c r="G329" s="86" t="b">
        <v>0</v>
      </c>
      <c r="H329" s="86" t="b">
        <v>0</v>
      </c>
      <c r="I329" s="86" t="b">
        <v>0</v>
      </c>
      <c r="J329" s="86" t="b">
        <v>0</v>
      </c>
      <c r="K329" s="86" t="b">
        <v>0</v>
      </c>
      <c r="L329" s="86" t="b">
        <v>0</v>
      </c>
    </row>
    <row r="330" spans="1:12" ht="15">
      <c r="A330" s="87" t="s">
        <v>4020</v>
      </c>
      <c r="B330" s="86" t="s">
        <v>3327</v>
      </c>
      <c r="C330" s="86">
        <v>2</v>
      </c>
      <c r="D330" s="115">
        <v>0.0007071142993808518</v>
      </c>
      <c r="E330" s="115">
        <v>0.36388809616900947</v>
      </c>
      <c r="F330" s="86" t="s">
        <v>4451</v>
      </c>
      <c r="G330" s="86" t="b">
        <v>0</v>
      </c>
      <c r="H330" s="86" t="b">
        <v>1</v>
      </c>
      <c r="I330" s="86" t="b">
        <v>0</v>
      </c>
      <c r="J330" s="86" t="b">
        <v>0</v>
      </c>
      <c r="K330" s="86" t="b">
        <v>0</v>
      </c>
      <c r="L330" s="86" t="b">
        <v>0</v>
      </c>
    </row>
    <row r="331" spans="1:12" ht="15">
      <c r="A331" s="87" t="s">
        <v>4028</v>
      </c>
      <c r="B331" s="86" t="s">
        <v>3358</v>
      </c>
      <c r="C331" s="86">
        <v>2</v>
      </c>
      <c r="D331" s="115">
        <v>0.0007071142993808518</v>
      </c>
      <c r="E331" s="115">
        <v>0.5984713534745519</v>
      </c>
      <c r="F331" s="86" t="s">
        <v>4451</v>
      </c>
      <c r="G331" s="86" t="b">
        <v>0</v>
      </c>
      <c r="H331" s="86" t="b">
        <v>0</v>
      </c>
      <c r="I331" s="86" t="b">
        <v>0</v>
      </c>
      <c r="J331" s="86" t="b">
        <v>0</v>
      </c>
      <c r="K331" s="86" t="b">
        <v>0</v>
      </c>
      <c r="L331" s="86" t="b">
        <v>0</v>
      </c>
    </row>
    <row r="332" spans="1:12" ht="15">
      <c r="A332" s="87" t="s">
        <v>3355</v>
      </c>
      <c r="B332" s="86" t="s">
        <v>4050</v>
      </c>
      <c r="C332" s="86">
        <v>2</v>
      </c>
      <c r="D332" s="115">
        <v>0.0007071142993808518</v>
      </c>
      <c r="E332" s="115">
        <v>0.7412103399636826</v>
      </c>
      <c r="F332" s="86" t="s">
        <v>4451</v>
      </c>
      <c r="G332" s="86" t="b">
        <v>0</v>
      </c>
      <c r="H332" s="86" t="b">
        <v>0</v>
      </c>
      <c r="I332" s="86" t="b">
        <v>0</v>
      </c>
      <c r="J332" s="86" t="b">
        <v>0</v>
      </c>
      <c r="K332" s="86" t="b">
        <v>0</v>
      </c>
      <c r="L332" s="86" t="b">
        <v>0</v>
      </c>
    </row>
    <row r="333" spans="1:12" ht="15">
      <c r="A333" s="87" t="s">
        <v>4243</v>
      </c>
      <c r="B333" s="86" t="s">
        <v>4028</v>
      </c>
      <c r="C333" s="86">
        <v>2</v>
      </c>
      <c r="D333" s="115">
        <v>0.0007071142993808518</v>
      </c>
      <c r="E333" s="115">
        <v>1.9137417882531433</v>
      </c>
      <c r="F333" s="86" t="s">
        <v>4451</v>
      </c>
      <c r="G333" s="86" t="b">
        <v>0</v>
      </c>
      <c r="H333" s="86" t="b">
        <v>0</v>
      </c>
      <c r="I333" s="86" t="b">
        <v>0</v>
      </c>
      <c r="J333" s="86" t="b">
        <v>0</v>
      </c>
      <c r="K333" s="86" t="b">
        <v>0</v>
      </c>
      <c r="L333" s="86" t="b">
        <v>0</v>
      </c>
    </row>
    <row r="334" spans="1:12" ht="15">
      <c r="A334" s="87" t="s">
        <v>4344</v>
      </c>
      <c r="B334" s="86" t="s">
        <v>4345</v>
      </c>
      <c r="C334" s="86">
        <v>2</v>
      </c>
      <c r="D334" s="115">
        <v>0.0007071142993808518</v>
      </c>
      <c r="E334" s="115">
        <v>3.478999131673357</v>
      </c>
      <c r="F334" s="86" t="s">
        <v>4451</v>
      </c>
      <c r="G334" s="86" t="b">
        <v>0</v>
      </c>
      <c r="H334" s="86" t="b">
        <v>0</v>
      </c>
      <c r="I334" s="86" t="b">
        <v>0</v>
      </c>
      <c r="J334" s="86" t="b">
        <v>0</v>
      </c>
      <c r="K334" s="86" t="b">
        <v>0</v>
      </c>
      <c r="L334" s="86" t="b">
        <v>0</v>
      </c>
    </row>
    <row r="335" spans="1:12" ht="15">
      <c r="A335" s="87" t="s">
        <v>4345</v>
      </c>
      <c r="B335" s="86" t="s">
        <v>3375</v>
      </c>
      <c r="C335" s="86">
        <v>2</v>
      </c>
      <c r="D335" s="115">
        <v>0.0007071142993808518</v>
      </c>
      <c r="E335" s="115">
        <v>2.8257866178980136</v>
      </c>
      <c r="F335" s="86" t="s">
        <v>4451</v>
      </c>
      <c r="G335" s="86" t="b">
        <v>0</v>
      </c>
      <c r="H335" s="86" t="b">
        <v>0</v>
      </c>
      <c r="I335" s="86" t="b">
        <v>0</v>
      </c>
      <c r="J335" s="86" t="b">
        <v>0</v>
      </c>
      <c r="K335" s="86" t="b">
        <v>0</v>
      </c>
      <c r="L335" s="86" t="b">
        <v>0</v>
      </c>
    </row>
    <row r="336" spans="1:12" ht="15">
      <c r="A336" s="87" t="s">
        <v>4166</v>
      </c>
      <c r="B336" s="86" t="s">
        <v>4350</v>
      </c>
      <c r="C336" s="86">
        <v>2</v>
      </c>
      <c r="D336" s="115">
        <v>0.0007071142993808518</v>
      </c>
      <c r="E336" s="115">
        <v>3.0810591230013196</v>
      </c>
      <c r="F336" s="86" t="s">
        <v>4451</v>
      </c>
      <c r="G336" s="86" t="b">
        <v>0</v>
      </c>
      <c r="H336" s="86" t="b">
        <v>0</v>
      </c>
      <c r="I336" s="86" t="b">
        <v>0</v>
      </c>
      <c r="J336" s="86" t="b">
        <v>0</v>
      </c>
      <c r="K336" s="86" t="b">
        <v>0</v>
      </c>
      <c r="L336" s="86" t="b">
        <v>0</v>
      </c>
    </row>
    <row r="337" spans="1:12" ht="15">
      <c r="A337" s="87" t="s">
        <v>4352</v>
      </c>
      <c r="B337" s="86" t="s">
        <v>4353</v>
      </c>
      <c r="C337" s="86">
        <v>2</v>
      </c>
      <c r="D337" s="115">
        <v>0.0007071142993808518</v>
      </c>
      <c r="E337" s="115">
        <v>3.478999131673357</v>
      </c>
      <c r="F337" s="86" t="s">
        <v>4451</v>
      </c>
      <c r="G337" s="86" t="b">
        <v>0</v>
      </c>
      <c r="H337" s="86" t="b">
        <v>0</v>
      </c>
      <c r="I337" s="86" t="b">
        <v>0</v>
      </c>
      <c r="J337" s="86" t="b">
        <v>0</v>
      </c>
      <c r="K337" s="86" t="b">
        <v>0</v>
      </c>
      <c r="L337" s="86" t="b">
        <v>0</v>
      </c>
    </row>
    <row r="338" spans="1:12" ht="15">
      <c r="A338" s="87" t="s">
        <v>4251</v>
      </c>
      <c r="B338" s="86" t="s">
        <v>4083</v>
      </c>
      <c r="C338" s="86">
        <v>2</v>
      </c>
      <c r="D338" s="115">
        <v>0.0007071142993808518</v>
      </c>
      <c r="E338" s="115">
        <v>2.5247566222340323</v>
      </c>
      <c r="F338" s="86" t="s">
        <v>4451</v>
      </c>
      <c r="G338" s="86" t="b">
        <v>0</v>
      </c>
      <c r="H338" s="86" t="b">
        <v>0</v>
      </c>
      <c r="I338" s="86" t="b">
        <v>0</v>
      </c>
      <c r="J338" s="86" t="b">
        <v>0</v>
      </c>
      <c r="K338" s="86" t="b">
        <v>0</v>
      </c>
      <c r="L338" s="86" t="b">
        <v>0</v>
      </c>
    </row>
    <row r="339" spans="1:12" ht="15">
      <c r="A339" s="87" t="s">
        <v>4135</v>
      </c>
      <c r="B339" s="86" t="s">
        <v>4088</v>
      </c>
      <c r="C339" s="86">
        <v>2</v>
      </c>
      <c r="D339" s="115">
        <v>0.0007071142993808518</v>
      </c>
      <c r="E339" s="115">
        <v>2.3029078726176757</v>
      </c>
      <c r="F339" s="86" t="s">
        <v>4451</v>
      </c>
      <c r="G339" s="86" t="b">
        <v>0</v>
      </c>
      <c r="H339" s="86" t="b">
        <v>0</v>
      </c>
      <c r="I339" s="86" t="b">
        <v>0</v>
      </c>
      <c r="J339" s="86" t="b">
        <v>0</v>
      </c>
      <c r="K339" s="86" t="b">
        <v>0</v>
      </c>
      <c r="L339" s="86" t="b">
        <v>0</v>
      </c>
    </row>
    <row r="340" spans="1:12" ht="15">
      <c r="A340" s="87" t="s">
        <v>3319</v>
      </c>
      <c r="B340" s="86" t="s">
        <v>4367</v>
      </c>
      <c r="C340" s="86">
        <v>2</v>
      </c>
      <c r="D340" s="115">
        <v>0.0007071142993808518</v>
      </c>
      <c r="E340" s="115">
        <v>2.7800291273373383</v>
      </c>
      <c r="F340" s="86" t="s">
        <v>4451</v>
      </c>
      <c r="G340" s="86" t="b">
        <v>0</v>
      </c>
      <c r="H340" s="86" t="b">
        <v>0</v>
      </c>
      <c r="I340" s="86" t="b">
        <v>0</v>
      </c>
      <c r="J340" s="86" t="b">
        <v>0</v>
      </c>
      <c r="K340" s="86" t="b">
        <v>0</v>
      </c>
      <c r="L340" s="86" t="b">
        <v>0</v>
      </c>
    </row>
    <row r="341" spans="1:12" ht="15">
      <c r="A341" s="87" t="s">
        <v>3372</v>
      </c>
      <c r="B341" s="86" t="s">
        <v>4254</v>
      </c>
      <c r="C341" s="86">
        <v>2</v>
      </c>
      <c r="D341" s="115">
        <v>0.0007071142993808518</v>
      </c>
      <c r="E341" s="115">
        <v>1.8257866178980136</v>
      </c>
      <c r="F341" s="86" t="s">
        <v>4451</v>
      </c>
      <c r="G341" s="86" t="b">
        <v>0</v>
      </c>
      <c r="H341" s="86" t="b">
        <v>0</v>
      </c>
      <c r="I341" s="86" t="b">
        <v>0</v>
      </c>
      <c r="J341" s="86" t="b">
        <v>0</v>
      </c>
      <c r="K341" s="86" t="b">
        <v>0</v>
      </c>
      <c r="L341" s="86" t="b">
        <v>0</v>
      </c>
    </row>
    <row r="342" spans="1:12" ht="15">
      <c r="A342" s="87" t="s">
        <v>4254</v>
      </c>
      <c r="B342" s="86" t="s">
        <v>4255</v>
      </c>
      <c r="C342" s="86">
        <v>2</v>
      </c>
      <c r="D342" s="115">
        <v>0.0007071142993808518</v>
      </c>
      <c r="E342" s="115">
        <v>3.126816613561995</v>
      </c>
      <c r="F342" s="86" t="s">
        <v>4451</v>
      </c>
      <c r="G342" s="86" t="b">
        <v>0</v>
      </c>
      <c r="H342" s="86" t="b">
        <v>0</v>
      </c>
      <c r="I342" s="86" t="b">
        <v>0</v>
      </c>
      <c r="J342" s="86" t="b">
        <v>0</v>
      </c>
      <c r="K342" s="86" t="b">
        <v>0</v>
      </c>
      <c r="L342" s="86" t="b">
        <v>0</v>
      </c>
    </row>
    <row r="343" spans="1:12" ht="15">
      <c r="A343" s="87" t="s">
        <v>4255</v>
      </c>
      <c r="B343" s="86" t="s">
        <v>4373</v>
      </c>
      <c r="C343" s="86">
        <v>2</v>
      </c>
      <c r="D343" s="115">
        <v>0.0007071142993808518</v>
      </c>
      <c r="E343" s="115">
        <v>3.3029078726176757</v>
      </c>
      <c r="F343" s="86" t="s">
        <v>4451</v>
      </c>
      <c r="G343" s="86" t="b">
        <v>0</v>
      </c>
      <c r="H343" s="86" t="b">
        <v>0</v>
      </c>
      <c r="I343" s="86" t="b">
        <v>0</v>
      </c>
      <c r="J343" s="86" t="b">
        <v>0</v>
      </c>
      <c r="K343" s="86" t="b">
        <v>0</v>
      </c>
      <c r="L343" s="86" t="b">
        <v>0</v>
      </c>
    </row>
    <row r="344" spans="1:12" ht="15">
      <c r="A344" s="87" t="s">
        <v>3307</v>
      </c>
      <c r="B344" s="86" t="s">
        <v>3354</v>
      </c>
      <c r="C344" s="86">
        <v>2</v>
      </c>
      <c r="D344" s="115">
        <v>0.0007071142993808518</v>
      </c>
      <c r="E344" s="115">
        <v>-0.31409246850322303</v>
      </c>
      <c r="F344" s="86" t="s">
        <v>4451</v>
      </c>
      <c r="G344" s="86" t="b">
        <v>0</v>
      </c>
      <c r="H344" s="86" t="b">
        <v>0</v>
      </c>
      <c r="I344" s="86" t="b">
        <v>0</v>
      </c>
      <c r="J344" s="86" t="b">
        <v>0</v>
      </c>
      <c r="K344" s="86" t="b">
        <v>0</v>
      </c>
      <c r="L344" s="86" t="b">
        <v>0</v>
      </c>
    </row>
    <row r="345" spans="1:12" ht="15">
      <c r="A345" s="87" t="s">
        <v>3372</v>
      </c>
      <c r="B345" s="86" t="s">
        <v>4223</v>
      </c>
      <c r="C345" s="86">
        <v>2</v>
      </c>
      <c r="D345" s="115">
        <v>0.0007071142993808518</v>
      </c>
      <c r="E345" s="115">
        <v>1.8257866178980136</v>
      </c>
      <c r="F345" s="86" t="s">
        <v>4451</v>
      </c>
      <c r="G345" s="86" t="b">
        <v>0</v>
      </c>
      <c r="H345" s="86" t="b">
        <v>0</v>
      </c>
      <c r="I345" s="86" t="b">
        <v>0</v>
      </c>
      <c r="J345" s="86" t="b">
        <v>0</v>
      </c>
      <c r="K345" s="86" t="b">
        <v>0</v>
      </c>
      <c r="L345" s="86" t="b">
        <v>0</v>
      </c>
    </row>
    <row r="346" spans="1:12" ht="15">
      <c r="A346" s="87" t="s">
        <v>4382</v>
      </c>
      <c r="B346" s="86" t="s">
        <v>4383</v>
      </c>
      <c r="C346" s="86">
        <v>2</v>
      </c>
      <c r="D346" s="115">
        <v>0.0007071142993808518</v>
      </c>
      <c r="E346" s="115">
        <v>3.478999131673357</v>
      </c>
      <c r="F346" s="86" t="s">
        <v>4451</v>
      </c>
      <c r="G346" s="86" t="b">
        <v>1</v>
      </c>
      <c r="H346" s="86" t="b">
        <v>0</v>
      </c>
      <c r="I346" s="86" t="b">
        <v>0</v>
      </c>
      <c r="J346" s="86" t="b">
        <v>0</v>
      </c>
      <c r="K346" s="86" t="b">
        <v>0</v>
      </c>
      <c r="L346" s="86" t="b">
        <v>0</v>
      </c>
    </row>
    <row r="347" spans="1:12" ht="15">
      <c r="A347" s="87" t="s">
        <v>4118</v>
      </c>
      <c r="B347" s="86" t="s">
        <v>3354</v>
      </c>
      <c r="C347" s="86">
        <v>2</v>
      </c>
      <c r="D347" s="115">
        <v>0.0007071142993808518</v>
      </c>
      <c r="E347" s="115">
        <v>0.9015073318361319</v>
      </c>
      <c r="F347" s="86" t="s">
        <v>4451</v>
      </c>
      <c r="G347" s="86" t="b">
        <v>0</v>
      </c>
      <c r="H347" s="86" t="b">
        <v>0</v>
      </c>
      <c r="I347" s="86" t="b">
        <v>0</v>
      </c>
      <c r="J347" s="86" t="b">
        <v>0</v>
      </c>
      <c r="K347" s="86" t="b">
        <v>0</v>
      </c>
      <c r="L347" s="86" t="b">
        <v>0</v>
      </c>
    </row>
    <row r="348" spans="1:12" ht="15">
      <c r="A348" s="87" t="s">
        <v>4135</v>
      </c>
      <c r="B348" s="86" t="s">
        <v>4387</v>
      </c>
      <c r="C348" s="86">
        <v>2</v>
      </c>
      <c r="D348" s="115">
        <v>0.0007071142993808518</v>
      </c>
      <c r="E348" s="115">
        <v>3.001877876953695</v>
      </c>
      <c r="F348" s="86" t="s">
        <v>4451</v>
      </c>
      <c r="G348" s="86" t="b">
        <v>0</v>
      </c>
      <c r="H348" s="86" t="b">
        <v>0</v>
      </c>
      <c r="I348" s="86" t="b">
        <v>0</v>
      </c>
      <c r="J348" s="86" t="b">
        <v>0</v>
      </c>
      <c r="K348" s="86" t="b">
        <v>0</v>
      </c>
      <c r="L348" s="86" t="b">
        <v>0</v>
      </c>
    </row>
    <row r="349" spans="1:12" ht="15">
      <c r="A349" s="87" t="s">
        <v>3372</v>
      </c>
      <c r="B349" s="86" t="s">
        <v>3319</v>
      </c>
      <c r="C349" s="86">
        <v>2</v>
      </c>
      <c r="D349" s="115">
        <v>0.0007071142993808518</v>
      </c>
      <c r="E349" s="115">
        <v>1.3998178856257324</v>
      </c>
      <c r="F349" s="86" t="s">
        <v>4451</v>
      </c>
      <c r="G349" s="86" t="b">
        <v>0</v>
      </c>
      <c r="H349" s="86" t="b">
        <v>0</v>
      </c>
      <c r="I349" s="86" t="b">
        <v>0</v>
      </c>
      <c r="J349" s="86" t="b">
        <v>0</v>
      </c>
      <c r="K349" s="86" t="b">
        <v>0</v>
      </c>
      <c r="L349" s="86" t="b">
        <v>0</v>
      </c>
    </row>
    <row r="350" spans="1:12" ht="15">
      <c r="A350" s="87" t="s">
        <v>3319</v>
      </c>
      <c r="B350" s="86" t="s">
        <v>4392</v>
      </c>
      <c r="C350" s="86">
        <v>2</v>
      </c>
      <c r="D350" s="115">
        <v>0.0007071142993808518</v>
      </c>
      <c r="E350" s="115">
        <v>2.7800291273373383</v>
      </c>
      <c r="F350" s="86" t="s">
        <v>4451</v>
      </c>
      <c r="G350" s="86" t="b">
        <v>0</v>
      </c>
      <c r="H350" s="86" t="b">
        <v>0</v>
      </c>
      <c r="I350" s="86" t="b">
        <v>0</v>
      </c>
      <c r="J350" s="86" t="b">
        <v>0</v>
      </c>
      <c r="K350" s="86" t="b">
        <v>0</v>
      </c>
      <c r="L350" s="86" t="b">
        <v>0</v>
      </c>
    </row>
    <row r="351" spans="1:12" ht="15">
      <c r="A351" s="87" t="s">
        <v>4392</v>
      </c>
      <c r="B351" s="86" t="s">
        <v>4059</v>
      </c>
      <c r="C351" s="86">
        <v>2</v>
      </c>
      <c r="D351" s="115">
        <v>0.0007071142993808518</v>
      </c>
      <c r="E351" s="115">
        <v>2.5012755263845095</v>
      </c>
      <c r="F351" s="86" t="s">
        <v>4451</v>
      </c>
      <c r="G351" s="86" t="b">
        <v>0</v>
      </c>
      <c r="H351" s="86" t="b">
        <v>0</v>
      </c>
      <c r="I351" s="86" t="b">
        <v>0</v>
      </c>
      <c r="J351" s="86" t="b">
        <v>0</v>
      </c>
      <c r="K351" s="86" t="b">
        <v>1</v>
      </c>
      <c r="L351" s="86" t="b">
        <v>0</v>
      </c>
    </row>
    <row r="352" spans="1:12" ht="15">
      <c r="A352" s="87" t="s">
        <v>3372</v>
      </c>
      <c r="B352" s="86" t="s">
        <v>4196</v>
      </c>
      <c r="C352" s="86">
        <v>2</v>
      </c>
      <c r="D352" s="115">
        <v>0.0007071142993808518</v>
      </c>
      <c r="E352" s="115">
        <v>1.8257866178980136</v>
      </c>
      <c r="F352" s="86" t="s">
        <v>4451</v>
      </c>
      <c r="G352" s="86" t="b">
        <v>0</v>
      </c>
      <c r="H352" s="86" t="b">
        <v>0</v>
      </c>
      <c r="I352" s="86" t="b">
        <v>0</v>
      </c>
      <c r="J352" s="86" t="b">
        <v>0</v>
      </c>
      <c r="K352" s="86" t="b">
        <v>0</v>
      </c>
      <c r="L352" s="86" t="b">
        <v>0</v>
      </c>
    </row>
    <row r="353" spans="1:12" ht="15">
      <c r="A353" s="87" t="s">
        <v>4196</v>
      </c>
      <c r="B353" s="86" t="s">
        <v>4083</v>
      </c>
      <c r="C353" s="86">
        <v>2</v>
      </c>
      <c r="D353" s="115">
        <v>0.0007071142993808518</v>
      </c>
      <c r="E353" s="115">
        <v>2.3998178856257324</v>
      </c>
      <c r="F353" s="86" t="s">
        <v>4451</v>
      </c>
      <c r="G353" s="86" t="b">
        <v>0</v>
      </c>
      <c r="H353" s="86" t="b">
        <v>0</v>
      </c>
      <c r="I353" s="86" t="b">
        <v>0</v>
      </c>
      <c r="J353" s="86" t="b">
        <v>0</v>
      </c>
      <c r="K353" s="86" t="b">
        <v>0</v>
      </c>
      <c r="L353" s="86" t="b">
        <v>0</v>
      </c>
    </row>
    <row r="354" spans="1:12" ht="15">
      <c r="A354" s="87" t="s">
        <v>4072</v>
      </c>
      <c r="B354" s="86" t="s">
        <v>4260</v>
      </c>
      <c r="C354" s="86">
        <v>2</v>
      </c>
      <c r="D354" s="115">
        <v>0.0007071142993808518</v>
      </c>
      <c r="E354" s="115">
        <v>2.4578098326034192</v>
      </c>
      <c r="F354" s="86" t="s">
        <v>4451</v>
      </c>
      <c r="G354" s="86" t="b">
        <v>0</v>
      </c>
      <c r="H354" s="86" t="b">
        <v>0</v>
      </c>
      <c r="I354" s="86" t="b">
        <v>0</v>
      </c>
      <c r="J354" s="86" t="b">
        <v>0</v>
      </c>
      <c r="K354" s="86" t="b">
        <v>0</v>
      </c>
      <c r="L354" s="86" t="b">
        <v>0</v>
      </c>
    </row>
    <row r="355" spans="1:12" ht="15">
      <c r="A355" s="87" t="s">
        <v>4261</v>
      </c>
      <c r="B355" s="86" t="s">
        <v>4403</v>
      </c>
      <c r="C355" s="86">
        <v>2</v>
      </c>
      <c r="D355" s="115">
        <v>0.0007071142993808518</v>
      </c>
      <c r="E355" s="115">
        <v>3.3029078726176757</v>
      </c>
      <c r="F355" s="86" t="s">
        <v>4451</v>
      </c>
      <c r="G355" s="86" t="b">
        <v>0</v>
      </c>
      <c r="H355" s="86" t="b">
        <v>0</v>
      </c>
      <c r="I355" s="86" t="b">
        <v>0</v>
      </c>
      <c r="J355" s="86" t="b">
        <v>0</v>
      </c>
      <c r="K355" s="86" t="b">
        <v>0</v>
      </c>
      <c r="L355" s="86" t="b">
        <v>0</v>
      </c>
    </row>
    <row r="356" spans="1:12" ht="15">
      <c r="A356" s="87" t="s">
        <v>4113</v>
      </c>
      <c r="B356" s="86" t="s">
        <v>3381</v>
      </c>
      <c r="C356" s="86">
        <v>2</v>
      </c>
      <c r="D356" s="115">
        <v>0.0007071142993808518</v>
      </c>
      <c r="E356" s="115">
        <v>1.443569393488809</v>
      </c>
      <c r="F356" s="86" t="s">
        <v>4451</v>
      </c>
      <c r="G356" s="86" t="b">
        <v>1</v>
      </c>
      <c r="H356" s="86" t="b">
        <v>0</v>
      </c>
      <c r="I356" s="86" t="b">
        <v>0</v>
      </c>
      <c r="J356" s="86" t="b">
        <v>0</v>
      </c>
      <c r="K356" s="86" t="b">
        <v>0</v>
      </c>
      <c r="L356" s="86" t="b">
        <v>0</v>
      </c>
    </row>
    <row r="357" spans="1:12" ht="15">
      <c r="A357" s="87" t="s">
        <v>4405</v>
      </c>
      <c r="B357" s="86" t="s">
        <v>4406</v>
      </c>
      <c r="C357" s="86">
        <v>2</v>
      </c>
      <c r="D357" s="115">
        <v>0.0007071142993808518</v>
      </c>
      <c r="E357" s="115">
        <v>3.478999131673357</v>
      </c>
      <c r="F357" s="86" t="s">
        <v>4451</v>
      </c>
      <c r="G357" s="86" t="b">
        <v>0</v>
      </c>
      <c r="H357" s="86" t="b">
        <v>1</v>
      </c>
      <c r="I357" s="86" t="b">
        <v>0</v>
      </c>
      <c r="J357" s="86" t="b">
        <v>0</v>
      </c>
      <c r="K357" s="86" t="b">
        <v>0</v>
      </c>
      <c r="L357" s="86" t="b">
        <v>0</v>
      </c>
    </row>
    <row r="358" spans="1:12" ht="15">
      <c r="A358" s="87" t="s">
        <v>4408</v>
      </c>
      <c r="B358" s="86" t="s">
        <v>4133</v>
      </c>
      <c r="C358" s="86">
        <v>2</v>
      </c>
      <c r="D358" s="115">
        <v>0.0007071142993808518</v>
      </c>
      <c r="E358" s="115">
        <v>3.0810591230013196</v>
      </c>
      <c r="F358" s="86" t="s">
        <v>4451</v>
      </c>
      <c r="G358" s="86" t="b">
        <v>0</v>
      </c>
      <c r="H358" s="86" t="b">
        <v>0</v>
      </c>
      <c r="I358" s="86" t="b">
        <v>0</v>
      </c>
      <c r="J358" s="86" t="b">
        <v>0</v>
      </c>
      <c r="K358" s="86" t="b">
        <v>0</v>
      </c>
      <c r="L358" s="86" t="b">
        <v>0</v>
      </c>
    </row>
    <row r="359" spans="1:12" ht="15">
      <c r="A359" s="87" t="s">
        <v>4133</v>
      </c>
      <c r="B359" s="86" t="s">
        <v>4409</v>
      </c>
      <c r="C359" s="86">
        <v>2</v>
      </c>
      <c r="D359" s="115">
        <v>0.0007071142993808518</v>
      </c>
      <c r="E359" s="115">
        <v>3.0810591230013196</v>
      </c>
      <c r="F359" s="86" t="s">
        <v>4451</v>
      </c>
      <c r="G359" s="86" t="b">
        <v>0</v>
      </c>
      <c r="H359" s="86" t="b">
        <v>0</v>
      </c>
      <c r="I359" s="86" t="b">
        <v>0</v>
      </c>
      <c r="J359" s="86" t="b">
        <v>0</v>
      </c>
      <c r="K359" s="86" t="b">
        <v>0</v>
      </c>
      <c r="L359" s="86" t="b">
        <v>0</v>
      </c>
    </row>
    <row r="360" spans="1:12" ht="15">
      <c r="A360" s="87" t="s">
        <v>4409</v>
      </c>
      <c r="B360" s="86" t="s">
        <v>3368</v>
      </c>
      <c r="C360" s="86">
        <v>2</v>
      </c>
      <c r="D360" s="115">
        <v>0.0007071142993808518</v>
      </c>
      <c r="E360" s="115">
        <v>2.107931269401621</v>
      </c>
      <c r="F360" s="86" t="s">
        <v>4451</v>
      </c>
      <c r="G360" s="86" t="b">
        <v>0</v>
      </c>
      <c r="H360" s="86" t="b">
        <v>0</v>
      </c>
      <c r="I360" s="86" t="b">
        <v>0</v>
      </c>
      <c r="J360" s="86" t="b">
        <v>0</v>
      </c>
      <c r="K360" s="86" t="b">
        <v>0</v>
      </c>
      <c r="L360" s="86" t="b">
        <v>0</v>
      </c>
    </row>
    <row r="361" spans="1:12" ht="15">
      <c r="A361" s="87" t="s">
        <v>4020</v>
      </c>
      <c r="B361" s="86" t="s">
        <v>4041</v>
      </c>
      <c r="C361" s="86">
        <v>2</v>
      </c>
      <c r="D361" s="115">
        <v>0.0007071142993808518</v>
      </c>
      <c r="E361" s="115">
        <v>0.7174471431091752</v>
      </c>
      <c r="F361" s="86" t="s">
        <v>4451</v>
      </c>
      <c r="G361" s="86" t="b">
        <v>0</v>
      </c>
      <c r="H361" s="86" t="b">
        <v>1</v>
      </c>
      <c r="I361" s="86" t="b">
        <v>0</v>
      </c>
      <c r="J361" s="86" t="b">
        <v>0</v>
      </c>
      <c r="K361" s="86" t="b">
        <v>0</v>
      </c>
      <c r="L361" s="86" t="b">
        <v>0</v>
      </c>
    </row>
    <row r="362" spans="1:12" ht="15">
      <c r="A362" s="87" t="s">
        <v>4193</v>
      </c>
      <c r="B362" s="86" t="s">
        <v>4188</v>
      </c>
      <c r="C362" s="86">
        <v>2</v>
      </c>
      <c r="D362" s="115">
        <v>0.0007071142993808518</v>
      </c>
      <c r="E362" s="115">
        <v>2.8769391403453946</v>
      </c>
      <c r="F362" s="86" t="s">
        <v>4451</v>
      </c>
      <c r="G362" s="86" t="b">
        <v>0</v>
      </c>
      <c r="H362" s="86" t="b">
        <v>0</v>
      </c>
      <c r="I362" s="86" t="b">
        <v>0</v>
      </c>
      <c r="J362" s="86" t="b">
        <v>0</v>
      </c>
      <c r="K362" s="86" t="b">
        <v>0</v>
      </c>
      <c r="L362" s="86" t="b">
        <v>0</v>
      </c>
    </row>
    <row r="363" spans="1:12" ht="15">
      <c r="A363" s="87" t="s">
        <v>4267</v>
      </c>
      <c r="B363" s="86" t="s">
        <v>4087</v>
      </c>
      <c r="C363" s="86">
        <v>2</v>
      </c>
      <c r="D363" s="115">
        <v>0.0007071142993808518</v>
      </c>
      <c r="E363" s="115">
        <v>2.603937868281657</v>
      </c>
      <c r="F363" s="86" t="s">
        <v>4451</v>
      </c>
      <c r="G363" s="86" t="b">
        <v>0</v>
      </c>
      <c r="H363" s="86" t="b">
        <v>0</v>
      </c>
      <c r="I363" s="86" t="b">
        <v>0</v>
      </c>
      <c r="J363" s="86" t="b">
        <v>0</v>
      </c>
      <c r="K363" s="86" t="b">
        <v>0</v>
      </c>
      <c r="L363" s="86" t="b">
        <v>0</v>
      </c>
    </row>
    <row r="364" spans="1:12" ht="15">
      <c r="A364" s="87" t="s">
        <v>4059</v>
      </c>
      <c r="B364" s="86" t="s">
        <v>4073</v>
      </c>
      <c r="C364" s="86">
        <v>2</v>
      </c>
      <c r="D364" s="115">
        <v>0.0007071142993808518</v>
      </c>
      <c r="E364" s="115">
        <v>1.6561774863702525</v>
      </c>
      <c r="F364" s="86" t="s">
        <v>4451</v>
      </c>
      <c r="G364" s="86" t="b">
        <v>0</v>
      </c>
      <c r="H364" s="86" t="b">
        <v>1</v>
      </c>
      <c r="I364" s="86" t="b">
        <v>0</v>
      </c>
      <c r="J364" s="86" t="b">
        <v>0</v>
      </c>
      <c r="K364" s="86" t="b">
        <v>0</v>
      </c>
      <c r="L364" s="86" t="b">
        <v>0</v>
      </c>
    </row>
    <row r="365" spans="1:12" ht="15">
      <c r="A365" s="87" t="s">
        <v>3357</v>
      </c>
      <c r="B365" s="86" t="s">
        <v>4042</v>
      </c>
      <c r="C365" s="86">
        <v>2</v>
      </c>
      <c r="D365" s="115">
        <v>0.0007071142993808518</v>
      </c>
      <c r="E365" s="115">
        <v>0.4506312479762956</v>
      </c>
      <c r="F365" s="86" t="s">
        <v>4451</v>
      </c>
      <c r="G365" s="86" t="b">
        <v>0</v>
      </c>
      <c r="H365" s="86" t="b">
        <v>0</v>
      </c>
      <c r="I365" s="86" t="b">
        <v>0</v>
      </c>
      <c r="J365" s="86" t="b">
        <v>0</v>
      </c>
      <c r="K365" s="86" t="b">
        <v>0</v>
      </c>
      <c r="L365" s="86" t="b">
        <v>0</v>
      </c>
    </row>
    <row r="366" spans="1:12" ht="15">
      <c r="A366" s="87" t="s">
        <v>4148</v>
      </c>
      <c r="B366" s="86" t="s">
        <v>4413</v>
      </c>
      <c r="C366" s="86">
        <v>2</v>
      </c>
      <c r="D366" s="115">
        <v>0.0007071142993808518</v>
      </c>
      <c r="E366" s="115">
        <v>3.0810591230013196</v>
      </c>
      <c r="F366" s="86" t="s">
        <v>4451</v>
      </c>
      <c r="G366" s="86" t="b">
        <v>0</v>
      </c>
      <c r="H366" s="86" t="b">
        <v>0</v>
      </c>
      <c r="I366" s="86" t="b">
        <v>0</v>
      </c>
      <c r="J366" s="86" t="b">
        <v>0</v>
      </c>
      <c r="K366" s="86" t="b">
        <v>0</v>
      </c>
      <c r="L366" s="86" t="b">
        <v>0</v>
      </c>
    </row>
    <row r="367" spans="1:12" ht="15">
      <c r="A367" s="87" t="s">
        <v>4042</v>
      </c>
      <c r="B367" s="86" t="s">
        <v>4146</v>
      </c>
      <c r="C367" s="86">
        <v>2</v>
      </c>
      <c r="D367" s="115">
        <v>0.0007071142993808518</v>
      </c>
      <c r="E367" s="115">
        <v>1.8380210743150251</v>
      </c>
      <c r="F367" s="86" t="s">
        <v>4451</v>
      </c>
      <c r="G367" s="86" t="b">
        <v>0</v>
      </c>
      <c r="H367" s="86" t="b">
        <v>0</v>
      </c>
      <c r="I367" s="86" t="b">
        <v>0</v>
      </c>
      <c r="J367" s="86" t="b">
        <v>0</v>
      </c>
      <c r="K367" s="86" t="b">
        <v>0</v>
      </c>
      <c r="L367" s="86" t="b">
        <v>0</v>
      </c>
    </row>
    <row r="368" spans="1:12" ht="15">
      <c r="A368" s="87" t="s">
        <v>3366</v>
      </c>
      <c r="B368" s="86" t="s">
        <v>4149</v>
      </c>
      <c r="C368" s="86">
        <v>2</v>
      </c>
      <c r="D368" s="115">
        <v>0.0007071142993808518</v>
      </c>
      <c r="E368" s="115">
        <v>1.7008478812897134</v>
      </c>
      <c r="F368" s="86" t="s">
        <v>4451</v>
      </c>
      <c r="G368" s="86" t="b">
        <v>0</v>
      </c>
      <c r="H368" s="86" t="b">
        <v>0</v>
      </c>
      <c r="I368" s="86" t="b">
        <v>0</v>
      </c>
      <c r="J368" s="86" t="b">
        <v>0</v>
      </c>
      <c r="K368" s="86" t="b">
        <v>0</v>
      </c>
      <c r="L368" s="86" t="b">
        <v>0</v>
      </c>
    </row>
    <row r="369" spans="1:12" ht="15">
      <c r="A369" s="87" t="s">
        <v>4077</v>
      </c>
      <c r="B369" s="86" t="s">
        <v>4268</v>
      </c>
      <c r="C369" s="86">
        <v>2</v>
      </c>
      <c r="D369" s="115">
        <v>0.0007071142993808518</v>
      </c>
      <c r="E369" s="115">
        <v>2.4899945159748205</v>
      </c>
      <c r="F369" s="86" t="s">
        <v>4451</v>
      </c>
      <c r="G369" s="86" t="b">
        <v>0</v>
      </c>
      <c r="H369" s="86" t="b">
        <v>0</v>
      </c>
      <c r="I369" s="86" t="b">
        <v>0</v>
      </c>
      <c r="J369" s="86" t="b">
        <v>1</v>
      </c>
      <c r="K369" s="86" t="b">
        <v>0</v>
      </c>
      <c r="L369" s="86" t="b">
        <v>0</v>
      </c>
    </row>
    <row r="370" spans="1:12" ht="15">
      <c r="A370" s="87" t="s">
        <v>4042</v>
      </c>
      <c r="B370" s="86" t="s">
        <v>4097</v>
      </c>
      <c r="C370" s="86">
        <v>2</v>
      </c>
      <c r="D370" s="115">
        <v>0.0007071142993808518</v>
      </c>
      <c r="E370" s="115">
        <v>1.5827485692117191</v>
      </c>
      <c r="F370" s="86" t="s">
        <v>4451</v>
      </c>
      <c r="G370" s="86" t="b">
        <v>0</v>
      </c>
      <c r="H370" s="86" t="b">
        <v>0</v>
      </c>
      <c r="I370" s="86" t="b">
        <v>0</v>
      </c>
      <c r="J370" s="86" t="b">
        <v>0</v>
      </c>
      <c r="K370" s="86" t="b">
        <v>0</v>
      </c>
      <c r="L370" s="86" t="b">
        <v>0</v>
      </c>
    </row>
    <row r="371" spans="1:12" ht="15">
      <c r="A371" s="87" t="s">
        <v>4097</v>
      </c>
      <c r="B371" s="86" t="s">
        <v>4180</v>
      </c>
      <c r="C371" s="86">
        <v>2</v>
      </c>
      <c r="D371" s="115">
        <v>0.0007071142993808518</v>
      </c>
      <c r="E371" s="115">
        <v>2.5247566222340323</v>
      </c>
      <c r="F371" s="86" t="s">
        <v>4451</v>
      </c>
      <c r="G371" s="86" t="b">
        <v>0</v>
      </c>
      <c r="H371" s="86" t="b">
        <v>0</v>
      </c>
      <c r="I371" s="86" t="b">
        <v>0</v>
      </c>
      <c r="J371" s="86" t="b">
        <v>0</v>
      </c>
      <c r="K371" s="86" t="b">
        <v>0</v>
      </c>
      <c r="L371" s="86" t="b">
        <v>0</v>
      </c>
    </row>
    <row r="372" spans="1:12" ht="15">
      <c r="A372" s="87" t="s">
        <v>4269</v>
      </c>
      <c r="B372" s="86" t="s">
        <v>3379</v>
      </c>
      <c r="C372" s="86">
        <v>2</v>
      </c>
      <c r="D372" s="115">
        <v>0.0007071142993808518</v>
      </c>
      <c r="E372" s="115">
        <v>1.9507253545063135</v>
      </c>
      <c r="F372" s="86" t="s">
        <v>4451</v>
      </c>
      <c r="G372" s="86" t="b">
        <v>0</v>
      </c>
      <c r="H372" s="86" t="b">
        <v>0</v>
      </c>
      <c r="I372" s="86" t="b">
        <v>0</v>
      </c>
      <c r="J372" s="86" t="b">
        <v>0</v>
      </c>
      <c r="K372" s="86" t="b">
        <v>0</v>
      </c>
      <c r="L372" s="86" t="b">
        <v>0</v>
      </c>
    </row>
    <row r="373" spans="1:12" ht="15">
      <c r="A373" s="87" t="s">
        <v>3379</v>
      </c>
      <c r="B373" s="86" t="s">
        <v>3356</v>
      </c>
      <c r="C373" s="86">
        <v>2</v>
      </c>
      <c r="D373" s="115">
        <v>0.0007071142993808518</v>
      </c>
      <c r="E373" s="115">
        <v>0.22796959314945406</v>
      </c>
      <c r="F373" s="86" t="s">
        <v>4451</v>
      </c>
      <c r="G373" s="86" t="b">
        <v>0</v>
      </c>
      <c r="H373" s="86" t="b">
        <v>0</v>
      </c>
      <c r="I373" s="86" t="b">
        <v>0</v>
      </c>
      <c r="J373" s="86" t="b">
        <v>0</v>
      </c>
      <c r="K373" s="86" t="b">
        <v>0</v>
      </c>
      <c r="L373" s="86" t="b">
        <v>0</v>
      </c>
    </row>
    <row r="374" spans="1:12" ht="15">
      <c r="A374" s="87" t="s">
        <v>4044</v>
      </c>
      <c r="B374" s="86" t="s">
        <v>4127</v>
      </c>
      <c r="C374" s="86">
        <v>2</v>
      </c>
      <c r="D374" s="115">
        <v>0.0007071142993808518</v>
      </c>
      <c r="E374" s="115">
        <v>1.7714289555754208</v>
      </c>
      <c r="F374" s="86" t="s">
        <v>4451</v>
      </c>
      <c r="G374" s="86" t="b">
        <v>0</v>
      </c>
      <c r="H374" s="86" t="b">
        <v>0</v>
      </c>
      <c r="I374" s="86" t="b">
        <v>0</v>
      </c>
      <c r="J374" s="86" t="b">
        <v>0</v>
      </c>
      <c r="K374" s="86" t="b">
        <v>0</v>
      </c>
      <c r="L374" s="86" t="b">
        <v>0</v>
      </c>
    </row>
    <row r="375" spans="1:12" ht="15">
      <c r="A375" s="87" t="s">
        <v>4054</v>
      </c>
      <c r="B375" s="86" t="s">
        <v>4263</v>
      </c>
      <c r="C375" s="86">
        <v>2</v>
      </c>
      <c r="D375" s="115">
        <v>0.0007071142993808518</v>
      </c>
      <c r="E375" s="115">
        <v>2.223726626570051</v>
      </c>
      <c r="F375" s="86" t="s">
        <v>4451</v>
      </c>
      <c r="G375" s="86" t="b">
        <v>0</v>
      </c>
      <c r="H375" s="86" t="b">
        <v>0</v>
      </c>
      <c r="I375" s="86" t="b">
        <v>0</v>
      </c>
      <c r="J375" s="86" t="b">
        <v>0</v>
      </c>
      <c r="K375" s="86" t="b">
        <v>0</v>
      </c>
      <c r="L375" s="86" t="b">
        <v>0</v>
      </c>
    </row>
    <row r="376" spans="1:12" ht="15">
      <c r="A376" s="87" t="s">
        <v>3359</v>
      </c>
      <c r="B376" s="86" t="s">
        <v>3356</v>
      </c>
      <c r="C376" s="86">
        <v>2</v>
      </c>
      <c r="D376" s="115">
        <v>0.0007071142993808518</v>
      </c>
      <c r="E376" s="115">
        <v>-0.0824004287686706</v>
      </c>
      <c r="F376" s="86" t="s">
        <v>4451</v>
      </c>
      <c r="G376" s="86" t="b">
        <v>0</v>
      </c>
      <c r="H376" s="86" t="b">
        <v>0</v>
      </c>
      <c r="I376" s="86" t="b">
        <v>0</v>
      </c>
      <c r="J376" s="86" t="b">
        <v>0</v>
      </c>
      <c r="K376" s="86" t="b">
        <v>0</v>
      </c>
      <c r="L376" s="86" t="b">
        <v>0</v>
      </c>
    </row>
    <row r="377" spans="1:12" ht="15">
      <c r="A377" s="87" t="s">
        <v>3356</v>
      </c>
      <c r="B377" s="86" t="s">
        <v>4094</v>
      </c>
      <c r="C377" s="86">
        <v>2</v>
      </c>
      <c r="D377" s="115">
        <v>0.0007071142993808518</v>
      </c>
      <c r="E377" s="115">
        <v>0.9299958696475693</v>
      </c>
      <c r="F377" s="86" t="s">
        <v>4451</v>
      </c>
      <c r="G377" s="86" t="b">
        <v>0</v>
      </c>
      <c r="H377" s="86" t="b">
        <v>0</v>
      </c>
      <c r="I377" s="86" t="b">
        <v>0</v>
      </c>
      <c r="J377" s="86" t="b">
        <v>0</v>
      </c>
      <c r="K377" s="86" t="b">
        <v>0</v>
      </c>
      <c r="L377" s="86" t="b">
        <v>0</v>
      </c>
    </row>
    <row r="378" spans="1:12" ht="15">
      <c r="A378" s="87" t="s">
        <v>4139</v>
      </c>
      <c r="B378" s="86" t="s">
        <v>4416</v>
      </c>
      <c r="C378" s="86">
        <v>2</v>
      </c>
      <c r="D378" s="115">
        <v>0.0007071142993808518</v>
      </c>
      <c r="E378" s="115">
        <v>3.001877876953695</v>
      </c>
      <c r="F378" s="86" t="s">
        <v>4451</v>
      </c>
      <c r="G378" s="86" t="b">
        <v>0</v>
      </c>
      <c r="H378" s="86" t="b">
        <v>0</v>
      </c>
      <c r="I378" s="86" t="b">
        <v>0</v>
      </c>
      <c r="J378" s="86" t="b">
        <v>0</v>
      </c>
      <c r="K378" s="86" t="b">
        <v>0</v>
      </c>
      <c r="L378" s="86" t="b">
        <v>0</v>
      </c>
    </row>
    <row r="379" spans="1:12" ht="15">
      <c r="A379" s="87" t="s">
        <v>4416</v>
      </c>
      <c r="B379" s="86" t="s">
        <v>4184</v>
      </c>
      <c r="C379" s="86">
        <v>2</v>
      </c>
      <c r="D379" s="115">
        <v>0.0007071142993808518</v>
      </c>
      <c r="E379" s="115">
        <v>3.177969136009376</v>
      </c>
      <c r="F379" s="86" t="s">
        <v>4451</v>
      </c>
      <c r="G379" s="86" t="b">
        <v>0</v>
      </c>
      <c r="H379" s="86" t="b">
        <v>0</v>
      </c>
      <c r="I379" s="86" t="b">
        <v>0</v>
      </c>
      <c r="J379" s="86" t="b">
        <v>0</v>
      </c>
      <c r="K379" s="86" t="b">
        <v>0</v>
      </c>
      <c r="L379" s="86" t="b">
        <v>0</v>
      </c>
    </row>
    <row r="380" spans="1:12" ht="15">
      <c r="A380" s="87" t="s">
        <v>4112</v>
      </c>
      <c r="B380" s="86" t="s">
        <v>4144</v>
      </c>
      <c r="C380" s="86">
        <v>2</v>
      </c>
      <c r="D380" s="115">
        <v>0.0007071142993808518</v>
      </c>
      <c r="E380" s="115">
        <v>2.478999131673357</v>
      </c>
      <c r="F380" s="86" t="s">
        <v>4451</v>
      </c>
      <c r="G380" s="86" t="b">
        <v>1</v>
      </c>
      <c r="H380" s="86" t="b">
        <v>0</v>
      </c>
      <c r="I380" s="86" t="b">
        <v>0</v>
      </c>
      <c r="J380" s="86" t="b">
        <v>0</v>
      </c>
      <c r="K380" s="86" t="b">
        <v>0</v>
      </c>
      <c r="L380" s="86" t="b">
        <v>0</v>
      </c>
    </row>
    <row r="381" spans="1:12" ht="15">
      <c r="A381" s="87" t="s">
        <v>4144</v>
      </c>
      <c r="B381" s="86" t="s">
        <v>3358</v>
      </c>
      <c r="C381" s="86">
        <v>2</v>
      </c>
      <c r="D381" s="115">
        <v>0.0007071142993808518</v>
      </c>
      <c r="E381" s="115">
        <v>1.589697429167047</v>
      </c>
      <c r="F381" s="86" t="s">
        <v>4451</v>
      </c>
      <c r="G381" s="86" t="b">
        <v>0</v>
      </c>
      <c r="H381" s="86" t="b">
        <v>0</v>
      </c>
      <c r="I381" s="86" t="b">
        <v>0</v>
      </c>
      <c r="J381" s="86" t="b">
        <v>0</v>
      </c>
      <c r="K381" s="86" t="b">
        <v>0</v>
      </c>
      <c r="L381" s="86" t="b">
        <v>0</v>
      </c>
    </row>
    <row r="382" spans="1:12" ht="15">
      <c r="A382" s="87" t="s">
        <v>4022</v>
      </c>
      <c r="B382" s="86" t="s">
        <v>3363</v>
      </c>
      <c r="C382" s="86">
        <v>2</v>
      </c>
      <c r="D382" s="115">
        <v>0.0007071142993808518</v>
      </c>
      <c r="E382" s="115">
        <v>0.3772520577269909</v>
      </c>
      <c r="F382" s="86" t="s">
        <v>4451</v>
      </c>
      <c r="G382" s="86" t="b">
        <v>0</v>
      </c>
      <c r="H382" s="86" t="b">
        <v>0</v>
      </c>
      <c r="I382" s="86" t="b">
        <v>0</v>
      </c>
      <c r="J382" s="86" t="b">
        <v>0</v>
      </c>
      <c r="K382" s="86" t="b">
        <v>0</v>
      </c>
      <c r="L382" s="86" t="b">
        <v>0</v>
      </c>
    </row>
    <row r="383" spans="1:12" ht="15">
      <c r="A383" s="87" t="s">
        <v>4035</v>
      </c>
      <c r="B383" s="86" t="s">
        <v>4202</v>
      </c>
      <c r="C383" s="86">
        <v>2</v>
      </c>
      <c r="D383" s="115">
        <v>0.0007071142993808518</v>
      </c>
      <c r="E383" s="115">
        <v>1.899215535056547</v>
      </c>
      <c r="F383" s="86" t="s">
        <v>4451</v>
      </c>
      <c r="G383" s="86" t="b">
        <v>0</v>
      </c>
      <c r="H383" s="86" t="b">
        <v>0</v>
      </c>
      <c r="I383" s="86" t="b">
        <v>0</v>
      </c>
      <c r="J383" s="86" t="b">
        <v>0</v>
      </c>
      <c r="K383" s="86" t="b">
        <v>0</v>
      </c>
      <c r="L383" s="86" t="b">
        <v>0</v>
      </c>
    </row>
    <row r="384" spans="1:12" ht="15">
      <c r="A384" s="87" t="s">
        <v>4048</v>
      </c>
      <c r="B384" s="86" t="s">
        <v>4422</v>
      </c>
      <c r="C384" s="86">
        <v>2</v>
      </c>
      <c r="D384" s="115">
        <v>0.0007071142993808518</v>
      </c>
      <c r="E384" s="115">
        <v>2.261515187459451</v>
      </c>
      <c r="F384" s="86" t="s">
        <v>4451</v>
      </c>
      <c r="G384" s="86" t="b">
        <v>0</v>
      </c>
      <c r="H384" s="86" t="b">
        <v>0</v>
      </c>
      <c r="I384" s="86" t="b">
        <v>0</v>
      </c>
      <c r="J384" s="86" t="b">
        <v>0</v>
      </c>
      <c r="K384" s="86" t="b">
        <v>0</v>
      </c>
      <c r="L384" s="86" t="b">
        <v>0</v>
      </c>
    </row>
    <row r="385" spans="1:12" ht="15">
      <c r="A385" s="87" t="s">
        <v>4422</v>
      </c>
      <c r="B385" s="86" t="s">
        <v>4170</v>
      </c>
      <c r="C385" s="86">
        <v>2</v>
      </c>
      <c r="D385" s="115">
        <v>0.0007071142993808518</v>
      </c>
      <c r="E385" s="115">
        <v>3.0810591230013196</v>
      </c>
      <c r="F385" s="86" t="s">
        <v>4451</v>
      </c>
      <c r="G385" s="86" t="b">
        <v>0</v>
      </c>
      <c r="H385" s="86" t="b">
        <v>0</v>
      </c>
      <c r="I385" s="86" t="b">
        <v>0</v>
      </c>
      <c r="J385" s="86" t="b">
        <v>0</v>
      </c>
      <c r="K385" s="86" t="b">
        <v>0</v>
      </c>
      <c r="L385" s="86" t="b">
        <v>0</v>
      </c>
    </row>
    <row r="386" spans="1:12" ht="15">
      <c r="A386" s="87" t="s">
        <v>3364</v>
      </c>
      <c r="B386" s="86" t="s">
        <v>4423</v>
      </c>
      <c r="C386" s="86">
        <v>2</v>
      </c>
      <c r="D386" s="115">
        <v>0.0007071142993808518</v>
      </c>
      <c r="E386" s="115">
        <v>1.9349310873230816</v>
      </c>
      <c r="F386" s="86" t="s">
        <v>4451</v>
      </c>
      <c r="G386" s="86" t="b">
        <v>0</v>
      </c>
      <c r="H386" s="86" t="b">
        <v>0</v>
      </c>
      <c r="I386" s="86" t="b">
        <v>0</v>
      </c>
      <c r="J386" s="86" t="b">
        <v>0</v>
      </c>
      <c r="K386" s="86" t="b">
        <v>0</v>
      </c>
      <c r="L386" s="86" t="b">
        <v>0</v>
      </c>
    </row>
    <row r="387" spans="1:12" ht="15">
      <c r="A387" s="87" t="s">
        <v>4423</v>
      </c>
      <c r="B387" s="86" t="s">
        <v>4021</v>
      </c>
      <c r="C387" s="86">
        <v>2</v>
      </c>
      <c r="D387" s="115">
        <v>0.0007071142993808518</v>
      </c>
      <c r="E387" s="115">
        <v>1.9671157706944828</v>
      </c>
      <c r="F387" s="86" t="s">
        <v>4451</v>
      </c>
      <c r="G387" s="86" t="b">
        <v>0</v>
      </c>
      <c r="H387" s="86" t="b">
        <v>0</v>
      </c>
      <c r="I387" s="86" t="b">
        <v>0</v>
      </c>
      <c r="J387" s="86" t="b">
        <v>0</v>
      </c>
      <c r="K387" s="86" t="b">
        <v>1</v>
      </c>
      <c r="L387" s="86" t="b">
        <v>0</v>
      </c>
    </row>
    <row r="388" spans="1:12" ht="15">
      <c r="A388" s="87" t="s">
        <v>4095</v>
      </c>
      <c r="B388" s="86" t="s">
        <v>3307</v>
      </c>
      <c r="C388" s="86">
        <v>2</v>
      </c>
      <c r="D388" s="115">
        <v>0.0007071142993808518</v>
      </c>
      <c r="E388" s="115">
        <v>1.089390115621371</v>
      </c>
      <c r="F388" s="86" t="s">
        <v>4451</v>
      </c>
      <c r="G388" s="86" t="b">
        <v>0</v>
      </c>
      <c r="H388" s="86" t="b">
        <v>0</v>
      </c>
      <c r="I388" s="86" t="b">
        <v>0</v>
      </c>
      <c r="J388" s="86" t="b">
        <v>0</v>
      </c>
      <c r="K388" s="86" t="b">
        <v>0</v>
      </c>
      <c r="L388" s="86" t="b">
        <v>0</v>
      </c>
    </row>
    <row r="389" spans="1:12" ht="15">
      <c r="A389" s="87" t="s">
        <v>3307</v>
      </c>
      <c r="B389" s="86" t="s">
        <v>4076</v>
      </c>
      <c r="C389" s="86">
        <v>2</v>
      </c>
      <c r="D389" s="115">
        <v>0.0007071142993808518</v>
      </c>
      <c r="E389" s="115">
        <v>0.906417930340871</v>
      </c>
      <c r="F389" s="86" t="s">
        <v>4451</v>
      </c>
      <c r="G389" s="86" t="b">
        <v>0</v>
      </c>
      <c r="H389" s="86" t="b">
        <v>0</v>
      </c>
      <c r="I389" s="86" t="b">
        <v>0</v>
      </c>
      <c r="J389" s="86" t="b">
        <v>0</v>
      </c>
      <c r="K389" s="86" t="b">
        <v>0</v>
      </c>
      <c r="L389" s="86" t="b">
        <v>0</v>
      </c>
    </row>
    <row r="390" spans="1:12" ht="15">
      <c r="A390" s="87" t="s">
        <v>4154</v>
      </c>
      <c r="B390" s="86" t="s">
        <v>3356</v>
      </c>
      <c r="C390" s="86">
        <v>2</v>
      </c>
      <c r="D390" s="115">
        <v>0.0007071142993808518</v>
      </c>
      <c r="E390" s="115">
        <v>1.2886674335030657</v>
      </c>
      <c r="F390" s="86" t="s">
        <v>4451</v>
      </c>
      <c r="G390" s="86" t="b">
        <v>0</v>
      </c>
      <c r="H390" s="86" t="b">
        <v>0</v>
      </c>
      <c r="I390" s="86" t="b">
        <v>0</v>
      </c>
      <c r="J390" s="86" t="b">
        <v>0</v>
      </c>
      <c r="K390" s="86" t="b">
        <v>0</v>
      </c>
      <c r="L390" s="86" t="b">
        <v>0</v>
      </c>
    </row>
    <row r="391" spans="1:12" ht="15">
      <c r="A391" s="87" t="s">
        <v>4073</v>
      </c>
      <c r="B391" s="86" t="s">
        <v>4072</v>
      </c>
      <c r="C391" s="86">
        <v>2</v>
      </c>
      <c r="D391" s="115">
        <v>0.0007071142993808518</v>
      </c>
      <c r="E391" s="115">
        <v>1.7888030516448437</v>
      </c>
      <c r="F391" s="86" t="s">
        <v>4451</v>
      </c>
      <c r="G391" s="86" t="b">
        <v>0</v>
      </c>
      <c r="H391" s="86" t="b">
        <v>0</v>
      </c>
      <c r="I391" s="86" t="b">
        <v>0</v>
      </c>
      <c r="J391" s="86" t="b">
        <v>0</v>
      </c>
      <c r="K391" s="86" t="b">
        <v>0</v>
      </c>
      <c r="L391" s="86" t="b">
        <v>0</v>
      </c>
    </row>
    <row r="392" spans="1:12" ht="15">
      <c r="A392" s="87" t="s">
        <v>3377</v>
      </c>
      <c r="B392" s="86" t="s">
        <v>4186</v>
      </c>
      <c r="C392" s="86">
        <v>2</v>
      </c>
      <c r="D392" s="115">
        <v>0.0007071142993808518</v>
      </c>
      <c r="E392" s="115">
        <v>2.437606446515132</v>
      </c>
      <c r="F392" s="86" t="s">
        <v>4451</v>
      </c>
      <c r="G392" s="86" t="b">
        <v>1</v>
      </c>
      <c r="H392" s="86" t="b">
        <v>0</v>
      </c>
      <c r="I392" s="86" t="b">
        <v>0</v>
      </c>
      <c r="J392" s="86" t="b">
        <v>0</v>
      </c>
      <c r="K392" s="86" t="b">
        <v>0</v>
      </c>
      <c r="L392" s="86" t="b">
        <v>0</v>
      </c>
    </row>
    <row r="393" spans="1:12" ht="15">
      <c r="A393" s="87" t="s">
        <v>4186</v>
      </c>
      <c r="B393" s="86" t="s">
        <v>4271</v>
      </c>
      <c r="C393" s="86">
        <v>2</v>
      </c>
      <c r="D393" s="115">
        <v>0.0007071142993808518</v>
      </c>
      <c r="E393" s="115">
        <v>3.001877876953695</v>
      </c>
      <c r="F393" s="86" t="s">
        <v>4451</v>
      </c>
      <c r="G393" s="86" t="b">
        <v>0</v>
      </c>
      <c r="H393" s="86" t="b">
        <v>0</v>
      </c>
      <c r="I393" s="86" t="b">
        <v>0</v>
      </c>
      <c r="J393" s="86" t="b">
        <v>0</v>
      </c>
      <c r="K393" s="86" t="b">
        <v>1</v>
      </c>
      <c r="L393" s="86" t="b">
        <v>0</v>
      </c>
    </row>
    <row r="394" spans="1:12" ht="15">
      <c r="A394" s="87" t="s">
        <v>427</v>
      </c>
      <c r="B394" s="86" t="s">
        <v>3368</v>
      </c>
      <c r="C394" s="86">
        <v>2</v>
      </c>
      <c r="D394" s="115">
        <v>0.0007071142993808518</v>
      </c>
      <c r="E394" s="115">
        <v>1.6308100146819584</v>
      </c>
      <c r="F394" s="86" t="s">
        <v>4451</v>
      </c>
      <c r="G394" s="86" t="b">
        <v>0</v>
      </c>
      <c r="H394" s="86" t="b">
        <v>0</v>
      </c>
      <c r="I394" s="86" t="b">
        <v>0</v>
      </c>
      <c r="J394" s="86" t="b">
        <v>0</v>
      </c>
      <c r="K394" s="86" t="b">
        <v>0</v>
      </c>
      <c r="L394" s="86" t="b">
        <v>0</v>
      </c>
    </row>
    <row r="395" spans="1:12" ht="15">
      <c r="A395" s="87" t="s">
        <v>4083</v>
      </c>
      <c r="B395" s="86" t="s">
        <v>4160</v>
      </c>
      <c r="C395" s="86">
        <v>2</v>
      </c>
      <c r="D395" s="115">
        <v>0.0007071142993808518</v>
      </c>
      <c r="E395" s="115">
        <v>2.340696433507076</v>
      </c>
      <c r="F395" s="86" t="s">
        <v>4451</v>
      </c>
      <c r="G395" s="86" t="b">
        <v>0</v>
      </c>
      <c r="H395" s="86" t="b">
        <v>0</v>
      </c>
      <c r="I395" s="86" t="b">
        <v>0</v>
      </c>
      <c r="J395" s="86" t="b">
        <v>0</v>
      </c>
      <c r="K395" s="86" t="b">
        <v>0</v>
      </c>
      <c r="L395" s="86" t="b">
        <v>0</v>
      </c>
    </row>
    <row r="396" spans="1:12" ht="15">
      <c r="A396" s="87" t="s">
        <v>3379</v>
      </c>
      <c r="B396" s="86" t="s">
        <v>4051</v>
      </c>
      <c r="C396" s="86">
        <v>2</v>
      </c>
      <c r="D396" s="115">
        <v>0.0007071142993808518</v>
      </c>
      <c r="E396" s="115">
        <v>0.9711432599775263</v>
      </c>
      <c r="F396" s="86" t="s">
        <v>4451</v>
      </c>
      <c r="G396" s="86" t="b">
        <v>0</v>
      </c>
      <c r="H396" s="86" t="b">
        <v>0</v>
      </c>
      <c r="I396" s="86" t="b">
        <v>0</v>
      </c>
      <c r="J396" s="86" t="b">
        <v>0</v>
      </c>
      <c r="K396" s="86" t="b">
        <v>0</v>
      </c>
      <c r="L396" s="86" t="b">
        <v>0</v>
      </c>
    </row>
    <row r="397" spans="1:12" ht="15">
      <c r="A397" s="87" t="s">
        <v>4199</v>
      </c>
      <c r="B397" s="86" t="s">
        <v>4425</v>
      </c>
      <c r="C397" s="86">
        <v>2</v>
      </c>
      <c r="D397" s="115">
        <v>0.0007071142993808518</v>
      </c>
      <c r="E397" s="115">
        <v>3.177969136009376</v>
      </c>
      <c r="F397" s="86" t="s">
        <v>4451</v>
      </c>
      <c r="G397" s="86" t="b">
        <v>0</v>
      </c>
      <c r="H397" s="86" t="b">
        <v>0</v>
      </c>
      <c r="I397" s="86" t="b">
        <v>0</v>
      </c>
      <c r="J397" s="86" t="b">
        <v>0</v>
      </c>
      <c r="K397" s="86" t="b">
        <v>0</v>
      </c>
      <c r="L397" s="86" t="b">
        <v>0</v>
      </c>
    </row>
    <row r="398" spans="1:12" ht="15">
      <c r="A398" s="87" t="s">
        <v>4425</v>
      </c>
      <c r="B398" s="86" t="s">
        <v>3386</v>
      </c>
      <c r="C398" s="86">
        <v>2</v>
      </c>
      <c r="D398" s="115">
        <v>0.0007071142993808518</v>
      </c>
      <c r="E398" s="115">
        <v>2.9349310873230814</v>
      </c>
      <c r="F398" s="86" t="s">
        <v>4451</v>
      </c>
      <c r="G398" s="86" t="b">
        <v>0</v>
      </c>
      <c r="H398" s="86" t="b">
        <v>0</v>
      </c>
      <c r="I398" s="86" t="b">
        <v>0</v>
      </c>
      <c r="J398" s="86" t="b">
        <v>0</v>
      </c>
      <c r="K398" s="86" t="b">
        <v>0</v>
      </c>
      <c r="L398" s="86" t="b">
        <v>0</v>
      </c>
    </row>
    <row r="399" spans="1:12" ht="15">
      <c r="A399" s="87" t="s">
        <v>3368</v>
      </c>
      <c r="B399" s="86" t="s">
        <v>3356</v>
      </c>
      <c r="C399" s="86">
        <v>2</v>
      </c>
      <c r="D399" s="115">
        <v>0.0007071142993808518</v>
      </c>
      <c r="E399" s="115">
        <v>0.37221348495314055</v>
      </c>
      <c r="F399" s="86" t="s">
        <v>4451</v>
      </c>
      <c r="G399" s="86" t="b">
        <v>0</v>
      </c>
      <c r="H399" s="86" t="b">
        <v>0</v>
      </c>
      <c r="I399" s="86" t="b">
        <v>0</v>
      </c>
      <c r="J399" s="86" t="b">
        <v>0</v>
      </c>
      <c r="K399" s="86" t="b">
        <v>0</v>
      </c>
      <c r="L399" s="86" t="b">
        <v>0</v>
      </c>
    </row>
    <row r="400" spans="1:12" ht="15">
      <c r="A400" s="87" t="s">
        <v>3356</v>
      </c>
      <c r="B400" s="86" t="s">
        <v>4430</v>
      </c>
      <c r="C400" s="86">
        <v>2</v>
      </c>
      <c r="D400" s="115">
        <v>0.0007071142993808518</v>
      </c>
      <c r="E400" s="115">
        <v>1.5320558609755317</v>
      </c>
      <c r="F400" s="86" t="s">
        <v>4451</v>
      </c>
      <c r="G400" s="86" t="b">
        <v>0</v>
      </c>
      <c r="H400" s="86" t="b">
        <v>0</v>
      </c>
      <c r="I400" s="86" t="b">
        <v>0</v>
      </c>
      <c r="J400" s="86" t="b">
        <v>0</v>
      </c>
      <c r="K400" s="86" t="b">
        <v>0</v>
      </c>
      <c r="L400" s="86" t="b">
        <v>0</v>
      </c>
    </row>
    <row r="401" spans="1:12" ht="15">
      <c r="A401" s="87" t="s">
        <v>4033</v>
      </c>
      <c r="B401" s="86" t="s">
        <v>427</v>
      </c>
      <c r="C401" s="86">
        <v>2</v>
      </c>
      <c r="D401" s="115">
        <v>0.0007071142993808518</v>
      </c>
      <c r="E401" s="115">
        <v>1.7118432655911766</v>
      </c>
      <c r="F401" s="86" t="s">
        <v>4451</v>
      </c>
      <c r="G401" s="86" t="b">
        <v>0</v>
      </c>
      <c r="H401" s="86" t="b">
        <v>0</v>
      </c>
      <c r="I401" s="86" t="b">
        <v>0</v>
      </c>
      <c r="J401" s="86" t="b">
        <v>0</v>
      </c>
      <c r="K401" s="86" t="b">
        <v>0</v>
      </c>
      <c r="L401" s="86" t="b">
        <v>0</v>
      </c>
    </row>
    <row r="402" spans="1:12" ht="15">
      <c r="A402" s="87" t="s">
        <v>427</v>
      </c>
      <c r="B402" s="86" t="s">
        <v>4049</v>
      </c>
      <c r="C402" s="86">
        <v>2</v>
      </c>
      <c r="D402" s="115">
        <v>0.0007071142993808518</v>
      </c>
      <c r="E402" s="115">
        <v>1.8257866178980136</v>
      </c>
      <c r="F402" s="86" t="s">
        <v>4451</v>
      </c>
      <c r="G402" s="86" t="b">
        <v>0</v>
      </c>
      <c r="H402" s="86" t="b">
        <v>0</v>
      </c>
      <c r="I402" s="86" t="b">
        <v>0</v>
      </c>
      <c r="J402" s="86" t="b">
        <v>0</v>
      </c>
      <c r="K402" s="86" t="b">
        <v>0</v>
      </c>
      <c r="L402" s="86" t="b">
        <v>0</v>
      </c>
    </row>
    <row r="403" spans="1:12" ht="15">
      <c r="A403" s="87" t="s">
        <v>4033</v>
      </c>
      <c r="B403" s="86" t="s">
        <v>4431</v>
      </c>
      <c r="C403" s="86">
        <v>2</v>
      </c>
      <c r="D403" s="115">
        <v>0.0007071142993808518</v>
      </c>
      <c r="E403" s="115">
        <v>2.188964520310839</v>
      </c>
      <c r="F403" s="86" t="s">
        <v>4451</v>
      </c>
      <c r="G403" s="86" t="b">
        <v>0</v>
      </c>
      <c r="H403" s="86" t="b">
        <v>0</v>
      </c>
      <c r="I403" s="86" t="b">
        <v>0</v>
      </c>
      <c r="J403" s="86" t="b">
        <v>0</v>
      </c>
      <c r="K403" s="86" t="b">
        <v>0</v>
      </c>
      <c r="L403" s="86" t="b">
        <v>0</v>
      </c>
    </row>
    <row r="404" spans="1:12" ht="15">
      <c r="A404" s="87" t="s">
        <v>3307</v>
      </c>
      <c r="B404" s="86" t="s">
        <v>4168</v>
      </c>
      <c r="C404" s="86">
        <v>2</v>
      </c>
      <c r="D404" s="115">
        <v>0.0007071142993808518</v>
      </c>
      <c r="E404" s="115">
        <v>1.4183012913197455</v>
      </c>
      <c r="F404" s="86" t="s">
        <v>4451</v>
      </c>
      <c r="G404" s="86" t="b">
        <v>0</v>
      </c>
      <c r="H404" s="86" t="b">
        <v>0</v>
      </c>
      <c r="I404" s="86" t="b">
        <v>0</v>
      </c>
      <c r="J404" s="86" t="b">
        <v>0</v>
      </c>
      <c r="K404" s="86" t="b">
        <v>0</v>
      </c>
      <c r="L404" s="86" t="b">
        <v>0</v>
      </c>
    </row>
    <row r="405" spans="1:12" ht="15">
      <c r="A405" s="87" t="s">
        <v>4168</v>
      </c>
      <c r="B405" s="86" t="s">
        <v>4092</v>
      </c>
      <c r="C405" s="86">
        <v>2</v>
      </c>
      <c r="D405" s="115">
        <v>0.0007071142993808518</v>
      </c>
      <c r="E405" s="115">
        <v>2.382089118665301</v>
      </c>
      <c r="F405" s="86" t="s">
        <v>4451</v>
      </c>
      <c r="G405" s="86" t="b">
        <v>0</v>
      </c>
      <c r="H405" s="86" t="b">
        <v>0</v>
      </c>
      <c r="I405" s="86" t="b">
        <v>0</v>
      </c>
      <c r="J405" s="86" t="b">
        <v>0</v>
      </c>
      <c r="K405" s="86" t="b">
        <v>0</v>
      </c>
      <c r="L405" s="86" t="b">
        <v>0</v>
      </c>
    </row>
    <row r="406" spans="1:12" ht="15">
      <c r="A406" s="87" t="s">
        <v>4170</v>
      </c>
      <c r="B406" s="86" t="s">
        <v>4116</v>
      </c>
      <c r="C406" s="86">
        <v>2</v>
      </c>
      <c r="D406" s="115">
        <v>0.0007071142993808518</v>
      </c>
      <c r="E406" s="115">
        <v>2.536991078651044</v>
      </c>
      <c r="F406" s="86" t="s">
        <v>4451</v>
      </c>
      <c r="G406" s="86" t="b">
        <v>0</v>
      </c>
      <c r="H406" s="86" t="b">
        <v>0</v>
      </c>
      <c r="I406" s="86" t="b">
        <v>0</v>
      </c>
      <c r="J406" s="86" t="b">
        <v>0</v>
      </c>
      <c r="K406" s="86" t="b">
        <v>0</v>
      </c>
      <c r="L406" s="86" t="b">
        <v>0</v>
      </c>
    </row>
    <row r="407" spans="1:12" ht="15">
      <c r="A407" s="87" t="s">
        <v>4020</v>
      </c>
      <c r="B407" s="86" t="s">
        <v>4061</v>
      </c>
      <c r="C407" s="86">
        <v>2</v>
      </c>
      <c r="D407" s="115">
        <v>0.0007071142993808518</v>
      </c>
      <c r="E407" s="115">
        <v>1.0062426823561448</v>
      </c>
      <c r="F407" s="86" t="s">
        <v>4451</v>
      </c>
      <c r="G407" s="86" t="b">
        <v>0</v>
      </c>
      <c r="H407" s="86" t="b">
        <v>1</v>
      </c>
      <c r="I407" s="86" t="b">
        <v>0</v>
      </c>
      <c r="J407" s="86" t="b">
        <v>0</v>
      </c>
      <c r="K407" s="86" t="b">
        <v>1</v>
      </c>
      <c r="L407" s="86" t="b">
        <v>0</v>
      </c>
    </row>
    <row r="408" spans="1:12" ht="15">
      <c r="A408" s="87" t="s">
        <v>4061</v>
      </c>
      <c r="B408" s="86" t="s">
        <v>4197</v>
      </c>
      <c r="C408" s="86">
        <v>2</v>
      </c>
      <c r="D408" s="115">
        <v>0.0007071142993808518</v>
      </c>
      <c r="E408" s="115">
        <v>2.348665363178351</v>
      </c>
      <c r="F408" s="86" t="s">
        <v>4451</v>
      </c>
      <c r="G408" s="86" t="b">
        <v>0</v>
      </c>
      <c r="H408" s="86" t="b">
        <v>1</v>
      </c>
      <c r="I408" s="86" t="b">
        <v>0</v>
      </c>
      <c r="J408" s="86" t="b">
        <v>0</v>
      </c>
      <c r="K408" s="86" t="b">
        <v>0</v>
      </c>
      <c r="L408" s="86" t="b">
        <v>0</v>
      </c>
    </row>
    <row r="409" spans="1:12" ht="15">
      <c r="A409" s="87" t="s">
        <v>4197</v>
      </c>
      <c r="B409" s="86" t="s">
        <v>4176</v>
      </c>
      <c r="C409" s="86">
        <v>2</v>
      </c>
      <c r="D409" s="115">
        <v>0.0007071142993808518</v>
      </c>
      <c r="E409" s="115">
        <v>2.7800291273373383</v>
      </c>
      <c r="F409" s="86" t="s">
        <v>4451</v>
      </c>
      <c r="G409" s="86" t="b">
        <v>0</v>
      </c>
      <c r="H409" s="86" t="b">
        <v>0</v>
      </c>
      <c r="I409" s="86" t="b">
        <v>0</v>
      </c>
      <c r="J409" s="86" t="b">
        <v>0</v>
      </c>
      <c r="K409" s="86" t="b">
        <v>0</v>
      </c>
      <c r="L409" s="86" t="b">
        <v>0</v>
      </c>
    </row>
    <row r="410" spans="1:12" ht="15">
      <c r="A410" s="87" t="s">
        <v>4176</v>
      </c>
      <c r="B410" s="86" t="s">
        <v>4117</v>
      </c>
      <c r="C410" s="86">
        <v>2</v>
      </c>
      <c r="D410" s="115">
        <v>0.0007071142993808518</v>
      </c>
      <c r="E410" s="115">
        <v>2.603937868281657</v>
      </c>
      <c r="F410" s="86" t="s">
        <v>4451</v>
      </c>
      <c r="G410" s="86" t="b">
        <v>0</v>
      </c>
      <c r="H410" s="86" t="b">
        <v>0</v>
      </c>
      <c r="I410" s="86" t="b">
        <v>0</v>
      </c>
      <c r="J410" s="86" t="b">
        <v>0</v>
      </c>
      <c r="K410" s="86" t="b">
        <v>0</v>
      </c>
      <c r="L410" s="86" t="b">
        <v>0</v>
      </c>
    </row>
    <row r="411" spans="1:12" ht="15">
      <c r="A411" s="87" t="s">
        <v>4086</v>
      </c>
      <c r="B411" s="86" t="s">
        <v>4174</v>
      </c>
      <c r="C411" s="86">
        <v>2</v>
      </c>
      <c r="D411" s="115">
        <v>0.0007071142993808518</v>
      </c>
      <c r="E411" s="115">
        <v>2.340696433507076</v>
      </c>
      <c r="F411" s="86" t="s">
        <v>4451</v>
      </c>
      <c r="G411" s="86" t="b">
        <v>0</v>
      </c>
      <c r="H411" s="86" t="b">
        <v>0</v>
      </c>
      <c r="I411" s="86" t="b">
        <v>0</v>
      </c>
      <c r="J411" s="86" t="b">
        <v>0</v>
      </c>
      <c r="K411" s="86" t="b">
        <v>0</v>
      </c>
      <c r="L411" s="86" t="b">
        <v>0</v>
      </c>
    </row>
    <row r="412" spans="1:12" ht="15">
      <c r="A412" s="87" t="s">
        <v>3355</v>
      </c>
      <c r="B412" s="86" t="s">
        <v>3358</v>
      </c>
      <c r="C412" s="86">
        <v>2</v>
      </c>
      <c r="D412" s="115">
        <v>0.0007071142993808518</v>
      </c>
      <c r="E412" s="115">
        <v>0.38018241462441604</v>
      </c>
      <c r="F412" s="86" t="s">
        <v>4451</v>
      </c>
      <c r="G412" s="86" t="b">
        <v>0</v>
      </c>
      <c r="H412" s="86" t="b">
        <v>0</v>
      </c>
      <c r="I412" s="86" t="b">
        <v>0</v>
      </c>
      <c r="J412" s="86" t="b">
        <v>0</v>
      </c>
      <c r="K412" s="86" t="b">
        <v>0</v>
      </c>
      <c r="L412" s="86" t="b">
        <v>0</v>
      </c>
    </row>
    <row r="413" spans="1:12" ht="15">
      <c r="A413" s="87" t="s">
        <v>3358</v>
      </c>
      <c r="B413" s="86" t="s">
        <v>3357</v>
      </c>
      <c r="C413" s="86">
        <v>2</v>
      </c>
      <c r="D413" s="115">
        <v>0.0007071142993808518</v>
      </c>
      <c r="E413" s="115">
        <v>-0.10487946682526882</v>
      </c>
      <c r="F413" s="86" t="s">
        <v>4451</v>
      </c>
      <c r="G413" s="86" t="b">
        <v>0</v>
      </c>
      <c r="H413" s="86" t="b">
        <v>0</v>
      </c>
      <c r="I413" s="86" t="b">
        <v>0</v>
      </c>
      <c r="J413" s="86" t="b">
        <v>0</v>
      </c>
      <c r="K413" s="86" t="b">
        <v>0</v>
      </c>
      <c r="L413" s="86" t="b">
        <v>0</v>
      </c>
    </row>
    <row r="414" spans="1:12" ht="15">
      <c r="A414" s="87" t="s">
        <v>429</v>
      </c>
      <c r="B414" s="86" t="s">
        <v>4248</v>
      </c>
      <c r="C414" s="86">
        <v>2</v>
      </c>
      <c r="D414" s="115">
        <v>0.0007071142993808518</v>
      </c>
      <c r="E414" s="115">
        <v>2.7588398282674005</v>
      </c>
      <c r="F414" s="86" t="s">
        <v>4451</v>
      </c>
      <c r="G414" s="86" t="b">
        <v>0</v>
      </c>
      <c r="H414" s="86" t="b">
        <v>0</v>
      </c>
      <c r="I414" s="86" t="b">
        <v>0</v>
      </c>
      <c r="J414" s="86" t="b">
        <v>0</v>
      </c>
      <c r="K414" s="86" t="b">
        <v>0</v>
      </c>
      <c r="L414" s="86" t="b">
        <v>0</v>
      </c>
    </row>
    <row r="415" spans="1:12" ht="15">
      <c r="A415" s="87" t="s">
        <v>4248</v>
      </c>
      <c r="B415" s="86" t="s">
        <v>4046</v>
      </c>
      <c r="C415" s="86">
        <v>2</v>
      </c>
      <c r="D415" s="115">
        <v>0.0007071142993808518</v>
      </c>
      <c r="E415" s="115">
        <v>2.0854239284037694</v>
      </c>
      <c r="F415" s="86" t="s">
        <v>4451</v>
      </c>
      <c r="G415" s="86" t="b">
        <v>0</v>
      </c>
      <c r="H415" s="86" t="b">
        <v>0</v>
      </c>
      <c r="I415" s="86" t="b">
        <v>0</v>
      </c>
      <c r="J415" s="86" t="b">
        <v>0</v>
      </c>
      <c r="K415" s="86" t="b">
        <v>0</v>
      </c>
      <c r="L415" s="86" t="b">
        <v>0</v>
      </c>
    </row>
    <row r="416" spans="1:12" ht="15">
      <c r="A416" s="87" t="s">
        <v>4020</v>
      </c>
      <c r="B416" s="86" t="s">
        <v>3381</v>
      </c>
      <c r="C416" s="86">
        <v>2</v>
      </c>
      <c r="D416" s="115">
        <v>0.0007071142993808518</v>
      </c>
      <c r="E416" s="115">
        <v>0.46912349796119707</v>
      </c>
      <c r="F416" s="86" t="s">
        <v>4451</v>
      </c>
      <c r="G416" s="86" t="b">
        <v>0</v>
      </c>
      <c r="H416" s="86" t="b">
        <v>1</v>
      </c>
      <c r="I416" s="86" t="b">
        <v>0</v>
      </c>
      <c r="J416" s="86" t="b">
        <v>0</v>
      </c>
      <c r="K416" s="86" t="b">
        <v>0</v>
      </c>
      <c r="L416" s="86" t="b">
        <v>0</v>
      </c>
    </row>
    <row r="417" spans="1:12" ht="15">
      <c r="A417" s="87" t="s">
        <v>3359</v>
      </c>
      <c r="B417" s="86" t="s">
        <v>4190</v>
      </c>
      <c r="C417" s="86">
        <v>2</v>
      </c>
      <c r="D417" s="115">
        <v>0.0007071142993808518</v>
      </c>
      <c r="E417" s="115">
        <v>1.6308100146819584</v>
      </c>
      <c r="F417" s="86" t="s">
        <v>4451</v>
      </c>
      <c r="G417" s="86" t="b">
        <v>0</v>
      </c>
      <c r="H417" s="86" t="b">
        <v>0</v>
      </c>
      <c r="I417" s="86" t="b">
        <v>0</v>
      </c>
      <c r="J417" s="86" t="b">
        <v>0</v>
      </c>
      <c r="K417" s="86" t="b">
        <v>0</v>
      </c>
      <c r="L417" s="86" t="b">
        <v>0</v>
      </c>
    </row>
    <row r="418" spans="1:12" ht="15">
      <c r="A418" s="87" t="s">
        <v>4264</v>
      </c>
      <c r="B418" s="86" t="s">
        <v>3318</v>
      </c>
      <c r="C418" s="86">
        <v>2</v>
      </c>
      <c r="D418" s="115">
        <v>0.0007071142993808518</v>
      </c>
      <c r="E418" s="115">
        <v>2.649695358842332</v>
      </c>
      <c r="F418" s="86" t="s">
        <v>4451</v>
      </c>
      <c r="G418" s="86" t="b">
        <v>0</v>
      </c>
      <c r="H418" s="86" t="b">
        <v>0</v>
      </c>
      <c r="I418" s="86" t="b">
        <v>0</v>
      </c>
      <c r="J418" s="86" t="b">
        <v>0</v>
      </c>
      <c r="K418" s="86" t="b">
        <v>0</v>
      </c>
      <c r="L418" s="86" t="b">
        <v>0</v>
      </c>
    </row>
    <row r="419" spans="1:12" ht="15">
      <c r="A419" s="87" t="s">
        <v>3318</v>
      </c>
      <c r="B419" s="86" t="s">
        <v>4050</v>
      </c>
      <c r="C419" s="86">
        <v>2</v>
      </c>
      <c r="D419" s="115">
        <v>0.0007071142993808518</v>
      </c>
      <c r="E419" s="115">
        <v>1.6954528494030074</v>
      </c>
      <c r="F419" s="86" t="s">
        <v>4451</v>
      </c>
      <c r="G419" s="86" t="b">
        <v>0</v>
      </c>
      <c r="H419" s="86" t="b">
        <v>0</v>
      </c>
      <c r="I419" s="86" t="b">
        <v>0</v>
      </c>
      <c r="J419" s="86" t="b">
        <v>0</v>
      </c>
      <c r="K419" s="86" t="b">
        <v>0</v>
      </c>
      <c r="L419" s="86" t="b">
        <v>0</v>
      </c>
    </row>
    <row r="420" spans="1:12" ht="15">
      <c r="A420" s="87" t="s">
        <v>4063</v>
      </c>
      <c r="B420" s="86" t="s">
        <v>4059</v>
      </c>
      <c r="C420" s="86">
        <v>2</v>
      </c>
      <c r="D420" s="115">
        <v>0.0007071142993808518</v>
      </c>
      <c r="E420" s="115">
        <v>1.5718566006702168</v>
      </c>
      <c r="F420" s="86" t="s">
        <v>4451</v>
      </c>
      <c r="G420" s="86" t="b">
        <v>0</v>
      </c>
      <c r="H420" s="86" t="b">
        <v>0</v>
      </c>
      <c r="I420" s="86" t="b">
        <v>0</v>
      </c>
      <c r="J420" s="86" t="b">
        <v>0</v>
      </c>
      <c r="K420" s="86" t="b">
        <v>1</v>
      </c>
      <c r="L420" s="86" t="b">
        <v>0</v>
      </c>
    </row>
    <row r="421" spans="1:12" ht="15">
      <c r="A421" s="87" t="s">
        <v>3376</v>
      </c>
      <c r="B421" s="86" t="s">
        <v>3359</v>
      </c>
      <c r="C421" s="86">
        <v>2</v>
      </c>
      <c r="D421" s="115">
        <v>0.0007071142993808518</v>
      </c>
      <c r="E421" s="115">
        <v>0.7632046336698504</v>
      </c>
      <c r="F421" s="86" t="s">
        <v>4451</v>
      </c>
      <c r="G421" s="86" t="b">
        <v>0</v>
      </c>
      <c r="H421" s="86" t="b">
        <v>0</v>
      </c>
      <c r="I421" s="86" t="b">
        <v>0</v>
      </c>
      <c r="J421" s="86" t="b">
        <v>0</v>
      </c>
      <c r="K421" s="86" t="b">
        <v>0</v>
      </c>
      <c r="L421" s="86" t="b">
        <v>0</v>
      </c>
    </row>
    <row r="422" spans="1:12" ht="15">
      <c r="A422" s="87" t="s">
        <v>3359</v>
      </c>
      <c r="B422" s="86" t="s">
        <v>3358</v>
      </c>
      <c r="C422" s="86">
        <v>2</v>
      </c>
      <c r="D422" s="115">
        <v>0.0007071142993808518</v>
      </c>
      <c r="E422" s="115">
        <v>0.31553957990336706</v>
      </c>
      <c r="F422" s="86" t="s">
        <v>4451</v>
      </c>
      <c r="G422" s="86" t="b">
        <v>0</v>
      </c>
      <c r="H422" s="86" t="b">
        <v>0</v>
      </c>
      <c r="I422" s="86" t="b">
        <v>0</v>
      </c>
      <c r="J422" s="86" t="b">
        <v>0</v>
      </c>
      <c r="K422" s="86" t="b">
        <v>0</v>
      </c>
      <c r="L422" s="86" t="b">
        <v>0</v>
      </c>
    </row>
    <row r="423" spans="1:12" ht="15">
      <c r="A423" s="87" t="s">
        <v>4071</v>
      </c>
      <c r="B423" s="86" t="s">
        <v>4232</v>
      </c>
      <c r="C423" s="86">
        <v>2</v>
      </c>
      <c r="D423" s="115">
        <v>0.0007071142993808518</v>
      </c>
      <c r="E423" s="115">
        <v>2.427846609225976</v>
      </c>
      <c r="F423" s="86" t="s">
        <v>4451</v>
      </c>
      <c r="G423" s="86" t="b">
        <v>0</v>
      </c>
      <c r="H423" s="86" t="b">
        <v>0</v>
      </c>
      <c r="I423" s="86" t="b">
        <v>0</v>
      </c>
      <c r="J423" s="86" t="b">
        <v>0</v>
      </c>
      <c r="K423" s="86" t="b">
        <v>0</v>
      </c>
      <c r="L423" s="86" t="b">
        <v>0</v>
      </c>
    </row>
    <row r="424" spans="1:12" ht="15">
      <c r="A424" s="87" t="s">
        <v>4232</v>
      </c>
      <c r="B424" s="86" t="s">
        <v>4079</v>
      </c>
      <c r="C424" s="86">
        <v>2</v>
      </c>
      <c r="D424" s="115">
        <v>0.0007071142993808518</v>
      </c>
      <c r="E424" s="115">
        <v>2.4899945159748205</v>
      </c>
      <c r="F424" s="86" t="s">
        <v>4451</v>
      </c>
      <c r="G424" s="86" t="b">
        <v>0</v>
      </c>
      <c r="H424" s="86" t="b">
        <v>0</v>
      </c>
      <c r="I424" s="86" t="b">
        <v>0</v>
      </c>
      <c r="J424" s="86" t="b">
        <v>0</v>
      </c>
      <c r="K424" s="86" t="b">
        <v>0</v>
      </c>
      <c r="L424" s="86" t="b">
        <v>0</v>
      </c>
    </row>
    <row r="425" spans="1:12" ht="15">
      <c r="A425" s="87" t="s">
        <v>4064</v>
      </c>
      <c r="B425" s="86" t="s">
        <v>3307</v>
      </c>
      <c r="C425" s="86">
        <v>2</v>
      </c>
      <c r="D425" s="115">
        <v>0.0007071142993808518</v>
      </c>
      <c r="E425" s="115">
        <v>0.813183703682422</v>
      </c>
      <c r="F425" s="86" t="s">
        <v>4451</v>
      </c>
      <c r="G425" s="86" t="b">
        <v>0</v>
      </c>
      <c r="H425" s="86" t="b">
        <v>1</v>
      </c>
      <c r="I425" s="86" t="b">
        <v>0</v>
      </c>
      <c r="J425" s="86" t="b">
        <v>0</v>
      </c>
      <c r="K425" s="86" t="b">
        <v>0</v>
      </c>
      <c r="L425" s="86" t="b">
        <v>0</v>
      </c>
    </row>
    <row r="426" spans="1:12" ht="15">
      <c r="A426" s="87" t="s">
        <v>4278</v>
      </c>
      <c r="B426" s="86" t="s">
        <v>4107</v>
      </c>
      <c r="C426" s="86">
        <v>2</v>
      </c>
      <c r="D426" s="115">
        <v>0.0007071142993808518</v>
      </c>
      <c r="E426" s="115">
        <v>2.8769391403453946</v>
      </c>
      <c r="F426" s="86" t="s">
        <v>4451</v>
      </c>
      <c r="G426" s="86" t="b">
        <v>0</v>
      </c>
      <c r="H426" s="86" t="b">
        <v>0</v>
      </c>
      <c r="I426" s="86" t="b">
        <v>0</v>
      </c>
      <c r="J426" s="86" t="b">
        <v>0</v>
      </c>
      <c r="K426" s="86" t="b">
        <v>0</v>
      </c>
      <c r="L426" s="86" t="b">
        <v>0</v>
      </c>
    </row>
    <row r="427" spans="1:12" ht="15">
      <c r="A427" s="87" t="s">
        <v>456</v>
      </c>
      <c r="B427" s="86" t="s">
        <v>455</v>
      </c>
      <c r="C427" s="86">
        <v>2</v>
      </c>
      <c r="D427" s="115">
        <v>0.0007071142993808518</v>
      </c>
      <c r="E427" s="115">
        <v>3.478999131673357</v>
      </c>
      <c r="F427" s="86" t="s">
        <v>4451</v>
      </c>
      <c r="G427" s="86" t="b">
        <v>0</v>
      </c>
      <c r="H427" s="86" t="b">
        <v>0</v>
      </c>
      <c r="I427" s="86" t="b">
        <v>0</v>
      </c>
      <c r="J427" s="86" t="b">
        <v>0</v>
      </c>
      <c r="K427" s="86" t="b">
        <v>0</v>
      </c>
      <c r="L427" s="86" t="b">
        <v>0</v>
      </c>
    </row>
    <row r="428" spans="1:12" ht="15">
      <c r="A428" s="87" t="s">
        <v>3357</v>
      </c>
      <c r="B428" s="86" t="s">
        <v>3354</v>
      </c>
      <c r="C428" s="86">
        <v>58</v>
      </c>
      <c r="D428" s="115">
        <v>0.008539385932901248</v>
      </c>
      <c r="E428" s="115">
        <v>1.397365984506043</v>
      </c>
      <c r="F428" s="86" t="s">
        <v>3161</v>
      </c>
      <c r="G428" s="86" t="b">
        <v>0</v>
      </c>
      <c r="H428" s="86" t="b">
        <v>0</v>
      </c>
      <c r="I428" s="86" t="b">
        <v>0</v>
      </c>
      <c r="J428" s="86" t="b">
        <v>0</v>
      </c>
      <c r="K428" s="86" t="b">
        <v>0</v>
      </c>
      <c r="L428" s="86" t="b">
        <v>0</v>
      </c>
    </row>
    <row r="429" spans="1:12" ht="15">
      <c r="A429" s="87" t="s">
        <v>3364</v>
      </c>
      <c r="B429" s="86" t="s">
        <v>4023</v>
      </c>
      <c r="C429" s="86">
        <v>51</v>
      </c>
      <c r="D429" s="115">
        <v>0.008248512973205396</v>
      </c>
      <c r="E429" s="115">
        <v>1.7587077725410922</v>
      </c>
      <c r="F429" s="86" t="s">
        <v>3161</v>
      </c>
      <c r="G429" s="86" t="b">
        <v>0</v>
      </c>
      <c r="H429" s="86" t="b">
        <v>0</v>
      </c>
      <c r="I429" s="86" t="b">
        <v>0</v>
      </c>
      <c r="J429" s="86" t="b">
        <v>0</v>
      </c>
      <c r="K429" s="86" t="b">
        <v>1</v>
      </c>
      <c r="L429" s="86" t="b">
        <v>0</v>
      </c>
    </row>
    <row r="430" spans="1:12" ht="15">
      <c r="A430" s="87" t="s">
        <v>4023</v>
      </c>
      <c r="B430" s="86" t="s">
        <v>4022</v>
      </c>
      <c r="C430" s="86">
        <v>51</v>
      </c>
      <c r="D430" s="115">
        <v>0.008248512973205396</v>
      </c>
      <c r="E430" s="115">
        <v>1.8036749180576155</v>
      </c>
      <c r="F430" s="86" t="s">
        <v>3161</v>
      </c>
      <c r="G430" s="86" t="b">
        <v>0</v>
      </c>
      <c r="H430" s="86" t="b">
        <v>1</v>
      </c>
      <c r="I430" s="86" t="b">
        <v>0</v>
      </c>
      <c r="J430" s="86" t="b">
        <v>0</v>
      </c>
      <c r="K430" s="86" t="b">
        <v>0</v>
      </c>
      <c r="L430" s="86" t="b">
        <v>0</v>
      </c>
    </row>
    <row r="431" spans="1:12" ht="15">
      <c r="A431" s="87" t="s">
        <v>4022</v>
      </c>
      <c r="B431" s="86" t="s">
        <v>4021</v>
      </c>
      <c r="C431" s="86">
        <v>51</v>
      </c>
      <c r="D431" s="115">
        <v>0.008248512973205396</v>
      </c>
      <c r="E431" s="115">
        <v>1.7875880981641605</v>
      </c>
      <c r="F431" s="86" t="s">
        <v>3161</v>
      </c>
      <c r="G431" s="86" t="b">
        <v>0</v>
      </c>
      <c r="H431" s="86" t="b">
        <v>0</v>
      </c>
      <c r="I431" s="86" t="b">
        <v>0</v>
      </c>
      <c r="J431" s="86" t="b">
        <v>0</v>
      </c>
      <c r="K431" s="86" t="b">
        <v>1</v>
      </c>
      <c r="L431" s="86" t="b">
        <v>0</v>
      </c>
    </row>
    <row r="432" spans="1:12" ht="15">
      <c r="A432" s="87" t="s">
        <v>4025</v>
      </c>
      <c r="B432" s="86" t="s">
        <v>3360</v>
      </c>
      <c r="C432" s="86">
        <v>51</v>
      </c>
      <c r="D432" s="115">
        <v>0.008248512973205396</v>
      </c>
      <c r="E432" s="115">
        <v>1.6742525758822302</v>
      </c>
      <c r="F432" s="86" t="s">
        <v>3161</v>
      </c>
      <c r="G432" s="86" t="b">
        <v>0</v>
      </c>
      <c r="H432" s="86" t="b">
        <v>0</v>
      </c>
      <c r="I432" s="86" t="b">
        <v>0</v>
      </c>
      <c r="J432" s="86" t="b">
        <v>0</v>
      </c>
      <c r="K432" s="86" t="b">
        <v>0</v>
      </c>
      <c r="L432" s="86" t="b">
        <v>0</v>
      </c>
    </row>
    <row r="433" spans="1:12" ht="15">
      <c r="A433" s="87" t="s">
        <v>4024</v>
      </c>
      <c r="B433" s="86" t="s">
        <v>4025</v>
      </c>
      <c r="C433" s="86">
        <v>50</v>
      </c>
      <c r="D433" s="115">
        <v>0.0081984389640765</v>
      </c>
      <c r="E433" s="115">
        <v>1.844572953194858</v>
      </c>
      <c r="F433" s="86" t="s">
        <v>3161</v>
      </c>
      <c r="G433" s="86" t="b">
        <v>0</v>
      </c>
      <c r="H433" s="86" t="b">
        <v>0</v>
      </c>
      <c r="I433" s="86" t="b">
        <v>0</v>
      </c>
      <c r="J433" s="86" t="b">
        <v>0</v>
      </c>
      <c r="K433" s="86" t="b">
        <v>0</v>
      </c>
      <c r="L433" s="86" t="b">
        <v>0</v>
      </c>
    </row>
    <row r="434" spans="1:12" ht="15">
      <c r="A434" s="87" t="s">
        <v>4021</v>
      </c>
      <c r="B434" s="86" t="s">
        <v>3363</v>
      </c>
      <c r="C434" s="86">
        <v>48</v>
      </c>
      <c r="D434" s="115">
        <v>0.008091477986687348</v>
      </c>
      <c r="E434" s="115">
        <v>1.6755470462352289</v>
      </c>
      <c r="F434" s="86" t="s">
        <v>3161</v>
      </c>
      <c r="G434" s="86" t="b">
        <v>0</v>
      </c>
      <c r="H434" s="86" t="b">
        <v>1</v>
      </c>
      <c r="I434" s="86" t="b">
        <v>0</v>
      </c>
      <c r="J434" s="86" t="b">
        <v>0</v>
      </c>
      <c r="K434" s="86" t="b">
        <v>0</v>
      </c>
      <c r="L434" s="86" t="b">
        <v>0</v>
      </c>
    </row>
    <row r="435" spans="1:12" ht="15">
      <c r="A435" s="87" t="s">
        <v>3363</v>
      </c>
      <c r="B435" s="86" t="s">
        <v>3380</v>
      </c>
      <c r="C435" s="86">
        <v>47</v>
      </c>
      <c r="D435" s="115">
        <v>0.008034497020107308</v>
      </c>
      <c r="E435" s="115">
        <v>1.6433383627266658</v>
      </c>
      <c r="F435" s="86" t="s">
        <v>3161</v>
      </c>
      <c r="G435" s="86" t="b">
        <v>0</v>
      </c>
      <c r="H435" s="86" t="b">
        <v>0</v>
      </c>
      <c r="I435" s="86" t="b">
        <v>0</v>
      </c>
      <c r="J435" s="86" t="b">
        <v>0</v>
      </c>
      <c r="K435" s="86" t="b">
        <v>0</v>
      </c>
      <c r="L435" s="86" t="b">
        <v>0</v>
      </c>
    </row>
    <row r="436" spans="1:12" ht="15">
      <c r="A436" s="87" t="s">
        <v>3380</v>
      </c>
      <c r="B436" s="86" t="s">
        <v>3361</v>
      </c>
      <c r="C436" s="86">
        <v>47</v>
      </c>
      <c r="D436" s="115">
        <v>0.008034497020107308</v>
      </c>
      <c r="E436" s="115">
        <v>1.5570628173163443</v>
      </c>
      <c r="F436" s="86" t="s">
        <v>3161</v>
      </c>
      <c r="G436" s="86" t="b">
        <v>0</v>
      </c>
      <c r="H436" s="86" t="b">
        <v>0</v>
      </c>
      <c r="I436" s="86" t="b">
        <v>0</v>
      </c>
      <c r="J436" s="86" t="b">
        <v>0</v>
      </c>
      <c r="K436" s="86" t="b">
        <v>0</v>
      </c>
      <c r="L436" s="86" t="b">
        <v>0</v>
      </c>
    </row>
    <row r="437" spans="1:12" ht="15">
      <c r="A437" s="87" t="s">
        <v>3354</v>
      </c>
      <c r="B437" s="86" t="s">
        <v>3355</v>
      </c>
      <c r="C437" s="86">
        <v>47</v>
      </c>
      <c r="D437" s="115">
        <v>0.008034497020107308</v>
      </c>
      <c r="E437" s="115">
        <v>1.0655238242422533</v>
      </c>
      <c r="F437" s="86" t="s">
        <v>3161</v>
      </c>
      <c r="G437" s="86" t="b">
        <v>0</v>
      </c>
      <c r="H437" s="86" t="b">
        <v>0</v>
      </c>
      <c r="I437" s="86" t="b">
        <v>0</v>
      </c>
      <c r="J437" s="86" t="b">
        <v>0</v>
      </c>
      <c r="K437" s="86" t="b">
        <v>0</v>
      </c>
      <c r="L437" s="86" t="b">
        <v>0</v>
      </c>
    </row>
    <row r="438" spans="1:12" ht="15">
      <c r="A438" s="87" t="s">
        <v>3358</v>
      </c>
      <c r="B438" s="86" t="s">
        <v>3364</v>
      </c>
      <c r="C438" s="86">
        <v>46</v>
      </c>
      <c r="D438" s="115">
        <v>0.007975116415660963</v>
      </c>
      <c r="E438" s="115">
        <v>1.4604476924366712</v>
      </c>
      <c r="F438" s="86" t="s">
        <v>3161</v>
      </c>
      <c r="G438" s="86" t="b">
        <v>0</v>
      </c>
      <c r="H438" s="86" t="b">
        <v>0</v>
      </c>
      <c r="I438" s="86" t="b">
        <v>0</v>
      </c>
      <c r="J438" s="86" t="b">
        <v>0</v>
      </c>
      <c r="K438" s="86" t="b">
        <v>0</v>
      </c>
      <c r="L438" s="86" t="b">
        <v>0</v>
      </c>
    </row>
    <row r="439" spans="1:12" ht="15">
      <c r="A439" s="87" t="s">
        <v>4027</v>
      </c>
      <c r="B439" s="86" t="s">
        <v>4026</v>
      </c>
      <c r="C439" s="86">
        <v>46</v>
      </c>
      <c r="D439" s="115">
        <v>0.007975116415660963</v>
      </c>
      <c r="E439" s="115">
        <v>1.8612071947720548</v>
      </c>
      <c r="F439" s="86" t="s">
        <v>3161</v>
      </c>
      <c r="G439" s="86" t="b">
        <v>0</v>
      </c>
      <c r="H439" s="86" t="b">
        <v>0</v>
      </c>
      <c r="I439" s="86" t="b">
        <v>0</v>
      </c>
      <c r="J439" s="86" t="b">
        <v>0</v>
      </c>
      <c r="K439" s="86" t="b">
        <v>0</v>
      </c>
      <c r="L439" s="86" t="b">
        <v>0</v>
      </c>
    </row>
    <row r="440" spans="1:12" ht="15">
      <c r="A440" s="87" t="s">
        <v>3356</v>
      </c>
      <c r="B440" s="86" t="s">
        <v>3357</v>
      </c>
      <c r="C440" s="86">
        <v>43</v>
      </c>
      <c r="D440" s="115">
        <v>0.0077820432781337285</v>
      </c>
      <c r="E440" s="115">
        <v>1.1958216263162507</v>
      </c>
      <c r="F440" s="86" t="s">
        <v>3161</v>
      </c>
      <c r="G440" s="86" t="b">
        <v>0</v>
      </c>
      <c r="H440" s="86" t="b">
        <v>0</v>
      </c>
      <c r="I440" s="86" t="b">
        <v>0</v>
      </c>
      <c r="J440" s="86" t="b">
        <v>0</v>
      </c>
      <c r="K440" s="86" t="b">
        <v>0</v>
      </c>
      <c r="L440" s="86" t="b">
        <v>0</v>
      </c>
    </row>
    <row r="441" spans="1:12" ht="15">
      <c r="A441" s="87" t="s">
        <v>4030</v>
      </c>
      <c r="B441" s="86" t="s">
        <v>4031</v>
      </c>
      <c r="C441" s="86">
        <v>40</v>
      </c>
      <c r="D441" s="115">
        <v>0.007565346995806061</v>
      </c>
      <c r="E441" s="115">
        <v>1.9586833097267495</v>
      </c>
      <c r="F441" s="86" t="s">
        <v>3161</v>
      </c>
      <c r="G441" s="86" t="b">
        <v>0</v>
      </c>
      <c r="H441" s="86" t="b">
        <v>0</v>
      </c>
      <c r="I441" s="86" t="b">
        <v>0</v>
      </c>
      <c r="J441" s="86" t="b">
        <v>0</v>
      </c>
      <c r="K441" s="86" t="b">
        <v>0</v>
      </c>
      <c r="L441" s="86" t="b">
        <v>0</v>
      </c>
    </row>
    <row r="442" spans="1:12" ht="15">
      <c r="A442" s="87" t="s">
        <v>4031</v>
      </c>
      <c r="B442" s="86" t="s">
        <v>4027</v>
      </c>
      <c r="C442" s="86">
        <v>40</v>
      </c>
      <c r="D442" s="115">
        <v>0.007565346995806061</v>
      </c>
      <c r="E442" s="115">
        <v>1.8886454431189945</v>
      </c>
      <c r="F442" s="86" t="s">
        <v>3161</v>
      </c>
      <c r="G442" s="86" t="b">
        <v>0</v>
      </c>
      <c r="H442" s="86" t="b">
        <v>0</v>
      </c>
      <c r="I442" s="86" t="b">
        <v>0</v>
      </c>
      <c r="J442" s="86" t="b">
        <v>0</v>
      </c>
      <c r="K442" s="86" t="b">
        <v>0</v>
      </c>
      <c r="L442" s="86" t="b">
        <v>0</v>
      </c>
    </row>
    <row r="443" spans="1:12" ht="15">
      <c r="A443" s="87" t="s">
        <v>3360</v>
      </c>
      <c r="B443" s="86" t="s">
        <v>4029</v>
      </c>
      <c r="C443" s="86">
        <v>38</v>
      </c>
      <c r="D443" s="115">
        <v>0.007406893460355872</v>
      </c>
      <c r="E443" s="115">
        <v>1.6519761811710778</v>
      </c>
      <c r="F443" s="86" t="s">
        <v>3161</v>
      </c>
      <c r="G443" s="86" t="b">
        <v>0</v>
      </c>
      <c r="H443" s="86" t="b">
        <v>0</v>
      </c>
      <c r="I443" s="86" t="b">
        <v>0</v>
      </c>
      <c r="J443" s="86" t="b">
        <v>0</v>
      </c>
      <c r="K443" s="86" t="b">
        <v>0</v>
      </c>
      <c r="L443" s="86" t="b">
        <v>0</v>
      </c>
    </row>
    <row r="444" spans="1:12" ht="15">
      <c r="A444" s="87" t="s">
        <v>4029</v>
      </c>
      <c r="B444" s="86" t="s">
        <v>4030</v>
      </c>
      <c r="C444" s="86">
        <v>38</v>
      </c>
      <c r="D444" s="115">
        <v>0.007406893460355872</v>
      </c>
      <c r="E444" s="115">
        <v>1.9364069150155974</v>
      </c>
      <c r="F444" s="86" t="s">
        <v>3161</v>
      </c>
      <c r="G444" s="86" t="b">
        <v>0</v>
      </c>
      <c r="H444" s="86" t="b">
        <v>0</v>
      </c>
      <c r="I444" s="86" t="b">
        <v>0</v>
      </c>
      <c r="J444" s="86" t="b">
        <v>0</v>
      </c>
      <c r="K444" s="86" t="b">
        <v>0</v>
      </c>
      <c r="L444" s="86" t="b">
        <v>0</v>
      </c>
    </row>
    <row r="445" spans="1:12" ht="15">
      <c r="A445" s="87" t="s">
        <v>4026</v>
      </c>
      <c r="B445" s="86" t="s">
        <v>3356</v>
      </c>
      <c r="C445" s="86">
        <v>38</v>
      </c>
      <c r="D445" s="115">
        <v>0.007406893460355872</v>
      </c>
      <c r="E445" s="115">
        <v>1.4209470399577988</v>
      </c>
      <c r="F445" s="86" t="s">
        <v>3161</v>
      </c>
      <c r="G445" s="86" t="b">
        <v>0</v>
      </c>
      <c r="H445" s="86" t="b">
        <v>0</v>
      </c>
      <c r="I445" s="86" t="b">
        <v>0</v>
      </c>
      <c r="J445" s="86" t="b">
        <v>0</v>
      </c>
      <c r="K445" s="86" t="b">
        <v>0</v>
      </c>
      <c r="L445" s="86" t="b">
        <v>0</v>
      </c>
    </row>
    <row r="446" spans="1:12" ht="15">
      <c r="A446" s="87" t="s">
        <v>3307</v>
      </c>
      <c r="B446" s="86" t="s">
        <v>4024</v>
      </c>
      <c r="C446" s="86">
        <v>36</v>
      </c>
      <c r="D446" s="115">
        <v>0.0072365634414304145</v>
      </c>
      <c r="E446" s="115">
        <v>1.4956617733403461</v>
      </c>
      <c r="F446" s="86" t="s">
        <v>3161</v>
      </c>
      <c r="G446" s="86" t="b">
        <v>0</v>
      </c>
      <c r="H446" s="86" t="b">
        <v>0</v>
      </c>
      <c r="I446" s="86" t="b">
        <v>0</v>
      </c>
      <c r="J446" s="86" t="b">
        <v>0</v>
      </c>
      <c r="K446" s="86" t="b">
        <v>0</v>
      </c>
      <c r="L446" s="86" t="b">
        <v>0</v>
      </c>
    </row>
    <row r="447" spans="1:12" ht="15">
      <c r="A447" s="87" t="s">
        <v>3361</v>
      </c>
      <c r="B447" s="86" t="s">
        <v>3307</v>
      </c>
      <c r="C447" s="86">
        <v>34</v>
      </c>
      <c r="D447" s="115">
        <v>0.007053696472198342</v>
      </c>
      <c r="E447" s="115">
        <v>1.3025005241160452</v>
      </c>
      <c r="F447" s="86" t="s">
        <v>3161</v>
      </c>
      <c r="G447" s="86" t="b">
        <v>0</v>
      </c>
      <c r="H447" s="86" t="b">
        <v>0</v>
      </c>
      <c r="I447" s="86" t="b">
        <v>0</v>
      </c>
      <c r="J447" s="86" t="b">
        <v>0</v>
      </c>
      <c r="K447" s="86" t="b">
        <v>0</v>
      </c>
      <c r="L447" s="86" t="b">
        <v>0</v>
      </c>
    </row>
    <row r="448" spans="1:12" ht="15">
      <c r="A448" s="87" t="s">
        <v>4034</v>
      </c>
      <c r="B448" s="86" t="s">
        <v>3382</v>
      </c>
      <c r="C448" s="86">
        <v>29</v>
      </c>
      <c r="D448" s="115">
        <v>0.006536602827332332</v>
      </c>
      <c r="E448" s="115">
        <v>1.9159313293057996</v>
      </c>
      <c r="F448" s="86" t="s">
        <v>3161</v>
      </c>
      <c r="G448" s="86" t="b">
        <v>0</v>
      </c>
      <c r="H448" s="86" t="b">
        <v>0</v>
      </c>
      <c r="I448" s="86" t="b">
        <v>0</v>
      </c>
      <c r="J448" s="86" t="b">
        <v>0</v>
      </c>
      <c r="K448" s="86" t="b">
        <v>0</v>
      </c>
      <c r="L448" s="86" t="b">
        <v>0</v>
      </c>
    </row>
    <row r="449" spans="1:12" ht="15">
      <c r="A449" s="87" t="s">
        <v>4050</v>
      </c>
      <c r="B449" s="86" t="s">
        <v>3358</v>
      </c>
      <c r="C449" s="86">
        <v>28</v>
      </c>
      <c r="D449" s="115">
        <v>0.006422010069123658</v>
      </c>
      <c r="E449" s="115">
        <v>1.861773296718693</v>
      </c>
      <c r="F449" s="86" t="s">
        <v>3161</v>
      </c>
      <c r="G449" s="86" t="b">
        <v>0</v>
      </c>
      <c r="H449" s="86" t="b">
        <v>0</v>
      </c>
      <c r="I449" s="86" t="b">
        <v>0</v>
      </c>
      <c r="J449" s="86" t="b">
        <v>0</v>
      </c>
      <c r="K449" s="86" t="b">
        <v>0</v>
      </c>
      <c r="L449" s="86" t="b">
        <v>0</v>
      </c>
    </row>
    <row r="450" spans="1:12" ht="15">
      <c r="A450" s="87" t="s">
        <v>3358</v>
      </c>
      <c r="B450" s="86" t="s">
        <v>3354</v>
      </c>
      <c r="C450" s="86">
        <v>28</v>
      </c>
      <c r="D450" s="115">
        <v>0.006422010069123658</v>
      </c>
      <c r="E450" s="115">
        <v>0.9546307657155526</v>
      </c>
      <c r="F450" s="86" t="s">
        <v>3161</v>
      </c>
      <c r="G450" s="86" t="b">
        <v>0</v>
      </c>
      <c r="H450" s="86" t="b">
        <v>0</v>
      </c>
      <c r="I450" s="86" t="b">
        <v>0</v>
      </c>
      <c r="J450" s="86" t="b">
        <v>0</v>
      </c>
      <c r="K450" s="86" t="b">
        <v>0</v>
      </c>
      <c r="L450" s="86" t="b">
        <v>0</v>
      </c>
    </row>
    <row r="451" spans="1:12" ht="15">
      <c r="A451" s="87" t="s">
        <v>3354</v>
      </c>
      <c r="B451" s="86" t="s">
        <v>4053</v>
      </c>
      <c r="C451" s="86">
        <v>27</v>
      </c>
      <c r="D451" s="115">
        <v>0.00630338879463399</v>
      </c>
      <c r="E451" s="115">
        <v>1.569517225362217</v>
      </c>
      <c r="F451" s="86" t="s">
        <v>3161</v>
      </c>
      <c r="G451" s="86" t="b">
        <v>0</v>
      </c>
      <c r="H451" s="86" t="b">
        <v>0</v>
      </c>
      <c r="I451" s="86" t="b">
        <v>0</v>
      </c>
      <c r="J451" s="86" t="b">
        <v>0</v>
      </c>
      <c r="K451" s="86" t="b">
        <v>0</v>
      </c>
      <c r="L451" s="86" t="b">
        <v>0</v>
      </c>
    </row>
    <row r="452" spans="1:12" ht="15">
      <c r="A452" s="87" t="s">
        <v>3327</v>
      </c>
      <c r="B452" s="86" t="s">
        <v>3381</v>
      </c>
      <c r="C452" s="86">
        <v>26</v>
      </c>
      <c r="D452" s="115">
        <v>0.006180589732494857</v>
      </c>
      <c r="E452" s="115">
        <v>1.641262897874599</v>
      </c>
      <c r="F452" s="86" t="s">
        <v>3161</v>
      </c>
      <c r="G452" s="86" t="b">
        <v>0</v>
      </c>
      <c r="H452" s="86" t="b">
        <v>0</v>
      </c>
      <c r="I452" s="86" t="b">
        <v>0</v>
      </c>
      <c r="J452" s="86" t="b">
        <v>0</v>
      </c>
      <c r="K452" s="86" t="b">
        <v>0</v>
      </c>
      <c r="L452" s="86" t="b">
        <v>0</v>
      </c>
    </row>
    <row r="453" spans="1:12" ht="15">
      <c r="A453" s="87" t="s">
        <v>4032</v>
      </c>
      <c r="B453" s="86" t="s">
        <v>3383</v>
      </c>
      <c r="C453" s="86">
        <v>25</v>
      </c>
      <c r="D453" s="115">
        <v>0.006053452120729377</v>
      </c>
      <c r="E453" s="115">
        <v>2.066588707036269</v>
      </c>
      <c r="F453" s="86" t="s">
        <v>3161</v>
      </c>
      <c r="G453" s="86" t="b">
        <v>0</v>
      </c>
      <c r="H453" s="86" t="b">
        <v>1</v>
      </c>
      <c r="I453" s="86" t="b">
        <v>0</v>
      </c>
      <c r="J453" s="86" t="b">
        <v>0</v>
      </c>
      <c r="K453" s="86" t="b">
        <v>0</v>
      </c>
      <c r="L453" s="86" t="b">
        <v>0</v>
      </c>
    </row>
    <row r="454" spans="1:12" ht="15">
      <c r="A454" s="87" t="s">
        <v>3383</v>
      </c>
      <c r="B454" s="86" t="s">
        <v>3379</v>
      </c>
      <c r="C454" s="86">
        <v>25</v>
      </c>
      <c r="D454" s="115">
        <v>0.006053452120729377</v>
      </c>
      <c r="E454" s="115">
        <v>2.0491272804855742</v>
      </c>
      <c r="F454" s="86" t="s">
        <v>3161</v>
      </c>
      <c r="G454" s="86" t="b">
        <v>0</v>
      </c>
      <c r="H454" s="86" t="b">
        <v>0</v>
      </c>
      <c r="I454" s="86" t="b">
        <v>0</v>
      </c>
      <c r="J454" s="86" t="b">
        <v>0</v>
      </c>
      <c r="K454" s="86" t="b">
        <v>0</v>
      </c>
      <c r="L454" s="86" t="b">
        <v>0</v>
      </c>
    </row>
    <row r="455" spans="1:12" ht="15">
      <c r="A455" s="87" t="s">
        <v>4046</v>
      </c>
      <c r="B455" s="86" t="s">
        <v>4040</v>
      </c>
      <c r="C455" s="86">
        <v>25</v>
      </c>
      <c r="D455" s="115">
        <v>0.006053452120729377</v>
      </c>
      <c r="E455" s="115">
        <v>2.1628032923826743</v>
      </c>
      <c r="F455" s="86" t="s">
        <v>3161</v>
      </c>
      <c r="G455" s="86" t="b">
        <v>0</v>
      </c>
      <c r="H455" s="86" t="b">
        <v>0</v>
      </c>
      <c r="I455" s="86" t="b">
        <v>0</v>
      </c>
      <c r="J455" s="86" t="b">
        <v>0</v>
      </c>
      <c r="K455" s="86" t="b">
        <v>0</v>
      </c>
      <c r="L455" s="86" t="b">
        <v>0</v>
      </c>
    </row>
    <row r="456" spans="1:12" ht="15">
      <c r="A456" s="87" t="s">
        <v>4040</v>
      </c>
      <c r="B456" s="86" t="s">
        <v>4036</v>
      </c>
      <c r="C456" s="86">
        <v>25</v>
      </c>
      <c r="D456" s="115">
        <v>0.006053452120729377</v>
      </c>
      <c r="E456" s="115">
        <v>2.0983453031557557</v>
      </c>
      <c r="F456" s="86" t="s">
        <v>3161</v>
      </c>
      <c r="G456" s="86" t="b">
        <v>0</v>
      </c>
      <c r="H456" s="86" t="b">
        <v>0</v>
      </c>
      <c r="I456" s="86" t="b">
        <v>0</v>
      </c>
      <c r="J456" s="86" t="b">
        <v>0</v>
      </c>
      <c r="K456" s="86" t="b">
        <v>0</v>
      </c>
      <c r="L456" s="86" t="b">
        <v>0</v>
      </c>
    </row>
    <row r="457" spans="1:12" ht="15">
      <c r="A457" s="87" t="s">
        <v>4036</v>
      </c>
      <c r="B457" s="86" t="s">
        <v>3360</v>
      </c>
      <c r="C457" s="86">
        <v>25</v>
      </c>
      <c r="D457" s="115">
        <v>0.006053452120729377</v>
      </c>
      <c r="E457" s="115">
        <v>1.6097945866553116</v>
      </c>
      <c r="F457" s="86" t="s">
        <v>3161</v>
      </c>
      <c r="G457" s="86" t="b">
        <v>0</v>
      </c>
      <c r="H457" s="86" t="b">
        <v>0</v>
      </c>
      <c r="I457" s="86" t="b">
        <v>0</v>
      </c>
      <c r="J457" s="86" t="b">
        <v>0</v>
      </c>
      <c r="K457" s="86" t="b">
        <v>0</v>
      </c>
      <c r="L457" s="86" t="b">
        <v>0</v>
      </c>
    </row>
    <row r="458" spans="1:12" ht="15">
      <c r="A458" s="87" t="s">
        <v>3360</v>
      </c>
      <c r="B458" s="86" t="s">
        <v>4037</v>
      </c>
      <c r="C458" s="86">
        <v>25</v>
      </c>
      <c r="D458" s="115">
        <v>0.006053452120729377</v>
      </c>
      <c r="E458" s="115">
        <v>1.6572192365834497</v>
      </c>
      <c r="F458" s="86" t="s">
        <v>3161</v>
      </c>
      <c r="G458" s="86" t="b">
        <v>0</v>
      </c>
      <c r="H458" s="86" t="b">
        <v>0</v>
      </c>
      <c r="I458" s="86" t="b">
        <v>0</v>
      </c>
      <c r="J458" s="86" t="b">
        <v>0</v>
      </c>
      <c r="K458" s="86" t="b">
        <v>0</v>
      </c>
      <c r="L458" s="86" t="b">
        <v>0</v>
      </c>
    </row>
    <row r="459" spans="1:12" ht="15">
      <c r="A459" s="87" t="s">
        <v>4037</v>
      </c>
      <c r="B459" s="86" t="s">
        <v>4038</v>
      </c>
      <c r="C459" s="86">
        <v>25</v>
      </c>
      <c r="D459" s="115">
        <v>0.006053452120729377</v>
      </c>
      <c r="E459" s="115">
        <v>2.145769953083894</v>
      </c>
      <c r="F459" s="86" t="s">
        <v>3161</v>
      </c>
      <c r="G459" s="86" t="b">
        <v>0</v>
      </c>
      <c r="H459" s="86" t="b">
        <v>0</v>
      </c>
      <c r="I459" s="86" t="b">
        <v>0</v>
      </c>
      <c r="J459" s="86" t="b">
        <v>0</v>
      </c>
      <c r="K459" s="86" t="b">
        <v>0</v>
      </c>
      <c r="L459" s="86" t="b">
        <v>0</v>
      </c>
    </row>
    <row r="460" spans="1:12" ht="15">
      <c r="A460" s="87" t="s">
        <v>4038</v>
      </c>
      <c r="B460" s="86" t="s">
        <v>4043</v>
      </c>
      <c r="C460" s="86">
        <v>25</v>
      </c>
      <c r="D460" s="115">
        <v>0.006053452120729377</v>
      </c>
      <c r="E460" s="115">
        <v>2.145769953083894</v>
      </c>
      <c r="F460" s="86" t="s">
        <v>3161</v>
      </c>
      <c r="G460" s="86" t="b">
        <v>0</v>
      </c>
      <c r="H460" s="86" t="b">
        <v>0</v>
      </c>
      <c r="I460" s="86" t="b">
        <v>0</v>
      </c>
      <c r="J460" s="86" t="b">
        <v>0</v>
      </c>
      <c r="K460" s="86" t="b">
        <v>0</v>
      </c>
      <c r="L460" s="86" t="b">
        <v>0</v>
      </c>
    </row>
    <row r="461" spans="1:12" ht="15">
      <c r="A461" s="87" t="s">
        <v>4043</v>
      </c>
      <c r="B461" s="86" t="s">
        <v>4047</v>
      </c>
      <c r="C461" s="86">
        <v>25</v>
      </c>
      <c r="D461" s="115">
        <v>0.006053452120729377</v>
      </c>
      <c r="E461" s="115">
        <v>2.145769953083894</v>
      </c>
      <c r="F461" s="86" t="s">
        <v>3161</v>
      </c>
      <c r="G461" s="86" t="b">
        <v>0</v>
      </c>
      <c r="H461" s="86" t="b">
        <v>0</v>
      </c>
      <c r="I461" s="86" t="b">
        <v>0</v>
      </c>
      <c r="J461" s="86" t="b">
        <v>0</v>
      </c>
      <c r="K461" s="86" t="b">
        <v>0</v>
      </c>
      <c r="L461" s="86" t="b">
        <v>0</v>
      </c>
    </row>
    <row r="462" spans="1:12" ht="15">
      <c r="A462" s="87" t="s">
        <v>3356</v>
      </c>
      <c r="B462" s="86" t="s">
        <v>4039</v>
      </c>
      <c r="C462" s="86">
        <v>24</v>
      </c>
      <c r="D462" s="115">
        <v>0.005921802326487156</v>
      </c>
      <c r="E462" s="115">
        <v>1.436076083356102</v>
      </c>
      <c r="F462" s="86" t="s">
        <v>3161</v>
      </c>
      <c r="G462" s="86" t="b">
        <v>0</v>
      </c>
      <c r="H462" s="86" t="b">
        <v>0</v>
      </c>
      <c r="I462" s="86" t="b">
        <v>0</v>
      </c>
      <c r="J462" s="86" t="b">
        <v>0</v>
      </c>
      <c r="K462" s="86" t="b">
        <v>0</v>
      </c>
      <c r="L462" s="86" t="b">
        <v>0</v>
      </c>
    </row>
    <row r="463" spans="1:12" ht="15">
      <c r="A463" s="87" t="s">
        <v>4039</v>
      </c>
      <c r="B463" s="86" t="s">
        <v>4045</v>
      </c>
      <c r="C463" s="86">
        <v>24</v>
      </c>
      <c r="D463" s="115">
        <v>0.005921802326487156</v>
      </c>
      <c r="E463" s="115">
        <v>2.1280411861234625</v>
      </c>
      <c r="F463" s="86" t="s">
        <v>3161</v>
      </c>
      <c r="G463" s="86" t="b">
        <v>0</v>
      </c>
      <c r="H463" s="86" t="b">
        <v>0</v>
      </c>
      <c r="I463" s="86" t="b">
        <v>0</v>
      </c>
      <c r="J463" s="86" t="b">
        <v>0</v>
      </c>
      <c r="K463" s="86" t="b">
        <v>0</v>
      </c>
      <c r="L463" s="86" t="b">
        <v>0</v>
      </c>
    </row>
    <row r="464" spans="1:12" ht="15">
      <c r="A464" s="87" t="s">
        <v>4045</v>
      </c>
      <c r="B464" s="86" t="s">
        <v>4032</v>
      </c>
      <c r="C464" s="86">
        <v>24</v>
      </c>
      <c r="D464" s="115">
        <v>0.005921802326487156</v>
      </c>
      <c r="E464" s="115">
        <v>2.065893279374618</v>
      </c>
      <c r="F464" s="86" t="s">
        <v>3161</v>
      </c>
      <c r="G464" s="86" t="b">
        <v>0</v>
      </c>
      <c r="H464" s="86" t="b">
        <v>0</v>
      </c>
      <c r="I464" s="86" t="b">
        <v>0</v>
      </c>
      <c r="J464" s="86" t="b">
        <v>0</v>
      </c>
      <c r="K464" s="86" t="b">
        <v>1</v>
      </c>
      <c r="L464" s="86" t="b">
        <v>0</v>
      </c>
    </row>
    <row r="465" spans="1:12" ht="15">
      <c r="A465" s="87" t="s">
        <v>3379</v>
      </c>
      <c r="B465" s="86" t="s">
        <v>4033</v>
      </c>
      <c r="C465" s="86">
        <v>24</v>
      </c>
      <c r="D465" s="115">
        <v>0.005921802326487156</v>
      </c>
      <c r="E465" s="115">
        <v>2.0471927807083743</v>
      </c>
      <c r="F465" s="86" t="s">
        <v>3161</v>
      </c>
      <c r="G465" s="86" t="b">
        <v>0</v>
      </c>
      <c r="H465" s="86" t="b">
        <v>0</v>
      </c>
      <c r="I465" s="86" t="b">
        <v>0</v>
      </c>
      <c r="J465" s="86" t="b">
        <v>0</v>
      </c>
      <c r="K465" s="86" t="b">
        <v>0</v>
      </c>
      <c r="L465" s="86" t="b">
        <v>0</v>
      </c>
    </row>
    <row r="466" spans="1:12" ht="15">
      <c r="A466" s="87" t="s">
        <v>462</v>
      </c>
      <c r="B466" s="86" t="s">
        <v>4049</v>
      </c>
      <c r="C466" s="86">
        <v>24</v>
      </c>
      <c r="D466" s="115">
        <v>0.005921802326487156</v>
      </c>
      <c r="E466" s="115">
        <v>2.1293795368957245</v>
      </c>
      <c r="F466" s="86" t="s">
        <v>3161</v>
      </c>
      <c r="G466" s="86" t="b">
        <v>0</v>
      </c>
      <c r="H466" s="86" t="b">
        <v>0</v>
      </c>
      <c r="I466" s="86" t="b">
        <v>0</v>
      </c>
      <c r="J466" s="86" t="b">
        <v>0</v>
      </c>
      <c r="K466" s="86" t="b">
        <v>0</v>
      </c>
      <c r="L466" s="86" t="b">
        <v>0</v>
      </c>
    </row>
    <row r="467" spans="1:12" ht="15">
      <c r="A467" s="87" t="s">
        <v>4049</v>
      </c>
      <c r="B467" s="86" t="s">
        <v>4046</v>
      </c>
      <c r="C467" s="86">
        <v>24</v>
      </c>
      <c r="D467" s="115">
        <v>0.005921802326487156</v>
      </c>
      <c r="E467" s="115">
        <v>2.1450745254222428</v>
      </c>
      <c r="F467" s="86" t="s">
        <v>3161</v>
      </c>
      <c r="G467" s="86" t="b">
        <v>0</v>
      </c>
      <c r="H467" s="86" t="b">
        <v>0</v>
      </c>
      <c r="I467" s="86" t="b">
        <v>0</v>
      </c>
      <c r="J467" s="86" t="b">
        <v>0</v>
      </c>
      <c r="K467" s="86" t="b">
        <v>0</v>
      </c>
      <c r="L467" s="86" t="b">
        <v>0</v>
      </c>
    </row>
    <row r="468" spans="1:12" ht="15">
      <c r="A468" s="87" t="s">
        <v>3381</v>
      </c>
      <c r="B468" s="86" t="s">
        <v>4034</v>
      </c>
      <c r="C468" s="86">
        <v>24</v>
      </c>
      <c r="D468" s="115">
        <v>0.005921802326487156</v>
      </c>
      <c r="E468" s="115">
        <v>1.8795020636791246</v>
      </c>
      <c r="F468" s="86" t="s">
        <v>3161</v>
      </c>
      <c r="G468" s="86" t="b">
        <v>0</v>
      </c>
      <c r="H468" s="86" t="b">
        <v>0</v>
      </c>
      <c r="I468" s="86" t="b">
        <v>0</v>
      </c>
      <c r="J468" s="86" t="b">
        <v>0</v>
      </c>
      <c r="K468" s="86" t="b">
        <v>0</v>
      </c>
      <c r="L468" s="86" t="b">
        <v>0</v>
      </c>
    </row>
    <row r="469" spans="1:12" ht="15">
      <c r="A469" s="87" t="s">
        <v>4033</v>
      </c>
      <c r="B469" s="86" t="s">
        <v>462</v>
      </c>
      <c r="C469" s="86">
        <v>23</v>
      </c>
      <c r="D469" s="115">
        <v>0.005785452235426319</v>
      </c>
      <c r="E469" s="115">
        <v>2.05974360875433</v>
      </c>
      <c r="F469" s="86" t="s">
        <v>3161</v>
      </c>
      <c r="G469" s="86" t="b">
        <v>0</v>
      </c>
      <c r="H469" s="86" t="b">
        <v>0</v>
      </c>
      <c r="I469" s="86" t="b">
        <v>0</v>
      </c>
      <c r="J469" s="86" t="b">
        <v>0</v>
      </c>
      <c r="K469" s="86" t="b">
        <v>0</v>
      </c>
      <c r="L469" s="86" t="b">
        <v>0</v>
      </c>
    </row>
    <row r="470" spans="1:12" ht="15">
      <c r="A470" s="87" t="s">
        <v>4052</v>
      </c>
      <c r="B470" s="86" t="s">
        <v>3327</v>
      </c>
      <c r="C470" s="86">
        <v>22</v>
      </c>
      <c r="D470" s="115">
        <v>0.005644197360580021</v>
      </c>
      <c r="E470" s="115">
        <v>1.8069513965305128</v>
      </c>
      <c r="F470" s="86" t="s">
        <v>3161</v>
      </c>
      <c r="G470" s="86" t="b">
        <v>0</v>
      </c>
      <c r="H470" s="86" t="b">
        <v>0</v>
      </c>
      <c r="I470" s="86" t="b">
        <v>0</v>
      </c>
      <c r="J470" s="86" t="b">
        <v>0</v>
      </c>
      <c r="K470" s="86" t="b">
        <v>0</v>
      </c>
      <c r="L470" s="86" t="b">
        <v>0</v>
      </c>
    </row>
    <row r="471" spans="1:12" ht="15">
      <c r="A471" s="87" t="s">
        <v>4047</v>
      </c>
      <c r="B471" s="86" t="s">
        <v>4052</v>
      </c>
      <c r="C471" s="86">
        <v>21</v>
      </c>
      <c r="D471" s="115">
        <v>0.00549781460683477</v>
      </c>
      <c r="E471" s="115">
        <v>2.1048113454049875</v>
      </c>
      <c r="F471" s="86" t="s">
        <v>3161</v>
      </c>
      <c r="G471" s="86" t="b">
        <v>0</v>
      </c>
      <c r="H471" s="86" t="b">
        <v>0</v>
      </c>
      <c r="I471" s="86" t="b">
        <v>0</v>
      </c>
      <c r="J471" s="86" t="b">
        <v>0</v>
      </c>
      <c r="K471" s="86" t="b">
        <v>0</v>
      </c>
      <c r="L471" s="86" t="b">
        <v>0</v>
      </c>
    </row>
    <row r="472" spans="1:12" ht="15">
      <c r="A472" s="87" t="s">
        <v>4053</v>
      </c>
      <c r="B472" s="86" t="s">
        <v>3355</v>
      </c>
      <c r="C472" s="86">
        <v>21</v>
      </c>
      <c r="D472" s="115">
        <v>0.00549781460683477</v>
      </c>
      <c r="E472" s="115">
        <v>1.291897988762132</v>
      </c>
      <c r="F472" s="86" t="s">
        <v>3161</v>
      </c>
      <c r="G472" s="86" t="b">
        <v>0</v>
      </c>
      <c r="H472" s="86" t="b">
        <v>0</v>
      </c>
      <c r="I472" s="86" t="b">
        <v>0</v>
      </c>
      <c r="J472" s="86" t="b">
        <v>0</v>
      </c>
      <c r="K472" s="86" t="b">
        <v>0</v>
      </c>
      <c r="L472" s="86" t="b">
        <v>0</v>
      </c>
    </row>
    <row r="473" spans="1:12" ht="15">
      <c r="A473" s="87" t="s">
        <v>3363</v>
      </c>
      <c r="B473" s="86" t="s">
        <v>3361</v>
      </c>
      <c r="C473" s="86">
        <v>20</v>
      </c>
      <c r="D473" s="115">
        <v>0.005346059608855932</v>
      </c>
      <c r="E473" s="115">
        <v>1.1380714027274252</v>
      </c>
      <c r="F473" s="86" t="s">
        <v>3161</v>
      </c>
      <c r="G473" s="86" t="b">
        <v>0</v>
      </c>
      <c r="H473" s="86" t="b">
        <v>0</v>
      </c>
      <c r="I473" s="86" t="b">
        <v>0</v>
      </c>
      <c r="J473" s="86" t="b">
        <v>0</v>
      </c>
      <c r="K473" s="86" t="b">
        <v>0</v>
      </c>
      <c r="L473" s="86" t="b">
        <v>0</v>
      </c>
    </row>
    <row r="474" spans="1:12" ht="15">
      <c r="A474" s="87" t="s">
        <v>3382</v>
      </c>
      <c r="B474" s="86" t="s">
        <v>3355</v>
      </c>
      <c r="C474" s="86">
        <v>20</v>
      </c>
      <c r="D474" s="115">
        <v>0.005346059608855932</v>
      </c>
      <c r="E474" s="115">
        <v>1.0946174306365126</v>
      </c>
      <c r="F474" s="86" t="s">
        <v>3161</v>
      </c>
      <c r="G474" s="86" t="b">
        <v>0</v>
      </c>
      <c r="H474" s="86" t="b">
        <v>0</v>
      </c>
      <c r="I474" s="86" t="b">
        <v>0</v>
      </c>
      <c r="J474" s="86" t="b">
        <v>0</v>
      </c>
      <c r="K474" s="86" t="b">
        <v>0</v>
      </c>
      <c r="L474" s="86" t="b">
        <v>0</v>
      </c>
    </row>
    <row r="475" spans="1:12" ht="15">
      <c r="A475" s="87" t="s">
        <v>4044</v>
      </c>
      <c r="B475" s="86" t="s">
        <v>4060</v>
      </c>
      <c r="C475" s="86">
        <v>19</v>
      </c>
      <c r="D475" s="115">
        <v>0.005188663535583193</v>
      </c>
      <c r="E475" s="115">
        <v>2.029264384012457</v>
      </c>
      <c r="F475" s="86" t="s">
        <v>3161</v>
      </c>
      <c r="G475" s="86" t="b">
        <v>0</v>
      </c>
      <c r="H475" s="86" t="b">
        <v>0</v>
      </c>
      <c r="I475" s="86" t="b">
        <v>0</v>
      </c>
      <c r="J475" s="86" t="b">
        <v>0</v>
      </c>
      <c r="K475" s="86" t="b">
        <v>0</v>
      </c>
      <c r="L475" s="86" t="b">
        <v>0</v>
      </c>
    </row>
    <row r="476" spans="1:12" ht="15">
      <c r="A476" s="87" t="s">
        <v>4060</v>
      </c>
      <c r="B476" s="86" t="s">
        <v>4056</v>
      </c>
      <c r="C476" s="86">
        <v>19</v>
      </c>
      <c r="D476" s="115">
        <v>0.005188663535583193</v>
      </c>
      <c r="E476" s="115">
        <v>2.2597133053907306</v>
      </c>
      <c r="F476" s="86" t="s">
        <v>3161</v>
      </c>
      <c r="G476" s="86" t="b">
        <v>0</v>
      </c>
      <c r="H476" s="86" t="b">
        <v>0</v>
      </c>
      <c r="I476" s="86" t="b">
        <v>0</v>
      </c>
      <c r="J476" s="86" t="b">
        <v>0</v>
      </c>
      <c r="K476" s="86" t="b">
        <v>0</v>
      </c>
      <c r="L476" s="86" t="b">
        <v>0</v>
      </c>
    </row>
    <row r="477" spans="1:12" ht="15">
      <c r="A477" s="87" t="s">
        <v>4035</v>
      </c>
      <c r="B477" s="86" t="s">
        <v>4020</v>
      </c>
      <c r="C477" s="86">
        <v>19</v>
      </c>
      <c r="D477" s="115">
        <v>0.005188663535583193</v>
      </c>
      <c r="E477" s="115">
        <v>1.6441508436591212</v>
      </c>
      <c r="F477" s="86" t="s">
        <v>3161</v>
      </c>
      <c r="G477" s="86" t="b">
        <v>0</v>
      </c>
      <c r="H477" s="86" t="b">
        <v>0</v>
      </c>
      <c r="I477" s="86" t="b">
        <v>0</v>
      </c>
      <c r="J477" s="86" t="b">
        <v>0</v>
      </c>
      <c r="K477" s="86" t="b">
        <v>1</v>
      </c>
      <c r="L477" s="86" t="b">
        <v>0</v>
      </c>
    </row>
    <row r="478" spans="1:12" ht="15">
      <c r="A478" s="87" t="s">
        <v>4028</v>
      </c>
      <c r="B478" s="86" t="s">
        <v>4041</v>
      </c>
      <c r="C478" s="86">
        <v>19</v>
      </c>
      <c r="D478" s="115">
        <v>0.005188663535583193</v>
      </c>
      <c r="E478" s="115">
        <v>1.784883847450653</v>
      </c>
      <c r="F478" s="86" t="s">
        <v>3161</v>
      </c>
      <c r="G478" s="86" t="b">
        <v>0</v>
      </c>
      <c r="H478" s="86" t="b">
        <v>0</v>
      </c>
      <c r="I478" s="86" t="b">
        <v>0</v>
      </c>
      <c r="J478" s="86" t="b">
        <v>0</v>
      </c>
      <c r="K478" s="86" t="b">
        <v>0</v>
      </c>
      <c r="L478" s="86" t="b">
        <v>0</v>
      </c>
    </row>
    <row r="479" spans="1:12" ht="15">
      <c r="A479" s="87" t="s">
        <v>3327</v>
      </c>
      <c r="B479" s="86" t="s">
        <v>4020</v>
      </c>
      <c r="C479" s="86">
        <v>18</v>
      </c>
      <c r="D479" s="115">
        <v>0.005025329220572818</v>
      </c>
      <c r="E479" s="115">
        <v>1.3476684757458608</v>
      </c>
      <c r="F479" s="86" t="s">
        <v>3161</v>
      </c>
      <c r="G479" s="86" t="b">
        <v>0</v>
      </c>
      <c r="H479" s="86" t="b">
        <v>0</v>
      </c>
      <c r="I479" s="86" t="b">
        <v>0</v>
      </c>
      <c r="J479" s="86" t="b">
        <v>0</v>
      </c>
      <c r="K479" s="86" t="b">
        <v>1</v>
      </c>
      <c r="L479" s="86" t="b">
        <v>0</v>
      </c>
    </row>
    <row r="480" spans="1:12" ht="15">
      <c r="A480" s="87" t="s">
        <v>4020</v>
      </c>
      <c r="B480" s="86" t="s">
        <v>4063</v>
      </c>
      <c r="C480" s="86">
        <v>14</v>
      </c>
      <c r="D480" s="115">
        <v>0.004305375312228859</v>
      </c>
      <c r="E480" s="115">
        <v>1.840583997648755</v>
      </c>
      <c r="F480" s="86" t="s">
        <v>3161</v>
      </c>
      <c r="G480" s="86" t="b">
        <v>0</v>
      </c>
      <c r="H480" s="86" t="b">
        <v>1</v>
      </c>
      <c r="I480" s="86" t="b">
        <v>0</v>
      </c>
      <c r="J480" s="86" t="b">
        <v>0</v>
      </c>
      <c r="K480" s="86" t="b">
        <v>0</v>
      </c>
      <c r="L480" s="86" t="b">
        <v>0</v>
      </c>
    </row>
    <row r="481" spans="1:12" ht="15">
      <c r="A481" s="87" t="s">
        <v>4063</v>
      </c>
      <c r="B481" s="86" t="s">
        <v>3363</v>
      </c>
      <c r="C481" s="86">
        <v>14</v>
      </c>
      <c r="D481" s="115">
        <v>0.004305375312228859</v>
      </c>
      <c r="E481" s="115">
        <v>1.7047052749764422</v>
      </c>
      <c r="F481" s="86" t="s">
        <v>3161</v>
      </c>
      <c r="G481" s="86" t="b">
        <v>0</v>
      </c>
      <c r="H481" s="86" t="b">
        <v>0</v>
      </c>
      <c r="I481" s="86" t="b">
        <v>0</v>
      </c>
      <c r="J481" s="86" t="b">
        <v>0</v>
      </c>
      <c r="K481" s="86" t="b">
        <v>0</v>
      </c>
      <c r="L481" s="86" t="b">
        <v>0</v>
      </c>
    </row>
    <row r="482" spans="1:12" ht="15">
      <c r="A482" s="87" t="s">
        <v>3361</v>
      </c>
      <c r="B482" s="86" t="s">
        <v>4061</v>
      </c>
      <c r="C482" s="86">
        <v>14</v>
      </c>
      <c r="D482" s="115">
        <v>0.004305375312228859</v>
      </c>
      <c r="E482" s="115">
        <v>1.5787953240642345</v>
      </c>
      <c r="F482" s="86" t="s">
        <v>3161</v>
      </c>
      <c r="G482" s="86" t="b">
        <v>0</v>
      </c>
      <c r="H482" s="86" t="b">
        <v>0</v>
      </c>
      <c r="I482" s="86" t="b">
        <v>0</v>
      </c>
      <c r="J482" s="86" t="b">
        <v>0</v>
      </c>
      <c r="K482" s="86" t="b">
        <v>1</v>
      </c>
      <c r="L482" s="86" t="b">
        <v>0</v>
      </c>
    </row>
    <row r="483" spans="1:12" ht="15">
      <c r="A483" s="87" t="s">
        <v>4061</v>
      </c>
      <c r="B483" s="86" t="s">
        <v>4068</v>
      </c>
      <c r="C483" s="86">
        <v>14</v>
      </c>
      <c r="D483" s="115">
        <v>0.004305375312228859</v>
      </c>
      <c r="E483" s="115">
        <v>2.300331156298995</v>
      </c>
      <c r="F483" s="86" t="s">
        <v>3161</v>
      </c>
      <c r="G483" s="86" t="b">
        <v>0</v>
      </c>
      <c r="H483" s="86" t="b">
        <v>1</v>
      </c>
      <c r="I483" s="86" t="b">
        <v>0</v>
      </c>
      <c r="J483" s="86" t="b">
        <v>0</v>
      </c>
      <c r="K483" s="86" t="b">
        <v>0</v>
      </c>
      <c r="L483" s="86" t="b">
        <v>0</v>
      </c>
    </row>
    <row r="484" spans="1:12" ht="15">
      <c r="A484" s="87" t="s">
        <v>4068</v>
      </c>
      <c r="B484" s="86" t="s">
        <v>4064</v>
      </c>
      <c r="C484" s="86">
        <v>14</v>
      </c>
      <c r="D484" s="115">
        <v>0.004305375312228859</v>
      </c>
      <c r="E484" s="115">
        <v>2.326660095021344</v>
      </c>
      <c r="F484" s="86" t="s">
        <v>3161</v>
      </c>
      <c r="G484" s="86" t="b">
        <v>0</v>
      </c>
      <c r="H484" s="86" t="b">
        <v>0</v>
      </c>
      <c r="I484" s="86" t="b">
        <v>0</v>
      </c>
      <c r="J484" s="86" t="b">
        <v>0</v>
      </c>
      <c r="K484" s="86" t="b">
        <v>1</v>
      </c>
      <c r="L484" s="86" t="b">
        <v>0</v>
      </c>
    </row>
    <row r="485" spans="1:12" ht="15">
      <c r="A485" s="87" t="s">
        <v>4064</v>
      </c>
      <c r="B485" s="86" t="s">
        <v>4065</v>
      </c>
      <c r="C485" s="86">
        <v>14</v>
      </c>
      <c r="D485" s="115">
        <v>0.004305375312228859</v>
      </c>
      <c r="E485" s="115">
        <v>2.326660095021344</v>
      </c>
      <c r="F485" s="86" t="s">
        <v>3161</v>
      </c>
      <c r="G485" s="86" t="b">
        <v>0</v>
      </c>
      <c r="H485" s="86" t="b">
        <v>1</v>
      </c>
      <c r="I485" s="86" t="b">
        <v>0</v>
      </c>
      <c r="J485" s="86" t="b">
        <v>0</v>
      </c>
      <c r="K485" s="86" t="b">
        <v>0</v>
      </c>
      <c r="L485" s="86" t="b">
        <v>0</v>
      </c>
    </row>
    <row r="486" spans="1:12" ht="15">
      <c r="A486" s="87" t="s">
        <v>4067</v>
      </c>
      <c r="B486" s="86" t="s">
        <v>4066</v>
      </c>
      <c r="C486" s="86">
        <v>14</v>
      </c>
      <c r="D486" s="115">
        <v>0.004305375312228859</v>
      </c>
      <c r="E486" s="115">
        <v>2.3546888186215873</v>
      </c>
      <c r="F486" s="86" t="s">
        <v>3161</v>
      </c>
      <c r="G486" s="86" t="b">
        <v>0</v>
      </c>
      <c r="H486" s="86" t="b">
        <v>0</v>
      </c>
      <c r="I486" s="86" t="b">
        <v>0</v>
      </c>
      <c r="J486" s="86" t="b">
        <v>0</v>
      </c>
      <c r="K486" s="86" t="b">
        <v>1</v>
      </c>
      <c r="L486" s="86" t="b">
        <v>0</v>
      </c>
    </row>
    <row r="487" spans="1:12" ht="15">
      <c r="A487" s="87" t="s">
        <v>3355</v>
      </c>
      <c r="B487" s="86" t="s">
        <v>3356</v>
      </c>
      <c r="C487" s="86">
        <v>14</v>
      </c>
      <c r="D487" s="115">
        <v>0.004305375312228859</v>
      </c>
      <c r="E487" s="115">
        <v>0.9532116894469513</v>
      </c>
      <c r="F487" s="86" t="s">
        <v>3161</v>
      </c>
      <c r="G487" s="86" t="b">
        <v>0</v>
      </c>
      <c r="H487" s="86" t="b">
        <v>0</v>
      </c>
      <c r="I487" s="86" t="b">
        <v>0</v>
      </c>
      <c r="J487" s="86" t="b">
        <v>0</v>
      </c>
      <c r="K487" s="86" t="b">
        <v>0</v>
      </c>
      <c r="L487" s="86" t="b">
        <v>0</v>
      </c>
    </row>
    <row r="488" spans="1:12" ht="15">
      <c r="A488" s="87" t="s">
        <v>4056</v>
      </c>
      <c r="B488" s="86" t="s">
        <v>4035</v>
      </c>
      <c r="C488" s="86">
        <v>13</v>
      </c>
      <c r="D488" s="115">
        <v>0.004106495838366814</v>
      </c>
      <c r="E488" s="115">
        <v>1.8685066793776615</v>
      </c>
      <c r="F488" s="86" t="s">
        <v>3161</v>
      </c>
      <c r="G488" s="86" t="b">
        <v>0</v>
      </c>
      <c r="H488" s="86" t="b">
        <v>0</v>
      </c>
      <c r="I488" s="86" t="b">
        <v>0</v>
      </c>
      <c r="J488" s="86" t="b">
        <v>0</v>
      </c>
      <c r="K488" s="86" t="b">
        <v>0</v>
      </c>
      <c r="L488" s="86" t="b">
        <v>0</v>
      </c>
    </row>
    <row r="489" spans="1:12" ht="15">
      <c r="A489" s="87" t="s">
        <v>4065</v>
      </c>
      <c r="B489" s="86" t="s">
        <v>4078</v>
      </c>
      <c r="C489" s="86">
        <v>13</v>
      </c>
      <c r="D489" s="115">
        <v>0.004106495838366814</v>
      </c>
      <c r="E489" s="115">
        <v>2.3846520419990305</v>
      </c>
      <c r="F489" s="86" t="s">
        <v>3161</v>
      </c>
      <c r="G489" s="86" t="b">
        <v>0</v>
      </c>
      <c r="H489" s="86" t="b">
        <v>0</v>
      </c>
      <c r="I489" s="86" t="b">
        <v>0</v>
      </c>
      <c r="J489" s="86" t="b">
        <v>0</v>
      </c>
      <c r="K489" s="86" t="b">
        <v>0</v>
      </c>
      <c r="L489" s="86" t="b">
        <v>0</v>
      </c>
    </row>
    <row r="490" spans="1:12" ht="15">
      <c r="A490" s="87" t="s">
        <v>4078</v>
      </c>
      <c r="B490" s="86" t="s">
        <v>4067</v>
      </c>
      <c r="C490" s="86">
        <v>13</v>
      </c>
      <c r="D490" s="115">
        <v>0.004106495838366814</v>
      </c>
      <c r="E490" s="115">
        <v>2.3846520419990305</v>
      </c>
      <c r="F490" s="86" t="s">
        <v>3161</v>
      </c>
      <c r="G490" s="86" t="b">
        <v>0</v>
      </c>
      <c r="H490" s="86" t="b">
        <v>0</v>
      </c>
      <c r="I490" s="86" t="b">
        <v>0</v>
      </c>
      <c r="J490" s="86" t="b">
        <v>0</v>
      </c>
      <c r="K490" s="86" t="b">
        <v>0</v>
      </c>
      <c r="L490" s="86" t="b">
        <v>0</v>
      </c>
    </row>
    <row r="491" spans="1:12" ht="15">
      <c r="A491" s="87" t="s">
        <v>4066</v>
      </c>
      <c r="B491" s="86" t="s">
        <v>4069</v>
      </c>
      <c r="C491" s="86">
        <v>13</v>
      </c>
      <c r="D491" s="115">
        <v>0.004106495838366814</v>
      </c>
      <c r="E491" s="115">
        <v>2.322504135250186</v>
      </c>
      <c r="F491" s="86" t="s">
        <v>3161</v>
      </c>
      <c r="G491" s="86" t="b">
        <v>0</v>
      </c>
      <c r="H491" s="86" t="b">
        <v>1</v>
      </c>
      <c r="I491" s="86" t="b">
        <v>0</v>
      </c>
      <c r="J491" s="86" t="b">
        <v>0</v>
      </c>
      <c r="K491" s="86" t="b">
        <v>0</v>
      </c>
      <c r="L491" s="86" t="b">
        <v>0</v>
      </c>
    </row>
    <row r="492" spans="1:12" ht="15">
      <c r="A492" s="87" t="s">
        <v>4070</v>
      </c>
      <c r="B492" s="86" t="s">
        <v>4074</v>
      </c>
      <c r="C492" s="86">
        <v>13</v>
      </c>
      <c r="D492" s="115">
        <v>0.004106495838366814</v>
      </c>
      <c r="E492" s="115">
        <v>2.414615265376474</v>
      </c>
      <c r="F492" s="86" t="s">
        <v>3161</v>
      </c>
      <c r="G492" s="86" t="b">
        <v>0</v>
      </c>
      <c r="H492" s="86" t="b">
        <v>0</v>
      </c>
      <c r="I492" s="86" t="b">
        <v>0</v>
      </c>
      <c r="J492" s="86" t="b">
        <v>0</v>
      </c>
      <c r="K492" s="86" t="b">
        <v>0</v>
      </c>
      <c r="L492" s="86" t="b">
        <v>0</v>
      </c>
    </row>
    <row r="493" spans="1:12" ht="15">
      <c r="A493" s="87" t="s">
        <v>4074</v>
      </c>
      <c r="B493" s="86" t="s">
        <v>4048</v>
      </c>
      <c r="C493" s="86">
        <v>13</v>
      </c>
      <c r="D493" s="115">
        <v>0.004106495838366814</v>
      </c>
      <c r="E493" s="115">
        <v>2.2063393229493915</v>
      </c>
      <c r="F493" s="86" t="s">
        <v>3161</v>
      </c>
      <c r="G493" s="86" t="b">
        <v>0</v>
      </c>
      <c r="H493" s="86" t="b">
        <v>0</v>
      </c>
      <c r="I493" s="86" t="b">
        <v>0</v>
      </c>
      <c r="J493" s="86" t="b">
        <v>0</v>
      </c>
      <c r="K493" s="86" t="b">
        <v>0</v>
      </c>
      <c r="L493" s="86" t="b">
        <v>0</v>
      </c>
    </row>
    <row r="494" spans="1:12" ht="15">
      <c r="A494" s="87" t="s">
        <v>4048</v>
      </c>
      <c r="B494" s="86" t="s">
        <v>4050</v>
      </c>
      <c r="C494" s="86">
        <v>13</v>
      </c>
      <c r="D494" s="115">
        <v>0.004106495838366814</v>
      </c>
      <c r="E494" s="115">
        <v>1.8447399574199128</v>
      </c>
      <c r="F494" s="86" t="s">
        <v>3161</v>
      </c>
      <c r="G494" s="86" t="b">
        <v>0</v>
      </c>
      <c r="H494" s="86" t="b">
        <v>0</v>
      </c>
      <c r="I494" s="86" t="b">
        <v>0</v>
      </c>
      <c r="J494" s="86" t="b">
        <v>0</v>
      </c>
      <c r="K494" s="86" t="b">
        <v>0</v>
      </c>
      <c r="L494" s="86" t="b">
        <v>0</v>
      </c>
    </row>
    <row r="495" spans="1:12" ht="15">
      <c r="A495" s="87" t="s">
        <v>4058</v>
      </c>
      <c r="B495" s="86" t="s">
        <v>4028</v>
      </c>
      <c r="C495" s="86">
        <v>13</v>
      </c>
      <c r="D495" s="115">
        <v>0.004223843898966595</v>
      </c>
      <c r="E495" s="115">
        <v>1.8473173803077234</v>
      </c>
      <c r="F495" s="86" t="s">
        <v>3161</v>
      </c>
      <c r="G495" s="86" t="b">
        <v>0</v>
      </c>
      <c r="H495" s="86" t="b">
        <v>0</v>
      </c>
      <c r="I495" s="86" t="b">
        <v>0</v>
      </c>
      <c r="J495" s="86" t="b">
        <v>0</v>
      </c>
      <c r="K495" s="86" t="b">
        <v>0</v>
      </c>
      <c r="L495" s="86" t="b">
        <v>0</v>
      </c>
    </row>
    <row r="496" spans="1:12" ht="15">
      <c r="A496" s="87" t="s">
        <v>3327</v>
      </c>
      <c r="B496" s="86" t="s">
        <v>4028</v>
      </c>
      <c r="C496" s="86">
        <v>12</v>
      </c>
      <c r="D496" s="115">
        <v>0.0038989328298153192</v>
      </c>
      <c r="E496" s="115">
        <v>1.2385240063207925</v>
      </c>
      <c r="F496" s="86" t="s">
        <v>3161</v>
      </c>
      <c r="G496" s="86" t="b">
        <v>0</v>
      </c>
      <c r="H496" s="86" t="b">
        <v>0</v>
      </c>
      <c r="I496" s="86" t="b">
        <v>0</v>
      </c>
      <c r="J496" s="86" t="b">
        <v>0</v>
      </c>
      <c r="K496" s="86" t="b">
        <v>0</v>
      </c>
      <c r="L496" s="86" t="b">
        <v>0</v>
      </c>
    </row>
    <row r="497" spans="1:12" ht="15">
      <c r="A497" s="87" t="s">
        <v>3358</v>
      </c>
      <c r="B497" s="86" t="s">
        <v>3355</v>
      </c>
      <c r="C497" s="86">
        <v>12</v>
      </c>
      <c r="D497" s="115">
        <v>0.0038989328298153192</v>
      </c>
      <c r="E497" s="115">
        <v>0.48610968275780775</v>
      </c>
      <c r="F497" s="86" t="s">
        <v>3161</v>
      </c>
      <c r="G497" s="86" t="b">
        <v>0</v>
      </c>
      <c r="H497" s="86" t="b">
        <v>0</v>
      </c>
      <c r="I497" s="86" t="b">
        <v>0</v>
      </c>
      <c r="J497" s="86" t="b">
        <v>0</v>
      </c>
      <c r="K497" s="86" t="b">
        <v>0</v>
      </c>
      <c r="L497" s="86" t="b">
        <v>0</v>
      </c>
    </row>
    <row r="498" spans="1:12" ht="15">
      <c r="A498" s="87" t="s">
        <v>4079</v>
      </c>
      <c r="B498" s="86" t="s">
        <v>4055</v>
      </c>
      <c r="C498" s="86">
        <v>11</v>
      </c>
      <c r="D498" s="115">
        <v>0.0036819610413141063</v>
      </c>
      <c r="E498" s="115">
        <v>2.267682235062006</v>
      </c>
      <c r="F498" s="86" t="s">
        <v>3161</v>
      </c>
      <c r="G498" s="86" t="b">
        <v>0</v>
      </c>
      <c r="H498" s="86" t="b">
        <v>0</v>
      </c>
      <c r="I498" s="86" t="b">
        <v>0</v>
      </c>
      <c r="J498" s="86" t="b">
        <v>0</v>
      </c>
      <c r="K498" s="86" t="b">
        <v>0</v>
      </c>
      <c r="L498" s="86" t="b">
        <v>0</v>
      </c>
    </row>
    <row r="499" spans="1:12" ht="15">
      <c r="A499" s="87" t="s">
        <v>4055</v>
      </c>
      <c r="B499" s="86" t="s">
        <v>3357</v>
      </c>
      <c r="C499" s="86">
        <v>11</v>
      </c>
      <c r="D499" s="115">
        <v>0.0036819610413141063</v>
      </c>
      <c r="E499" s="115">
        <v>1.438378462230981</v>
      </c>
      <c r="F499" s="86" t="s">
        <v>3161</v>
      </c>
      <c r="G499" s="86" t="b">
        <v>0</v>
      </c>
      <c r="H499" s="86" t="b">
        <v>0</v>
      </c>
      <c r="I499" s="86" t="b">
        <v>0</v>
      </c>
      <c r="J499" s="86" t="b">
        <v>0</v>
      </c>
      <c r="K499" s="86" t="b">
        <v>0</v>
      </c>
      <c r="L499" s="86" t="b">
        <v>0</v>
      </c>
    </row>
    <row r="500" spans="1:12" ht="15">
      <c r="A500" s="87" t="s">
        <v>3356</v>
      </c>
      <c r="B500" s="86" t="s">
        <v>3355</v>
      </c>
      <c r="C500" s="86">
        <v>10</v>
      </c>
      <c r="D500" s="115">
        <v>0.0034547228599044167</v>
      </c>
      <c r="E500" s="115">
        <v>0.2947469305596328</v>
      </c>
      <c r="F500" s="86" t="s">
        <v>3161</v>
      </c>
      <c r="G500" s="86" t="b">
        <v>0</v>
      </c>
      <c r="H500" s="86" t="b">
        <v>0</v>
      </c>
      <c r="I500" s="86" t="b">
        <v>0</v>
      </c>
      <c r="J500" s="86" t="b">
        <v>0</v>
      </c>
      <c r="K500" s="86" t="b">
        <v>0</v>
      </c>
      <c r="L500" s="86" t="b">
        <v>0</v>
      </c>
    </row>
    <row r="501" spans="1:12" ht="15">
      <c r="A501" s="87" t="s">
        <v>4076</v>
      </c>
      <c r="B501" s="86" t="s">
        <v>4024</v>
      </c>
      <c r="C501" s="86">
        <v>9</v>
      </c>
      <c r="D501" s="115">
        <v>0.003216188360215215</v>
      </c>
      <c r="E501" s="115">
        <v>1.8531731249567756</v>
      </c>
      <c r="F501" s="86" t="s">
        <v>3161</v>
      </c>
      <c r="G501" s="86" t="b">
        <v>0</v>
      </c>
      <c r="H501" s="86" t="b">
        <v>0</v>
      </c>
      <c r="I501" s="86" t="b">
        <v>0</v>
      </c>
      <c r="J501" s="86" t="b">
        <v>0</v>
      </c>
      <c r="K501" s="86" t="b">
        <v>0</v>
      </c>
      <c r="L501" s="86" t="b">
        <v>0</v>
      </c>
    </row>
    <row r="502" spans="1:12" ht="15">
      <c r="A502" s="87" t="s">
        <v>4054</v>
      </c>
      <c r="B502" s="86" t="s">
        <v>4035</v>
      </c>
      <c r="C502" s="86">
        <v>9</v>
      </c>
      <c r="D502" s="115">
        <v>0.003216188360215215</v>
      </c>
      <c r="E502" s="115">
        <v>1.7545633270708247</v>
      </c>
      <c r="F502" s="86" t="s">
        <v>3161</v>
      </c>
      <c r="G502" s="86" t="b">
        <v>0</v>
      </c>
      <c r="H502" s="86" t="b">
        <v>0</v>
      </c>
      <c r="I502" s="86" t="b">
        <v>0</v>
      </c>
      <c r="J502" s="86" t="b">
        <v>0</v>
      </c>
      <c r="K502" s="86" t="b">
        <v>0</v>
      </c>
      <c r="L502" s="86" t="b">
        <v>0</v>
      </c>
    </row>
    <row r="503" spans="1:12" ht="15">
      <c r="A503" s="87" t="s">
        <v>4035</v>
      </c>
      <c r="B503" s="86" t="s">
        <v>4028</v>
      </c>
      <c r="C503" s="86">
        <v>9</v>
      </c>
      <c r="D503" s="115">
        <v>0.003216188360215215</v>
      </c>
      <c r="E503" s="115">
        <v>1.3865865417762302</v>
      </c>
      <c r="F503" s="86" t="s">
        <v>3161</v>
      </c>
      <c r="G503" s="86" t="b">
        <v>0</v>
      </c>
      <c r="H503" s="86" t="b">
        <v>0</v>
      </c>
      <c r="I503" s="86" t="b">
        <v>0</v>
      </c>
      <c r="J503" s="86" t="b">
        <v>0</v>
      </c>
      <c r="K503" s="86" t="b">
        <v>0</v>
      </c>
      <c r="L503" s="86" t="b">
        <v>0</v>
      </c>
    </row>
    <row r="504" spans="1:12" ht="15">
      <c r="A504" s="87" t="s">
        <v>4069</v>
      </c>
      <c r="B504" s="86" t="s">
        <v>4109</v>
      </c>
      <c r="C504" s="86">
        <v>8</v>
      </c>
      <c r="D504" s="115">
        <v>0.0029650974528325053</v>
      </c>
      <c r="E504" s="115">
        <v>2.384652041999031</v>
      </c>
      <c r="F504" s="86" t="s">
        <v>3161</v>
      </c>
      <c r="G504" s="86" t="b">
        <v>0</v>
      </c>
      <c r="H504" s="86" t="b">
        <v>0</v>
      </c>
      <c r="I504" s="86" t="b">
        <v>0</v>
      </c>
      <c r="J504" s="86" t="b">
        <v>0</v>
      </c>
      <c r="K504" s="86" t="b">
        <v>0</v>
      </c>
      <c r="L504" s="86" t="b">
        <v>0</v>
      </c>
    </row>
    <row r="505" spans="1:12" ht="15">
      <c r="A505" s="87" t="s">
        <v>4109</v>
      </c>
      <c r="B505" s="86" t="s">
        <v>4070</v>
      </c>
      <c r="C505" s="86">
        <v>8</v>
      </c>
      <c r="D505" s="115">
        <v>0.0029650974528325053</v>
      </c>
      <c r="E505" s="115">
        <v>2.4467999487478753</v>
      </c>
      <c r="F505" s="86" t="s">
        <v>3161</v>
      </c>
      <c r="G505" s="86" t="b">
        <v>0</v>
      </c>
      <c r="H505" s="86" t="b">
        <v>0</v>
      </c>
      <c r="I505" s="86" t="b">
        <v>0</v>
      </c>
      <c r="J505" s="86" t="b">
        <v>0</v>
      </c>
      <c r="K505" s="86" t="b">
        <v>0</v>
      </c>
      <c r="L505" s="86" t="b">
        <v>0</v>
      </c>
    </row>
    <row r="506" spans="1:12" ht="15">
      <c r="A506" s="87" t="s">
        <v>4026</v>
      </c>
      <c r="B506" s="86" t="s">
        <v>3327</v>
      </c>
      <c r="C506" s="86">
        <v>8</v>
      </c>
      <c r="D506" s="115">
        <v>0.0029650974528325053</v>
      </c>
      <c r="E506" s="115">
        <v>1.0576338643833427</v>
      </c>
      <c r="F506" s="86" t="s">
        <v>3161</v>
      </c>
      <c r="G506" s="86" t="b">
        <v>0</v>
      </c>
      <c r="H506" s="86" t="b">
        <v>0</v>
      </c>
      <c r="I506" s="86" t="b">
        <v>0</v>
      </c>
      <c r="J506" s="86" t="b">
        <v>0</v>
      </c>
      <c r="K506" s="86" t="b">
        <v>0</v>
      </c>
      <c r="L506" s="86" t="b">
        <v>0</v>
      </c>
    </row>
    <row r="507" spans="1:12" ht="15">
      <c r="A507" s="87" t="s">
        <v>3356</v>
      </c>
      <c r="B507" s="86" t="s">
        <v>3364</v>
      </c>
      <c r="C507" s="86">
        <v>8</v>
      </c>
      <c r="D507" s="115">
        <v>0.0029650974528325053</v>
      </c>
      <c r="E507" s="115">
        <v>0.5885983415964905</v>
      </c>
      <c r="F507" s="86" t="s">
        <v>3161</v>
      </c>
      <c r="G507" s="86" t="b">
        <v>0</v>
      </c>
      <c r="H507" s="86" t="b">
        <v>0</v>
      </c>
      <c r="I507" s="86" t="b">
        <v>0</v>
      </c>
      <c r="J507" s="86" t="b">
        <v>0</v>
      </c>
      <c r="K507" s="86" t="b">
        <v>0</v>
      </c>
      <c r="L507" s="86" t="b">
        <v>0</v>
      </c>
    </row>
    <row r="508" spans="1:12" ht="15">
      <c r="A508" s="87" t="s">
        <v>4028</v>
      </c>
      <c r="B508" s="86" t="s">
        <v>4082</v>
      </c>
      <c r="C508" s="86">
        <v>8</v>
      </c>
      <c r="D508" s="115">
        <v>0.0029650974528325053</v>
      </c>
      <c r="E508" s="115">
        <v>1.79919131249053</v>
      </c>
      <c r="F508" s="86" t="s">
        <v>3161</v>
      </c>
      <c r="G508" s="86" t="b">
        <v>0</v>
      </c>
      <c r="H508" s="86" t="b">
        <v>0</v>
      </c>
      <c r="I508" s="86" t="b">
        <v>0</v>
      </c>
      <c r="J508" s="86" t="b">
        <v>0</v>
      </c>
      <c r="K508" s="86" t="b">
        <v>0</v>
      </c>
      <c r="L508" s="86" t="b">
        <v>0</v>
      </c>
    </row>
    <row r="509" spans="1:12" ht="15">
      <c r="A509" s="87" t="s">
        <v>4082</v>
      </c>
      <c r="B509" s="86" t="s">
        <v>4020</v>
      </c>
      <c r="C509" s="86">
        <v>8</v>
      </c>
      <c r="D509" s="115">
        <v>0.0029650974528325053</v>
      </c>
      <c r="E509" s="115">
        <v>1.7322445228599168</v>
      </c>
      <c r="F509" s="86" t="s">
        <v>3161</v>
      </c>
      <c r="G509" s="86" t="b">
        <v>0</v>
      </c>
      <c r="H509" s="86" t="b">
        <v>0</v>
      </c>
      <c r="I509" s="86" t="b">
        <v>0</v>
      </c>
      <c r="J509" s="86" t="b">
        <v>0</v>
      </c>
      <c r="K509" s="86" t="b">
        <v>1</v>
      </c>
      <c r="L509" s="86" t="b">
        <v>0</v>
      </c>
    </row>
    <row r="510" spans="1:12" ht="15">
      <c r="A510" s="87" t="s">
        <v>3368</v>
      </c>
      <c r="B510" s="86" t="s">
        <v>4051</v>
      </c>
      <c r="C510" s="86">
        <v>8</v>
      </c>
      <c r="D510" s="115">
        <v>0.0029650974528325053</v>
      </c>
      <c r="E510" s="115">
        <v>1.9374940106568115</v>
      </c>
      <c r="F510" s="86" t="s">
        <v>3161</v>
      </c>
      <c r="G510" s="86" t="b">
        <v>0</v>
      </c>
      <c r="H510" s="86" t="b">
        <v>0</v>
      </c>
      <c r="I510" s="86" t="b">
        <v>0</v>
      </c>
      <c r="J510" s="86" t="b">
        <v>0</v>
      </c>
      <c r="K510" s="86" t="b">
        <v>0</v>
      </c>
      <c r="L510" s="86" t="b">
        <v>0</v>
      </c>
    </row>
    <row r="511" spans="1:12" ht="15">
      <c r="A511" s="87" t="s">
        <v>4042</v>
      </c>
      <c r="B511" s="86" t="s">
        <v>3354</v>
      </c>
      <c r="C511" s="86">
        <v>8</v>
      </c>
      <c r="D511" s="115">
        <v>0.0029650974528325053</v>
      </c>
      <c r="E511" s="115">
        <v>0.9411282953119056</v>
      </c>
      <c r="F511" s="86" t="s">
        <v>3161</v>
      </c>
      <c r="G511" s="86" t="b">
        <v>0</v>
      </c>
      <c r="H511" s="86" t="b">
        <v>0</v>
      </c>
      <c r="I511" s="86" t="b">
        <v>0</v>
      </c>
      <c r="J511" s="86" t="b">
        <v>0</v>
      </c>
      <c r="K511" s="86" t="b">
        <v>0</v>
      </c>
      <c r="L511" s="86" t="b">
        <v>0</v>
      </c>
    </row>
    <row r="512" spans="1:12" ht="15">
      <c r="A512" s="87" t="s">
        <v>4075</v>
      </c>
      <c r="B512" s="86" t="s">
        <v>4105</v>
      </c>
      <c r="C512" s="86">
        <v>7</v>
      </c>
      <c r="D512" s="115">
        <v>0.0026998727949479454</v>
      </c>
      <c r="E512" s="115">
        <v>2.4467999487478753</v>
      </c>
      <c r="F512" s="86" t="s">
        <v>3161</v>
      </c>
      <c r="G512" s="86" t="b">
        <v>0</v>
      </c>
      <c r="H512" s="86" t="b">
        <v>0</v>
      </c>
      <c r="I512" s="86" t="b">
        <v>0</v>
      </c>
      <c r="J512" s="86" t="b">
        <v>0</v>
      </c>
      <c r="K512" s="86" t="b">
        <v>0</v>
      </c>
      <c r="L512" s="86" t="b">
        <v>0</v>
      </c>
    </row>
    <row r="513" spans="1:12" ht="15">
      <c r="A513" s="87" t="s">
        <v>4105</v>
      </c>
      <c r="B513" s="86" t="s">
        <v>4106</v>
      </c>
      <c r="C513" s="86">
        <v>7</v>
      </c>
      <c r="D513" s="115">
        <v>0.0026998727949479454</v>
      </c>
      <c r="E513" s="115">
        <v>2.715645261040455</v>
      </c>
      <c r="F513" s="86" t="s">
        <v>3161</v>
      </c>
      <c r="G513" s="86" t="b">
        <v>0</v>
      </c>
      <c r="H513" s="86" t="b">
        <v>0</v>
      </c>
      <c r="I513" s="86" t="b">
        <v>0</v>
      </c>
      <c r="J513" s="86" t="b">
        <v>0</v>
      </c>
      <c r="K513" s="86" t="b">
        <v>0</v>
      </c>
      <c r="L513" s="86" t="b">
        <v>0</v>
      </c>
    </row>
    <row r="514" spans="1:12" ht="15">
      <c r="A514" s="87" t="s">
        <v>3366</v>
      </c>
      <c r="B514" s="86" t="s">
        <v>4076</v>
      </c>
      <c r="C514" s="86">
        <v>7</v>
      </c>
      <c r="D514" s="115">
        <v>0.0026998727949479454</v>
      </c>
      <c r="E514" s="115">
        <v>2.0713875899180376</v>
      </c>
      <c r="F514" s="86" t="s">
        <v>3161</v>
      </c>
      <c r="G514" s="86" t="b">
        <v>0</v>
      </c>
      <c r="H514" s="86" t="b">
        <v>0</v>
      </c>
      <c r="I514" s="86" t="b">
        <v>0</v>
      </c>
      <c r="J514" s="86" t="b">
        <v>0</v>
      </c>
      <c r="K514" s="86" t="b">
        <v>0</v>
      </c>
      <c r="L514" s="86" t="b">
        <v>0</v>
      </c>
    </row>
    <row r="515" spans="1:12" ht="15">
      <c r="A515" s="87" t="s">
        <v>3360</v>
      </c>
      <c r="B515" s="86" t="s">
        <v>4027</v>
      </c>
      <c r="C515" s="86">
        <v>7</v>
      </c>
      <c r="D515" s="115">
        <v>0.0026998727949479454</v>
      </c>
      <c r="E515" s="115">
        <v>0.8472527579607695</v>
      </c>
      <c r="F515" s="86" t="s">
        <v>3161</v>
      </c>
      <c r="G515" s="86" t="b">
        <v>0</v>
      </c>
      <c r="H515" s="86" t="b">
        <v>0</v>
      </c>
      <c r="I515" s="86" t="b">
        <v>0</v>
      </c>
      <c r="J515" s="86" t="b">
        <v>0</v>
      </c>
      <c r="K515" s="86" t="b">
        <v>0</v>
      </c>
      <c r="L515" s="86" t="b">
        <v>0</v>
      </c>
    </row>
    <row r="516" spans="1:12" ht="15">
      <c r="A516" s="87" t="s">
        <v>4091</v>
      </c>
      <c r="B516" s="86" t="s">
        <v>3380</v>
      </c>
      <c r="C516" s="86">
        <v>7</v>
      </c>
      <c r="D516" s="115">
        <v>0.0026998727949479454</v>
      </c>
      <c r="E516" s="115">
        <v>1.7973153074917747</v>
      </c>
      <c r="F516" s="86" t="s">
        <v>3161</v>
      </c>
      <c r="G516" s="86" t="b">
        <v>0</v>
      </c>
      <c r="H516" s="86" t="b">
        <v>0</v>
      </c>
      <c r="I516" s="86" t="b">
        <v>0</v>
      </c>
      <c r="J516" s="86" t="b">
        <v>0</v>
      </c>
      <c r="K516" s="86" t="b">
        <v>0</v>
      </c>
      <c r="L516" s="86" t="b">
        <v>0</v>
      </c>
    </row>
    <row r="517" spans="1:12" ht="15">
      <c r="A517" s="87" t="s">
        <v>4125</v>
      </c>
      <c r="B517" s="86" t="s">
        <v>3358</v>
      </c>
      <c r="C517" s="86">
        <v>7</v>
      </c>
      <c r="D517" s="115">
        <v>0.0026998727949479454</v>
      </c>
      <c r="E517" s="115">
        <v>1.861773296718693</v>
      </c>
      <c r="F517" s="86" t="s">
        <v>3161</v>
      </c>
      <c r="G517" s="86" t="b">
        <v>0</v>
      </c>
      <c r="H517" s="86" t="b">
        <v>0</v>
      </c>
      <c r="I517" s="86" t="b">
        <v>0</v>
      </c>
      <c r="J517" s="86" t="b">
        <v>0</v>
      </c>
      <c r="K517" s="86" t="b">
        <v>0</v>
      </c>
      <c r="L517" s="86" t="b">
        <v>0</v>
      </c>
    </row>
    <row r="518" spans="1:12" ht="15">
      <c r="A518" s="87" t="s">
        <v>4080</v>
      </c>
      <c r="B518" s="86" t="s">
        <v>3359</v>
      </c>
      <c r="C518" s="86">
        <v>7</v>
      </c>
      <c r="D518" s="115">
        <v>0.0026998727949479454</v>
      </c>
      <c r="E518" s="115">
        <v>1.829499990863176</v>
      </c>
      <c r="F518" s="86" t="s">
        <v>3161</v>
      </c>
      <c r="G518" s="86" t="b">
        <v>1</v>
      </c>
      <c r="H518" s="86" t="b">
        <v>0</v>
      </c>
      <c r="I518" s="86" t="b">
        <v>0</v>
      </c>
      <c r="J518" s="86" t="b">
        <v>0</v>
      </c>
      <c r="K518" s="86" t="b">
        <v>0</v>
      </c>
      <c r="L518" s="86" t="b">
        <v>0</v>
      </c>
    </row>
    <row r="519" spans="1:12" ht="15">
      <c r="A519" s="87" t="s">
        <v>3359</v>
      </c>
      <c r="B519" s="86" t="s">
        <v>4071</v>
      </c>
      <c r="C519" s="86">
        <v>7</v>
      </c>
      <c r="D519" s="115">
        <v>0.0026998727949479454</v>
      </c>
      <c r="E519" s="115">
        <v>1.8939579800900943</v>
      </c>
      <c r="F519" s="86" t="s">
        <v>3161</v>
      </c>
      <c r="G519" s="86" t="b">
        <v>0</v>
      </c>
      <c r="H519" s="86" t="b">
        <v>0</v>
      </c>
      <c r="I519" s="86" t="b">
        <v>0</v>
      </c>
      <c r="J519" s="86" t="b">
        <v>0</v>
      </c>
      <c r="K519" s="86" t="b">
        <v>0</v>
      </c>
      <c r="L519" s="86" t="b">
        <v>0</v>
      </c>
    </row>
    <row r="520" spans="1:12" ht="15">
      <c r="A520" s="87" t="s">
        <v>3354</v>
      </c>
      <c r="B520" s="86" t="s">
        <v>3358</v>
      </c>
      <c r="C520" s="86">
        <v>7</v>
      </c>
      <c r="D520" s="115">
        <v>0.0026998727949479454</v>
      </c>
      <c r="E520" s="115">
        <v>0.7156452610404551</v>
      </c>
      <c r="F520" s="86" t="s">
        <v>3161</v>
      </c>
      <c r="G520" s="86" t="b">
        <v>0</v>
      </c>
      <c r="H520" s="86" t="b">
        <v>0</v>
      </c>
      <c r="I520" s="86" t="b">
        <v>0</v>
      </c>
      <c r="J520" s="86" t="b">
        <v>0</v>
      </c>
      <c r="K520" s="86" t="b">
        <v>0</v>
      </c>
      <c r="L520" s="86" t="b">
        <v>0</v>
      </c>
    </row>
    <row r="521" spans="1:12" ht="15">
      <c r="A521" s="87" t="s">
        <v>4117</v>
      </c>
      <c r="B521" s="86" t="s">
        <v>4086</v>
      </c>
      <c r="C521" s="86">
        <v>6</v>
      </c>
      <c r="D521" s="115">
        <v>0.00241848224819353</v>
      </c>
      <c r="E521" s="115">
        <v>2.715645261040455</v>
      </c>
      <c r="F521" s="86" t="s">
        <v>3161</v>
      </c>
      <c r="G521" s="86" t="b">
        <v>0</v>
      </c>
      <c r="H521" s="86" t="b">
        <v>0</v>
      </c>
      <c r="I521" s="86" t="b">
        <v>0</v>
      </c>
      <c r="J521" s="86" t="b">
        <v>0</v>
      </c>
      <c r="K521" s="86" t="b">
        <v>0</v>
      </c>
      <c r="L521" s="86" t="b">
        <v>0</v>
      </c>
    </row>
    <row r="522" spans="1:12" ht="15">
      <c r="A522" s="87" t="s">
        <v>4073</v>
      </c>
      <c r="B522" s="86" t="s">
        <v>3357</v>
      </c>
      <c r="C522" s="86">
        <v>6</v>
      </c>
      <c r="D522" s="115">
        <v>0.00241848224819353</v>
      </c>
      <c r="E522" s="115">
        <v>1.4304095325597057</v>
      </c>
      <c r="F522" s="86" t="s">
        <v>3161</v>
      </c>
      <c r="G522" s="86" t="b">
        <v>0</v>
      </c>
      <c r="H522" s="86" t="b">
        <v>0</v>
      </c>
      <c r="I522" s="86" t="b">
        <v>0</v>
      </c>
      <c r="J522" s="86" t="b">
        <v>0</v>
      </c>
      <c r="K522" s="86" t="b">
        <v>0</v>
      </c>
      <c r="L522" s="86" t="b">
        <v>0</v>
      </c>
    </row>
    <row r="523" spans="1:12" ht="15">
      <c r="A523" s="87" t="s">
        <v>3382</v>
      </c>
      <c r="B523" s="86" t="s">
        <v>4062</v>
      </c>
      <c r="C523" s="86">
        <v>6</v>
      </c>
      <c r="D523" s="115">
        <v>0.00241848224819353</v>
      </c>
      <c r="E523" s="115">
        <v>1.5717386853561752</v>
      </c>
      <c r="F523" s="86" t="s">
        <v>3161</v>
      </c>
      <c r="G523" s="86" t="b">
        <v>0</v>
      </c>
      <c r="H523" s="86" t="b">
        <v>0</v>
      </c>
      <c r="I523" s="86" t="b">
        <v>0</v>
      </c>
      <c r="J523" s="86" t="b">
        <v>0</v>
      </c>
      <c r="K523" s="86" t="b">
        <v>0</v>
      </c>
      <c r="L523" s="86" t="b">
        <v>0</v>
      </c>
    </row>
    <row r="524" spans="1:12" ht="15">
      <c r="A524" s="87" t="s">
        <v>4075</v>
      </c>
      <c r="B524" s="86" t="s">
        <v>4104</v>
      </c>
      <c r="C524" s="86">
        <v>6</v>
      </c>
      <c r="D524" s="115">
        <v>0.00241848224819353</v>
      </c>
      <c r="E524" s="115">
        <v>2.379853159117262</v>
      </c>
      <c r="F524" s="86" t="s">
        <v>3161</v>
      </c>
      <c r="G524" s="86" t="b">
        <v>0</v>
      </c>
      <c r="H524" s="86" t="b">
        <v>0</v>
      </c>
      <c r="I524" s="86" t="b">
        <v>0</v>
      </c>
      <c r="J524" s="86" t="b">
        <v>0</v>
      </c>
      <c r="K524" s="86" t="b">
        <v>0</v>
      </c>
      <c r="L524" s="86" t="b">
        <v>0</v>
      </c>
    </row>
    <row r="525" spans="1:12" ht="15">
      <c r="A525" s="87" t="s">
        <v>4126</v>
      </c>
      <c r="B525" s="86" t="s">
        <v>4075</v>
      </c>
      <c r="C525" s="86">
        <v>6</v>
      </c>
      <c r="D525" s="115">
        <v>0.00241848224819353</v>
      </c>
      <c r="E525" s="115">
        <v>2.4467999487478753</v>
      </c>
      <c r="F525" s="86" t="s">
        <v>3161</v>
      </c>
      <c r="G525" s="86" t="b">
        <v>0</v>
      </c>
      <c r="H525" s="86" t="b">
        <v>0</v>
      </c>
      <c r="I525" s="86" t="b">
        <v>0</v>
      </c>
      <c r="J525" s="86" t="b">
        <v>0</v>
      </c>
      <c r="K525" s="86" t="b">
        <v>0</v>
      </c>
      <c r="L525" s="86" t="b">
        <v>0</v>
      </c>
    </row>
    <row r="526" spans="1:12" ht="15">
      <c r="A526" s="87" t="s">
        <v>3361</v>
      </c>
      <c r="B526" s="86" t="s">
        <v>4095</v>
      </c>
      <c r="C526" s="86">
        <v>6</v>
      </c>
      <c r="D526" s="115">
        <v>0.00241848224819353</v>
      </c>
      <c r="E526" s="115">
        <v>1.6631162097642704</v>
      </c>
      <c r="F526" s="86" t="s">
        <v>3161</v>
      </c>
      <c r="G526" s="86" t="b">
        <v>0</v>
      </c>
      <c r="H526" s="86" t="b">
        <v>0</v>
      </c>
      <c r="I526" s="86" t="b">
        <v>0</v>
      </c>
      <c r="J526" s="86" t="b">
        <v>0</v>
      </c>
      <c r="K526" s="86" t="b">
        <v>0</v>
      </c>
      <c r="L526" s="86" t="b">
        <v>0</v>
      </c>
    </row>
    <row r="527" spans="1:12" ht="15">
      <c r="A527" s="87" t="s">
        <v>4056</v>
      </c>
      <c r="B527" s="86" t="s">
        <v>4044</v>
      </c>
      <c r="C527" s="86">
        <v>6</v>
      </c>
      <c r="D527" s="115">
        <v>0.00241848224819353</v>
      </c>
      <c r="E527" s="115">
        <v>1.9239212034675375</v>
      </c>
      <c r="F527" s="86" t="s">
        <v>3161</v>
      </c>
      <c r="G527" s="86" t="b">
        <v>0</v>
      </c>
      <c r="H527" s="86" t="b">
        <v>0</v>
      </c>
      <c r="I527" s="86" t="b">
        <v>0</v>
      </c>
      <c r="J527" s="86" t="b">
        <v>0</v>
      </c>
      <c r="K527" s="86" t="b">
        <v>0</v>
      </c>
      <c r="L527" s="86" t="b">
        <v>0</v>
      </c>
    </row>
    <row r="528" spans="1:12" ht="15">
      <c r="A528" s="87" t="s">
        <v>4122</v>
      </c>
      <c r="B528" s="86" t="s">
        <v>4123</v>
      </c>
      <c r="C528" s="86">
        <v>6</v>
      </c>
      <c r="D528" s="115">
        <v>0.00241848224819353</v>
      </c>
      <c r="E528" s="115">
        <v>2.648698471409842</v>
      </c>
      <c r="F528" s="86" t="s">
        <v>3161</v>
      </c>
      <c r="G528" s="86" t="b">
        <v>0</v>
      </c>
      <c r="H528" s="86" t="b">
        <v>0</v>
      </c>
      <c r="I528" s="86" t="b">
        <v>0</v>
      </c>
      <c r="J528" s="86" t="b">
        <v>0</v>
      </c>
      <c r="K528" s="86" t="b">
        <v>0</v>
      </c>
      <c r="L528" s="86" t="b">
        <v>0</v>
      </c>
    </row>
    <row r="529" spans="1:12" ht="15">
      <c r="A529" s="87" t="s">
        <v>4123</v>
      </c>
      <c r="B529" s="86" t="s">
        <v>4124</v>
      </c>
      <c r="C529" s="86">
        <v>6</v>
      </c>
      <c r="D529" s="115">
        <v>0.00241848224819353</v>
      </c>
      <c r="E529" s="115">
        <v>2.715645261040455</v>
      </c>
      <c r="F529" s="86" t="s">
        <v>3161</v>
      </c>
      <c r="G529" s="86" t="b">
        <v>0</v>
      </c>
      <c r="H529" s="86" t="b">
        <v>0</v>
      </c>
      <c r="I529" s="86" t="b">
        <v>0</v>
      </c>
      <c r="J529" s="86" t="b">
        <v>0</v>
      </c>
      <c r="K529" s="86" t="b">
        <v>0</v>
      </c>
      <c r="L529" s="86" t="b">
        <v>0</v>
      </c>
    </row>
    <row r="530" spans="1:12" ht="15">
      <c r="A530" s="87" t="s">
        <v>3355</v>
      </c>
      <c r="B530" s="86" t="s">
        <v>3368</v>
      </c>
      <c r="C530" s="86">
        <v>6</v>
      </c>
      <c r="D530" s="115">
        <v>0.00241848224819353</v>
      </c>
      <c r="E530" s="115">
        <v>1.1996453338667485</v>
      </c>
      <c r="F530" s="86" t="s">
        <v>3161</v>
      </c>
      <c r="G530" s="86" t="b">
        <v>0</v>
      </c>
      <c r="H530" s="86" t="b">
        <v>0</v>
      </c>
      <c r="I530" s="86" t="b">
        <v>0</v>
      </c>
      <c r="J530" s="86" t="b">
        <v>0</v>
      </c>
      <c r="K530" s="86" t="b">
        <v>0</v>
      </c>
      <c r="L530" s="86" t="b">
        <v>0</v>
      </c>
    </row>
    <row r="531" spans="1:12" ht="15">
      <c r="A531" s="87" t="s">
        <v>4053</v>
      </c>
      <c r="B531" s="86" t="s">
        <v>3359</v>
      </c>
      <c r="C531" s="86">
        <v>5</v>
      </c>
      <c r="D531" s="115">
        <v>0.002118207957690434</v>
      </c>
      <c r="E531" s="115">
        <v>1.3823419595209567</v>
      </c>
      <c r="F531" s="86" t="s">
        <v>3161</v>
      </c>
      <c r="G531" s="86" t="b">
        <v>0</v>
      </c>
      <c r="H531" s="86" t="b">
        <v>0</v>
      </c>
      <c r="I531" s="86" t="b">
        <v>0</v>
      </c>
      <c r="J531" s="86" t="b">
        <v>0</v>
      </c>
      <c r="K531" s="86" t="b">
        <v>0</v>
      </c>
      <c r="L531" s="86" t="b">
        <v>0</v>
      </c>
    </row>
    <row r="532" spans="1:12" ht="15">
      <c r="A532" s="87" t="s">
        <v>4131</v>
      </c>
      <c r="B532" s="86" t="s">
        <v>4085</v>
      </c>
      <c r="C532" s="86">
        <v>5</v>
      </c>
      <c r="D532" s="115">
        <v>0.002118207957690434</v>
      </c>
      <c r="E532" s="115">
        <v>2.5273195455677624</v>
      </c>
      <c r="F532" s="86" t="s">
        <v>3161</v>
      </c>
      <c r="G532" s="86" t="b">
        <v>0</v>
      </c>
      <c r="H532" s="86" t="b">
        <v>0</v>
      </c>
      <c r="I532" s="86" t="b">
        <v>0</v>
      </c>
      <c r="J532" s="86" t="b">
        <v>0</v>
      </c>
      <c r="K532" s="86" t="b">
        <v>0</v>
      </c>
      <c r="L532" s="86" t="b">
        <v>0</v>
      </c>
    </row>
    <row r="533" spans="1:12" ht="15">
      <c r="A533" s="87" t="s">
        <v>3361</v>
      </c>
      <c r="B533" s="86" t="s">
        <v>3366</v>
      </c>
      <c r="C533" s="86">
        <v>5</v>
      </c>
      <c r="D533" s="115">
        <v>0.002118207957690434</v>
      </c>
      <c r="E533" s="115">
        <v>1.0610562184363082</v>
      </c>
      <c r="F533" s="86" t="s">
        <v>3161</v>
      </c>
      <c r="G533" s="86" t="b">
        <v>0</v>
      </c>
      <c r="H533" s="86" t="b">
        <v>0</v>
      </c>
      <c r="I533" s="86" t="b">
        <v>0</v>
      </c>
      <c r="J533" s="86" t="b">
        <v>0</v>
      </c>
      <c r="K533" s="86" t="b">
        <v>0</v>
      </c>
      <c r="L533" s="86" t="b">
        <v>0</v>
      </c>
    </row>
    <row r="534" spans="1:12" ht="15">
      <c r="A534" s="87" t="s">
        <v>3366</v>
      </c>
      <c r="B534" s="86" t="s">
        <v>4024</v>
      </c>
      <c r="C534" s="86">
        <v>5</v>
      </c>
      <c r="D534" s="115">
        <v>0.002118207957690434</v>
      </c>
      <c r="E534" s="115">
        <v>1.1719318875811884</v>
      </c>
      <c r="F534" s="86" t="s">
        <v>3161</v>
      </c>
      <c r="G534" s="86" t="b">
        <v>0</v>
      </c>
      <c r="H534" s="86" t="b">
        <v>0</v>
      </c>
      <c r="I534" s="86" t="b">
        <v>0</v>
      </c>
      <c r="J534" s="86" t="b">
        <v>0</v>
      </c>
      <c r="K534" s="86" t="b">
        <v>0</v>
      </c>
      <c r="L534" s="86" t="b">
        <v>0</v>
      </c>
    </row>
    <row r="535" spans="1:12" ht="15">
      <c r="A535" s="87" t="s">
        <v>3354</v>
      </c>
      <c r="B535" s="86" t="s">
        <v>3357</v>
      </c>
      <c r="C535" s="86">
        <v>5</v>
      </c>
      <c r="D535" s="115">
        <v>0.002118207957690434</v>
      </c>
      <c r="E535" s="115">
        <v>0.36000221081958617</v>
      </c>
      <c r="F535" s="86" t="s">
        <v>3161</v>
      </c>
      <c r="G535" s="86" t="b">
        <v>0</v>
      </c>
      <c r="H535" s="86" t="b">
        <v>0</v>
      </c>
      <c r="I535" s="86" t="b">
        <v>0</v>
      </c>
      <c r="J535" s="86" t="b">
        <v>0</v>
      </c>
      <c r="K535" s="86" t="b">
        <v>0</v>
      </c>
      <c r="L535" s="86" t="b">
        <v>0</v>
      </c>
    </row>
    <row r="536" spans="1:12" ht="15">
      <c r="A536" s="87" t="s">
        <v>3380</v>
      </c>
      <c r="B536" s="86" t="s">
        <v>3327</v>
      </c>
      <c r="C536" s="86">
        <v>5</v>
      </c>
      <c r="D536" s="115">
        <v>0.002118207957690434</v>
      </c>
      <c r="E536" s="115">
        <v>0.7655587113722879</v>
      </c>
      <c r="F536" s="86" t="s">
        <v>3161</v>
      </c>
      <c r="G536" s="86" t="b">
        <v>0</v>
      </c>
      <c r="H536" s="86" t="b">
        <v>0</v>
      </c>
      <c r="I536" s="86" t="b">
        <v>0</v>
      </c>
      <c r="J536" s="86" t="b">
        <v>0</v>
      </c>
      <c r="K536" s="86" t="b">
        <v>0</v>
      </c>
      <c r="L536" s="86" t="b">
        <v>0</v>
      </c>
    </row>
    <row r="537" spans="1:12" ht="15">
      <c r="A537" s="87" t="s">
        <v>4069</v>
      </c>
      <c r="B537" s="86" t="s">
        <v>4161</v>
      </c>
      <c r="C537" s="86">
        <v>5</v>
      </c>
      <c r="D537" s="115">
        <v>0.002118207957690434</v>
      </c>
      <c r="E537" s="115">
        <v>2.3846520419990305</v>
      </c>
      <c r="F537" s="86" t="s">
        <v>3161</v>
      </c>
      <c r="G537" s="86" t="b">
        <v>0</v>
      </c>
      <c r="H537" s="86" t="b">
        <v>0</v>
      </c>
      <c r="I537" s="86" t="b">
        <v>0</v>
      </c>
      <c r="J537" s="86" t="b">
        <v>0</v>
      </c>
      <c r="K537" s="86" t="b">
        <v>0</v>
      </c>
      <c r="L537" s="86" t="b">
        <v>0</v>
      </c>
    </row>
    <row r="538" spans="1:12" ht="15">
      <c r="A538" s="87" t="s">
        <v>4161</v>
      </c>
      <c r="B538" s="86" t="s">
        <v>4070</v>
      </c>
      <c r="C538" s="86">
        <v>5</v>
      </c>
      <c r="D538" s="115">
        <v>0.002118207957690434</v>
      </c>
      <c r="E538" s="115">
        <v>2.4467999487478753</v>
      </c>
      <c r="F538" s="86" t="s">
        <v>3161</v>
      </c>
      <c r="G538" s="86" t="b">
        <v>0</v>
      </c>
      <c r="H538" s="86" t="b">
        <v>0</v>
      </c>
      <c r="I538" s="86" t="b">
        <v>0</v>
      </c>
      <c r="J538" s="86" t="b">
        <v>0</v>
      </c>
      <c r="K538" s="86" t="b">
        <v>0</v>
      </c>
      <c r="L538" s="86" t="b">
        <v>0</v>
      </c>
    </row>
    <row r="539" spans="1:12" ht="15">
      <c r="A539" s="87" t="s">
        <v>4051</v>
      </c>
      <c r="B539" s="86" t="s">
        <v>3368</v>
      </c>
      <c r="C539" s="86">
        <v>5</v>
      </c>
      <c r="D539" s="115">
        <v>0.002118207957690434</v>
      </c>
      <c r="E539" s="115">
        <v>1.5023172765977064</v>
      </c>
      <c r="F539" s="86" t="s">
        <v>3161</v>
      </c>
      <c r="G539" s="86" t="b">
        <v>0</v>
      </c>
      <c r="H539" s="86" t="b">
        <v>0</v>
      </c>
      <c r="I539" s="86" t="b">
        <v>0</v>
      </c>
      <c r="J539" s="86" t="b">
        <v>0</v>
      </c>
      <c r="K539" s="86" t="b">
        <v>0</v>
      </c>
      <c r="L539" s="86" t="b">
        <v>0</v>
      </c>
    </row>
    <row r="540" spans="1:12" ht="15">
      <c r="A540" s="87" t="s">
        <v>3366</v>
      </c>
      <c r="B540" s="86" t="s">
        <v>4077</v>
      </c>
      <c r="C540" s="86">
        <v>5</v>
      </c>
      <c r="D540" s="115">
        <v>0.002118207957690434</v>
      </c>
      <c r="E540" s="115">
        <v>1.9252595542397999</v>
      </c>
      <c r="F540" s="86" t="s">
        <v>3161</v>
      </c>
      <c r="G540" s="86" t="b">
        <v>0</v>
      </c>
      <c r="H540" s="86" t="b">
        <v>0</v>
      </c>
      <c r="I540" s="86" t="b">
        <v>0</v>
      </c>
      <c r="J540" s="86" t="b">
        <v>0</v>
      </c>
      <c r="K540" s="86" t="b">
        <v>0</v>
      </c>
      <c r="L540" s="86" t="b">
        <v>0</v>
      </c>
    </row>
    <row r="541" spans="1:12" ht="15">
      <c r="A541" s="87" t="s">
        <v>4042</v>
      </c>
      <c r="B541" s="86" t="s">
        <v>4087</v>
      </c>
      <c r="C541" s="86">
        <v>5</v>
      </c>
      <c r="D541" s="115">
        <v>0.002118207957690434</v>
      </c>
      <c r="E541" s="115">
        <v>2.0344040236648677</v>
      </c>
      <c r="F541" s="86" t="s">
        <v>3161</v>
      </c>
      <c r="G541" s="86" t="b">
        <v>0</v>
      </c>
      <c r="H541" s="86" t="b">
        <v>0</v>
      </c>
      <c r="I541" s="86" t="b">
        <v>0</v>
      </c>
      <c r="J541" s="86" t="b">
        <v>0</v>
      </c>
      <c r="K541" s="86" t="b">
        <v>0</v>
      </c>
      <c r="L541" s="86" t="b">
        <v>0</v>
      </c>
    </row>
    <row r="542" spans="1:12" ht="15">
      <c r="A542" s="87" t="s">
        <v>3356</v>
      </c>
      <c r="B542" s="86" t="s">
        <v>3368</v>
      </c>
      <c r="C542" s="86">
        <v>5</v>
      </c>
      <c r="D542" s="115">
        <v>0.002118207957690434</v>
      </c>
      <c r="E542" s="115">
        <v>0.7548348459805149</v>
      </c>
      <c r="F542" s="86" t="s">
        <v>3161</v>
      </c>
      <c r="G542" s="86" t="b">
        <v>0</v>
      </c>
      <c r="H542" s="86" t="b">
        <v>0</v>
      </c>
      <c r="I542" s="86" t="b">
        <v>0</v>
      </c>
      <c r="J542" s="86" t="b">
        <v>0</v>
      </c>
      <c r="K542" s="86" t="b">
        <v>0</v>
      </c>
      <c r="L542" s="86" t="b">
        <v>0</v>
      </c>
    </row>
    <row r="543" spans="1:12" ht="15">
      <c r="A543" s="87" t="s">
        <v>4080</v>
      </c>
      <c r="B543" s="86" t="s">
        <v>3355</v>
      </c>
      <c r="C543" s="86">
        <v>5</v>
      </c>
      <c r="D543" s="115">
        <v>0.002118207957690434</v>
      </c>
      <c r="E543" s="115">
        <v>0.9696786940282127</v>
      </c>
      <c r="F543" s="86" t="s">
        <v>3161</v>
      </c>
      <c r="G543" s="86" t="b">
        <v>1</v>
      </c>
      <c r="H543" s="86" t="b">
        <v>0</v>
      </c>
      <c r="I543" s="86" t="b">
        <v>0</v>
      </c>
      <c r="J543" s="86" t="b">
        <v>0</v>
      </c>
      <c r="K543" s="86" t="b">
        <v>0</v>
      </c>
      <c r="L543" s="86" t="b">
        <v>0</v>
      </c>
    </row>
    <row r="544" spans="1:12" ht="15">
      <c r="A544" s="87" t="s">
        <v>3355</v>
      </c>
      <c r="B544" s="86" t="s">
        <v>4071</v>
      </c>
      <c r="C544" s="86">
        <v>5</v>
      </c>
      <c r="D544" s="115">
        <v>0.002118207957690434</v>
      </c>
      <c r="E544" s="115">
        <v>1.421494083483105</v>
      </c>
      <c r="F544" s="86" t="s">
        <v>3161</v>
      </c>
      <c r="G544" s="86" t="b">
        <v>0</v>
      </c>
      <c r="H544" s="86" t="b">
        <v>0</v>
      </c>
      <c r="I544" s="86" t="b">
        <v>0</v>
      </c>
      <c r="J544" s="86" t="b">
        <v>0</v>
      </c>
      <c r="K544" s="86" t="b">
        <v>0</v>
      </c>
      <c r="L544" s="86" t="b">
        <v>0</v>
      </c>
    </row>
    <row r="545" spans="1:12" ht="15">
      <c r="A545" s="87" t="s">
        <v>4041</v>
      </c>
      <c r="B545" s="86" t="s">
        <v>4163</v>
      </c>
      <c r="C545" s="86">
        <v>5</v>
      </c>
      <c r="D545" s="115">
        <v>0.002118207957690434</v>
      </c>
      <c r="E545" s="115">
        <v>2.1293795368957245</v>
      </c>
      <c r="F545" s="86" t="s">
        <v>3161</v>
      </c>
      <c r="G545" s="86" t="b">
        <v>0</v>
      </c>
      <c r="H545" s="86" t="b">
        <v>0</v>
      </c>
      <c r="I545" s="86" t="b">
        <v>0</v>
      </c>
      <c r="J545" s="86" t="b">
        <v>1</v>
      </c>
      <c r="K545" s="86" t="b">
        <v>0</v>
      </c>
      <c r="L545" s="86" t="b">
        <v>0</v>
      </c>
    </row>
    <row r="546" spans="1:12" ht="15">
      <c r="A546" s="87" t="s">
        <v>4163</v>
      </c>
      <c r="B546" s="86" t="s">
        <v>4164</v>
      </c>
      <c r="C546" s="86">
        <v>5</v>
      </c>
      <c r="D546" s="115">
        <v>0.002118207957690434</v>
      </c>
      <c r="E546" s="115">
        <v>2.861773296718693</v>
      </c>
      <c r="F546" s="86" t="s">
        <v>3161</v>
      </c>
      <c r="G546" s="86" t="b">
        <v>1</v>
      </c>
      <c r="H546" s="86" t="b">
        <v>0</v>
      </c>
      <c r="I546" s="86" t="b">
        <v>0</v>
      </c>
      <c r="J546" s="86" t="b">
        <v>0</v>
      </c>
      <c r="K546" s="86" t="b">
        <v>0</v>
      </c>
      <c r="L546" s="86" t="b">
        <v>0</v>
      </c>
    </row>
    <row r="547" spans="1:12" ht="15">
      <c r="A547" s="87" t="s">
        <v>4164</v>
      </c>
      <c r="B547" s="86" t="s">
        <v>4122</v>
      </c>
      <c r="C547" s="86">
        <v>5</v>
      </c>
      <c r="D547" s="115">
        <v>0.002118207957690434</v>
      </c>
      <c r="E547" s="115">
        <v>2.715645261040455</v>
      </c>
      <c r="F547" s="86" t="s">
        <v>3161</v>
      </c>
      <c r="G547" s="86" t="b">
        <v>0</v>
      </c>
      <c r="H547" s="86" t="b">
        <v>0</v>
      </c>
      <c r="I547" s="86" t="b">
        <v>0</v>
      </c>
      <c r="J547" s="86" t="b">
        <v>0</v>
      </c>
      <c r="K547" s="86" t="b">
        <v>0</v>
      </c>
      <c r="L547" s="86" t="b">
        <v>0</v>
      </c>
    </row>
    <row r="548" spans="1:12" ht="15">
      <c r="A548" s="87" t="s">
        <v>4175</v>
      </c>
      <c r="B548" s="86" t="s">
        <v>3307</v>
      </c>
      <c r="C548" s="86">
        <v>5</v>
      </c>
      <c r="D548" s="115">
        <v>0.002118207957690434</v>
      </c>
      <c r="E548" s="115">
        <v>1.6686486983642315</v>
      </c>
      <c r="F548" s="86" t="s">
        <v>3161</v>
      </c>
      <c r="G548" s="86" t="b">
        <v>0</v>
      </c>
      <c r="H548" s="86" t="b">
        <v>0</v>
      </c>
      <c r="I548" s="86" t="b">
        <v>0</v>
      </c>
      <c r="J548" s="86" t="b">
        <v>0</v>
      </c>
      <c r="K548" s="86" t="b">
        <v>0</v>
      </c>
      <c r="L548" s="86" t="b">
        <v>0</v>
      </c>
    </row>
    <row r="549" spans="1:12" ht="15">
      <c r="A549" s="87" t="s">
        <v>3357</v>
      </c>
      <c r="B549" s="86" t="s">
        <v>4101</v>
      </c>
      <c r="C549" s="86">
        <v>5</v>
      </c>
      <c r="D549" s="115">
        <v>0.002118207957690434</v>
      </c>
      <c r="E549" s="115">
        <v>1.630303706288012</v>
      </c>
      <c r="F549" s="86" t="s">
        <v>3161</v>
      </c>
      <c r="G549" s="86" t="b">
        <v>0</v>
      </c>
      <c r="H549" s="86" t="b">
        <v>0</v>
      </c>
      <c r="I549" s="86" t="b">
        <v>0</v>
      </c>
      <c r="J549" s="86" t="b">
        <v>0</v>
      </c>
      <c r="K549" s="86" t="b">
        <v>0</v>
      </c>
      <c r="L549" s="86" t="b">
        <v>0</v>
      </c>
    </row>
    <row r="550" spans="1:12" ht="15">
      <c r="A550" s="87" t="s">
        <v>4101</v>
      </c>
      <c r="B550" s="86" t="s">
        <v>4042</v>
      </c>
      <c r="C550" s="86">
        <v>5</v>
      </c>
      <c r="D550" s="115">
        <v>0.002118207957690434</v>
      </c>
      <c r="E550" s="115">
        <v>2.0344040236648677</v>
      </c>
      <c r="F550" s="86" t="s">
        <v>3161</v>
      </c>
      <c r="G550" s="86" t="b">
        <v>0</v>
      </c>
      <c r="H550" s="86" t="b">
        <v>0</v>
      </c>
      <c r="I550" s="86" t="b">
        <v>0</v>
      </c>
      <c r="J550" s="86" t="b">
        <v>0</v>
      </c>
      <c r="K550" s="86" t="b">
        <v>0</v>
      </c>
      <c r="L550" s="86" t="b">
        <v>0</v>
      </c>
    </row>
    <row r="551" spans="1:12" ht="15">
      <c r="A551" s="87" t="s">
        <v>3354</v>
      </c>
      <c r="B551" s="86" t="s">
        <v>4125</v>
      </c>
      <c r="C551" s="86">
        <v>5</v>
      </c>
      <c r="D551" s="115">
        <v>0.002118207957690434</v>
      </c>
      <c r="E551" s="115">
        <v>1.4903359793145923</v>
      </c>
      <c r="F551" s="86" t="s">
        <v>3161</v>
      </c>
      <c r="G551" s="86" t="b">
        <v>0</v>
      </c>
      <c r="H551" s="86" t="b">
        <v>0</v>
      </c>
      <c r="I551" s="86" t="b">
        <v>0</v>
      </c>
      <c r="J551" s="86" t="b">
        <v>0</v>
      </c>
      <c r="K551" s="86" t="b">
        <v>0</v>
      </c>
      <c r="L551" s="86" t="b">
        <v>0</v>
      </c>
    </row>
    <row r="552" spans="1:12" ht="15">
      <c r="A552" s="87" t="s">
        <v>4042</v>
      </c>
      <c r="B552" s="86" t="s">
        <v>4111</v>
      </c>
      <c r="C552" s="86">
        <v>5</v>
      </c>
      <c r="D552" s="115">
        <v>0.002118207957690434</v>
      </c>
      <c r="E552" s="115">
        <v>2.113585269712493</v>
      </c>
      <c r="F552" s="86" t="s">
        <v>3161</v>
      </c>
      <c r="G552" s="86" t="b">
        <v>0</v>
      </c>
      <c r="H552" s="86" t="b">
        <v>0</v>
      </c>
      <c r="I552" s="86" t="b">
        <v>0</v>
      </c>
      <c r="J552" s="86" t="b">
        <v>0</v>
      </c>
      <c r="K552" s="86" t="b">
        <v>0</v>
      </c>
      <c r="L552" s="86" t="b">
        <v>0</v>
      </c>
    </row>
    <row r="553" spans="1:12" ht="15">
      <c r="A553" s="87" t="s">
        <v>4028</v>
      </c>
      <c r="B553" s="86" t="s">
        <v>4044</v>
      </c>
      <c r="C553" s="86">
        <v>5</v>
      </c>
      <c r="D553" s="115">
        <v>0.002118207957690434</v>
      </c>
      <c r="E553" s="115">
        <v>1.5225206626859935</v>
      </c>
      <c r="F553" s="86" t="s">
        <v>3161</v>
      </c>
      <c r="G553" s="86" t="b">
        <v>0</v>
      </c>
      <c r="H553" s="86" t="b">
        <v>0</v>
      </c>
      <c r="I553" s="86" t="b">
        <v>0</v>
      </c>
      <c r="J553" s="86" t="b">
        <v>0</v>
      </c>
      <c r="K553" s="86" t="b">
        <v>0</v>
      </c>
      <c r="L553" s="86" t="b">
        <v>0</v>
      </c>
    </row>
    <row r="554" spans="1:12" ht="15">
      <c r="A554" s="87" t="s">
        <v>4084</v>
      </c>
      <c r="B554" s="86" t="s">
        <v>3382</v>
      </c>
      <c r="C554" s="86">
        <v>5</v>
      </c>
      <c r="D554" s="115">
        <v>0.002118207957690434</v>
      </c>
      <c r="E554" s="115">
        <v>1.6576533140627683</v>
      </c>
      <c r="F554" s="86" t="s">
        <v>3161</v>
      </c>
      <c r="G554" s="86" t="b">
        <v>0</v>
      </c>
      <c r="H554" s="86" t="b">
        <v>0</v>
      </c>
      <c r="I554" s="86" t="b">
        <v>0</v>
      </c>
      <c r="J554" s="86" t="b">
        <v>0</v>
      </c>
      <c r="K554" s="86" t="b">
        <v>0</v>
      </c>
      <c r="L554" s="86" t="b">
        <v>0</v>
      </c>
    </row>
    <row r="555" spans="1:12" ht="15">
      <c r="A555" s="87" t="s">
        <v>4174</v>
      </c>
      <c r="B555" s="86" t="s">
        <v>4167</v>
      </c>
      <c r="C555" s="86">
        <v>4</v>
      </c>
      <c r="D555" s="115">
        <v>0.001795225948606833</v>
      </c>
      <c r="E555" s="115">
        <v>2.9586833097267493</v>
      </c>
      <c r="F555" s="86" t="s">
        <v>3161</v>
      </c>
      <c r="G555" s="86" t="b">
        <v>0</v>
      </c>
      <c r="H555" s="86" t="b">
        <v>0</v>
      </c>
      <c r="I555" s="86" t="b">
        <v>0</v>
      </c>
      <c r="J555" s="86" t="b">
        <v>0</v>
      </c>
      <c r="K555" s="86" t="b">
        <v>0</v>
      </c>
      <c r="L555" s="86" t="b">
        <v>0</v>
      </c>
    </row>
    <row r="556" spans="1:12" ht="15">
      <c r="A556" s="87" t="s">
        <v>4085</v>
      </c>
      <c r="B556" s="86" t="s">
        <v>4075</v>
      </c>
      <c r="C556" s="86">
        <v>4</v>
      </c>
      <c r="D556" s="115">
        <v>0.001795225948606833</v>
      </c>
      <c r="E556" s="115">
        <v>2.0946174306365126</v>
      </c>
      <c r="F556" s="86" t="s">
        <v>3161</v>
      </c>
      <c r="G556" s="86" t="b">
        <v>0</v>
      </c>
      <c r="H556" s="86" t="b">
        <v>0</v>
      </c>
      <c r="I556" s="86" t="b">
        <v>0</v>
      </c>
      <c r="J556" s="86" t="b">
        <v>0</v>
      </c>
      <c r="K556" s="86" t="b">
        <v>0</v>
      </c>
      <c r="L556" s="86" t="b">
        <v>0</v>
      </c>
    </row>
    <row r="557" spans="1:12" ht="15">
      <c r="A557" s="87" t="s">
        <v>4104</v>
      </c>
      <c r="B557" s="86" t="s">
        <v>4126</v>
      </c>
      <c r="C557" s="86">
        <v>4</v>
      </c>
      <c r="D557" s="115">
        <v>0.001795225948606833</v>
      </c>
      <c r="E557" s="115">
        <v>2.539554001984774</v>
      </c>
      <c r="F557" s="86" t="s">
        <v>3161</v>
      </c>
      <c r="G557" s="86" t="b">
        <v>0</v>
      </c>
      <c r="H557" s="86" t="b">
        <v>0</v>
      </c>
      <c r="I557" s="86" t="b">
        <v>0</v>
      </c>
      <c r="J557" s="86" t="b">
        <v>0</v>
      </c>
      <c r="K557" s="86" t="b">
        <v>0</v>
      </c>
      <c r="L557" s="86" t="b">
        <v>0</v>
      </c>
    </row>
    <row r="558" spans="1:12" ht="15">
      <c r="A558" s="87" t="s">
        <v>4095</v>
      </c>
      <c r="B558" s="86" t="s">
        <v>3366</v>
      </c>
      <c r="C558" s="86">
        <v>4</v>
      </c>
      <c r="D558" s="115">
        <v>0.001795225948606833</v>
      </c>
      <c r="E558" s="115">
        <v>2.0836220463350497</v>
      </c>
      <c r="F558" s="86" t="s">
        <v>3161</v>
      </c>
      <c r="G558" s="86" t="b">
        <v>0</v>
      </c>
      <c r="H558" s="86" t="b">
        <v>0</v>
      </c>
      <c r="I558" s="86" t="b">
        <v>0</v>
      </c>
      <c r="J558" s="86" t="b">
        <v>0</v>
      </c>
      <c r="K558" s="86" t="b">
        <v>0</v>
      </c>
      <c r="L558" s="86" t="b">
        <v>0</v>
      </c>
    </row>
    <row r="559" spans="1:12" ht="15">
      <c r="A559" s="87" t="s">
        <v>3359</v>
      </c>
      <c r="B559" s="86" t="s">
        <v>3354</v>
      </c>
      <c r="C559" s="86">
        <v>4</v>
      </c>
      <c r="D559" s="115">
        <v>0.001795225948606833</v>
      </c>
      <c r="E559" s="115">
        <v>0.6893163223181059</v>
      </c>
      <c r="F559" s="86" t="s">
        <v>3161</v>
      </c>
      <c r="G559" s="86" t="b">
        <v>0</v>
      </c>
      <c r="H559" s="86" t="b">
        <v>0</v>
      </c>
      <c r="I559" s="86" t="b">
        <v>0</v>
      </c>
      <c r="J559" s="86" t="b">
        <v>0</v>
      </c>
      <c r="K559" s="86" t="b">
        <v>0</v>
      </c>
      <c r="L559" s="86" t="b">
        <v>0</v>
      </c>
    </row>
    <row r="560" spans="1:12" ht="15">
      <c r="A560" s="87" t="s">
        <v>4100</v>
      </c>
      <c r="B560" s="86" t="s">
        <v>4051</v>
      </c>
      <c r="C560" s="86">
        <v>4</v>
      </c>
      <c r="D560" s="115">
        <v>0.001795225948606833</v>
      </c>
      <c r="E560" s="115">
        <v>1.8795020636791246</v>
      </c>
      <c r="F560" s="86" t="s">
        <v>3161</v>
      </c>
      <c r="G560" s="86" t="b">
        <v>1</v>
      </c>
      <c r="H560" s="86" t="b">
        <v>0</v>
      </c>
      <c r="I560" s="86" t="b">
        <v>0</v>
      </c>
      <c r="J560" s="86" t="b">
        <v>0</v>
      </c>
      <c r="K560" s="86" t="b">
        <v>0</v>
      </c>
      <c r="L560" s="86" t="b">
        <v>0</v>
      </c>
    </row>
    <row r="561" spans="1:12" ht="15">
      <c r="A561" s="87" t="s">
        <v>4051</v>
      </c>
      <c r="B561" s="86" t="s">
        <v>4187</v>
      </c>
      <c r="C561" s="86">
        <v>4</v>
      </c>
      <c r="D561" s="115">
        <v>0.001795225948606833</v>
      </c>
      <c r="E561" s="115">
        <v>2.2183206202325056</v>
      </c>
      <c r="F561" s="86" t="s">
        <v>3161</v>
      </c>
      <c r="G561" s="86" t="b">
        <v>0</v>
      </c>
      <c r="H561" s="86" t="b">
        <v>0</v>
      </c>
      <c r="I561" s="86" t="b">
        <v>0</v>
      </c>
      <c r="J561" s="86" t="b">
        <v>0</v>
      </c>
      <c r="K561" s="86" t="b">
        <v>0</v>
      </c>
      <c r="L561" s="86" t="b">
        <v>0</v>
      </c>
    </row>
    <row r="562" spans="1:12" ht="15">
      <c r="A562" s="87" t="s">
        <v>4187</v>
      </c>
      <c r="B562" s="86" t="s">
        <v>4091</v>
      </c>
      <c r="C562" s="86">
        <v>4</v>
      </c>
      <c r="D562" s="115">
        <v>0.001795225948606833</v>
      </c>
      <c r="E562" s="115">
        <v>2.715645261040455</v>
      </c>
      <c r="F562" s="86" t="s">
        <v>3161</v>
      </c>
      <c r="G562" s="86" t="b">
        <v>0</v>
      </c>
      <c r="H562" s="86" t="b">
        <v>0</v>
      </c>
      <c r="I562" s="86" t="b">
        <v>0</v>
      </c>
      <c r="J562" s="86" t="b">
        <v>0</v>
      </c>
      <c r="K562" s="86" t="b">
        <v>0</v>
      </c>
      <c r="L562" s="86" t="b">
        <v>0</v>
      </c>
    </row>
    <row r="563" spans="1:12" ht="15">
      <c r="A563" s="87" t="s">
        <v>3368</v>
      </c>
      <c r="B563" s="86" t="s">
        <v>3355</v>
      </c>
      <c r="C563" s="86">
        <v>4</v>
      </c>
      <c r="D563" s="115">
        <v>0.001795225948606833</v>
      </c>
      <c r="E563" s="115">
        <v>0.8405839976487551</v>
      </c>
      <c r="F563" s="86" t="s">
        <v>3161</v>
      </c>
      <c r="G563" s="86" t="b">
        <v>0</v>
      </c>
      <c r="H563" s="86" t="b">
        <v>0</v>
      </c>
      <c r="I563" s="86" t="b">
        <v>0</v>
      </c>
      <c r="J563" s="86" t="b">
        <v>0</v>
      </c>
      <c r="K563" s="86" t="b">
        <v>0</v>
      </c>
      <c r="L563" s="86" t="b">
        <v>0</v>
      </c>
    </row>
    <row r="564" spans="1:12" ht="15">
      <c r="A564" s="87" t="s">
        <v>4044</v>
      </c>
      <c r="B564" s="86" t="s">
        <v>4058</v>
      </c>
      <c r="C564" s="86">
        <v>4</v>
      </c>
      <c r="D564" s="115">
        <v>0.001795225948606833</v>
      </c>
      <c r="E564" s="115">
        <v>1.5173810230335825</v>
      </c>
      <c r="F564" s="86" t="s">
        <v>3161</v>
      </c>
      <c r="G564" s="86" t="b">
        <v>0</v>
      </c>
      <c r="H564" s="86" t="b">
        <v>0</v>
      </c>
      <c r="I564" s="86" t="b">
        <v>0</v>
      </c>
      <c r="J564" s="86" t="b">
        <v>0</v>
      </c>
      <c r="K564" s="86" t="b">
        <v>0</v>
      </c>
      <c r="L564" s="86" t="b">
        <v>0</v>
      </c>
    </row>
    <row r="565" spans="1:12" ht="15">
      <c r="A565" s="87" t="s">
        <v>4094</v>
      </c>
      <c r="B565" s="86" t="s">
        <v>4203</v>
      </c>
      <c r="C565" s="86">
        <v>4</v>
      </c>
      <c r="D565" s="115">
        <v>0.001795225948606833</v>
      </c>
      <c r="E565" s="115">
        <v>2.715645261040455</v>
      </c>
      <c r="F565" s="86" t="s">
        <v>3161</v>
      </c>
      <c r="G565" s="86" t="b">
        <v>0</v>
      </c>
      <c r="H565" s="86" t="b">
        <v>0</v>
      </c>
      <c r="I565" s="86" t="b">
        <v>0</v>
      </c>
      <c r="J565" s="86" t="b">
        <v>0</v>
      </c>
      <c r="K565" s="86" t="b">
        <v>0</v>
      </c>
      <c r="L565" s="86" t="b">
        <v>0</v>
      </c>
    </row>
    <row r="566" spans="1:12" ht="15">
      <c r="A566" s="87" t="s">
        <v>3361</v>
      </c>
      <c r="B566" s="86" t="s">
        <v>4172</v>
      </c>
      <c r="C566" s="86">
        <v>4</v>
      </c>
      <c r="D566" s="115">
        <v>0.001795225948606833</v>
      </c>
      <c r="E566" s="115">
        <v>1.6631162097642704</v>
      </c>
      <c r="F566" s="86" t="s">
        <v>3161</v>
      </c>
      <c r="G566" s="86" t="b">
        <v>0</v>
      </c>
      <c r="H566" s="86" t="b">
        <v>0</v>
      </c>
      <c r="I566" s="86" t="b">
        <v>0</v>
      </c>
      <c r="J566" s="86" t="b">
        <v>0</v>
      </c>
      <c r="K566" s="86" t="b">
        <v>0</v>
      </c>
      <c r="L566" s="86" t="b">
        <v>0</v>
      </c>
    </row>
    <row r="567" spans="1:12" ht="15">
      <c r="A567" s="87" t="s">
        <v>4172</v>
      </c>
      <c r="B567" s="86" t="s">
        <v>4204</v>
      </c>
      <c r="C567" s="86">
        <v>4</v>
      </c>
      <c r="D567" s="115">
        <v>0.001795225948606833</v>
      </c>
      <c r="E567" s="115">
        <v>2.9586833097267493</v>
      </c>
      <c r="F567" s="86" t="s">
        <v>3161</v>
      </c>
      <c r="G567" s="86" t="b">
        <v>0</v>
      </c>
      <c r="H567" s="86" t="b">
        <v>0</v>
      </c>
      <c r="I567" s="86" t="b">
        <v>0</v>
      </c>
      <c r="J567" s="86" t="b">
        <v>0</v>
      </c>
      <c r="K567" s="86" t="b">
        <v>0</v>
      </c>
      <c r="L567" s="86" t="b">
        <v>0</v>
      </c>
    </row>
    <row r="568" spans="1:12" ht="15">
      <c r="A568" s="87" t="s">
        <v>3356</v>
      </c>
      <c r="B568" s="86" t="s">
        <v>4051</v>
      </c>
      <c r="C568" s="86">
        <v>4</v>
      </c>
      <c r="D568" s="115">
        <v>0.001795225948606833</v>
      </c>
      <c r="E568" s="115">
        <v>0.6926869392316705</v>
      </c>
      <c r="F568" s="86" t="s">
        <v>3161</v>
      </c>
      <c r="G568" s="86" t="b">
        <v>0</v>
      </c>
      <c r="H568" s="86" t="b">
        <v>0</v>
      </c>
      <c r="I568" s="86" t="b">
        <v>0</v>
      </c>
      <c r="J568" s="86" t="b">
        <v>0</v>
      </c>
      <c r="K568" s="86" t="b">
        <v>0</v>
      </c>
      <c r="L568" s="86" t="b">
        <v>0</v>
      </c>
    </row>
    <row r="569" spans="1:12" ht="15">
      <c r="A569" s="87" t="s">
        <v>4108</v>
      </c>
      <c r="B569" s="86" t="s">
        <v>3366</v>
      </c>
      <c r="C569" s="86">
        <v>4</v>
      </c>
      <c r="D569" s="115">
        <v>0.001795225948606833</v>
      </c>
      <c r="E569" s="115">
        <v>2.2597133053907306</v>
      </c>
      <c r="F569" s="86" t="s">
        <v>3161</v>
      </c>
      <c r="G569" s="86" t="b">
        <v>0</v>
      </c>
      <c r="H569" s="86" t="b">
        <v>0</v>
      </c>
      <c r="I569" s="86" t="b">
        <v>0</v>
      </c>
      <c r="J569" s="86" t="b">
        <v>0</v>
      </c>
      <c r="K569" s="86" t="b">
        <v>0</v>
      </c>
      <c r="L569" s="86" t="b">
        <v>0</v>
      </c>
    </row>
    <row r="570" spans="1:12" ht="15">
      <c r="A570" s="87" t="s">
        <v>4077</v>
      </c>
      <c r="B570" s="86" t="s">
        <v>3364</v>
      </c>
      <c r="C570" s="86">
        <v>4</v>
      </c>
      <c r="D570" s="115">
        <v>0.001795225948606833</v>
      </c>
      <c r="E570" s="115">
        <v>1.4232309479325824</v>
      </c>
      <c r="F570" s="86" t="s">
        <v>3161</v>
      </c>
      <c r="G570" s="86" t="b">
        <v>0</v>
      </c>
      <c r="H570" s="86" t="b">
        <v>0</v>
      </c>
      <c r="I570" s="86" t="b">
        <v>0</v>
      </c>
      <c r="J570" s="86" t="b">
        <v>0</v>
      </c>
      <c r="K570" s="86" t="b">
        <v>0</v>
      </c>
      <c r="L570" s="86" t="b">
        <v>0</v>
      </c>
    </row>
    <row r="571" spans="1:12" ht="15">
      <c r="A571" s="87" t="s">
        <v>3364</v>
      </c>
      <c r="B571" s="86" t="s">
        <v>4183</v>
      </c>
      <c r="C571" s="86">
        <v>4</v>
      </c>
      <c r="D571" s="115">
        <v>0.001795225948606833</v>
      </c>
      <c r="E571" s="115">
        <v>1.775413466043945</v>
      </c>
      <c r="F571" s="86" t="s">
        <v>3161</v>
      </c>
      <c r="G571" s="86" t="b">
        <v>0</v>
      </c>
      <c r="H571" s="86" t="b">
        <v>0</v>
      </c>
      <c r="I571" s="86" t="b">
        <v>0</v>
      </c>
      <c r="J571" s="86" t="b">
        <v>0</v>
      </c>
      <c r="K571" s="86" t="b">
        <v>0</v>
      </c>
      <c r="L571" s="86" t="b">
        <v>0</v>
      </c>
    </row>
    <row r="572" spans="1:12" ht="15">
      <c r="A572" s="87" t="s">
        <v>4183</v>
      </c>
      <c r="B572" s="86" t="s">
        <v>4042</v>
      </c>
      <c r="C572" s="86">
        <v>4</v>
      </c>
      <c r="D572" s="115">
        <v>0.001795225948606833</v>
      </c>
      <c r="E572" s="115">
        <v>2.113585269712493</v>
      </c>
      <c r="F572" s="86" t="s">
        <v>3161</v>
      </c>
      <c r="G572" s="86" t="b">
        <v>0</v>
      </c>
      <c r="H572" s="86" t="b">
        <v>0</v>
      </c>
      <c r="I572" s="86" t="b">
        <v>0</v>
      </c>
      <c r="J572" s="86" t="b">
        <v>0</v>
      </c>
      <c r="K572" s="86" t="b">
        <v>0</v>
      </c>
      <c r="L572" s="86" t="b">
        <v>0</v>
      </c>
    </row>
    <row r="573" spans="1:12" ht="15">
      <c r="A573" s="87" t="s">
        <v>4051</v>
      </c>
      <c r="B573" s="86" t="s">
        <v>3355</v>
      </c>
      <c r="C573" s="86">
        <v>4</v>
      </c>
      <c r="D573" s="115">
        <v>0.001795225948606833</v>
      </c>
      <c r="E573" s="115">
        <v>0.6442893525047869</v>
      </c>
      <c r="F573" s="86" t="s">
        <v>3161</v>
      </c>
      <c r="G573" s="86" t="b">
        <v>0</v>
      </c>
      <c r="H573" s="86" t="b">
        <v>0</v>
      </c>
      <c r="I573" s="86" t="b">
        <v>0</v>
      </c>
      <c r="J573" s="86" t="b">
        <v>0</v>
      </c>
      <c r="K573" s="86" t="b">
        <v>0</v>
      </c>
      <c r="L573" s="86" t="b">
        <v>0</v>
      </c>
    </row>
    <row r="574" spans="1:12" ht="15">
      <c r="A574" s="87" t="s">
        <v>4057</v>
      </c>
      <c r="B574" s="86" t="s">
        <v>4131</v>
      </c>
      <c r="C574" s="86">
        <v>4</v>
      </c>
      <c r="D574" s="115">
        <v>0.001795225948606833</v>
      </c>
      <c r="E574" s="115">
        <v>2.3177052523684174</v>
      </c>
      <c r="F574" s="86" t="s">
        <v>3161</v>
      </c>
      <c r="G574" s="86" t="b">
        <v>0</v>
      </c>
      <c r="H574" s="86" t="b">
        <v>0</v>
      </c>
      <c r="I574" s="86" t="b">
        <v>0</v>
      </c>
      <c r="J574" s="86" t="b">
        <v>0</v>
      </c>
      <c r="K574" s="86" t="b">
        <v>0</v>
      </c>
      <c r="L574" s="86" t="b">
        <v>0</v>
      </c>
    </row>
    <row r="575" spans="1:12" ht="15">
      <c r="A575" s="87" t="s">
        <v>4106</v>
      </c>
      <c r="B575" s="86" t="s">
        <v>3354</v>
      </c>
      <c r="C575" s="86">
        <v>4</v>
      </c>
      <c r="D575" s="115">
        <v>0.001795225948606833</v>
      </c>
      <c r="E575" s="115">
        <v>1.3091050806064999</v>
      </c>
      <c r="F575" s="86" t="s">
        <v>3161</v>
      </c>
      <c r="G575" s="86" t="b">
        <v>0</v>
      </c>
      <c r="H575" s="86" t="b">
        <v>0</v>
      </c>
      <c r="I575" s="86" t="b">
        <v>0</v>
      </c>
      <c r="J575" s="86" t="b">
        <v>0</v>
      </c>
      <c r="K575" s="86" t="b">
        <v>0</v>
      </c>
      <c r="L575" s="86" t="b">
        <v>0</v>
      </c>
    </row>
    <row r="576" spans="1:12" ht="15">
      <c r="A576" s="87" t="s">
        <v>4124</v>
      </c>
      <c r="B576" s="86" t="s">
        <v>4134</v>
      </c>
      <c r="C576" s="86">
        <v>4</v>
      </c>
      <c r="D576" s="115">
        <v>0.001795225948606833</v>
      </c>
      <c r="E576" s="115">
        <v>2.6187352480323987</v>
      </c>
      <c r="F576" s="86" t="s">
        <v>3161</v>
      </c>
      <c r="G576" s="86" t="b">
        <v>0</v>
      </c>
      <c r="H576" s="86" t="b">
        <v>0</v>
      </c>
      <c r="I576" s="86" t="b">
        <v>0</v>
      </c>
      <c r="J576" s="86" t="b">
        <v>0</v>
      </c>
      <c r="K576" s="86" t="b">
        <v>0</v>
      </c>
      <c r="L576" s="86" t="b">
        <v>0</v>
      </c>
    </row>
    <row r="577" spans="1:12" ht="15">
      <c r="A577" s="87" t="s">
        <v>4134</v>
      </c>
      <c r="B577" s="86" t="s">
        <v>4054</v>
      </c>
      <c r="C577" s="86">
        <v>4</v>
      </c>
      <c r="D577" s="115">
        <v>0.001795225948606833</v>
      </c>
      <c r="E577" s="115">
        <v>2.2877420289909742</v>
      </c>
      <c r="F577" s="86" t="s">
        <v>3161</v>
      </c>
      <c r="G577" s="86" t="b">
        <v>0</v>
      </c>
      <c r="H577" s="86" t="b">
        <v>0</v>
      </c>
      <c r="I577" s="86" t="b">
        <v>0</v>
      </c>
      <c r="J577" s="86" t="b">
        <v>0</v>
      </c>
      <c r="K577" s="86" t="b">
        <v>0</v>
      </c>
      <c r="L577" s="86" t="b">
        <v>0</v>
      </c>
    </row>
    <row r="578" spans="1:12" ht="15">
      <c r="A578" s="87" t="s">
        <v>4162</v>
      </c>
      <c r="B578" s="86" t="s">
        <v>4137</v>
      </c>
      <c r="C578" s="86">
        <v>4</v>
      </c>
      <c r="D578" s="115">
        <v>0.001795225948606833</v>
      </c>
      <c r="E578" s="115">
        <v>2.861773296718693</v>
      </c>
      <c r="F578" s="86" t="s">
        <v>3161</v>
      </c>
      <c r="G578" s="86" t="b">
        <v>0</v>
      </c>
      <c r="H578" s="86" t="b">
        <v>0</v>
      </c>
      <c r="I578" s="86" t="b">
        <v>0</v>
      </c>
      <c r="J578" s="86" t="b">
        <v>0</v>
      </c>
      <c r="K578" s="86" t="b">
        <v>0</v>
      </c>
      <c r="L578" s="86" t="b">
        <v>0</v>
      </c>
    </row>
    <row r="579" spans="1:12" ht="15">
      <c r="A579" s="87" t="s">
        <v>3361</v>
      </c>
      <c r="B579" s="86" t="s">
        <v>3356</v>
      </c>
      <c r="C579" s="86">
        <v>4</v>
      </c>
      <c r="D579" s="115">
        <v>0.001795225948606833</v>
      </c>
      <c r="E579" s="115">
        <v>0.2357924234070233</v>
      </c>
      <c r="F579" s="86" t="s">
        <v>3161</v>
      </c>
      <c r="G579" s="86" t="b">
        <v>0</v>
      </c>
      <c r="H579" s="86" t="b">
        <v>0</v>
      </c>
      <c r="I579" s="86" t="b">
        <v>0</v>
      </c>
      <c r="J579" s="86" t="b">
        <v>0</v>
      </c>
      <c r="K579" s="86" t="b">
        <v>0</v>
      </c>
      <c r="L579" s="86" t="b">
        <v>0</v>
      </c>
    </row>
    <row r="580" spans="1:12" ht="15">
      <c r="A580" s="87" t="s">
        <v>4142</v>
      </c>
      <c r="B580" s="86" t="s">
        <v>4028</v>
      </c>
      <c r="C580" s="86">
        <v>4</v>
      </c>
      <c r="D580" s="115">
        <v>0.001795225948606833</v>
      </c>
      <c r="E580" s="115">
        <v>1.9374940106568115</v>
      </c>
      <c r="F580" s="86" t="s">
        <v>3161</v>
      </c>
      <c r="G580" s="86" t="b">
        <v>0</v>
      </c>
      <c r="H580" s="86" t="b">
        <v>0</v>
      </c>
      <c r="I580" s="86" t="b">
        <v>0</v>
      </c>
      <c r="J580" s="86" t="b">
        <v>0</v>
      </c>
      <c r="K580" s="86" t="b">
        <v>0</v>
      </c>
      <c r="L580" s="86" t="b">
        <v>0</v>
      </c>
    </row>
    <row r="581" spans="1:12" ht="15">
      <c r="A581" s="87" t="s">
        <v>3355</v>
      </c>
      <c r="B581" s="86" t="s">
        <v>3357</v>
      </c>
      <c r="C581" s="86">
        <v>4</v>
      </c>
      <c r="D581" s="115">
        <v>0.001795225948606833</v>
      </c>
      <c r="E581" s="115">
        <v>0.5300424039032355</v>
      </c>
      <c r="F581" s="86" t="s">
        <v>3161</v>
      </c>
      <c r="G581" s="86" t="b">
        <v>0</v>
      </c>
      <c r="H581" s="86" t="b">
        <v>0</v>
      </c>
      <c r="I581" s="86" t="b">
        <v>0</v>
      </c>
      <c r="J581" s="86" t="b">
        <v>0</v>
      </c>
      <c r="K581" s="86" t="b">
        <v>0</v>
      </c>
      <c r="L581" s="86" t="b">
        <v>0</v>
      </c>
    </row>
    <row r="582" spans="1:12" ht="15">
      <c r="A582" s="87" t="s">
        <v>4100</v>
      </c>
      <c r="B582" s="86" t="s">
        <v>4206</v>
      </c>
      <c r="C582" s="86">
        <v>4</v>
      </c>
      <c r="D582" s="115">
        <v>0.001795225948606833</v>
      </c>
      <c r="E582" s="115">
        <v>2.657653314062768</v>
      </c>
      <c r="F582" s="86" t="s">
        <v>3161</v>
      </c>
      <c r="G582" s="86" t="b">
        <v>1</v>
      </c>
      <c r="H582" s="86" t="b">
        <v>0</v>
      </c>
      <c r="I582" s="86" t="b">
        <v>0</v>
      </c>
      <c r="J582" s="86" t="b">
        <v>1</v>
      </c>
      <c r="K582" s="86" t="b">
        <v>0</v>
      </c>
      <c r="L582" s="86" t="b">
        <v>0</v>
      </c>
    </row>
    <row r="583" spans="1:12" ht="15">
      <c r="A583" s="87" t="s">
        <v>4206</v>
      </c>
      <c r="B583" s="86" t="s">
        <v>4140</v>
      </c>
      <c r="C583" s="86">
        <v>4</v>
      </c>
      <c r="D583" s="115">
        <v>0.001795225948606833</v>
      </c>
      <c r="E583" s="115">
        <v>2.7825920506710684</v>
      </c>
      <c r="F583" s="86" t="s">
        <v>3161</v>
      </c>
      <c r="G583" s="86" t="b">
        <v>1</v>
      </c>
      <c r="H583" s="86" t="b">
        <v>0</v>
      </c>
      <c r="I583" s="86" t="b">
        <v>0</v>
      </c>
      <c r="J583" s="86" t="b">
        <v>0</v>
      </c>
      <c r="K583" s="86" t="b">
        <v>0</v>
      </c>
      <c r="L583" s="86" t="b">
        <v>0</v>
      </c>
    </row>
    <row r="584" spans="1:12" ht="15">
      <c r="A584" s="87" t="s">
        <v>4140</v>
      </c>
      <c r="B584" s="86" t="s">
        <v>4207</v>
      </c>
      <c r="C584" s="86">
        <v>4</v>
      </c>
      <c r="D584" s="115">
        <v>0.001795225948606833</v>
      </c>
      <c r="E584" s="115">
        <v>2.7825920506710684</v>
      </c>
      <c r="F584" s="86" t="s">
        <v>3161</v>
      </c>
      <c r="G584" s="86" t="b">
        <v>0</v>
      </c>
      <c r="H584" s="86" t="b">
        <v>0</v>
      </c>
      <c r="I584" s="86" t="b">
        <v>0</v>
      </c>
      <c r="J584" s="86" t="b">
        <v>0</v>
      </c>
      <c r="K584" s="86" t="b">
        <v>0</v>
      </c>
      <c r="L584" s="86" t="b">
        <v>0</v>
      </c>
    </row>
    <row r="585" spans="1:12" ht="15">
      <c r="A585" s="87" t="s">
        <v>4207</v>
      </c>
      <c r="B585" s="86" t="s">
        <v>4130</v>
      </c>
      <c r="C585" s="86">
        <v>4</v>
      </c>
      <c r="D585" s="115">
        <v>0.001795225948606833</v>
      </c>
      <c r="E585" s="115">
        <v>2.861773296718693</v>
      </c>
      <c r="F585" s="86" t="s">
        <v>3161</v>
      </c>
      <c r="G585" s="86" t="b">
        <v>0</v>
      </c>
      <c r="H585" s="86" t="b">
        <v>0</v>
      </c>
      <c r="I585" s="86" t="b">
        <v>0</v>
      </c>
      <c r="J585" s="86" t="b">
        <v>0</v>
      </c>
      <c r="K585" s="86" t="b">
        <v>0</v>
      </c>
      <c r="L585" s="86" t="b">
        <v>0</v>
      </c>
    </row>
    <row r="586" spans="1:12" ht="15">
      <c r="A586" s="87" t="s">
        <v>4130</v>
      </c>
      <c r="B586" s="86" t="s">
        <v>4042</v>
      </c>
      <c r="C586" s="86">
        <v>4</v>
      </c>
      <c r="D586" s="115">
        <v>0.001795225948606833</v>
      </c>
      <c r="E586" s="115">
        <v>2.016675256704436</v>
      </c>
      <c r="F586" s="86" t="s">
        <v>3161</v>
      </c>
      <c r="G586" s="86" t="b">
        <v>0</v>
      </c>
      <c r="H586" s="86" t="b">
        <v>0</v>
      </c>
      <c r="I586" s="86" t="b">
        <v>0</v>
      </c>
      <c r="J586" s="86" t="b">
        <v>0</v>
      </c>
      <c r="K586" s="86" t="b">
        <v>0</v>
      </c>
      <c r="L586" s="86" t="b">
        <v>0</v>
      </c>
    </row>
    <row r="587" spans="1:12" ht="15">
      <c r="A587" s="87" t="s">
        <v>4111</v>
      </c>
      <c r="B587" s="86" t="s">
        <v>4092</v>
      </c>
      <c r="C587" s="86">
        <v>4</v>
      </c>
      <c r="D587" s="115">
        <v>0.001795225948606833</v>
      </c>
      <c r="E587" s="115">
        <v>2.509590778607331</v>
      </c>
      <c r="F587" s="86" t="s">
        <v>3161</v>
      </c>
      <c r="G587" s="86" t="b">
        <v>0</v>
      </c>
      <c r="H587" s="86" t="b">
        <v>0</v>
      </c>
      <c r="I587" s="86" t="b">
        <v>0</v>
      </c>
      <c r="J587" s="86" t="b">
        <v>0</v>
      </c>
      <c r="K587" s="86" t="b">
        <v>0</v>
      </c>
      <c r="L587" s="86" t="b">
        <v>0</v>
      </c>
    </row>
    <row r="588" spans="1:12" ht="15">
      <c r="A588" s="87" t="s">
        <v>4092</v>
      </c>
      <c r="B588" s="86" t="s">
        <v>4175</v>
      </c>
      <c r="C588" s="86">
        <v>4</v>
      </c>
      <c r="D588" s="115">
        <v>0.001795225948606833</v>
      </c>
      <c r="E588" s="115">
        <v>2.509590778607331</v>
      </c>
      <c r="F588" s="86" t="s">
        <v>3161</v>
      </c>
      <c r="G588" s="86" t="b">
        <v>0</v>
      </c>
      <c r="H588" s="86" t="b">
        <v>0</v>
      </c>
      <c r="I588" s="86" t="b">
        <v>0</v>
      </c>
      <c r="J588" s="86" t="b">
        <v>0</v>
      </c>
      <c r="K588" s="86" t="b">
        <v>0</v>
      </c>
      <c r="L588" s="86" t="b">
        <v>0</v>
      </c>
    </row>
    <row r="589" spans="1:12" ht="15">
      <c r="A589" s="87" t="s">
        <v>3307</v>
      </c>
      <c r="B589" s="86" t="s">
        <v>4036</v>
      </c>
      <c r="C589" s="86">
        <v>4</v>
      </c>
      <c r="D589" s="115">
        <v>0.001795225948606833</v>
      </c>
      <c r="E589" s="115">
        <v>0.7865914421000015</v>
      </c>
      <c r="F589" s="86" t="s">
        <v>3161</v>
      </c>
      <c r="G589" s="86" t="b">
        <v>0</v>
      </c>
      <c r="H589" s="86" t="b">
        <v>0</v>
      </c>
      <c r="I589" s="86" t="b">
        <v>0</v>
      </c>
      <c r="J589" s="86" t="b">
        <v>0</v>
      </c>
      <c r="K589" s="86" t="b">
        <v>0</v>
      </c>
      <c r="L589" s="86" t="b">
        <v>0</v>
      </c>
    </row>
    <row r="590" spans="1:12" ht="15">
      <c r="A590" s="87" t="s">
        <v>4036</v>
      </c>
      <c r="B590" s="86" t="s">
        <v>4034</v>
      </c>
      <c r="C590" s="86">
        <v>4</v>
      </c>
      <c r="D590" s="115">
        <v>0.001795225948606833</v>
      </c>
      <c r="E590" s="115">
        <v>1.1952553161638122</v>
      </c>
      <c r="F590" s="86" t="s">
        <v>3161</v>
      </c>
      <c r="G590" s="86" t="b">
        <v>0</v>
      </c>
      <c r="H590" s="86" t="b">
        <v>0</v>
      </c>
      <c r="I590" s="86" t="b">
        <v>0</v>
      </c>
      <c r="J590" s="86" t="b">
        <v>0</v>
      </c>
      <c r="K590" s="86" t="b">
        <v>0</v>
      </c>
      <c r="L590" s="86" t="b">
        <v>0</v>
      </c>
    </row>
    <row r="591" spans="1:12" ht="15">
      <c r="A591" s="87" t="s">
        <v>4171</v>
      </c>
      <c r="B591" s="86" t="s">
        <v>4055</v>
      </c>
      <c r="C591" s="86">
        <v>4</v>
      </c>
      <c r="D591" s="115">
        <v>0.001795225948606833</v>
      </c>
      <c r="E591" s="115">
        <v>2.305470795951406</v>
      </c>
      <c r="F591" s="86" t="s">
        <v>3161</v>
      </c>
      <c r="G591" s="86" t="b">
        <v>0</v>
      </c>
      <c r="H591" s="86" t="b">
        <v>0</v>
      </c>
      <c r="I591" s="86" t="b">
        <v>0</v>
      </c>
      <c r="J591" s="86" t="b">
        <v>0</v>
      </c>
      <c r="K591" s="86" t="b">
        <v>0</v>
      </c>
      <c r="L591" s="86" t="b">
        <v>0</v>
      </c>
    </row>
    <row r="592" spans="1:12" ht="15">
      <c r="A592" s="87" t="s">
        <v>4055</v>
      </c>
      <c r="B592" s="86" t="s">
        <v>3356</v>
      </c>
      <c r="C592" s="86">
        <v>4</v>
      </c>
      <c r="D592" s="115">
        <v>0.001795225948606833</v>
      </c>
      <c r="E592" s="115">
        <v>0.8781470095941586</v>
      </c>
      <c r="F592" s="86" t="s">
        <v>3161</v>
      </c>
      <c r="G592" s="86" t="b">
        <v>0</v>
      </c>
      <c r="H592" s="86" t="b">
        <v>0</v>
      </c>
      <c r="I592" s="86" t="b">
        <v>0</v>
      </c>
      <c r="J592" s="86" t="b">
        <v>0</v>
      </c>
      <c r="K592" s="86" t="b">
        <v>0</v>
      </c>
      <c r="L592" s="86" t="b">
        <v>0</v>
      </c>
    </row>
    <row r="593" spans="1:12" ht="15">
      <c r="A593" s="87" t="s">
        <v>4048</v>
      </c>
      <c r="B593" s="86" t="s">
        <v>4145</v>
      </c>
      <c r="C593" s="86">
        <v>4</v>
      </c>
      <c r="D593" s="115">
        <v>0.001795225948606833</v>
      </c>
      <c r="E593" s="115">
        <v>2.145769953083894</v>
      </c>
      <c r="F593" s="86" t="s">
        <v>3161</v>
      </c>
      <c r="G593" s="86" t="b">
        <v>0</v>
      </c>
      <c r="H593" s="86" t="b">
        <v>0</v>
      </c>
      <c r="I593" s="86" t="b">
        <v>0</v>
      </c>
      <c r="J593" s="86" t="b">
        <v>0</v>
      </c>
      <c r="K593" s="86" t="b">
        <v>0</v>
      </c>
      <c r="L593" s="86" t="b">
        <v>0</v>
      </c>
    </row>
    <row r="594" spans="1:12" ht="15">
      <c r="A594" s="87" t="s">
        <v>3381</v>
      </c>
      <c r="B594" s="86" t="s">
        <v>3307</v>
      </c>
      <c r="C594" s="86">
        <v>4</v>
      </c>
      <c r="D594" s="115">
        <v>0.001795225948606833</v>
      </c>
      <c r="E594" s="115">
        <v>0.7144061889249066</v>
      </c>
      <c r="F594" s="86" t="s">
        <v>3161</v>
      </c>
      <c r="G594" s="86" t="b">
        <v>0</v>
      </c>
      <c r="H594" s="86" t="b">
        <v>0</v>
      </c>
      <c r="I594" s="86" t="b">
        <v>0</v>
      </c>
      <c r="J594" s="86" t="b">
        <v>0</v>
      </c>
      <c r="K594" s="86" t="b">
        <v>0</v>
      </c>
      <c r="L594" s="86" t="b">
        <v>0</v>
      </c>
    </row>
    <row r="595" spans="1:12" ht="15">
      <c r="A595" s="87" t="s">
        <v>4167</v>
      </c>
      <c r="B595" s="86" t="s">
        <v>4073</v>
      </c>
      <c r="C595" s="86">
        <v>3</v>
      </c>
      <c r="D595" s="115">
        <v>0.0014437490407397003</v>
      </c>
      <c r="E595" s="115">
        <v>2.435804564446412</v>
      </c>
      <c r="F595" s="86" t="s">
        <v>3161</v>
      </c>
      <c r="G595" s="86" t="b">
        <v>0</v>
      </c>
      <c r="H595" s="86" t="b">
        <v>0</v>
      </c>
      <c r="I595" s="86" t="b">
        <v>0</v>
      </c>
      <c r="J595" s="86" t="b">
        <v>0</v>
      </c>
      <c r="K595" s="86" t="b">
        <v>0</v>
      </c>
      <c r="L595" s="86" t="b">
        <v>0</v>
      </c>
    </row>
    <row r="596" spans="1:12" ht="15">
      <c r="A596" s="87" t="s">
        <v>4021</v>
      </c>
      <c r="B596" s="86" t="s">
        <v>4139</v>
      </c>
      <c r="C596" s="86">
        <v>3</v>
      </c>
      <c r="D596" s="115">
        <v>0.0014437490407397003</v>
      </c>
      <c r="E596" s="115">
        <v>1.695441874952168</v>
      </c>
      <c r="F596" s="86" t="s">
        <v>3161</v>
      </c>
      <c r="G596" s="86" t="b">
        <v>0</v>
      </c>
      <c r="H596" s="86" t="b">
        <v>1</v>
      </c>
      <c r="I596" s="86" t="b">
        <v>0</v>
      </c>
      <c r="J596" s="86" t="b">
        <v>0</v>
      </c>
      <c r="K596" s="86" t="b">
        <v>0</v>
      </c>
      <c r="L596" s="86" t="b">
        <v>0</v>
      </c>
    </row>
    <row r="597" spans="1:12" ht="15">
      <c r="A597" s="87" t="s">
        <v>4047</v>
      </c>
      <c r="B597" s="86" t="s">
        <v>3327</v>
      </c>
      <c r="C597" s="86">
        <v>3</v>
      </c>
      <c r="D597" s="115">
        <v>0.0014437490407397003</v>
      </c>
      <c r="E597" s="115">
        <v>0.9239212034675376</v>
      </c>
      <c r="F597" s="86" t="s">
        <v>3161</v>
      </c>
      <c r="G597" s="86" t="b">
        <v>0</v>
      </c>
      <c r="H597" s="86" t="b">
        <v>0</v>
      </c>
      <c r="I597" s="86" t="b">
        <v>0</v>
      </c>
      <c r="J597" s="86" t="b">
        <v>0</v>
      </c>
      <c r="K597" s="86" t="b">
        <v>0</v>
      </c>
      <c r="L597" s="86" t="b">
        <v>0</v>
      </c>
    </row>
    <row r="598" spans="1:12" ht="15">
      <c r="A598" s="87" t="s">
        <v>4020</v>
      </c>
      <c r="B598" s="86" t="s">
        <v>4062</v>
      </c>
      <c r="C598" s="86">
        <v>3</v>
      </c>
      <c r="D598" s="115">
        <v>0.0014437490407397003</v>
      </c>
      <c r="E598" s="115">
        <v>1.1715772166901794</v>
      </c>
      <c r="F598" s="86" t="s">
        <v>3161</v>
      </c>
      <c r="G598" s="86" t="b">
        <v>0</v>
      </c>
      <c r="H598" s="86" t="b">
        <v>1</v>
      </c>
      <c r="I598" s="86" t="b">
        <v>0</v>
      </c>
      <c r="J598" s="86" t="b">
        <v>0</v>
      </c>
      <c r="K598" s="86" t="b">
        <v>0</v>
      </c>
      <c r="L598" s="86" t="b">
        <v>0</v>
      </c>
    </row>
    <row r="599" spans="1:12" ht="15">
      <c r="A599" s="87" t="s">
        <v>4225</v>
      </c>
      <c r="B599" s="86" t="s">
        <v>4100</v>
      </c>
      <c r="C599" s="86">
        <v>3</v>
      </c>
      <c r="D599" s="115">
        <v>0.0014437490407397003</v>
      </c>
      <c r="E599" s="115">
        <v>2.9586833097267493</v>
      </c>
      <c r="F599" s="86" t="s">
        <v>3161</v>
      </c>
      <c r="G599" s="86" t="b">
        <v>0</v>
      </c>
      <c r="H599" s="86" t="b">
        <v>0</v>
      </c>
      <c r="I599" s="86" t="b">
        <v>0</v>
      </c>
      <c r="J599" s="86" t="b">
        <v>1</v>
      </c>
      <c r="K599" s="86" t="b">
        <v>0</v>
      </c>
      <c r="L599" s="86" t="b">
        <v>0</v>
      </c>
    </row>
    <row r="600" spans="1:12" ht="15">
      <c r="A600" s="87" t="s">
        <v>4084</v>
      </c>
      <c r="B600" s="86" t="s">
        <v>4226</v>
      </c>
      <c r="C600" s="86">
        <v>3</v>
      </c>
      <c r="D600" s="115">
        <v>0.0014437490407397003</v>
      </c>
      <c r="E600" s="115">
        <v>2.560743301054712</v>
      </c>
      <c r="F600" s="86" t="s">
        <v>3161</v>
      </c>
      <c r="G600" s="86" t="b">
        <v>0</v>
      </c>
      <c r="H600" s="86" t="b">
        <v>0</v>
      </c>
      <c r="I600" s="86" t="b">
        <v>0</v>
      </c>
      <c r="J600" s="86" t="b">
        <v>0</v>
      </c>
      <c r="K600" s="86" t="b">
        <v>0</v>
      </c>
      <c r="L600" s="86" t="b">
        <v>0</v>
      </c>
    </row>
    <row r="601" spans="1:12" ht="15">
      <c r="A601" s="87" t="s">
        <v>4226</v>
      </c>
      <c r="B601" s="86" t="s">
        <v>3368</v>
      </c>
      <c r="C601" s="86">
        <v>3</v>
      </c>
      <c r="D601" s="115">
        <v>0.0014437490407397003</v>
      </c>
      <c r="E601" s="115">
        <v>2.145769953083894</v>
      </c>
      <c r="F601" s="86" t="s">
        <v>3161</v>
      </c>
      <c r="G601" s="86" t="b">
        <v>0</v>
      </c>
      <c r="H601" s="86" t="b">
        <v>0</v>
      </c>
      <c r="I601" s="86" t="b">
        <v>0</v>
      </c>
      <c r="J601" s="86" t="b">
        <v>0</v>
      </c>
      <c r="K601" s="86" t="b">
        <v>0</v>
      </c>
      <c r="L601" s="86" t="b">
        <v>0</v>
      </c>
    </row>
    <row r="602" spans="1:12" ht="15">
      <c r="A602" s="87" t="s">
        <v>4203</v>
      </c>
      <c r="B602" s="86" t="s">
        <v>3361</v>
      </c>
      <c r="C602" s="86">
        <v>3</v>
      </c>
      <c r="D602" s="115">
        <v>0.0014437490407397003</v>
      </c>
      <c r="E602" s="115">
        <v>1.5381774731559705</v>
      </c>
      <c r="F602" s="86" t="s">
        <v>3161</v>
      </c>
      <c r="G602" s="86" t="b">
        <v>0</v>
      </c>
      <c r="H602" s="86" t="b">
        <v>0</v>
      </c>
      <c r="I602" s="86" t="b">
        <v>0</v>
      </c>
      <c r="J602" s="86" t="b">
        <v>0</v>
      </c>
      <c r="K602" s="86" t="b">
        <v>0</v>
      </c>
      <c r="L602" s="86" t="b">
        <v>0</v>
      </c>
    </row>
    <row r="603" spans="1:12" ht="15">
      <c r="A603" s="87" t="s">
        <v>4204</v>
      </c>
      <c r="B603" s="86" t="s">
        <v>4058</v>
      </c>
      <c r="C603" s="86">
        <v>3</v>
      </c>
      <c r="D603" s="115">
        <v>0.0014437490407397003</v>
      </c>
      <c r="E603" s="115">
        <v>2.321861212139575</v>
      </c>
      <c r="F603" s="86" t="s">
        <v>3161</v>
      </c>
      <c r="G603" s="86" t="b">
        <v>0</v>
      </c>
      <c r="H603" s="86" t="b">
        <v>0</v>
      </c>
      <c r="I603" s="86" t="b">
        <v>0</v>
      </c>
      <c r="J603" s="86" t="b">
        <v>0</v>
      </c>
      <c r="K603" s="86" t="b">
        <v>0</v>
      </c>
      <c r="L603" s="86" t="b">
        <v>0</v>
      </c>
    </row>
    <row r="604" spans="1:12" ht="15">
      <c r="A604" s="87" t="s">
        <v>4028</v>
      </c>
      <c r="B604" s="86" t="s">
        <v>4264</v>
      </c>
      <c r="C604" s="86">
        <v>3</v>
      </c>
      <c r="D604" s="115">
        <v>0.0014437490407397003</v>
      </c>
      <c r="E604" s="115">
        <v>1.9374940106568115</v>
      </c>
      <c r="F604" s="86" t="s">
        <v>3161</v>
      </c>
      <c r="G604" s="86" t="b">
        <v>0</v>
      </c>
      <c r="H604" s="86" t="b">
        <v>0</v>
      </c>
      <c r="I604" s="86" t="b">
        <v>0</v>
      </c>
      <c r="J604" s="86" t="b">
        <v>0</v>
      </c>
      <c r="K604" s="86" t="b">
        <v>0</v>
      </c>
      <c r="L604" s="86" t="b">
        <v>0</v>
      </c>
    </row>
    <row r="605" spans="1:12" ht="15">
      <c r="A605" s="87" t="s">
        <v>4051</v>
      </c>
      <c r="B605" s="86" t="s">
        <v>3356</v>
      </c>
      <c r="C605" s="86">
        <v>3</v>
      </c>
      <c r="D605" s="115">
        <v>0.0014437490407397003</v>
      </c>
      <c r="E605" s="115">
        <v>0.6660580972669584</v>
      </c>
      <c r="F605" s="86" t="s">
        <v>3161</v>
      </c>
      <c r="G605" s="86" t="b">
        <v>0</v>
      </c>
      <c r="H605" s="86" t="b">
        <v>0</v>
      </c>
      <c r="I605" s="86" t="b">
        <v>0</v>
      </c>
      <c r="J605" s="86" t="b">
        <v>0</v>
      </c>
      <c r="K605" s="86" t="b">
        <v>0</v>
      </c>
      <c r="L605" s="86" t="b">
        <v>0</v>
      </c>
    </row>
    <row r="606" spans="1:12" ht="15">
      <c r="A606" s="87" t="s">
        <v>4222</v>
      </c>
      <c r="B606" s="86" t="s">
        <v>3366</v>
      </c>
      <c r="C606" s="86">
        <v>3</v>
      </c>
      <c r="D606" s="115">
        <v>0.0014437490407397003</v>
      </c>
      <c r="E606" s="115">
        <v>2.2597133053907306</v>
      </c>
      <c r="F606" s="86" t="s">
        <v>3161</v>
      </c>
      <c r="G606" s="86" t="b">
        <v>0</v>
      </c>
      <c r="H606" s="86" t="b">
        <v>0</v>
      </c>
      <c r="I606" s="86" t="b">
        <v>0</v>
      </c>
      <c r="J606" s="86" t="b">
        <v>0</v>
      </c>
      <c r="K606" s="86" t="b">
        <v>0</v>
      </c>
      <c r="L606" s="86" t="b">
        <v>0</v>
      </c>
    </row>
    <row r="607" spans="1:12" ht="15">
      <c r="A607" s="87" t="s">
        <v>3360</v>
      </c>
      <c r="B607" s="86" t="s">
        <v>4150</v>
      </c>
      <c r="C607" s="86">
        <v>3</v>
      </c>
      <c r="D607" s="115">
        <v>0.0014437490407397003</v>
      </c>
      <c r="E607" s="115">
        <v>1.67425257588223</v>
      </c>
      <c r="F607" s="86" t="s">
        <v>3161</v>
      </c>
      <c r="G607" s="86" t="b">
        <v>0</v>
      </c>
      <c r="H607" s="86" t="b">
        <v>0</v>
      </c>
      <c r="I607" s="86" t="b">
        <v>0</v>
      </c>
      <c r="J607" s="86" t="b">
        <v>1</v>
      </c>
      <c r="K607" s="86" t="b">
        <v>0</v>
      </c>
      <c r="L607" s="86" t="b">
        <v>0</v>
      </c>
    </row>
    <row r="608" spans="1:12" ht="15">
      <c r="A608" s="87" t="s">
        <v>4150</v>
      </c>
      <c r="B608" s="86" t="s">
        <v>3356</v>
      </c>
      <c r="C608" s="86">
        <v>3</v>
      </c>
      <c r="D608" s="115">
        <v>0.0014437490407397003</v>
      </c>
      <c r="E608" s="115">
        <v>1.5313595233695023</v>
      </c>
      <c r="F608" s="86" t="s">
        <v>3161</v>
      </c>
      <c r="G608" s="86" t="b">
        <v>1</v>
      </c>
      <c r="H608" s="86" t="b">
        <v>0</v>
      </c>
      <c r="I608" s="86" t="b">
        <v>0</v>
      </c>
      <c r="J608" s="86" t="b">
        <v>0</v>
      </c>
      <c r="K608" s="86" t="b">
        <v>0</v>
      </c>
      <c r="L608" s="86" t="b">
        <v>0</v>
      </c>
    </row>
    <row r="609" spans="1:12" ht="15">
      <c r="A609" s="87" t="s">
        <v>4087</v>
      </c>
      <c r="B609" s="86" t="s">
        <v>3356</v>
      </c>
      <c r="C609" s="86">
        <v>3</v>
      </c>
      <c r="D609" s="115">
        <v>0.0014437490407397003</v>
      </c>
      <c r="E609" s="115">
        <v>1.230329527705521</v>
      </c>
      <c r="F609" s="86" t="s">
        <v>3161</v>
      </c>
      <c r="G609" s="86" t="b">
        <v>0</v>
      </c>
      <c r="H609" s="86" t="b">
        <v>0</v>
      </c>
      <c r="I609" s="86" t="b">
        <v>0</v>
      </c>
      <c r="J609" s="86" t="b">
        <v>0</v>
      </c>
      <c r="K609" s="86" t="b">
        <v>0</v>
      </c>
      <c r="L609" s="86" t="b">
        <v>0</v>
      </c>
    </row>
    <row r="610" spans="1:12" ht="15">
      <c r="A610" s="87" t="s">
        <v>3355</v>
      </c>
      <c r="B610" s="86" t="s">
        <v>3359</v>
      </c>
      <c r="C610" s="86">
        <v>3</v>
      </c>
      <c r="D610" s="115">
        <v>0.0014437490407397003</v>
      </c>
      <c r="E610" s="115">
        <v>0.8511906882746292</v>
      </c>
      <c r="F610" s="86" t="s">
        <v>3161</v>
      </c>
      <c r="G610" s="86" t="b">
        <v>0</v>
      </c>
      <c r="H610" s="86" t="b">
        <v>0</v>
      </c>
      <c r="I610" s="86" t="b">
        <v>0</v>
      </c>
      <c r="J610" s="86" t="b">
        <v>0</v>
      </c>
      <c r="K610" s="86" t="b">
        <v>0</v>
      </c>
      <c r="L610" s="86" t="b">
        <v>0</v>
      </c>
    </row>
    <row r="611" spans="1:12" ht="15">
      <c r="A611" s="87" t="s">
        <v>4263</v>
      </c>
      <c r="B611" s="86" t="s">
        <v>4094</v>
      </c>
      <c r="C611" s="86">
        <v>3</v>
      </c>
      <c r="D611" s="115">
        <v>0.0014437490407397003</v>
      </c>
      <c r="E611" s="115">
        <v>2.861773296718693</v>
      </c>
      <c r="F611" s="86" t="s">
        <v>3161</v>
      </c>
      <c r="G611" s="86" t="b">
        <v>0</v>
      </c>
      <c r="H611" s="86" t="b">
        <v>0</v>
      </c>
      <c r="I611" s="86" t="b">
        <v>0</v>
      </c>
      <c r="J611" s="86" t="b">
        <v>0</v>
      </c>
      <c r="K611" s="86" t="b">
        <v>0</v>
      </c>
      <c r="L611" s="86" t="b">
        <v>0</v>
      </c>
    </row>
    <row r="612" spans="1:12" ht="15">
      <c r="A612" s="87" t="s">
        <v>3359</v>
      </c>
      <c r="B612" s="86" t="s">
        <v>3368</v>
      </c>
      <c r="C612" s="86">
        <v>3</v>
      </c>
      <c r="D612" s="115">
        <v>0.0014437490407397003</v>
      </c>
      <c r="E612" s="115">
        <v>1.2249511991315187</v>
      </c>
      <c r="F612" s="86" t="s">
        <v>3161</v>
      </c>
      <c r="G612" s="86" t="b">
        <v>0</v>
      </c>
      <c r="H612" s="86" t="b">
        <v>0</v>
      </c>
      <c r="I612" s="86" t="b">
        <v>0</v>
      </c>
      <c r="J612" s="86" t="b">
        <v>0</v>
      </c>
      <c r="K612" s="86" t="b">
        <v>0</v>
      </c>
      <c r="L612" s="86" t="b">
        <v>0</v>
      </c>
    </row>
    <row r="613" spans="1:12" ht="15">
      <c r="A613" s="87" t="s">
        <v>3307</v>
      </c>
      <c r="B613" s="86" t="s">
        <v>4085</v>
      </c>
      <c r="C613" s="86">
        <v>3</v>
      </c>
      <c r="D613" s="115">
        <v>0.0014437490407397003</v>
      </c>
      <c r="E613" s="115">
        <v>1.1698081939513327</v>
      </c>
      <c r="F613" s="86" t="s">
        <v>3161</v>
      </c>
      <c r="G613" s="86" t="b">
        <v>0</v>
      </c>
      <c r="H613" s="86" t="b">
        <v>0</v>
      </c>
      <c r="I613" s="86" t="b">
        <v>0</v>
      </c>
      <c r="J613" s="86" t="b">
        <v>0</v>
      </c>
      <c r="K613" s="86" t="b">
        <v>0</v>
      </c>
      <c r="L613" s="86" t="b">
        <v>0</v>
      </c>
    </row>
    <row r="614" spans="1:12" ht="15">
      <c r="A614" s="87" t="s">
        <v>4085</v>
      </c>
      <c r="B614" s="86" t="s">
        <v>3361</v>
      </c>
      <c r="C614" s="86">
        <v>3</v>
      </c>
      <c r="D614" s="115">
        <v>0.0014437490407397003</v>
      </c>
      <c r="E614" s="115">
        <v>1.185994955044608</v>
      </c>
      <c r="F614" s="86" t="s">
        <v>3161</v>
      </c>
      <c r="G614" s="86" t="b">
        <v>0</v>
      </c>
      <c r="H614" s="86" t="b">
        <v>0</v>
      </c>
      <c r="I614" s="86" t="b">
        <v>0</v>
      </c>
      <c r="J614" s="86" t="b">
        <v>0</v>
      </c>
      <c r="K614" s="86" t="b">
        <v>0</v>
      </c>
      <c r="L614" s="86" t="b">
        <v>0</v>
      </c>
    </row>
    <row r="615" spans="1:12" ht="15">
      <c r="A615" s="87" t="s">
        <v>3361</v>
      </c>
      <c r="B615" s="86" t="s">
        <v>4143</v>
      </c>
      <c r="C615" s="86">
        <v>3</v>
      </c>
      <c r="D615" s="115">
        <v>0.0014437490407397003</v>
      </c>
      <c r="E615" s="115">
        <v>1.5381774731559705</v>
      </c>
      <c r="F615" s="86" t="s">
        <v>3161</v>
      </c>
      <c r="G615" s="86" t="b">
        <v>0</v>
      </c>
      <c r="H615" s="86" t="b">
        <v>0</v>
      </c>
      <c r="I615" s="86" t="b">
        <v>0</v>
      </c>
      <c r="J615" s="86" t="b">
        <v>0</v>
      </c>
      <c r="K615" s="86" t="b">
        <v>0</v>
      </c>
      <c r="L615" s="86" t="b">
        <v>0</v>
      </c>
    </row>
    <row r="616" spans="1:12" ht="15">
      <c r="A616" s="87" t="s">
        <v>4143</v>
      </c>
      <c r="B616" s="86" t="s">
        <v>4081</v>
      </c>
      <c r="C616" s="86">
        <v>3</v>
      </c>
      <c r="D616" s="115">
        <v>0.0014437490407397003</v>
      </c>
      <c r="E616" s="115">
        <v>2.736834560110393</v>
      </c>
      <c r="F616" s="86" t="s">
        <v>3161</v>
      </c>
      <c r="G616" s="86" t="b">
        <v>0</v>
      </c>
      <c r="H616" s="86" t="b">
        <v>0</v>
      </c>
      <c r="I616" s="86" t="b">
        <v>0</v>
      </c>
      <c r="J616" s="86" t="b">
        <v>1</v>
      </c>
      <c r="K616" s="86" t="b">
        <v>0</v>
      </c>
      <c r="L616" s="86" t="b">
        <v>0</v>
      </c>
    </row>
    <row r="617" spans="1:12" ht="15">
      <c r="A617" s="87" t="s">
        <v>4081</v>
      </c>
      <c r="B617" s="86" t="s">
        <v>4114</v>
      </c>
      <c r="C617" s="86">
        <v>3</v>
      </c>
      <c r="D617" s="115">
        <v>0.0014437490407397003</v>
      </c>
      <c r="E617" s="115">
        <v>2.736834560110393</v>
      </c>
      <c r="F617" s="86" t="s">
        <v>3161</v>
      </c>
      <c r="G617" s="86" t="b">
        <v>1</v>
      </c>
      <c r="H617" s="86" t="b">
        <v>0</v>
      </c>
      <c r="I617" s="86" t="b">
        <v>0</v>
      </c>
      <c r="J617" s="86" t="b">
        <v>0</v>
      </c>
      <c r="K617" s="86" t="b">
        <v>0</v>
      </c>
      <c r="L617" s="86" t="b">
        <v>0</v>
      </c>
    </row>
    <row r="618" spans="1:12" ht="15">
      <c r="A618" s="87" t="s">
        <v>4114</v>
      </c>
      <c r="B618" s="86" t="s">
        <v>4057</v>
      </c>
      <c r="C618" s="86">
        <v>3</v>
      </c>
      <c r="D618" s="115">
        <v>0.0014437490407397003</v>
      </c>
      <c r="E618" s="115">
        <v>2.1927665157601175</v>
      </c>
      <c r="F618" s="86" t="s">
        <v>3161</v>
      </c>
      <c r="G618" s="86" t="b">
        <v>0</v>
      </c>
      <c r="H618" s="86" t="b">
        <v>0</v>
      </c>
      <c r="I618" s="86" t="b">
        <v>0</v>
      </c>
      <c r="J618" s="86" t="b">
        <v>0</v>
      </c>
      <c r="K618" s="86" t="b">
        <v>0</v>
      </c>
      <c r="L618" s="86" t="b">
        <v>0</v>
      </c>
    </row>
    <row r="619" spans="1:12" ht="15">
      <c r="A619" s="87" t="s">
        <v>4057</v>
      </c>
      <c r="B619" s="86" t="s">
        <v>4208</v>
      </c>
      <c r="C619" s="86">
        <v>3</v>
      </c>
      <c r="D619" s="115">
        <v>0.0014437490407397003</v>
      </c>
      <c r="E619" s="115">
        <v>2.414615265376474</v>
      </c>
      <c r="F619" s="86" t="s">
        <v>3161</v>
      </c>
      <c r="G619" s="86" t="b">
        <v>0</v>
      </c>
      <c r="H619" s="86" t="b">
        <v>0</v>
      </c>
      <c r="I619" s="86" t="b">
        <v>0</v>
      </c>
      <c r="J619" s="86" t="b">
        <v>0</v>
      </c>
      <c r="K619" s="86" t="b">
        <v>0</v>
      </c>
      <c r="L619" s="86" t="b">
        <v>0</v>
      </c>
    </row>
    <row r="620" spans="1:12" ht="15">
      <c r="A620" s="87" t="s">
        <v>4208</v>
      </c>
      <c r="B620" s="86" t="s">
        <v>4075</v>
      </c>
      <c r="C620" s="86">
        <v>3</v>
      </c>
      <c r="D620" s="115">
        <v>0.0014437490407397003</v>
      </c>
      <c r="E620" s="115">
        <v>2.4467999487478753</v>
      </c>
      <c r="F620" s="86" t="s">
        <v>3161</v>
      </c>
      <c r="G620" s="86" t="b">
        <v>0</v>
      </c>
      <c r="H620" s="86" t="b">
        <v>0</v>
      </c>
      <c r="I620" s="86" t="b">
        <v>0</v>
      </c>
      <c r="J620" s="86" t="b">
        <v>0</v>
      </c>
      <c r="K620" s="86" t="b">
        <v>0</v>
      </c>
      <c r="L620" s="86" t="b">
        <v>0</v>
      </c>
    </row>
    <row r="621" spans="1:12" ht="15">
      <c r="A621" s="87" t="s">
        <v>4221</v>
      </c>
      <c r="B621" s="86" t="s">
        <v>3370</v>
      </c>
      <c r="C621" s="86">
        <v>3</v>
      </c>
      <c r="D621" s="115">
        <v>0.0014437490407397003</v>
      </c>
      <c r="E621" s="115">
        <v>3.0836220463350497</v>
      </c>
      <c r="F621" s="86" t="s">
        <v>3161</v>
      </c>
      <c r="G621" s="86" t="b">
        <v>0</v>
      </c>
      <c r="H621" s="86" t="b">
        <v>0</v>
      </c>
      <c r="I621" s="86" t="b">
        <v>0</v>
      </c>
      <c r="J621" s="86" t="b">
        <v>0</v>
      </c>
      <c r="K621" s="86" t="b">
        <v>0</v>
      </c>
      <c r="L621" s="86" t="b">
        <v>0</v>
      </c>
    </row>
    <row r="622" spans="1:12" ht="15">
      <c r="A622" s="87" t="s">
        <v>3386</v>
      </c>
      <c r="B622" s="86" t="s">
        <v>3357</v>
      </c>
      <c r="C622" s="86">
        <v>3</v>
      </c>
      <c r="D622" s="115">
        <v>0.0014437490407397003</v>
      </c>
      <c r="E622" s="115">
        <v>1.652258282176062</v>
      </c>
      <c r="F622" s="86" t="s">
        <v>3161</v>
      </c>
      <c r="G622" s="86" t="b">
        <v>0</v>
      </c>
      <c r="H622" s="86" t="b">
        <v>0</v>
      </c>
      <c r="I622" s="86" t="b">
        <v>0</v>
      </c>
      <c r="J622" s="86" t="b">
        <v>0</v>
      </c>
      <c r="K622" s="86" t="b">
        <v>0</v>
      </c>
      <c r="L622" s="86" t="b">
        <v>0</v>
      </c>
    </row>
    <row r="623" spans="1:12" ht="15">
      <c r="A623" s="87" t="s">
        <v>4149</v>
      </c>
      <c r="B623" s="86" t="s">
        <v>4098</v>
      </c>
      <c r="C623" s="86">
        <v>3</v>
      </c>
      <c r="D623" s="115">
        <v>0.0014437490407397003</v>
      </c>
      <c r="E623" s="115">
        <v>2.7825920506710684</v>
      </c>
      <c r="F623" s="86" t="s">
        <v>3161</v>
      </c>
      <c r="G623" s="86" t="b">
        <v>0</v>
      </c>
      <c r="H623" s="86" t="b">
        <v>0</v>
      </c>
      <c r="I623" s="86" t="b">
        <v>0</v>
      </c>
      <c r="J623" s="86" t="b">
        <v>0</v>
      </c>
      <c r="K623" s="86" t="b">
        <v>0</v>
      </c>
      <c r="L623" s="86" t="b">
        <v>0</v>
      </c>
    </row>
    <row r="624" spans="1:12" ht="15">
      <c r="A624" s="87" t="s">
        <v>4098</v>
      </c>
      <c r="B624" s="86" t="s">
        <v>4077</v>
      </c>
      <c r="C624" s="86">
        <v>3</v>
      </c>
      <c r="D624" s="115">
        <v>0.0014437490407397003</v>
      </c>
      <c r="E624" s="115">
        <v>2.305470795951406</v>
      </c>
      <c r="F624" s="86" t="s">
        <v>3161</v>
      </c>
      <c r="G624" s="86" t="b">
        <v>0</v>
      </c>
      <c r="H624" s="86" t="b">
        <v>0</v>
      </c>
      <c r="I624" s="86" t="b">
        <v>0</v>
      </c>
      <c r="J624" s="86" t="b">
        <v>0</v>
      </c>
      <c r="K624" s="86" t="b">
        <v>0</v>
      </c>
      <c r="L624" s="86" t="b">
        <v>0</v>
      </c>
    </row>
    <row r="625" spans="1:12" ht="15">
      <c r="A625" s="87" t="s">
        <v>4145</v>
      </c>
      <c r="B625" s="86" t="s">
        <v>3327</v>
      </c>
      <c r="C625" s="86">
        <v>3</v>
      </c>
      <c r="D625" s="115">
        <v>0.0014437490407397003</v>
      </c>
      <c r="E625" s="115">
        <v>1.6228912078035562</v>
      </c>
      <c r="F625" s="86" t="s">
        <v>3161</v>
      </c>
      <c r="G625" s="86" t="b">
        <v>0</v>
      </c>
      <c r="H625" s="86" t="b">
        <v>0</v>
      </c>
      <c r="I625" s="86" t="b">
        <v>0</v>
      </c>
      <c r="J625" s="86" t="b">
        <v>0</v>
      </c>
      <c r="K625" s="86" t="b">
        <v>0</v>
      </c>
      <c r="L625" s="86" t="b">
        <v>0</v>
      </c>
    </row>
    <row r="626" spans="1:12" ht="15">
      <c r="A626" s="87" t="s">
        <v>4020</v>
      </c>
      <c r="B626" s="86" t="s">
        <v>4054</v>
      </c>
      <c r="C626" s="86">
        <v>3</v>
      </c>
      <c r="D626" s="115">
        <v>0.0014437490407397003</v>
      </c>
      <c r="E626" s="115">
        <v>1.1715772166901794</v>
      </c>
      <c r="F626" s="86" t="s">
        <v>3161</v>
      </c>
      <c r="G626" s="86" t="b">
        <v>0</v>
      </c>
      <c r="H626" s="86" t="b">
        <v>1</v>
      </c>
      <c r="I626" s="86" t="b">
        <v>0</v>
      </c>
      <c r="J626" s="86" t="b">
        <v>0</v>
      </c>
      <c r="K626" s="86" t="b">
        <v>0</v>
      </c>
      <c r="L626" s="86" t="b">
        <v>0</v>
      </c>
    </row>
    <row r="627" spans="1:12" ht="15">
      <c r="A627" s="87" t="s">
        <v>4054</v>
      </c>
      <c r="B627" s="86" t="s">
        <v>4050</v>
      </c>
      <c r="C627" s="86">
        <v>3</v>
      </c>
      <c r="D627" s="115">
        <v>0.0014437490407397003</v>
      </c>
      <c r="E627" s="115">
        <v>1.3676187027002502</v>
      </c>
      <c r="F627" s="86" t="s">
        <v>3161</v>
      </c>
      <c r="G627" s="86" t="b">
        <v>0</v>
      </c>
      <c r="H627" s="86" t="b">
        <v>0</v>
      </c>
      <c r="I627" s="86" t="b">
        <v>0</v>
      </c>
      <c r="J627" s="86" t="b">
        <v>0</v>
      </c>
      <c r="K627" s="86" t="b">
        <v>0</v>
      </c>
      <c r="L627" s="86" t="b">
        <v>0</v>
      </c>
    </row>
    <row r="628" spans="1:12" ht="15">
      <c r="A628" s="87" t="s">
        <v>3355</v>
      </c>
      <c r="B628" s="86" t="s">
        <v>4051</v>
      </c>
      <c r="C628" s="86">
        <v>3</v>
      </c>
      <c r="D628" s="115">
        <v>0.0014437490407397003</v>
      </c>
      <c r="E628" s="115">
        <v>0.9333774444619792</v>
      </c>
      <c r="F628" s="86" t="s">
        <v>3161</v>
      </c>
      <c r="G628" s="86" t="b">
        <v>0</v>
      </c>
      <c r="H628" s="86" t="b">
        <v>0</v>
      </c>
      <c r="I628" s="86" t="b">
        <v>0</v>
      </c>
      <c r="J628" s="86" t="b">
        <v>0</v>
      </c>
      <c r="K628" s="86" t="b">
        <v>0</v>
      </c>
      <c r="L628" s="86" t="b">
        <v>0</v>
      </c>
    </row>
    <row r="629" spans="1:12" ht="15">
      <c r="A629" s="87" t="s">
        <v>4020</v>
      </c>
      <c r="B629" s="86" t="s">
        <v>4050</v>
      </c>
      <c r="C629" s="86">
        <v>3</v>
      </c>
      <c r="D629" s="115">
        <v>0.0014437490407397003</v>
      </c>
      <c r="E629" s="115">
        <v>0.9326951277750427</v>
      </c>
      <c r="F629" s="86" t="s">
        <v>3161</v>
      </c>
      <c r="G629" s="86" t="b">
        <v>0</v>
      </c>
      <c r="H629" s="86" t="b">
        <v>1</v>
      </c>
      <c r="I629" s="86" t="b">
        <v>0</v>
      </c>
      <c r="J629" s="86" t="b">
        <v>0</v>
      </c>
      <c r="K629" s="86" t="b">
        <v>0</v>
      </c>
      <c r="L629" s="86" t="b">
        <v>0</v>
      </c>
    </row>
    <row r="630" spans="1:12" ht="15">
      <c r="A630" s="87" t="s">
        <v>3307</v>
      </c>
      <c r="B630" s="86" t="s">
        <v>4057</v>
      </c>
      <c r="C630" s="86">
        <v>3</v>
      </c>
      <c r="D630" s="115">
        <v>0.0014437490407397003</v>
      </c>
      <c r="E630" s="115">
        <v>0.9779226677124195</v>
      </c>
      <c r="F630" s="86" t="s">
        <v>3161</v>
      </c>
      <c r="G630" s="86" t="b">
        <v>0</v>
      </c>
      <c r="H630" s="86" t="b">
        <v>0</v>
      </c>
      <c r="I630" s="86" t="b">
        <v>0</v>
      </c>
      <c r="J630" s="86" t="b">
        <v>0</v>
      </c>
      <c r="K630" s="86" t="b">
        <v>0</v>
      </c>
      <c r="L630" s="86" t="b">
        <v>0</v>
      </c>
    </row>
    <row r="631" spans="1:12" ht="15">
      <c r="A631" s="87" t="s">
        <v>3355</v>
      </c>
      <c r="B631" s="86" t="s">
        <v>3367</v>
      </c>
      <c r="C631" s="86">
        <v>3</v>
      </c>
      <c r="D631" s="115">
        <v>0.0014437490407397003</v>
      </c>
      <c r="E631" s="115">
        <v>1.6146186818375665</v>
      </c>
      <c r="F631" s="86" t="s">
        <v>3161</v>
      </c>
      <c r="G631" s="86" t="b">
        <v>0</v>
      </c>
      <c r="H631" s="86" t="b">
        <v>0</v>
      </c>
      <c r="I631" s="86" t="b">
        <v>0</v>
      </c>
      <c r="J631" s="86" t="b">
        <v>0</v>
      </c>
      <c r="K631" s="86" t="b">
        <v>0</v>
      </c>
      <c r="L631" s="86" t="b">
        <v>0</v>
      </c>
    </row>
    <row r="632" spans="1:12" ht="15">
      <c r="A632" s="87" t="s">
        <v>4153</v>
      </c>
      <c r="B632" s="86" t="s">
        <v>4072</v>
      </c>
      <c r="C632" s="86">
        <v>3</v>
      </c>
      <c r="D632" s="115">
        <v>0.0014437490407397003</v>
      </c>
      <c r="E632" s="115">
        <v>2.481562055007087</v>
      </c>
      <c r="F632" s="86" t="s">
        <v>3161</v>
      </c>
      <c r="G632" s="86" t="b">
        <v>0</v>
      </c>
      <c r="H632" s="86" t="b">
        <v>0</v>
      </c>
      <c r="I632" s="86" t="b">
        <v>0</v>
      </c>
      <c r="J632" s="86" t="b">
        <v>0</v>
      </c>
      <c r="K632" s="86" t="b">
        <v>0</v>
      </c>
      <c r="L632" s="86" t="b">
        <v>0</v>
      </c>
    </row>
    <row r="633" spans="1:12" ht="15">
      <c r="A633" s="87" t="s">
        <v>4041</v>
      </c>
      <c r="B633" s="86" t="s">
        <v>3355</v>
      </c>
      <c r="C633" s="86">
        <v>3</v>
      </c>
      <c r="D633" s="115">
        <v>0.0014437490407397003</v>
      </c>
      <c r="E633" s="115">
        <v>0.4304095325597058</v>
      </c>
      <c r="F633" s="86" t="s">
        <v>3161</v>
      </c>
      <c r="G633" s="86" t="b">
        <v>0</v>
      </c>
      <c r="H633" s="86" t="b">
        <v>0</v>
      </c>
      <c r="I633" s="86" t="b">
        <v>0</v>
      </c>
      <c r="J633" s="86" t="b">
        <v>0</v>
      </c>
      <c r="K633" s="86" t="b">
        <v>0</v>
      </c>
      <c r="L633" s="86" t="b">
        <v>0</v>
      </c>
    </row>
    <row r="634" spans="1:12" ht="15">
      <c r="A634" s="87" t="s">
        <v>4020</v>
      </c>
      <c r="B634" s="86" t="s">
        <v>4061</v>
      </c>
      <c r="C634" s="86">
        <v>2</v>
      </c>
      <c r="D634" s="115">
        <v>0.0010539515853987067</v>
      </c>
      <c r="E634" s="115">
        <v>0.9411282953119056</v>
      </c>
      <c r="F634" s="86" t="s">
        <v>3161</v>
      </c>
      <c r="G634" s="86" t="b">
        <v>0</v>
      </c>
      <c r="H634" s="86" t="b">
        <v>1</v>
      </c>
      <c r="I634" s="86" t="b">
        <v>0</v>
      </c>
      <c r="J634" s="86" t="b">
        <v>0</v>
      </c>
      <c r="K634" s="86" t="b">
        <v>1</v>
      </c>
      <c r="L634" s="86" t="b">
        <v>0</v>
      </c>
    </row>
    <row r="635" spans="1:12" ht="15">
      <c r="A635" s="87" t="s">
        <v>4061</v>
      </c>
      <c r="B635" s="86" t="s">
        <v>4197</v>
      </c>
      <c r="C635" s="86">
        <v>2</v>
      </c>
      <c r="D635" s="115">
        <v>0.0010539515853987067</v>
      </c>
      <c r="E635" s="115">
        <v>2.330294379676438</v>
      </c>
      <c r="F635" s="86" t="s">
        <v>3161</v>
      </c>
      <c r="G635" s="86" t="b">
        <v>0</v>
      </c>
      <c r="H635" s="86" t="b">
        <v>1</v>
      </c>
      <c r="I635" s="86" t="b">
        <v>0</v>
      </c>
      <c r="J635" s="86" t="b">
        <v>0</v>
      </c>
      <c r="K635" s="86" t="b">
        <v>0</v>
      </c>
      <c r="L635" s="86" t="b">
        <v>0</v>
      </c>
    </row>
    <row r="636" spans="1:12" ht="15">
      <c r="A636" s="87" t="s">
        <v>4197</v>
      </c>
      <c r="B636" s="86" t="s">
        <v>4176</v>
      </c>
      <c r="C636" s="86">
        <v>2</v>
      </c>
      <c r="D636" s="115">
        <v>0.0010539515853987067</v>
      </c>
      <c r="E636" s="115">
        <v>2.6856820376630117</v>
      </c>
      <c r="F636" s="86" t="s">
        <v>3161</v>
      </c>
      <c r="G636" s="86" t="b">
        <v>0</v>
      </c>
      <c r="H636" s="86" t="b">
        <v>0</v>
      </c>
      <c r="I636" s="86" t="b">
        <v>0</v>
      </c>
      <c r="J636" s="86" t="b">
        <v>0</v>
      </c>
      <c r="K636" s="86" t="b">
        <v>0</v>
      </c>
      <c r="L636" s="86" t="b">
        <v>0</v>
      </c>
    </row>
    <row r="637" spans="1:12" ht="15">
      <c r="A637" s="87" t="s">
        <v>4176</v>
      </c>
      <c r="B637" s="86" t="s">
        <v>4117</v>
      </c>
      <c r="C637" s="86">
        <v>2</v>
      </c>
      <c r="D637" s="115">
        <v>0.0010539515853987067</v>
      </c>
      <c r="E637" s="115">
        <v>2.4638332880466556</v>
      </c>
      <c r="F637" s="86" t="s">
        <v>3161</v>
      </c>
      <c r="G637" s="86" t="b">
        <v>0</v>
      </c>
      <c r="H637" s="86" t="b">
        <v>0</v>
      </c>
      <c r="I637" s="86" t="b">
        <v>0</v>
      </c>
      <c r="J637" s="86" t="b">
        <v>0</v>
      </c>
      <c r="K637" s="86" t="b">
        <v>0</v>
      </c>
      <c r="L637" s="86" t="b">
        <v>0</v>
      </c>
    </row>
    <row r="638" spans="1:12" ht="15">
      <c r="A638" s="87" t="s">
        <v>4086</v>
      </c>
      <c r="B638" s="86" t="s">
        <v>4174</v>
      </c>
      <c r="C638" s="86">
        <v>2</v>
      </c>
      <c r="D638" s="115">
        <v>0.0010539515853987067</v>
      </c>
      <c r="E638" s="115">
        <v>2.414615265376474</v>
      </c>
      <c r="F638" s="86" t="s">
        <v>3161</v>
      </c>
      <c r="G638" s="86" t="b">
        <v>0</v>
      </c>
      <c r="H638" s="86" t="b">
        <v>0</v>
      </c>
      <c r="I638" s="86" t="b">
        <v>0</v>
      </c>
      <c r="J638" s="86" t="b">
        <v>0</v>
      </c>
      <c r="K638" s="86" t="b">
        <v>0</v>
      </c>
      <c r="L638" s="86" t="b">
        <v>0</v>
      </c>
    </row>
    <row r="639" spans="1:12" ht="15">
      <c r="A639" s="87" t="s">
        <v>4021</v>
      </c>
      <c r="B639" s="86" t="s">
        <v>4240</v>
      </c>
      <c r="C639" s="86">
        <v>2</v>
      </c>
      <c r="D639" s="115">
        <v>0.0010539515853987067</v>
      </c>
      <c r="E639" s="115">
        <v>1.8203806115604682</v>
      </c>
      <c r="F639" s="86" t="s">
        <v>3161</v>
      </c>
      <c r="G639" s="86" t="b">
        <v>0</v>
      </c>
      <c r="H639" s="86" t="b">
        <v>1</v>
      </c>
      <c r="I639" s="86" t="b">
        <v>0</v>
      </c>
      <c r="J639" s="86" t="b">
        <v>0</v>
      </c>
      <c r="K639" s="86" t="b">
        <v>0</v>
      </c>
      <c r="L639" s="86" t="b">
        <v>0</v>
      </c>
    </row>
    <row r="640" spans="1:12" ht="15">
      <c r="A640" s="87" t="s">
        <v>4240</v>
      </c>
      <c r="B640" s="86" t="s">
        <v>3361</v>
      </c>
      <c r="C640" s="86">
        <v>2</v>
      </c>
      <c r="D640" s="115">
        <v>0.0010539515853987067</v>
      </c>
      <c r="E640" s="115">
        <v>1.6631162097642704</v>
      </c>
      <c r="F640" s="86" t="s">
        <v>3161</v>
      </c>
      <c r="G640" s="86" t="b">
        <v>0</v>
      </c>
      <c r="H640" s="86" t="b">
        <v>0</v>
      </c>
      <c r="I640" s="86" t="b">
        <v>0</v>
      </c>
      <c r="J640" s="86" t="b">
        <v>0</v>
      </c>
      <c r="K640" s="86" t="b">
        <v>0</v>
      </c>
      <c r="L640" s="86" t="b">
        <v>0</v>
      </c>
    </row>
    <row r="641" spans="1:12" ht="15">
      <c r="A641" s="87" t="s">
        <v>3364</v>
      </c>
      <c r="B641" s="86" t="s">
        <v>4423</v>
      </c>
      <c r="C641" s="86">
        <v>2</v>
      </c>
      <c r="D641" s="115">
        <v>0.0010539515853987067</v>
      </c>
      <c r="E641" s="115">
        <v>1.775413466043945</v>
      </c>
      <c r="F641" s="86" t="s">
        <v>3161</v>
      </c>
      <c r="G641" s="86" t="b">
        <v>0</v>
      </c>
      <c r="H641" s="86" t="b">
        <v>0</v>
      </c>
      <c r="I641" s="86" t="b">
        <v>0</v>
      </c>
      <c r="J641" s="86" t="b">
        <v>0</v>
      </c>
      <c r="K641" s="86" t="b">
        <v>0</v>
      </c>
      <c r="L641" s="86" t="b">
        <v>0</v>
      </c>
    </row>
    <row r="642" spans="1:12" ht="15">
      <c r="A642" s="87" t="s">
        <v>4423</v>
      </c>
      <c r="B642" s="86" t="s">
        <v>4021</v>
      </c>
      <c r="C642" s="86">
        <v>2</v>
      </c>
      <c r="D642" s="115">
        <v>0.0010539515853987067</v>
      </c>
      <c r="E642" s="115">
        <v>1.8203806115604682</v>
      </c>
      <c r="F642" s="86" t="s">
        <v>3161</v>
      </c>
      <c r="G642" s="86" t="b">
        <v>0</v>
      </c>
      <c r="H642" s="86" t="b">
        <v>0</v>
      </c>
      <c r="I642" s="86" t="b">
        <v>0</v>
      </c>
      <c r="J642" s="86" t="b">
        <v>0</v>
      </c>
      <c r="K642" s="86" t="b">
        <v>1</v>
      </c>
      <c r="L642" s="86" t="b">
        <v>0</v>
      </c>
    </row>
    <row r="643" spans="1:12" ht="15">
      <c r="A643" s="87" t="s">
        <v>4064</v>
      </c>
      <c r="B643" s="86" t="s">
        <v>3307</v>
      </c>
      <c r="C643" s="86">
        <v>2</v>
      </c>
      <c r="D643" s="115">
        <v>0.0010539515853987067</v>
      </c>
      <c r="E643" s="115">
        <v>0.7655587113722879</v>
      </c>
      <c r="F643" s="86" t="s">
        <v>3161</v>
      </c>
      <c r="G643" s="86" t="b">
        <v>0</v>
      </c>
      <c r="H643" s="86" t="b">
        <v>1</v>
      </c>
      <c r="I643" s="86" t="b">
        <v>0</v>
      </c>
      <c r="J643" s="86" t="b">
        <v>0</v>
      </c>
      <c r="K643" s="86" t="b">
        <v>0</v>
      </c>
      <c r="L643" s="86" t="b">
        <v>0</v>
      </c>
    </row>
    <row r="644" spans="1:12" ht="15">
      <c r="A644" s="87" t="s">
        <v>3357</v>
      </c>
      <c r="B644" s="86" t="s">
        <v>3355</v>
      </c>
      <c r="C644" s="86">
        <v>2</v>
      </c>
      <c r="D644" s="115">
        <v>0.0010539515853987067</v>
      </c>
      <c r="E644" s="115">
        <v>-0.1655763110560633</v>
      </c>
      <c r="F644" s="86" t="s">
        <v>3161</v>
      </c>
      <c r="G644" s="86" t="b">
        <v>0</v>
      </c>
      <c r="H644" s="86" t="b">
        <v>0</v>
      </c>
      <c r="I644" s="86" t="b">
        <v>0</v>
      </c>
      <c r="J644" s="86" t="b">
        <v>0</v>
      </c>
      <c r="K644" s="86" t="b">
        <v>0</v>
      </c>
      <c r="L644" s="86" t="b">
        <v>0</v>
      </c>
    </row>
    <row r="645" spans="1:12" ht="15">
      <c r="A645" s="87" t="s">
        <v>3359</v>
      </c>
      <c r="B645" s="86" t="s">
        <v>4190</v>
      </c>
      <c r="C645" s="86">
        <v>2</v>
      </c>
      <c r="D645" s="115">
        <v>0.0010539515853987067</v>
      </c>
      <c r="E645" s="115">
        <v>1.9867120333269932</v>
      </c>
      <c r="F645" s="86" t="s">
        <v>3161</v>
      </c>
      <c r="G645" s="86" t="b">
        <v>0</v>
      </c>
      <c r="H645" s="86" t="b">
        <v>0</v>
      </c>
      <c r="I645" s="86" t="b">
        <v>0</v>
      </c>
      <c r="J645" s="86" t="b">
        <v>0</v>
      </c>
      <c r="K645" s="86" t="b">
        <v>0</v>
      </c>
      <c r="L645" s="86" t="b">
        <v>0</v>
      </c>
    </row>
    <row r="646" spans="1:12" ht="15">
      <c r="A646" s="87" t="s">
        <v>4190</v>
      </c>
      <c r="B646" s="86" t="s">
        <v>4229</v>
      </c>
      <c r="C646" s="86">
        <v>2</v>
      </c>
      <c r="D646" s="115">
        <v>0.0010539515853987067</v>
      </c>
      <c r="E646" s="115">
        <v>3.0836220463350497</v>
      </c>
      <c r="F646" s="86" t="s">
        <v>3161</v>
      </c>
      <c r="G646" s="86" t="b">
        <v>0</v>
      </c>
      <c r="H646" s="86" t="b">
        <v>0</v>
      </c>
      <c r="I646" s="86" t="b">
        <v>0</v>
      </c>
      <c r="J646" s="86" t="b">
        <v>0</v>
      </c>
      <c r="K646" s="86" t="b">
        <v>0</v>
      </c>
      <c r="L646" s="86" t="b">
        <v>0</v>
      </c>
    </row>
    <row r="647" spans="1:12" ht="15">
      <c r="A647" s="87" t="s">
        <v>3358</v>
      </c>
      <c r="B647" s="86" t="s">
        <v>3356</v>
      </c>
      <c r="C647" s="86">
        <v>2</v>
      </c>
      <c r="D647" s="115">
        <v>0.0010539515853987067</v>
      </c>
      <c r="E647" s="115">
        <v>-0.14533408625536426</v>
      </c>
      <c r="F647" s="86" t="s">
        <v>3161</v>
      </c>
      <c r="G647" s="86" t="b">
        <v>0</v>
      </c>
      <c r="H647" s="86" t="b">
        <v>0</v>
      </c>
      <c r="I647" s="86" t="b">
        <v>0</v>
      </c>
      <c r="J647" s="86" t="b">
        <v>0</v>
      </c>
      <c r="K647" s="86" t="b">
        <v>0</v>
      </c>
      <c r="L647" s="86" t="b">
        <v>0</v>
      </c>
    </row>
    <row r="648" spans="1:12" ht="15">
      <c r="A648" s="87" t="s">
        <v>4041</v>
      </c>
      <c r="B648" s="86" t="s">
        <v>4084</v>
      </c>
      <c r="C648" s="86">
        <v>2</v>
      </c>
      <c r="D648" s="115">
        <v>0.0010539515853987067</v>
      </c>
      <c r="E648" s="115">
        <v>1.430409532559706</v>
      </c>
      <c r="F648" s="86" t="s">
        <v>3161</v>
      </c>
      <c r="G648" s="86" t="b">
        <v>0</v>
      </c>
      <c r="H648" s="86" t="b">
        <v>0</v>
      </c>
      <c r="I648" s="86" t="b">
        <v>0</v>
      </c>
      <c r="J648" s="86" t="b">
        <v>0</v>
      </c>
      <c r="K648" s="86" t="b">
        <v>0</v>
      </c>
      <c r="L648" s="86" t="b">
        <v>0</v>
      </c>
    </row>
    <row r="649" spans="1:12" ht="15">
      <c r="A649" s="87" t="s">
        <v>4264</v>
      </c>
      <c r="B649" s="86" t="s">
        <v>3318</v>
      </c>
      <c r="C649" s="86">
        <v>2</v>
      </c>
      <c r="D649" s="115">
        <v>0.0010539515853987067</v>
      </c>
      <c r="E649" s="115">
        <v>2.481562055007087</v>
      </c>
      <c r="F649" s="86" t="s">
        <v>3161</v>
      </c>
      <c r="G649" s="86" t="b">
        <v>0</v>
      </c>
      <c r="H649" s="86" t="b">
        <v>0</v>
      </c>
      <c r="I649" s="86" t="b">
        <v>0</v>
      </c>
      <c r="J649" s="86" t="b">
        <v>0</v>
      </c>
      <c r="K649" s="86" t="b">
        <v>0</v>
      </c>
      <c r="L649" s="86" t="b">
        <v>0</v>
      </c>
    </row>
    <row r="650" spans="1:12" ht="15">
      <c r="A650" s="87" t="s">
        <v>3318</v>
      </c>
      <c r="B650" s="86" t="s">
        <v>4050</v>
      </c>
      <c r="C650" s="86">
        <v>2</v>
      </c>
      <c r="D650" s="115">
        <v>0.0010539515853987067</v>
      </c>
      <c r="E650" s="115">
        <v>1.5437099617559316</v>
      </c>
      <c r="F650" s="86" t="s">
        <v>3161</v>
      </c>
      <c r="G650" s="86" t="b">
        <v>0</v>
      </c>
      <c r="H650" s="86" t="b">
        <v>0</v>
      </c>
      <c r="I650" s="86" t="b">
        <v>0</v>
      </c>
      <c r="J650" s="86" t="b">
        <v>0</v>
      </c>
      <c r="K650" s="86" t="b">
        <v>0</v>
      </c>
      <c r="L650" s="86" t="b">
        <v>0</v>
      </c>
    </row>
    <row r="651" spans="1:12" ht="15">
      <c r="A651" s="87" t="s">
        <v>3356</v>
      </c>
      <c r="B651" s="86" t="s">
        <v>3354</v>
      </c>
      <c r="C651" s="86">
        <v>2</v>
      </c>
      <c r="D651" s="115">
        <v>0.0010539515853987067</v>
      </c>
      <c r="E651" s="115">
        <v>-0.3036787761132355</v>
      </c>
      <c r="F651" s="86" t="s">
        <v>3161</v>
      </c>
      <c r="G651" s="86" t="b">
        <v>0</v>
      </c>
      <c r="H651" s="86" t="b">
        <v>0</v>
      </c>
      <c r="I651" s="86" t="b">
        <v>0</v>
      </c>
      <c r="J651" s="86" t="b">
        <v>0</v>
      </c>
      <c r="K651" s="86" t="b">
        <v>0</v>
      </c>
      <c r="L651" s="86" t="b">
        <v>0</v>
      </c>
    </row>
    <row r="652" spans="1:12" ht="15">
      <c r="A652" s="87" t="s">
        <v>3327</v>
      </c>
      <c r="B652" s="86" t="s">
        <v>4072</v>
      </c>
      <c r="C652" s="86">
        <v>2</v>
      </c>
      <c r="D652" s="115">
        <v>0.0010539515853987067</v>
      </c>
      <c r="E652" s="115">
        <v>1.1293795368957247</v>
      </c>
      <c r="F652" s="86" t="s">
        <v>3161</v>
      </c>
      <c r="G652" s="86" t="b">
        <v>0</v>
      </c>
      <c r="H652" s="86" t="b">
        <v>0</v>
      </c>
      <c r="I652" s="86" t="b">
        <v>0</v>
      </c>
      <c r="J652" s="86" t="b">
        <v>0</v>
      </c>
      <c r="K652" s="86" t="b">
        <v>0</v>
      </c>
      <c r="L652" s="86" t="b">
        <v>0</v>
      </c>
    </row>
    <row r="653" spans="1:12" ht="15">
      <c r="A653" s="87" t="s">
        <v>4072</v>
      </c>
      <c r="B653" s="86" t="s">
        <v>4089</v>
      </c>
      <c r="C653" s="86">
        <v>2</v>
      </c>
      <c r="D653" s="115">
        <v>0.0010539515853987067</v>
      </c>
      <c r="E653" s="115">
        <v>2.0624327472651114</v>
      </c>
      <c r="F653" s="86" t="s">
        <v>3161</v>
      </c>
      <c r="G653" s="86" t="b">
        <v>0</v>
      </c>
      <c r="H653" s="86" t="b">
        <v>0</v>
      </c>
      <c r="I653" s="86" t="b">
        <v>0</v>
      </c>
      <c r="J653" s="86" t="b">
        <v>0</v>
      </c>
      <c r="K653" s="86" t="b">
        <v>0</v>
      </c>
      <c r="L653" s="86" t="b">
        <v>0</v>
      </c>
    </row>
    <row r="654" spans="1:12" ht="15">
      <c r="A654" s="87" t="s">
        <v>4296</v>
      </c>
      <c r="B654" s="86" t="s">
        <v>4032</v>
      </c>
      <c r="C654" s="86">
        <v>2</v>
      </c>
      <c r="D654" s="115">
        <v>0.0010539515853987067</v>
      </c>
      <c r="E654" s="115">
        <v>2.0836220463350497</v>
      </c>
      <c r="F654" s="86" t="s">
        <v>3161</v>
      </c>
      <c r="G654" s="86" t="b">
        <v>0</v>
      </c>
      <c r="H654" s="86" t="b">
        <v>0</v>
      </c>
      <c r="I654" s="86" t="b">
        <v>0</v>
      </c>
      <c r="J654" s="86" t="b">
        <v>0</v>
      </c>
      <c r="K654" s="86" t="b">
        <v>1</v>
      </c>
      <c r="L654" s="86" t="b">
        <v>0</v>
      </c>
    </row>
    <row r="655" spans="1:12" ht="15">
      <c r="A655" s="87" t="s">
        <v>4236</v>
      </c>
      <c r="B655" s="86" t="s">
        <v>3380</v>
      </c>
      <c r="C655" s="86">
        <v>2</v>
      </c>
      <c r="D655" s="115">
        <v>0.0010539515853987067</v>
      </c>
      <c r="E655" s="115">
        <v>1.7973153074917747</v>
      </c>
      <c r="F655" s="86" t="s">
        <v>3161</v>
      </c>
      <c r="G655" s="86" t="b">
        <v>0</v>
      </c>
      <c r="H655" s="86" t="b">
        <v>0</v>
      </c>
      <c r="I655" s="86" t="b">
        <v>0</v>
      </c>
      <c r="J655" s="86" t="b">
        <v>0</v>
      </c>
      <c r="K655" s="86" t="b">
        <v>0</v>
      </c>
      <c r="L655" s="86" t="b">
        <v>0</v>
      </c>
    </row>
    <row r="656" spans="1:12" ht="15">
      <c r="A656" s="87" t="s">
        <v>4170</v>
      </c>
      <c r="B656" s="86" t="s">
        <v>4116</v>
      </c>
      <c r="C656" s="86">
        <v>2</v>
      </c>
      <c r="D656" s="115">
        <v>0.0010539515853987067</v>
      </c>
      <c r="E656" s="115">
        <v>2.539554001984774</v>
      </c>
      <c r="F656" s="86" t="s">
        <v>3161</v>
      </c>
      <c r="G656" s="86" t="b">
        <v>0</v>
      </c>
      <c r="H656" s="86" t="b">
        <v>0</v>
      </c>
      <c r="I656" s="86" t="b">
        <v>0</v>
      </c>
      <c r="J656" s="86" t="b">
        <v>0</v>
      </c>
      <c r="K656" s="86" t="b">
        <v>0</v>
      </c>
      <c r="L656" s="86" t="b">
        <v>0</v>
      </c>
    </row>
    <row r="657" spans="1:12" ht="15">
      <c r="A657" s="87" t="s">
        <v>4278</v>
      </c>
      <c r="B657" s="86" t="s">
        <v>4107</v>
      </c>
      <c r="C657" s="86">
        <v>2</v>
      </c>
      <c r="D657" s="115">
        <v>0.0010539515853987067</v>
      </c>
      <c r="E657" s="115">
        <v>2.7825920506710684</v>
      </c>
      <c r="F657" s="86" t="s">
        <v>3161</v>
      </c>
      <c r="G657" s="86" t="b">
        <v>0</v>
      </c>
      <c r="H657" s="86" t="b">
        <v>0</v>
      </c>
      <c r="I657" s="86" t="b">
        <v>0</v>
      </c>
      <c r="J657" s="86" t="b">
        <v>0</v>
      </c>
      <c r="K657" s="86" t="b">
        <v>0</v>
      </c>
      <c r="L657" s="86" t="b">
        <v>0</v>
      </c>
    </row>
    <row r="658" spans="1:12" ht="15">
      <c r="A658" s="87" t="s">
        <v>4086</v>
      </c>
      <c r="B658" s="86" t="s">
        <v>3382</v>
      </c>
      <c r="C658" s="86">
        <v>2</v>
      </c>
      <c r="D658" s="115">
        <v>0.0010539515853987067</v>
      </c>
      <c r="E658" s="115">
        <v>1.4146152653764739</v>
      </c>
      <c r="F658" s="86" t="s">
        <v>3161</v>
      </c>
      <c r="G658" s="86" t="b">
        <v>0</v>
      </c>
      <c r="H658" s="86" t="b">
        <v>0</v>
      </c>
      <c r="I658" s="86" t="b">
        <v>0</v>
      </c>
      <c r="J658" s="86" t="b">
        <v>0</v>
      </c>
      <c r="K658" s="86" t="b">
        <v>0</v>
      </c>
      <c r="L658" s="86" t="b">
        <v>0</v>
      </c>
    </row>
    <row r="659" spans="1:12" ht="15">
      <c r="A659" s="87" t="s">
        <v>4071</v>
      </c>
      <c r="B659" s="86" t="s">
        <v>4232</v>
      </c>
      <c r="C659" s="86">
        <v>2</v>
      </c>
      <c r="D659" s="115">
        <v>0.0010539515853987067</v>
      </c>
      <c r="E659" s="115">
        <v>2.4467999487478753</v>
      </c>
      <c r="F659" s="86" t="s">
        <v>3161</v>
      </c>
      <c r="G659" s="86" t="b">
        <v>0</v>
      </c>
      <c r="H659" s="86" t="b">
        <v>0</v>
      </c>
      <c r="I659" s="86" t="b">
        <v>0</v>
      </c>
      <c r="J659" s="86" t="b">
        <v>0</v>
      </c>
      <c r="K659" s="86" t="b">
        <v>0</v>
      </c>
      <c r="L659" s="86" t="b">
        <v>0</v>
      </c>
    </row>
    <row r="660" spans="1:12" ht="15">
      <c r="A660" s="87" t="s">
        <v>4232</v>
      </c>
      <c r="B660" s="86" t="s">
        <v>4079</v>
      </c>
      <c r="C660" s="86">
        <v>2</v>
      </c>
      <c r="D660" s="115">
        <v>0.0010539515853987067</v>
      </c>
      <c r="E660" s="115">
        <v>2.481562055007087</v>
      </c>
      <c r="F660" s="86" t="s">
        <v>3161</v>
      </c>
      <c r="G660" s="86" t="b">
        <v>0</v>
      </c>
      <c r="H660" s="86" t="b">
        <v>0</v>
      </c>
      <c r="I660" s="86" t="b">
        <v>0</v>
      </c>
      <c r="J660" s="86" t="b">
        <v>0</v>
      </c>
      <c r="K660" s="86" t="b">
        <v>0</v>
      </c>
      <c r="L660" s="86" t="b">
        <v>0</v>
      </c>
    </row>
    <row r="661" spans="1:12" ht="15">
      <c r="A661" s="87" t="s">
        <v>4054</v>
      </c>
      <c r="B661" s="86" t="s">
        <v>4263</v>
      </c>
      <c r="C661" s="86">
        <v>2</v>
      </c>
      <c r="D661" s="115">
        <v>0.0010539515853987067</v>
      </c>
      <c r="E661" s="115">
        <v>2.1293795368957245</v>
      </c>
      <c r="F661" s="86" t="s">
        <v>3161</v>
      </c>
      <c r="G661" s="86" t="b">
        <v>0</v>
      </c>
      <c r="H661" s="86" t="b">
        <v>0</v>
      </c>
      <c r="I661" s="86" t="b">
        <v>0</v>
      </c>
      <c r="J661" s="86" t="b">
        <v>0</v>
      </c>
      <c r="K661" s="86" t="b">
        <v>0</v>
      </c>
      <c r="L661" s="86" t="b">
        <v>0</v>
      </c>
    </row>
    <row r="662" spans="1:12" ht="15">
      <c r="A662" s="87" t="s">
        <v>4137</v>
      </c>
      <c r="B662" s="86" t="s">
        <v>3356</v>
      </c>
      <c r="C662" s="86">
        <v>2</v>
      </c>
      <c r="D662" s="115">
        <v>0.0010539515853987067</v>
      </c>
      <c r="E662" s="115">
        <v>1.1334195146974646</v>
      </c>
      <c r="F662" s="86" t="s">
        <v>3161</v>
      </c>
      <c r="G662" s="86" t="b">
        <v>0</v>
      </c>
      <c r="H662" s="86" t="b">
        <v>0</v>
      </c>
      <c r="I662" s="86" t="b">
        <v>0</v>
      </c>
      <c r="J662" s="86" t="b">
        <v>0</v>
      </c>
      <c r="K662" s="86" t="b">
        <v>0</v>
      </c>
      <c r="L662" s="86" t="b">
        <v>0</v>
      </c>
    </row>
    <row r="663" spans="1:12" ht="15">
      <c r="A663" s="87" t="s">
        <v>3355</v>
      </c>
      <c r="B663" s="86" t="s">
        <v>4241</v>
      </c>
      <c r="C663" s="86">
        <v>2</v>
      </c>
      <c r="D663" s="115">
        <v>0.0010539515853987067</v>
      </c>
      <c r="E663" s="115">
        <v>1.6603761723982418</v>
      </c>
      <c r="F663" s="86" t="s">
        <v>3161</v>
      </c>
      <c r="G663" s="86" t="b">
        <v>0</v>
      </c>
      <c r="H663" s="86" t="b">
        <v>0</v>
      </c>
      <c r="I663" s="86" t="b">
        <v>0</v>
      </c>
      <c r="J663" s="86" t="b">
        <v>0</v>
      </c>
      <c r="K663" s="86" t="b">
        <v>0</v>
      </c>
      <c r="L663" s="86" t="b">
        <v>0</v>
      </c>
    </row>
    <row r="664" spans="1:12" ht="15">
      <c r="A664" s="87" t="s">
        <v>4073</v>
      </c>
      <c r="B664" s="86" t="s">
        <v>4072</v>
      </c>
      <c r="C664" s="86">
        <v>2</v>
      </c>
      <c r="D664" s="115">
        <v>0.0010539515853987067</v>
      </c>
      <c r="E664" s="115">
        <v>1.9075307872793683</v>
      </c>
      <c r="F664" s="86" t="s">
        <v>3161</v>
      </c>
      <c r="G664" s="86" t="b">
        <v>0</v>
      </c>
      <c r="H664" s="86" t="b">
        <v>0</v>
      </c>
      <c r="I664" s="86" t="b">
        <v>0</v>
      </c>
      <c r="J664" s="86" t="b">
        <v>0</v>
      </c>
      <c r="K664" s="86" t="b">
        <v>0</v>
      </c>
      <c r="L664" s="86" t="b">
        <v>0</v>
      </c>
    </row>
    <row r="665" spans="1:12" ht="15">
      <c r="A665" s="87" t="s">
        <v>4072</v>
      </c>
      <c r="B665" s="86" t="s">
        <v>3307</v>
      </c>
      <c r="C665" s="86">
        <v>2</v>
      </c>
      <c r="D665" s="115">
        <v>0.0010539515853987067</v>
      </c>
      <c r="E665" s="115">
        <v>1.0154361845888877</v>
      </c>
      <c r="F665" s="86" t="s">
        <v>3161</v>
      </c>
      <c r="G665" s="86" t="b">
        <v>0</v>
      </c>
      <c r="H665" s="86" t="b">
        <v>0</v>
      </c>
      <c r="I665" s="86" t="b">
        <v>0</v>
      </c>
      <c r="J665" s="86" t="b">
        <v>0</v>
      </c>
      <c r="K665" s="86" t="b">
        <v>0</v>
      </c>
      <c r="L665" s="86" t="b">
        <v>0</v>
      </c>
    </row>
    <row r="666" spans="1:12" ht="15">
      <c r="A666" s="87" t="s">
        <v>4095</v>
      </c>
      <c r="B666" s="86" t="s">
        <v>3307</v>
      </c>
      <c r="C666" s="86">
        <v>2</v>
      </c>
      <c r="D666" s="115">
        <v>0.0010539515853987067</v>
      </c>
      <c r="E666" s="115">
        <v>1.191527443644569</v>
      </c>
      <c r="F666" s="86" t="s">
        <v>3161</v>
      </c>
      <c r="G666" s="86" t="b">
        <v>0</v>
      </c>
      <c r="H666" s="86" t="b">
        <v>0</v>
      </c>
      <c r="I666" s="86" t="b">
        <v>0</v>
      </c>
      <c r="J666" s="86" t="b">
        <v>0</v>
      </c>
      <c r="K666" s="86" t="b">
        <v>0</v>
      </c>
      <c r="L666" s="86" t="b">
        <v>0</v>
      </c>
    </row>
    <row r="667" spans="1:12" ht="15">
      <c r="A667" s="87" t="s">
        <v>3307</v>
      </c>
      <c r="B667" s="86" t="s">
        <v>4076</v>
      </c>
      <c r="C667" s="86">
        <v>2</v>
      </c>
      <c r="D667" s="115">
        <v>0.0010539515853987067</v>
      </c>
      <c r="E667" s="115">
        <v>0.9937169348956515</v>
      </c>
      <c r="F667" s="86" t="s">
        <v>3161</v>
      </c>
      <c r="G667" s="86" t="b">
        <v>0</v>
      </c>
      <c r="H667" s="86" t="b">
        <v>0</v>
      </c>
      <c r="I667" s="86" t="b">
        <v>0</v>
      </c>
      <c r="J667" s="86" t="b">
        <v>0</v>
      </c>
      <c r="K667" s="86" t="b">
        <v>0</v>
      </c>
      <c r="L667" s="86" t="b">
        <v>0</v>
      </c>
    </row>
    <row r="668" spans="1:12" ht="15">
      <c r="A668" s="87" t="s">
        <v>3356</v>
      </c>
      <c r="B668" s="86" t="s">
        <v>4430</v>
      </c>
      <c r="C668" s="86">
        <v>2</v>
      </c>
      <c r="D668" s="115">
        <v>0.0010539515853987067</v>
      </c>
      <c r="E668" s="115">
        <v>1.470838189615314</v>
      </c>
      <c r="F668" s="86" t="s">
        <v>3161</v>
      </c>
      <c r="G668" s="86" t="b">
        <v>0</v>
      </c>
      <c r="H668" s="86" t="b">
        <v>0</v>
      </c>
      <c r="I668" s="86" t="b">
        <v>0</v>
      </c>
      <c r="J668" s="86" t="b">
        <v>0</v>
      </c>
      <c r="K668" s="86" t="b">
        <v>0</v>
      </c>
      <c r="L668" s="86" t="b">
        <v>0</v>
      </c>
    </row>
    <row r="669" spans="1:12" ht="15">
      <c r="A669" s="87" t="s">
        <v>4219</v>
      </c>
      <c r="B669" s="86" t="s">
        <v>3356</v>
      </c>
      <c r="C669" s="86">
        <v>2</v>
      </c>
      <c r="D669" s="115">
        <v>0.0010539515853987067</v>
      </c>
      <c r="E669" s="115">
        <v>1.3552682643138212</v>
      </c>
      <c r="F669" s="86" t="s">
        <v>3161</v>
      </c>
      <c r="G669" s="86" t="b">
        <v>0</v>
      </c>
      <c r="H669" s="86" t="b">
        <v>0</v>
      </c>
      <c r="I669" s="86" t="b">
        <v>0</v>
      </c>
      <c r="J669" s="86" t="b">
        <v>0</v>
      </c>
      <c r="K669" s="86" t="b">
        <v>0</v>
      </c>
      <c r="L669" s="86" t="b">
        <v>0</v>
      </c>
    </row>
    <row r="670" spans="1:12" ht="15">
      <c r="A670" s="87" t="s">
        <v>3356</v>
      </c>
      <c r="B670" s="86" t="s">
        <v>4084</v>
      </c>
      <c r="C670" s="86">
        <v>2</v>
      </c>
      <c r="D670" s="115">
        <v>0.0010539515853987067</v>
      </c>
      <c r="E670" s="115">
        <v>0.7718681852792952</v>
      </c>
      <c r="F670" s="86" t="s">
        <v>3161</v>
      </c>
      <c r="G670" s="86" t="b">
        <v>0</v>
      </c>
      <c r="H670" s="86" t="b">
        <v>0</v>
      </c>
      <c r="I670" s="86" t="b">
        <v>0</v>
      </c>
      <c r="J670" s="86" t="b">
        <v>0</v>
      </c>
      <c r="K670" s="86" t="b">
        <v>0</v>
      </c>
      <c r="L670" s="86" t="b">
        <v>0</v>
      </c>
    </row>
    <row r="671" spans="1:12" ht="15">
      <c r="A671" s="87" t="s">
        <v>4048</v>
      </c>
      <c r="B671" s="86" t="s">
        <v>4422</v>
      </c>
      <c r="C671" s="86">
        <v>2</v>
      </c>
      <c r="D671" s="115">
        <v>0.0010539515853987067</v>
      </c>
      <c r="E671" s="115">
        <v>2.145769953083894</v>
      </c>
      <c r="F671" s="86" t="s">
        <v>3161</v>
      </c>
      <c r="G671" s="86" t="b">
        <v>0</v>
      </c>
      <c r="H671" s="86" t="b">
        <v>0</v>
      </c>
      <c r="I671" s="86" t="b">
        <v>0</v>
      </c>
      <c r="J671" s="86" t="b">
        <v>0</v>
      </c>
      <c r="K671" s="86" t="b">
        <v>0</v>
      </c>
      <c r="L671" s="86" t="b">
        <v>0</v>
      </c>
    </row>
    <row r="672" spans="1:12" ht="15">
      <c r="A672" s="87" t="s">
        <v>4422</v>
      </c>
      <c r="B672" s="86" t="s">
        <v>4170</v>
      </c>
      <c r="C672" s="86">
        <v>2</v>
      </c>
      <c r="D672" s="115">
        <v>0.0010539515853987067</v>
      </c>
      <c r="E672" s="115">
        <v>3.0836220463350497</v>
      </c>
      <c r="F672" s="86" t="s">
        <v>3161</v>
      </c>
      <c r="G672" s="86" t="b">
        <v>0</v>
      </c>
      <c r="H672" s="86" t="b">
        <v>0</v>
      </c>
      <c r="I672" s="86" t="b">
        <v>0</v>
      </c>
      <c r="J672" s="86" t="b">
        <v>0</v>
      </c>
      <c r="K672" s="86" t="b">
        <v>0</v>
      </c>
      <c r="L672" s="86" t="b">
        <v>0</v>
      </c>
    </row>
    <row r="673" spans="1:12" ht="15">
      <c r="A673" s="87" t="s">
        <v>4028</v>
      </c>
      <c r="B673" s="86" t="s">
        <v>4279</v>
      </c>
      <c r="C673" s="86">
        <v>2</v>
      </c>
      <c r="D673" s="115">
        <v>0.0010539515853987067</v>
      </c>
      <c r="E673" s="115">
        <v>1.9374940106568115</v>
      </c>
      <c r="F673" s="86" t="s">
        <v>3161</v>
      </c>
      <c r="G673" s="86" t="b">
        <v>0</v>
      </c>
      <c r="H673" s="86" t="b">
        <v>0</v>
      </c>
      <c r="I673" s="86" t="b">
        <v>0</v>
      </c>
      <c r="J673" s="86" t="b">
        <v>0</v>
      </c>
      <c r="K673" s="86" t="b">
        <v>0</v>
      </c>
      <c r="L673" s="86" t="b">
        <v>0</v>
      </c>
    </row>
    <row r="674" spans="1:12" ht="15">
      <c r="A674" s="87" t="s">
        <v>4279</v>
      </c>
      <c r="B674" s="86" t="s">
        <v>4113</v>
      </c>
      <c r="C674" s="86">
        <v>2</v>
      </c>
      <c r="D674" s="115">
        <v>0.0010539515853987067</v>
      </c>
      <c r="E674" s="115">
        <v>2.9586833097267493</v>
      </c>
      <c r="F674" s="86" t="s">
        <v>3161</v>
      </c>
      <c r="G674" s="86" t="b">
        <v>0</v>
      </c>
      <c r="H674" s="86" t="b">
        <v>0</v>
      </c>
      <c r="I674" s="86" t="b">
        <v>0</v>
      </c>
      <c r="J674" s="86" t="b">
        <v>1</v>
      </c>
      <c r="K674" s="86" t="b">
        <v>0</v>
      </c>
      <c r="L674" s="86" t="b">
        <v>0</v>
      </c>
    </row>
    <row r="675" spans="1:12" ht="15">
      <c r="A675" s="87" t="s">
        <v>4113</v>
      </c>
      <c r="B675" s="86" t="s">
        <v>3327</v>
      </c>
      <c r="C675" s="86">
        <v>2</v>
      </c>
      <c r="D675" s="115">
        <v>0.0010539515853987067</v>
      </c>
      <c r="E675" s="115">
        <v>1.5437099617559316</v>
      </c>
      <c r="F675" s="86" t="s">
        <v>3161</v>
      </c>
      <c r="G675" s="86" t="b">
        <v>1</v>
      </c>
      <c r="H675" s="86" t="b">
        <v>0</v>
      </c>
      <c r="I675" s="86" t="b">
        <v>0</v>
      </c>
      <c r="J675" s="86" t="b">
        <v>0</v>
      </c>
      <c r="K675" s="86" t="b">
        <v>0</v>
      </c>
      <c r="L675" s="86" t="b">
        <v>0</v>
      </c>
    </row>
    <row r="676" spans="1:12" ht="15">
      <c r="A676" s="87" t="s">
        <v>3381</v>
      </c>
      <c r="B676" s="86" t="s">
        <v>4103</v>
      </c>
      <c r="C676" s="86">
        <v>2</v>
      </c>
      <c r="D676" s="115">
        <v>0.0010539515853987067</v>
      </c>
      <c r="E676" s="115">
        <v>1.5273195455677622</v>
      </c>
      <c r="F676" s="86" t="s">
        <v>3161</v>
      </c>
      <c r="G676" s="86" t="b">
        <v>0</v>
      </c>
      <c r="H676" s="86" t="b">
        <v>0</v>
      </c>
      <c r="I676" s="86" t="b">
        <v>0</v>
      </c>
      <c r="J676" s="86" t="b">
        <v>0</v>
      </c>
      <c r="K676" s="86" t="b">
        <v>0</v>
      </c>
      <c r="L676" s="86" t="b">
        <v>0</v>
      </c>
    </row>
    <row r="677" spans="1:12" ht="15">
      <c r="A677" s="87" t="s">
        <v>4103</v>
      </c>
      <c r="B677" s="86" t="s">
        <v>4032</v>
      </c>
      <c r="C677" s="86">
        <v>2</v>
      </c>
      <c r="D677" s="115">
        <v>0.0010539515853987067</v>
      </c>
      <c r="E677" s="115">
        <v>1.606500791615387</v>
      </c>
      <c r="F677" s="86" t="s">
        <v>3161</v>
      </c>
      <c r="G677" s="86" t="b">
        <v>0</v>
      </c>
      <c r="H677" s="86" t="b">
        <v>0</v>
      </c>
      <c r="I677" s="86" t="b">
        <v>0</v>
      </c>
      <c r="J677" s="86" t="b">
        <v>0</v>
      </c>
      <c r="K677" s="86" t="b">
        <v>1</v>
      </c>
      <c r="L677" s="86" t="b">
        <v>0</v>
      </c>
    </row>
    <row r="678" spans="1:12" ht="15">
      <c r="A678" s="87" t="s">
        <v>4199</v>
      </c>
      <c r="B678" s="86" t="s">
        <v>4425</v>
      </c>
      <c r="C678" s="86">
        <v>2</v>
      </c>
      <c r="D678" s="115">
        <v>0.0010539515853987067</v>
      </c>
      <c r="E678" s="115">
        <v>3.0836220463350497</v>
      </c>
      <c r="F678" s="86" t="s">
        <v>3161</v>
      </c>
      <c r="G678" s="86" t="b">
        <v>0</v>
      </c>
      <c r="H678" s="86" t="b">
        <v>0</v>
      </c>
      <c r="I678" s="86" t="b">
        <v>0</v>
      </c>
      <c r="J678" s="86" t="b">
        <v>0</v>
      </c>
      <c r="K678" s="86" t="b">
        <v>0</v>
      </c>
      <c r="L678" s="86" t="b">
        <v>0</v>
      </c>
    </row>
    <row r="679" spans="1:12" ht="15">
      <c r="A679" s="87" t="s">
        <v>4425</v>
      </c>
      <c r="B679" s="86" t="s">
        <v>3386</v>
      </c>
      <c r="C679" s="86">
        <v>2</v>
      </c>
      <c r="D679" s="115">
        <v>0.0010539515853987067</v>
      </c>
      <c r="E679" s="115">
        <v>3.0836220463350497</v>
      </c>
      <c r="F679" s="86" t="s">
        <v>3161</v>
      </c>
      <c r="G679" s="86" t="b">
        <v>0</v>
      </c>
      <c r="H679" s="86" t="b">
        <v>0</v>
      </c>
      <c r="I679" s="86" t="b">
        <v>0</v>
      </c>
      <c r="J679" s="86" t="b">
        <v>0</v>
      </c>
      <c r="K679" s="86" t="b">
        <v>0</v>
      </c>
      <c r="L679" s="86" t="b">
        <v>0</v>
      </c>
    </row>
    <row r="680" spans="1:12" ht="15">
      <c r="A680" s="87" t="s">
        <v>3356</v>
      </c>
      <c r="B680" s="86" t="s">
        <v>4127</v>
      </c>
      <c r="C680" s="86">
        <v>2</v>
      </c>
      <c r="D680" s="115">
        <v>0.0010539515853987067</v>
      </c>
      <c r="E680" s="115">
        <v>1.1698081939513327</v>
      </c>
      <c r="F680" s="86" t="s">
        <v>3161</v>
      </c>
      <c r="G680" s="86" t="b">
        <v>0</v>
      </c>
      <c r="H680" s="86" t="b">
        <v>0</v>
      </c>
      <c r="I680" s="86" t="b">
        <v>0</v>
      </c>
      <c r="J680" s="86" t="b">
        <v>0</v>
      </c>
      <c r="K680" s="86" t="b">
        <v>0</v>
      </c>
      <c r="L680" s="86" t="b">
        <v>0</v>
      </c>
    </row>
    <row r="681" spans="1:12" ht="15">
      <c r="A681" s="87" t="s">
        <v>4022</v>
      </c>
      <c r="B681" s="86" t="s">
        <v>4162</v>
      </c>
      <c r="C681" s="86">
        <v>2</v>
      </c>
      <c r="D681" s="115">
        <v>0.0010539515853987067</v>
      </c>
      <c r="E681" s="115">
        <v>1.8203806115604682</v>
      </c>
      <c r="F681" s="86" t="s">
        <v>3161</v>
      </c>
      <c r="G681" s="86" t="b">
        <v>0</v>
      </c>
      <c r="H681" s="86" t="b">
        <v>0</v>
      </c>
      <c r="I681" s="86" t="b">
        <v>0</v>
      </c>
      <c r="J681" s="86" t="b">
        <v>0</v>
      </c>
      <c r="K681" s="86" t="b">
        <v>0</v>
      </c>
      <c r="L681" s="86" t="b">
        <v>0</v>
      </c>
    </row>
    <row r="682" spans="1:12" ht="15">
      <c r="A682" s="87" t="s">
        <v>3357</v>
      </c>
      <c r="B682" s="86" t="s">
        <v>3358</v>
      </c>
      <c r="C682" s="86">
        <v>2</v>
      </c>
      <c r="D682" s="115">
        <v>0.0010539515853987067</v>
      </c>
      <c r="E682" s="115">
        <v>0.311544943663599</v>
      </c>
      <c r="F682" s="86" t="s">
        <v>3161</v>
      </c>
      <c r="G682" s="86" t="b">
        <v>0</v>
      </c>
      <c r="H682" s="86" t="b">
        <v>0</v>
      </c>
      <c r="I682" s="86" t="b">
        <v>0</v>
      </c>
      <c r="J682" s="86" t="b">
        <v>0</v>
      </c>
      <c r="K682" s="86" t="b">
        <v>0</v>
      </c>
      <c r="L682" s="86" t="b">
        <v>0</v>
      </c>
    </row>
    <row r="683" spans="1:12" ht="15">
      <c r="A683" s="87" t="s">
        <v>4035</v>
      </c>
      <c r="B683" s="86" t="s">
        <v>4202</v>
      </c>
      <c r="C683" s="86">
        <v>2</v>
      </c>
      <c r="D683" s="115">
        <v>0.0010539515853987067</v>
      </c>
      <c r="E683" s="115">
        <v>2.055593322734806</v>
      </c>
      <c r="F683" s="86" t="s">
        <v>3161</v>
      </c>
      <c r="G683" s="86" t="b">
        <v>0</v>
      </c>
      <c r="H683" s="86" t="b">
        <v>0</v>
      </c>
      <c r="I683" s="86" t="b">
        <v>0</v>
      </c>
      <c r="J683" s="86" t="b">
        <v>0</v>
      </c>
      <c r="K683" s="86" t="b">
        <v>0</v>
      </c>
      <c r="L683" s="86" t="b">
        <v>0</v>
      </c>
    </row>
    <row r="684" spans="1:12" ht="15">
      <c r="A684" s="87" t="s">
        <v>3366</v>
      </c>
      <c r="B684" s="86" t="s">
        <v>4149</v>
      </c>
      <c r="C684" s="86">
        <v>2</v>
      </c>
      <c r="D684" s="115">
        <v>0.0010539515853987067</v>
      </c>
      <c r="E684" s="115">
        <v>2.0044408002874246</v>
      </c>
      <c r="F684" s="86" t="s">
        <v>3161</v>
      </c>
      <c r="G684" s="86" t="b">
        <v>0</v>
      </c>
      <c r="H684" s="86" t="b">
        <v>0</v>
      </c>
      <c r="I684" s="86" t="b">
        <v>0</v>
      </c>
      <c r="J684" s="86" t="b">
        <v>0</v>
      </c>
      <c r="K684" s="86" t="b">
        <v>0</v>
      </c>
      <c r="L684" s="86" t="b">
        <v>0</v>
      </c>
    </row>
    <row r="685" spans="1:12" ht="15">
      <c r="A685" s="87" t="s">
        <v>4077</v>
      </c>
      <c r="B685" s="86" t="s">
        <v>4268</v>
      </c>
      <c r="C685" s="86">
        <v>2</v>
      </c>
      <c r="D685" s="115">
        <v>0.0010539515853987067</v>
      </c>
      <c r="E685" s="115">
        <v>2.606500791615387</v>
      </c>
      <c r="F685" s="86" t="s">
        <v>3161</v>
      </c>
      <c r="G685" s="86" t="b">
        <v>0</v>
      </c>
      <c r="H685" s="86" t="b">
        <v>0</v>
      </c>
      <c r="I685" s="86" t="b">
        <v>0</v>
      </c>
      <c r="J685" s="86" t="b">
        <v>1</v>
      </c>
      <c r="K685" s="86" t="b">
        <v>0</v>
      </c>
      <c r="L685" s="86" t="b">
        <v>0</v>
      </c>
    </row>
    <row r="686" spans="1:12" ht="15">
      <c r="A686" s="87" t="s">
        <v>4268</v>
      </c>
      <c r="B686" s="86" t="s">
        <v>4098</v>
      </c>
      <c r="C686" s="86">
        <v>2</v>
      </c>
      <c r="D686" s="115">
        <v>0.0010539515853987067</v>
      </c>
      <c r="E686" s="115">
        <v>2.7825920506710684</v>
      </c>
      <c r="F686" s="86" t="s">
        <v>3161</v>
      </c>
      <c r="G686" s="86" t="b">
        <v>1</v>
      </c>
      <c r="H686" s="86" t="b">
        <v>0</v>
      </c>
      <c r="I686" s="86" t="b">
        <v>0</v>
      </c>
      <c r="J686" s="86" t="b">
        <v>0</v>
      </c>
      <c r="K686" s="86" t="b">
        <v>0</v>
      </c>
      <c r="L686" s="86" t="b">
        <v>0</v>
      </c>
    </row>
    <row r="687" spans="1:12" ht="15">
      <c r="A687" s="87" t="s">
        <v>4098</v>
      </c>
      <c r="B687" s="86" t="s">
        <v>4042</v>
      </c>
      <c r="C687" s="86">
        <v>2</v>
      </c>
      <c r="D687" s="115">
        <v>0.0010539515853987067</v>
      </c>
      <c r="E687" s="115">
        <v>1.6364640149928302</v>
      </c>
      <c r="F687" s="86" t="s">
        <v>3161</v>
      </c>
      <c r="G687" s="86" t="b">
        <v>0</v>
      </c>
      <c r="H687" s="86" t="b">
        <v>0</v>
      </c>
      <c r="I687" s="86" t="b">
        <v>0</v>
      </c>
      <c r="J687" s="86" t="b">
        <v>0</v>
      </c>
      <c r="K687" s="86" t="b">
        <v>0</v>
      </c>
      <c r="L687" s="86" t="b">
        <v>0</v>
      </c>
    </row>
    <row r="688" spans="1:12" ht="15">
      <c r="A688" s="87" t="s">
        <v>4042</v>
      </c>
      <c r="B688" s="86" t="s">
        <v>4097</v>
      </c>
      <c r="C688" s="86">
        <v>2</v>
      </c>
      <c r="D688" s="115">
        <v>0.0010539515853987067</v>
      </c>
      <c r="E688" s="115">
        <v>1.7156452610404551</v>
      </c>
      <c r="F688" s="86" t="s">
        <v>3161</v>
      </c>
      <c r="G688" s="86" t="b">
        <v>0</v>
      </c>
      <c r="H688" s="86" t="b">
        <v>0</v>
      </c>
      <c r="I688" s="86" t="b">
        <v>0</v>
      </c>
      <c r="J688" s="86" t="b">
        <v>0</v>
      </c>
      <c r="K688" s="86" t="b">
        <v>0</v>
      </c>
      <c r="L688" s="86" t="b">
        <v>0</v>
      </c>
    </row>
    <row r="689" spans="1:12" ht="15">
      <c r="A689" s="87" t="s">
        <v>4097</v>
      </c>
      <c r="B689" s="86" t="s">
        <v>4180</v>
      </c>
      <c r="C689" s="86">
        <v>2</v>
      </c>
      <c r="D689" s="115">
        <v>0.0010539515853987067</v>
      </c>
      <c r="E689" s="115">
        <v>2.861773296718693</v>
      </c>
      <c r="F689" s="86" t="s">
        <v>3161</v>
      </c>
      <c r="G689" s="86" t="b">
        <v>0</v>
      </c>
      <c r="H689" s="86" t="b">
        <v>0</v>
      </c>
      <c r="I689" s="86" t="b">
        <v>0</v>
      </c>
      <c r="J689" s="86" t="b">
        <v>0</v>
      </c>
      <c r="K689" s="86" t="b">
        <v>0</v>
      </c>
      <c r="L689" s="86" t="b">
        <v>0</v>
      </c>
    </row>
    <row r="690" spans="1:12" ht="15">
      <c r="A690" s="87" t="s">
        <v>4180</v>
      </c>
      <c r="B690" s="86" t="s">
        <v>4269</v>
      </c>
      <c r="C690" s="86">
        <v>2</v>
      </c>
      <c r="D690" s="115">
        <v>0.0010539515853987067</v>
      </c>
      <c r="E690" s="115">
        <v>3.2597133053907306</v>
      </c>
      <c r="F690" s="86" t="s">
        <v>3161</v>
      </c>
      <c r="G690" s="86" t="b">
        <v>0</v>
      </c>
      <c r="H690" s="86" t="b">
        <v>0</v>
      </c>
      <c r="I690" s="86" t="b">
        <v>0</v>
      </c>
      <c r="J690" s="86" t="b">
        <v>0</v>
      </c>
      <c r="K690" s="86" t="b">
        <v>0</v>
      </c>
      <c r="L690" s="86" t="b">
        <v>0</v>
      </c>
    </row>
    <row r="691" spans="1:12" ht="15">
      <c r="A691" s="87" t="s">
        <v>4269</v>
      </c>
      <c r="B691" s="86" t="s">
        <v>3379</v>
      </c>
      <c r="C691" s="86">
        <v>2</v>
      </c>
      <c r="D691" s="115">
        <v>0.0010539515853987067</v>
      </c>
      <c r="E691" s="115">
        <v>2.0983453031557557</v>
      </c>
      <c r="F691" s="86" t="s">
        <v>3161</v>
      </c>
      <c r="G691" s="86" t="b">
        <v>0</v>
      </c>
      <c r="H691" s="86" t="b">
        <v>0</v>
      </c>
      <c r="I691" s="86" t="b">
        <v>0</v>
      </c>
      <c r="J691" s="86" t="b">
        <v>0</v>
      </c>
      <c r="K691" s="86" t="b">
        <v>0</v>
      </c>
      <c r="L691" s="86" t="b">
        <v>0</v>
      </c>
    </row>
    <row r="692" spans="1:12" ht="15">
      <c r="A692" s="87" t="s">
        <v>4152</v>
      </c>
      <c r="B692" s="86" t="s">
        <v>4194</v>
      </c>
      <c r="C692" s="86">
        <v>2</v>
      </c>
      <c r="D692" s="115">
        <v>0.0010539515853987067</v>
      </c>
      <c r="E692" s="115">
        <v>3.0836220463350497</v>
      </c>
      <c r="F692" s="86" t="s">
        <v>3161</v>
      </c>
      <c r="G692" s="86" t="b">
        <v>0</v>
      </c>
      <c r="H692" s="86" t="b">
        <v>0</v>
      </c>
      <c r="I692" s="86" t="b">
        <v>0</v>
      </c>
      <c r="J692" s="86" t="b">
        <v>0</v>
      </c>
      <c r="K692" s="86" t="b">
        <v>0</v>
      </c>
      <c r="L692" s="86" t="b">
        <v>0</v>
      </c>
    </row>
    <row r="693" spans="1:12" ht="15">
      <c r="A693" s="87" t="s">
        <v>4044</v>
      </c>
      <c r="B693" s="86" t="s">
        <v>4127</v>
      </c>
      <c r="C693" s="86">
        <v>2</v>
      </c>
      <c r="D693" s="115">
        <v>0.0010539515853987067</v>
      </c>
      <c r="E693" s="115">
        <v>1.7282343883484756</v>
      </c>
      <c r="F693" s="86" t="s">
        <v>3161</v>
      </c>
      <c r="G693" s="86" t="b">
        <v>0</v>
      </c>
      <c r="H693" s="86" t="b">
        <v>0</v>
      </c>
      <c r="I693" s="86" t="b">
        <v>0</v>
      </c>
      <c r="J693" s="86" t="b">
        <v>0</v>
      </c>
      <c r="K693" s="86" t="b">
        <v>0</v>
      </c>
      <c r="L693" s="86" t="b">
        <v>0</v>
      </c>
    </row>
    <row r="694" spans="1:12" ht="15">
      <c r="A694" s="87" t="s">
        <v>3376</v>
      </c>
      <c r="B694" s="86" t="s">
        <v>3354</v>
      </c>
      <c r="C694" s="86">
        <v>2</v>
      </c>
      <c r="D694" s="115">
        <v>0.0010539515853987067</v>
      </c>
      <c r="E694" s="115">
        <v>0.7862263353261624</v>
      </c>
      <c r="F694" s="86" t="s">
        <v>3161</v>
      </c>
      <c r="G694" s="86" t="b">
        <v>0</v>
      </c>
      <c r="H694" s="86" t="b">
        <v>0</v>
      </c>
      <c r="I694" s="86" t="b">
        <v>0</v>
      </c>
      <c r="J694" s="86" t="b">
        <v>0</v>
      </c>
      <c r="K694" s="86" t="b">
        <v>0</v>
      </c>
      <c r="L694" s="86" t="b">
        <v>0</v>
      </c>
    </row>
    <row r="695" spans="1:12" ht="15">
      <c r="A695" s="87" t="s">
        <v>3359</v>
      </c>
      <c r="B695" s="86" t="s">
        <v>3356</v>
      </c>
      <c r="C695" s="86">
        <v>2</v>
      </c>
      <c r="D695" s="115">
        <v>0.0010539515853987067</v>
      </c>
      <c r="E695" s="115">
        <v>0.43444951036144597</v>
      </c>
      <c r="F695" s="86" t="s">
        <v>3161</v>
      </c>
      <c r="G695" s="86" t="b">
        <v>0</v>
      </c>
      <c r="H695" s="86" t="b">
        <v>0</v>
      </c>
      <c r="I695" s="86" t="b">
        <v>0</v>
      </c>
      <c r="J695" s="86" t="b">
        <v>0</v>
      </c>
      <c r="K695" s="86" t="b">
        <v>0</v>
      </c>
      <c r="L695" s="86" t="b">
        <v>0</v>
      </c>
    </row>
    <row r="696" spans="1:12" ht="15">
      <c r="A696" s="87" t="s">
        <v>3307</v>
      </c>
      <c r="B696" s="86" t="s">
        <v>4205</v>
      </c>
      <c r="C696" s="86">
        <v>2</v>
      </c>
      <c r="D696" s="115">
        <v>0.0010539515853987067</v>
      </c>
      <c r="E696" s="115">
        <v>1.646929448670995</v>
      </c>
      <c r="F696" s="86" t="s">
        <v>3161</v>
      </c>
      <c r="G696" s="86" t="b">
        <v>0</v>
      </c>
      <c r="H696" s="86" t="b">
        <v>0</v>
      </c>
      <c r="I696" s="86" t="b">
        <v>0</v>
      </c>
      <c r="J696" s="86" t="b">
        <v>0</v>
      </c>
      <c r="K696" s="86" t="b">
        <v>0</v>
      </c>
      <c r="L696" s="86" t="b">
        <v>0</v>
      </c>
    </row>
    <row r="697" spans="1:12" ht="15">
      <c r="A697" s="87" t="s">
        <v>4205</v>
      </c>
      <c r="B697" s="86" t="s">
        <v>4112</v>
      </c>
      <c r="C697" s="86">
        <v>2</v>
      </c>
      <c r="D697" s="115">
        <v>0.0010539515853987067</v>
      </c>
      <c r="E697" s="115">
        <v>3.2597133053907306</v>
      </c>
      <c r="F697" s="86" t="s">
        <v>3161</v>
      </c>
      <c r="G697" s="86" t="b">
        <v>0</v>
      </c>
      <c r="H697" s="86" t="b">
        <v>0</v>
      </c>
      <c r="I697" s="86" t="b">
        <v>0</v>
      </c>
      <c r="J697" s="86" t="b">
        <v>1</v>
      </c>
      <c r="K697" s="86" t="b">
        <v>0</v>
      </c>
      <c r="L697" s="86" t="b">
        <v>0</v>
      </c>
    </row>
    <row r="698" spans="1:12" ht="15">
      <c r="A698" s="87" t="s">
        <v>3355</v>
      </c>
      <c r="B698" s="86" t="s">
        <v>3376</v>
      </c>
      <c r="C698" s="86">
        <v>2</v>
      </c>
      <c r="D698" s="115">
        <v>0.0010539515853987067</v>
      </c>
      <c r="E698" s="115">
        <v>1.0583161810702792</v>
      </c>
      <c r="F698" s="86" t="s">
        <v>3161</v>
      </c>
      <c r="G698" s="86" t="b">
        <v>0</v>
      </c>
      <c r="H698" s="86" t="b">
        <v>0</v>
      </c>
      <c r="I698" s="86" t="b">
        <v>0</v>
      </c>
      <c r="J698" s="86" t="b">
        <v>0</v>
      </c>
      <c r="K698" s="86" t="b">
        <v>0</v>
      </c>
      <c r="L698" s="86" t="b">
        <v>0</v>
      </c>
    </row>
    <row r="699" spans="1:12" ht="15">
      <c r="A699" s="87" t="s">
        <v>4020</v>
      </c>
      <c r="B699" s="86" t="s">
        <v>3355</v>
      </c>
      <c r="C699" s="86">
        <v>2</v>
      </c>
      <c r="D699" s="115">
        <v>0.0010539515853987067</v>
      </c>
      <c r="E699" s="115">
        <v>-0.004514042365501688</v>
      </c>
      <c r="F699" s="86" t="s">
        <v>3161</v>
      </c>
      <c r="G699" s="86" t="b">
        <v>0</v>
      </c>
      <c r="H699" s="86" t="b">
        <v>1</v>
      </c>
      <c r="I699" s="86" t="b">
        <v>0</v>
      </c>
      <c r="J699" s="86" t="b">
        <v>0</v>
      </c>
      <c r="K699" s="86" t="b">
        <v>0</v>
      </c>
      <c r="L699" s="86" t="b">
        <v>0</v>
      </c>
    </row>
    <row r="700" spans="1:12" ht="15">
      <c r="A700" s="87" t="s">
        <v>3356</v>
      </c>
      <c r="B700" s="86" t="s">
        <v>3366</v>
      </c>
      <c r="C700" s="86">
        <v>2</v>
      </c>
      <c r="D700" s="115">
        <v>0.0010539515853987067</v>
      </c>
      <c r="E700" s="115">
        <v>0.470838189615314</v>
      </c>
      <c r="F700" s="86" t="s">
        <v>3161</v>
      </c>
      <c r="G700" s="86" t="b">
        <v>0</v>
      </c>
      <c r="H700" s="86" t="b">
        <v>0</v>
      </c>
      <c r="I700" s="86" t="b">
        <v>0</v>
      </c>
      <c r="J700" s="86" t="b">
        <v>0</v>
      </c>
      <c r="K700" s="86" t="b">
        <v>0</v>
      </c>
      <c r="L700" s="86" t="b">
        <v>0</v>
      </c>
    </row>
    <row r="701" spans="1:12" ht="15">
      <c r="A701" s="87" t="s">
        <v>4209</v>
      </c>
      <c r="B701" s="86" t="s">
        <v>4088</v>
      </c>
      <c r="C701" s="86">
        <v>2</v>
      </c>
      <c r="D701" s="115">
        <v>0.0010539515853987067</v>
      </c>
      <c r="E701" s="115">
        <v>2.9586833097267493</v>
      </c>
      <c r="F701" s="86" t="s">
        <v>3161</v>
      </c>
      <c r="G701" s="86" t="b">
        <v>0</v>
      </c>
      <c r="H701" s="86" t="b">
        <v>0</v>
      </c>
      <c r="I701" s="86" t="b">
        <v>0</v>
      </c>
      <c r="J701" s="86" t="b">
        <v>0</v>
      </c>
      <c r="K701" s="86" t="b">
        <v>0</v>
      </c>
      <c r="L701" s="86" t="b">
        <v>0</v>
      </c>
    </row>
    <row r="702" spans="1:12" ht="15">
      <c r="A702" s="87" t="s">
        <v>3356</v>
      </c>
      <c r="B702" s="86" t="s">
        <v>3376</v>
      </c>
      <c r="C702" s="86">
        <v>2</v>
      </c>
      <c r="D702" s="115">
        <v>0.0010539515853987067</v>
      </c>
      <c r="E702" s="115">
        <v>0.6926869392316705</v>
      </c>
      <c r="F702" s="86" t="s">
        <v>3161</v>
      </c>
      <c r="G702" s="86" t="b">
        <v>0</v>
      </c>
      <c r="H702" s="86" t="b">
        <v>0</v>
      </c>
      <c r="I702" s="86" t="b">
        <v>0</v>
      </c>
      <c r="J702" s="86" t="b">
        <v>0</v>
      </c>
      <c r="K702" s="86" t="b">
        <v>0</v>
      </c>
      <c r="L702" s="86" t="b">
        <v>0</v>
      </c>
    </row>
    <row r="703" spans="1:12" ht="15">
      <c r="A703" s="87" t="s">
        <v>4072</v>
      </c>
      <c r="B703" s="86" t="s">
        <v>4302</v>
      </c>
      <c r="C703" s="86">
        <v>2</v>
      </c>
      <c r="D703" s="115">
        <v>0.0010539515853987067</v>
      </c>
      <c r="E703" s="115">
        <v>2.606500791615387</v>
      </c>
      <c r="F703" s="86" t="s">
        <v>3161</v>
      </c>
      <c r="G703" s="86" t="b">
        <v>0</v>
      </c>
      <c r="H703" s="86" t="b">
        <v>0</v>
      </c>
      <c r="I703" s="86" t="b">
        <v>0</v>
      </c>
      <c r="J703" s="86" t="b">
        <v>0</v>
      </c>
      <c r="K703" s="86" t="b">
        <v>0</v>
      </c>
      <c r="L703" s="86" t="b">
        <v>0</v>
      </c>
    </row>
    <row r="704" spans="1:12" ht="15">
      <c r="A704" s="87" t="s">
        <v>4051</v>
      </c>
      <c r="B704" s="86" t="s">
        <v>4062</v>
      </c>
      <c r="C704" s="86">
        <v>2</v>
      </c>
      <c r="D704" s="115">
        <v>0.0010539515853987067</v>
      </c>
      <c r="E704" s="115">
        <v>1.3432593568408058</v>
      </c>
      <c r="F704" s="86" t="s">
        <v>3161</v>
      </c>
      <c r="G704" s="86" t="b">
        <v>0</v>
      </c>
      <c r="H704" s="86" t="b">
        <v>0</v>
      </c>
      <c r="I704" s="86" t="b">
        <v>0</v>
      </c>
      <c r="J704" s="86" t="b">
        <v>0</v>
      </c>
      <c r="K704" s="86" t="b">
        <v>0</v>
      </c>
      <c r="L704" s="86" t="b">
        <v>0</v>
      </c>
    </row>
    <row r="705" spans="1:12" ht="15">
      <c r="A705" s="87" t="s">
        <v>4062</v>
      </c>
      <c r="B705" s="86" t="s">
        <v>3356</v>
      </c>
      <c r="C705" s="86">
        <v>2</v>
      </c>
      <c r="D705" s="115">
        <v>0.0010539515853987067</v>
      </c>
      <c r="E705" s="115">
        <v>1.1334195146974646</v>
      </c>
      <c r="F705" s="86" t="s">
        <v>3161</v>
      </c>
      <c r="G705" s="86" t="b">
        <v>0</v>
      </c>
      <c r="H705" s="86" t="b">
        <v>0</v>
      </c>
      <c r="I705" s="86" t="b">
        <v>0</v>
      </c>
      <c r="J705" s="86" t="b">
        <v>0</v>
      </c>
      <c r="K705" s="86" t="b">
        <v>0</v>
      </c>
      <c r="L705" s="86" t="b">
        <v>0</v>
      </c>
    </row>
    <row r="706" spans="1:12" ht="15">
      <c r="A706" s="87" t="s">
        <v>4181</v>
      </c>
      <c r="B706" s="86" t="s">
        <v>4182</v>
      </c>
      <c r="C706" s="86">
        <v>2</v>
      </c>
      <c r="D706" s="115">
        <v>0.0010539515853987067</v>
      </c>
      <c r="E706" s="115">
        <v>2.9075307872793683</v>
      </c>
      <c r="F706" s="86" t="s">
        <v>3161</v>
      </c>
      <c r="G706" s="86" t="b">
        <v>0</v>
      </c>
      <c r="H706" s="86" t="b">
        <v>0</v>
      </c>
      <c r="I706" s="86" t="b">
        <v>0</v>
      </c>
      <c r="J706" s="86" t="b">
        <v>0</v>
      </c>
      <c r="K706" s="86" t="b">
        <v>0</v>
      </c>
      <c r="L706" s="86" t="b">
        <v>0</v>
      </c>
    </row>
    <row r="707" spans="1:12" ht="15">
      <c r="A707" s="87" t="s">
        <v>4182</v>
      </c>
      <c r="B707" s="86" t="s">
        <v>4057</v>
      </c>
      <c r="C707" s="86">
        <v>2</v>
      </c>
      <c r="D707" s="115">
        <v>0.0010539515853987067</v>
      </c>
      <c r="E707" s="115">
        <v>2.2385240063207927</v>
      </c>
      <c r="F707" s="86" t="s">
        <v>3161</v>
      </c>
      <c r="G707" s="86" t="b">
        <v>0</v>
      </c>
      <c r="H707" s="86" t="b">
        <v>0</v>
      </c>
      <c r="I707" s="86" t="b">
        <v>0</v>
      </c>
      <c r="J707" s="86" t="b">
        <v>0</v>
      </c>
      <c r="K707" s="86" t="b">
        <v>0</v>
      </c>
      <c r="L707" s="86" t="b">
        <v>0</v>
      </c>
    </row>
    <row r="708" spans="1:12" ht="15">
      <c r="A708" s="87" t="s">
        <v>4057</v>
      </c>
      <c r="B708" s="86" t="s">
        <v>4042</v>
      </c>
      <c r="C708" s="86">
        <v>2</v>
      </c>
      <c r="D708" s="115">
        <v>0.0010539515853987067</v>
      </c>
      <c r="E708" s="115">
        <v>1.268487229698236</v>
      </c>
      <c r="F708" s="86" t="s">
        <v>3161</v>
      </c>
      <c r="G708" s="86" t="b">
        <v>0</v>
      </c>
      <c r="H708" s="86" t="b">
        <v>0</v>
      </c>
      <c r="I708" s="86" t="b">
        <v>0</v>
      </c>
      <c r="J708" s="86" t="b">
        <v>0</v>
      </c>
      <c r="K708" s="86" t="b">
        <v>0</v>
      </c>
      <c r="L708" s="86" t="b">
        <v>0</v>
      </c>
    </row>
    <row r="709" spans="1:12" ht="15">
      <c r="A709" s="87" t="s">
        <v>3354</v>
      </c>
      <c r="B709" s="86" t="s">
        <v>4057</v>
      </c>
      <c r="C709" s="86">
        <v>2</v>
      </c>
      <c r="D709" s="115">
        <v>0.0010539515853987067</v>
      </c>
      <c r="E709" s="115">
        <v>0.7244191853479602</v>
      </c>
      <c r="F709" s="86" t="s">
        <v>3161</v>
      </c>
      <c r="G709" s="86" t="b">
        <v>0</v>
      </c>
      <c r="H709" s="86" t="b">
        <v>0</v>
      </c>
      <c r="I709" s="86" t="b">
        <v>0</v>
      </c>
      <c r="J709" s="86" t="b">
        <v>0</v>
      </c>
      <c r="K709" s="86" t="b">
        <v>0</v>
      </c>
      <c r="L709" s="86" t="b">
        <v>0</v>
      </c>
    </row>
    <row r="710" spans="1:12" ht="15">
      <c r="A710" s="87" t="s">
        <v>4057</v>
      </c>
      <c r="B710" s="86" t="s">
        <v>4221</v>
      </c>
      <c r="C710" s="86">
        <v>2</v>
      </c>
      <c r="D710" s="115">
        <v>0.0010539515853987067</v>
      </c>
      <c r="E710" s="115">
        <v>2.2385240063207927</v>
      </c>
      <c r="F710" s="86" t="s">
        <v>3161</v>
      </c>
      <c r="G710" s="86" t="b">
        <v>0</v>
      </c>
      <c r="H710" s="86" t="b">
        <v>0</v>
      </c>
      <c r="I710" s="86" t="b">
        <v>0</v>
      </c>
      <c r="J710" s="86" t="b">
        <v>0</v>
      </c>
      <c r="K710" s="86" t="b">
        <v>0</v>
      </c>
      <c r="L710" s="86" t="b">
        <v>0</v>
      </c>
    </row>
    <row r="711" spans="1:12" ht="15">
      <c r="A711" s="87" t="s">
        <v>3370</v>
      </c>
      <c r="B711" s="86" t="s">
        <v>3307</v>
      </c>
      <c r="C711" s="86">
        <v>2</v>
      </c>
      <c r="D711" s="115">
        <v>0.0010539515853987067</v>
      </c>
      <c r="E711" s="115">
        <v>1.4925574393085503</v>
      </c>
      <c r="F711" s="86" t="s">
        <v>3161</v>
      </c>
      <c r="G711" s="86" t="b">
        <v>0</v>
      </c>
      <c r="H711" s="86" t="b">
        <v>0</v>
      </c>
      <c r="I711" s="86" t="b">
        <v>0</v>
      </c>
      <c r="J711" s="86" t="b">
        <v>0</v>
      </c>
      <c r="K711" s="86" t="b">
        <v>0</v>
      </c>
      <c r="L711" s="86" t="b">
        <v>0</v>
      </c>
    </row>
    <row r="712" spans="1:12" ht="15">
      <c r="A712" s="87" t="s">
        <v>4104</v>
      </c>
      <c r="B712" s="86" t="s">
        <v>3307</v>
      </c>
      <c r="C712" s="86">
        <v>2</v>
      </c>
      <c r="D712" s="115">
        <v>0.0010539515853987067</v>
      </c>
      <c r="E712" s="115">
        <v>1.124580654013956</v>
      </c>
      <c r="F712" s="86" t="s">
        <v>3161</v>
      </c>
      <c r="G712" s="86" t="b">
        <v>0</v>
      </c>
      <c r="H712" s="86" t="b">
        <v>0</v>
      </c>
      <c r="I712" s="86" t="b">
        <v>0</v>
      </c>
      <c r="J712" s="86" t="b">
        <v>0</v>
      </c>
      <c r="K712" s="86" t="b">
        <v>0</v>
      </c>
      <c r="L712" s="86" t="b">
        <v>0</v>
      </c>
    </row>
    <row r="713" spans="1:12" ht="15">
      <c r="A713" s="87" t="s">
        <v>3307</v>
      </c>
      <c r="B713" s="86" t="s">
        <v>4126</v>
      </c>
      <c r="C713" s="86">
        <v>2</v>
      </c>
      <c r="D713" s="115">
        <v>0.0010539515853987067</v>
      </c>
      <c r="E713" s="115">
        <v>1.1698081939513327</v>
      </c>
      <c r="F713" s="86" t="s">
        <v>3161</v>
      </c>
      <c r="G713" s="86" t="b">
        <v>0</v>
      </c>
      <c r="H713" s="86" t="b">
        <v>0</v>
      </c>
      <c r="I713" s="86" t="b">
        <v>0</v>
      </c>
      <c r="J713" s="86" t="b">
        <v>0</v>
      </c>
      <c r="K713" s="86" t="b">
        <v>0</v>
      </c>
      <c r="L713" s="86" t="b">
        <v>0</v>
      </c>
    </row>
    <row r="714" spans="1:12" ht="15">
      <c r="A714" s="87" t="s">
        <v>4106</v>
      </c>
      <c r="B714" s="86" t="s">
        <v>4294</v>
      </c>
      <c r="C714" s="86">
        <v>2</v>
      </c>
      <c r="D714" s="115">
        <v>0.0010539515853987067</v>
      </c>
      <c r="E714" s="115">
        <v>2.7825920506710684</v>
      </c>
      <c r="F714" s="86" t="s">
        <v>3161</v>
      </c>
      <c r="G714" s="86" t="b">
        <v>0</v>
      </c>
      <c r="H714" s="86" t="b">
        <v>0</v>
      </c>
      <c r="I714" s="86" t="b">
        <v>0</v>
      </c>
      <c r="J714" s="86" t="b">
        <v>0</v>
      </c>
      <c r="K714" s="86" t="b">
        <v>0</v>
      </c>
      <c r="L714" s="86" t="b">
        <v>0</v>
      </c>
    </row>
    <row r="715" spans="1:12" ht="15">
      <c r="A715" s="87" t="s">
        <v>4294</v>
      </c>
      <c r="B715" s="86" t="s">
        <v>4041</v>
      </c>
      <c r="C715" s="86">
        <v>2</v>
      </c>
      <c r="D715" s="115">
        <v>0.0010539515853987067</v>
      </c>
      <c r="E715" s="115">
        <v>2.1293795368957245</v>
      </c>
      <c r="F715" s="86" t="s">
        <v>3161</v>
      </c>
      <c r="G715" s="86" t="b">
        <v>0</v>
      </c>
      <c r="H715" s="86" t="b">
        <v>0</v>
      </c>
      <c r="I715" s="86" t="b">
        <v>0</v>
      </c>
      <c r="J715" s="86" t="b">
        <v>0</v>
      </c>
      <c r="K715" s="86" t="b">
        <v>0</v>
      </c>
      <c r="L715" s="86" t="b">
        <v>0</v>
      </c>
    </row>
    <row r="716" spans="1:12" ht="15">
      <c r="A716" s="87" t="s">
        <v>3354</v>
      </c>
      <c r="B716" s="86" t="s">
        <v>3355</v>
      </c>
      <c r="C716" s="86">
        <v>13</v>
      </c>
      <c r="D716" s="115">
        <v>0.009934014019073576</v>
      </c>
      <c r="E716" s="115">
        <v>1.0454012229958418</v>
      </c>
      <c r="F716" s="86" t="s">
        <v>3162</v>
      </c>
      <c r="G716" s="86" t="b">
        <v>0</v>
      </c>
      <c r="H716" s="86" t="b">
        <v>0</v>
      </c>
      <c r="I716" s="86" t="b">
        <v>0</v>
      </c>
      <c r="J716" s="86" t="b">
        <v>0</v>
      </c>
      <c r="K716" s="86" t="b">
        <v>0</v>
      </c>
      <c r="L716" s="86" t="b">
        <v>0</v>
      </c>
    </row>
    <row r="717" spans="1:12" ht="15">
      <c r="A717" s="87" t="s">
        <v>3368</v>
      </c>
      <c r="B717" s="86" t="s">
        <v>3367</v>
      </c>
      <c r="C717" s="86">
        <v>12</v>
      </c>
      <c r="D717" s="115">
        <v>0.010084651364508717</v>
      </c>
      <c r="E717" s="115">
        <v>1.5164845227181871</v>
      </c>
      <c r="F717" s="86" t="s">
        <v>3162</v>
      </c>
      <c r="G717" s="86" t="b">
        <v>0</v>
      </c>
      <c r="H717" s="86" t="b">
        <v>0</v>
      </c>
      <c r="I717" s="86" t="b">
        <v>0</v>
      </c>
      <c r="J717" s="86" t="b">
        <v>0</v>
      </c>
      <c r="K717" s="86" t="b">
        <v>0</v>
      </c>
      <c r="L717" s="86" t="b">
        <v>0</v>
      </c>
    </row>
    <row r="718" spans="1:12" ht="15">
      <c r="A718" s="87" t="s">
        <v>3367</v>
      </c>
      <c r="B718" s="86" t="s">
        <v>3356</v>
      </c>
      <c r="C718" s="86">
        <v>12</v>
      </c>
      <c r="D718" s="115">
        <v>0.010084651364508717</v>
      </c>
      <c r="E718" s="115">
        <v>1.426307892369099</v>
      </c>
      <c r="F718" s="86" t="s">
        <v>3162</v>
      </c>
      <c r="G718" s="86" t="b">
        <v>0</v>
      </c>
      <c r="H718" s="86" t="b">
        <v>0</v>
      </c>
      <c r="I718" s="86" t="b">
        <v>0</v>
      </c>
      <c r="J718" s="86" t="b">
        <v>0</v>
      </c>
      <c r="K718" s="86" t="b">
        <v>0</v>
      </c>
      <c r="L718" s="86" t="b">
        <v>0</v>
      </c>
    </row>
    <row r="719" spans="1:12" ht="15">
      <c r="A719" s="87" t="s">
        <v>3356</v>
      </c>
      <c r="B719" s="86" t="s">
        <v>3366</v>
      </c>
      <c r="C719" s="86">
        <v>11</v>
      </c>
      <c r="D719" s="115">
        <v>0.010155829912605354</v>
      </c>
      <c r="E719" s="115">
        <v>1.302604702773106</v>
      </c>
      <c r="F719" s="86" t="s">
        <v>3162</v>
      </c>
      <c r="G719" s="86" t="b">
        <v>0</v>
      </c>
      <c r="H719" s="86" t="b">
        <v>0</v>
      </c>
      <c r="I719" s="86" t="b">
        <v>0</v>
      </c>
      <c r="J719" s="86" t="b">
        <v>0</v>
      </c>
      <c r="K719" s="86" t="b">
        <v>0</v>
      </c>
      <c r="L719" s="86" t="b">
        <v>0</v>
      </c>
    </row>
    <row r="720" spans="1:12" ht="15">
      <c r="A720" s="87" t="s">
        <v>3366</v>
      </c>
      <c r="B720" s="86" t="s">
        <v>3354</v>
      </c>
      <c r="C720" s="86">
        <v>10</v>
      </c>
      <c r="D720" s="115">
        <v>0.010140306971468335</v>
      </c>
      <c r="E720" s="115">
        <v>1.1832698436828046</v>
      </c>
      <c r="F720" s="86" t="s">
        <v>3162</v>
      </c>
      <c r="G720" s="86" t="b">
        <v>0</v>
      </c>
      <c r="H720" s="86" t="b">
        <v>0</v>
      </c>
      <c r="I720" s="86" t="b">
        <v>0</v>
      </c>
      <c r="J720" s="86" t="b">
        <v>0</v>
      </c>
      <c r="K720" s="86" t="b">
        <v>0</v>
      </c>
      <c r="L720" s="86" t="b">
        <v>0</v>
      </c>
    </row>
    <row r="721" spans="1:12" ht="15">
      <c r="A721" s="87" t="s">
        <v>3327</v>
      </c>
      <c r="B721" s="86" t="s">
        <v>4020</v>
      </c>
      <c r="C721" s="86">
        <v>5</v>
      </c>
      <c r="D721" s="115">
        <v>0.00837092098204975</v>
      </c>
      <c r="E721" s="115">
        <v>1.785329835010767</v>
      </c>
      <c r="F721" s="86" t="s">
        <v>3162</v>
      </c>
      <c r="G721" s="86" t="b">
        <v>0</v>
      </c>
      <c r="H721" s="86" t="b">
        <v>0</v>
      </c>
      <c r="I721" s="86" t="b">
        <v>0</v>
      </c>
      <c r="J721" s="86" t="b">
        <v>0</v>
      </c>
      <c r="K721" s="86" t="b">
        <v>1</v>
      </c>
      <c r="L721" s="86" t="b">
        <v>0</v>
      </c>
    </row>
    <row r="722" spans="1:12" ht="15">
      <c r="A722" s="87" t="s">
        <v>3357</v>
      </c>
      <c r="B722" s="86" t="s">
        <v>3354</v>
      </c>
      <c r="C722" s="86">
        <v>4</v>
      </c>
      <c r="D722" s="115">
        <v>0.007546824619043804</v>
      </c>
      <c r="E722" s="115">
        <v>0.8522766246413802</v>
      </c>
      <c r="F722" s="86" t="s">
        <v>3162</v>
      </c>
      <c r="G722" s="86" t="b">
        <v>0</v>
      </c>
      <c r="H722" s="86" t="b">
        <v>0</v>
      </c>
      <c r="I722" s="86" t="b">
        <v>0</v>
      </c>
      <c r="J722" s="86" t="b">
        <v>0</v>
      </c>
      <c r="K722" s="86" t="b">
        <v>0</v>
      </c>
      <c r="L722" s="86" t="b">
        <v>0</v>
      </c>
    </row>
    <row r="723" spans="1:12" ht="15">
      <c r="A723" s="87" t="s">
        <v>3355</v>
      </c>
      <c r="B723" s="86" t="s">
        <v>381</v>
      </c>
      <c r="C723" s="86">
        <v>4</v>
      </c>
      <c r="D723" s="115">
        <v>0.007546824619043804</v>
      </c>
      <c r="E723" s="115">
        <v>1.5890351898667987</v>
      </c>
      <c r="F723" s="86" t="s">
        <v>3162</v>
      </c>
      <c r="G723" s="86" t="b">
        <v>0</v>
      </c>
      <c r="H723" s="86" t="b">
        <v>0</v>
      </c>
      <c r="I723" s="86" t="b">
        <v>0</v>
      </c>
      <c r="J723" s="86" t="b">
        <v>0</v>
      </c>
      <c r="K723" s="86" t="b">
        <v>0</v>
      </c>
      <c r="L723" s="86" t="b">
        <v>0</v>
      </c>
    </row>
    <row r="724" spans="1:12" ht="15">
      <c r="A724" s="87" t="s">
        <v>381</v>
      </c>
      <c r="B724" s="86" t="s">
        <v>493</v>
      </c>
      <c r="C724" s="86">
        <v>4</v>
      </c>
      <c r="D724" s="115">
        <v>0.007546824619043804</v>
      </c>
      <c r="E724" s="115">
        <v>2.0283678836970616</v>
      </c>
      <c r="F724" s="86" t="s">
        <v>3162</v>
      </c>
      <c r="G724" s="86" t="b">
        <v>0</v>
      </c>
      <c r="H724" s="86" t="b">
        <v>0</v>
      </c>
      <c r="I724" s="86" t="b">
        <v>0</v>
      </c>
      <c r="J724" s="86" t="b">
        <v>0</v>
      </c>
      <c r="K724" s="86" t="b">
        <v>0</v>
      </c>
      <c r="L724" s="86" t="b">
        <v>0</v>
      </c>
    </row>
    <row r="725" spans="1:12" ht="15">
      <c r="A725" s="87" t="s">
        <v>4025</v>
      </c>
      <c r="B725" s="86" t="s">
        <v>3360</v>
      </c>
      <c r="C725" s="86">
        <v>3</v>
      </c>
      <c r="D725" s="115">
        <v>0.006482083836705879</v>
      </c>
      <c r="E725" s="115">
        <v>1.931457870689005</v>
      </c>
      <c r="F725" s="86" t="s">
        <v>3162</v>
      </c>
      <c r="G725" s="86" t="b">
        <v>0</v>
      </c>
      <c r="H725" s="86" t="b">
        <v>0</v>
      </c>
      <c r="I725" s="86" t="b">
        <v>0</v>
      </c>
      <c r="J725" s="86" t="b">
        <v>0</v>
      </c>
      <c r="K725" s="86" t="b">
        <v>0</v>
      </c>
      <c r="L725" s="86" t="b">
        <v>0</v>
      </c>
    </row>
    <row r="726" spans="1:12" ht="15">
      <c r="A726" s="87" t="s">
        <v>3355</v>
      </c>
      <c r="B726" s="86" t="s">
        <v>4217</v>
      </c>
      <c r="C726" s="86">
        <v>3</v>
      </c>
      <c r="D726" s="115">
        <v>0.006482083836705879</v>
      </c>
      <c r="E726" s="115">
        <v>1.5890351898667987</v>
      </c>
      <c r="F726" s="86" t="s">
        <v>3162</v>
      </c>
      <c r="G726" s="86" t="b">
        <v>0</v>
      </c>
      <c r="H726" s="86" t="b">
        <v>0</v>
      </c>
      <c r="I726" s="86" t="b">
        <v>0</v>
      </c>
      <c r="J726" s="86" t="b">
        <v>0</v>
      </c>
      <c r="K726" s="86" t="b">
        <v>0</v>
      </c>
      <c r="L726" s="86" t="b">
        <v>0</v>
      </c>
    </row>
    <row r="727" spans="1:12" ht="15">
      <c r="A727" s="87" t="s">
        <v>4037</v>
      </c>
      <c r="B727" s="86" t="s">
        <v>4038</v>
      </c>
      <c r="C727" s="86">
        <v>3</v>
      </c>
      <c r="D727" s="115">
        <v>0.006482083836705879</v>
      </c>
      <c r="E727" s="115">
        <v>2.1533066203053615</v>
      </c>
      <c r="F727" s="86" t="s">
        <v>3162</v>
      </c>
      <c r="G727" s="86" t="b">
        <v>0</v>
      </c>
      <c r="H727" s="86" t="b">
        <v>0</v>
      </c>
      <c r="I727" s="86" t="b">
        <v>0</v>
      </c>
      <c r="J727" s="86" t="b">
        <v>0</v>
      </c>
      <c r="K727" s="86" t="b">
        <v>0</v>
      </c>
      <c r="L727" s="86" t="b">
        <v>0</v>
      </c>
    </row>
    <row r="728" spans="1:12" ht="15">
      <c r="A728" s="87" t="s">
        <v>3358</v>
      </c>
      <c r="B728" s="86" t="s">
        <v>3355</v>
      </c>
      <c r="C728" s="86">
        <v>3</v>
      </c>
      <c r="D728" s="115">
        <v>0.006482083836705879</v>
      </c>
      <c r="E728" s="115">
        <v>0.8645110810583918</v>
      </c>
      <c r="F728" s="86" t="s">
        <v>3162</v>
      </c>
      <c r="G728" s="86" t="b">
        <v>0</v>
      </c>
      <c r="H728" s="86" t="b">
        <v>0</v>
      </c>
      <c r="I728" s="86" t="b">
        <v>0</v>
      </c>
      <c r="J728" s="86" t="b">
        <v>0</v>
      </c>
      <c r="K728" s="86" t="b">
        <v>0</v>
      </c>
      <c r="L728" s="86" t="b">
        <v>0</v>
      </c>
    </row>
    <row r="729" spans="1:12" ht="15">
      <c r="A729" s="87" t="s">
        <v>3357</v>
      </c>
      <c r="B729" s="86" t="s">
        <v>3355</v>
      </c>
      <c r="C729" s="86">
        <v>3</v>
      </c>
      <c r="D729" s="115">
        <v>0.006482083836705879</v>
      </c>
      <c r="E729" s="115">
        <v>0.630427875025024</v>
      </c>
      <c r="F729" s="86" t="s">
        <v>3162</v>
      </c>
      <c r="G729" s="86" t="b">
        <v>0</v>
      </c>
      <c r="H729" s="86" t="b">
        <v>0</v>
      </c>
      <c r="I729" s="86" t="b">
        <v>0</v>
      </c>
      <c r="J729" s="86" t="b">
        <v>0</v>
      </c>
      <c r="K729" s="86" t="b">
        <v>0</v>
      </c>
      <c r="L729" s="86" t="b">
        <v>0</v>
      </c>
    </row>
    <row r="730" spans="1:12" ht="15">
      <c r="A730" s="87" t="s">
        <v>3381</v>
      </c>
      <c r="B730" s="86" t="s">
        <v>3307</v>
      </c>
      <c r="C730" s="86">
        <v>3</v>
      </c>
      <c r="D730" s="115">
        <v>0.007640578962072203</v>
      </c>
      <c r="E730" s="115">
        <v>1.2624510897304293</v>
      </c>
      <c r="F730" s="86" t="s">
        <v>3162</v>
      </c>
      <c r="G730" s="86" t="b">
        <v>0</v>
      </c>
      <c r="H730" s="86" t="b">
        <v>0</v>
      </c>
      <c r="I730" s="86" t="b">
        <v>0</v>
      </c>
      <c r="J730" s="86" t="b">
        <v>0</v>
      </c>
      <c r="K730" s="86" t="b">
        <v>0</v>
      </c>
      <c r="L730" s="86" t="b">
        <v>0</v>
      </c>
    </row>
    <row r="731" spans="1:12" ht="15">
      <c r="A731" s="87" t="s">
        <v>3356</v>
      </c>
      <c r="B731" s="86" t="s">
        <v>3355</v>
      </c>
      <c r="C731" s="86">
        <v>2</v>
      </c>
      <c r="D731" s="115">
        <v>0.005093719308048135</v>
      </c>
      <c r="E731" s="115">
        <v>0.2782453569136613</v>
      </c>
      <c r="F731" s="86" t="s">
        <v>3162</v>
      </c>
      <c r="G731" s="86" t="b">
        <v>0</v>
      </c>
      <c r="H731" s="86" t="b">
        <v>0</v>
      </c>
      <c r="I731" s="86" t="b">
        <v>0</v>
      </c>
      <c r="J731" s="86" t="b">
        <v>0</v>
      </c>
      <c r="K731" s="86" t="b">
        <v>0</v>
      </c>
      <c r="L731" s="86" t="b">
        <v>0</v>
      </c>
    </row>
    <row r="732" spans="1:12" ht="15">
      <c r="A732" s="87" t="s">
        <v>4024</v>
      </c>
      <c r="B732" s="86" t="s">
        <v>4025</v>
      </c>
      <c r="C732" s="86">
        <v>2</v>
      </c>
      <c r="D732" s="115">
        <v>0.005093719308048135</v>
      </c>
      <c r="E732" s="115">
        <v>1.9772153612496801</v>
      </c>
      <c r="F732" s="86" t="s">
        <v>3162</v>
      </c>
      <c r="G732" s="86" t="b">
        <v>0</v>
      </c>
      <c r="H732" s="86" t="b">
        <v>0</v>
      </c>
      <c r="I732" s="86" t="b">
        <v>0</v>
      </c>
      <c r="J732" s="86" t="b">
        <v>0</v>
      </c>
      <c r="K732" s="86" t="b">
        <v>0</v>
      </c>
      <c r="L732" s="86" t="b">
        <v>0</v>
      </c>
    </row>
    <row r="733" spans="1:12" ht="15">
      <c r="A733" s="87" t="s">
        <v>3356</v>
      </c>
      <c r="B733" s="86" t="s">
        <v>4039</v>
      </c>
      <c r="C733" s="86">
        <v>2</v>
      </c>
      <c r="D733" s="115">
        <v>0.005093719308048135</v>
      </c>
      <c r="E733" s="115">
        <v>1.1990641108660367</v>
      </c>
      <c r="F733" s="86" t="s">
        <v>3162</v>
      </c>
      <c r="G733" s="86" t="b">
        <v>0</v>
      </c>
      <c r="H733" s="86" t="b">
        <v>0</v>
      </c>
      <c r="I733" s="86" t="b">
        <v>0</v>
      </c>
      <c r="J733" s="86" t="b">
        <v>0</v>
      </c>
      <c r="K733" s="86" t="b">
        <v>0</v>
      </c>
      <c r="L733" s="86" t="b">
        <v>0</v>
      </c>
    </row>
    <row r="734" spans="1:12" ht="15">
      <c r="A734" s="87" t="s">
        <v>4039</v>
      </c>
      <c r="B734" s="86" t="s">
        <v>4045</v>
      </c>
      <c r="C734" s="86">
        <v>2</v>
      </c>
      <c r="D734" s="115">
        <v>0.005093719308048135</v>
      </c>
      <c r="E734" s="115">
        <v>2.1533066203053615</v>
      </c>
      <c r="F734" s="86" t="s">
        <v>3162</v>
      </c>
      <c r="G734" s="86" t="b">
        <v>0</v>
      </c>
      <c r="H734" s="86" t="b">
        <v>0</v>
      </c>
      <c r="I734" s="86" t="b">
        <v>0</v>
      </c>
      <c r="J734" s="86" t="b">
        <v>0</v>
      </c>
      <c r="K734" s="86" t="b">
        <v>0</v>
      </c>
      <c r="L734" s="86" t="b">
        <v>0</v>
      </c>
    </row>
    <row r="735" spans="1:12" ht="15">
      <c r="A735" s="87" t="s">
        <v>4045</v>
      </c>
      <c r="B735" s="86" t="s">
        <v>4032</v>
      </c>
      <c r="C735" s="86">
        <v>2</v>
      </c>
      <c r="D735" s="115">
        <v>0.005093719308048135</v>
      </c>
      <c r="E735" s="115">
        <v>2.329397879361043</v>
      </c>
      <c r="F735" s="86" t="s">
        <v>3162</v>
      </c>
      <c r="G735" s="86" t="b">
        <v>0</v>
      </c>
      <c r="H735" s="86" t="b">
        <v>0</v>
      </c>
      <c r="I735" s="86" t="b">
        <v>0</v>
      </c>
      <c r="J735" s="86" t="b">
        <v>0</v>
      </c>
      <c r="K735" s="86" t="b">
        <v>1</v>
      </c>
      <c r="L735" s="86" t="b">
        <v>0</v>
      </c>
    </row>
    <row r="736" spans="1:12" ht="15">
      <c r="A736" s="87" t="s">
        <v>4032</v>
      </c>
      <c r="B736" s="86" t="s">
        <v>3383</v>
      </c>
      <c r="C736" s="86">
        <v>2</v>
      </c>
      <c r="D736" s="115">
        <v>0.005093719308048135</v>
      </c>
      <c r="E736" s="115">
        <v>2.1533066203053615</v>
      </c>
      <c r="F736" s="86" t="s">
        <v>3162</v>
      </c>
      <c r="G736" s="86" t="b">
        <v>0</v>
      </c>
      <c r="H736" s="86" t="b">
        <v>1</v>
      </c>
      <c r="I736" s="86" t="b">
        <v>0</v>
      </c>
      <c r="J736" s="86" t="b">
        <v>0</v>
      </c>
      <c r="K736" s="86" t="b">
        <v>0</v>
      </c>
      <c r="L736" s="86" t="b">
        <v>0</v>
      </c>
    </row>
    <row r="737" spans="1:12" ht="15">
      <c r="A737" s="87" t="s">
        <v>3383</v>
      </c>
      <c r="B737" s="86" t="s">
        <v>3379</v>
      </c>
      <c r="C737" s="86">
        <v>2</v>
      </c>
      <c r="D737" s="115">
        <v>0.005093719308048135</v>
      </c>
      <c r="E737" s="115">
        <v>2.1533066203053615</v>
      </c>
      <c r="F737" s="86" t="s">
        <v>3162</v>
      </c>
      <c r="G737" s="86" t="b">
        <v>0</v>
      </c>
      <c r="H737" s="86" t="b">
        <v>0</v>
      </c>
      <c r="I737" s="86" t="b">
        <v>0</v>
      </c>
      <c r="J737" s="86" t="b">
        <v>0</v>
      </c>
      <c r="K737" s="86" t="b">
        <v>0</v>
      </c>
      <c r="L737" s="86" t="b">
        <v>0</v>
      </c>
    </row>
    <row r="738" spans="1:12" ht="15">
      <c r="A738" s="87" t="s">
        <v>3379</v>
      </c>
      <c r="B738" s="86" t="s">
        <v>4033</v>
      </c>
      <c r="C738" s="86">
        <v>2</v>
      </c>
      <c r="D738" s="115">
        <v>0.005093719308048135</v>
      </c>
      <c r="E738" s="115">
        <v>2.1533066203053615</v>
      </c>
      <c r="F738" s="86" t="s">
        <v>3162</v>
      </c>
      <c r="G738" s="86" t="b">
        <v>0</v>
      </c>
      <c r="H738" s="86" t="b">
        <v>0</v>
      </c>
      <c r="I738" s="86" t="b">
        <v>0</v>
      </c>
      <c r="J738" s="86" t="b">
        <v>0</v>
      </c>
      <c r="K738" s="86" t="b">
        <v>0</v>
      </c>
      <c r="L738" s="86" t="b">
        <v>0</v>
      </c>
    </row>
    <row r="739" spans="1:12" ht="15">
      <c r="A739" s="87" t="s">
        <v>4033</v>
      </c>
      <c r="B739" s="86" t="s">
        <v>429</v>
      </c>
      <c r="C739" s="86">
        <v>2</v>
      </c>
      <c r="D739" s="115">
        <v>0.005093719308048135</v>
      </c>
      <c r="E739" s="115">
        <v>1.7273378880330803</v>
      </c>
      <c r="F739" s="86" t="s">
        <v>3162</v>
      </c>
      <c r="G739" s="86" t="b">
        <v>0</v>
      </c>
      <c r="H739" s="86" t="b">
        <v>0</v>
      </c>
      <c r="I739" s="86" t="b">
        <v>0</v>
      </c>
      <c r="J739" s="86" t="b">
        <v>0</v>
      </c>
      <c r="K739" s="86" t="b">
        <v>0</v>
      </c>
      <c r="L739" s="86" t="b">
        <v>0</v>
      </c>
    </row>
    <row r="740" spans="1:12" ht="15">
      <c r="A740" s="87" t="s">
        <v>4046</v>
      </c>
      <c r="B740" s="86" t="s">
        <v>4040</v>
      </c>
      <c r="C740" s="86">
        <v>2</v>
      </c>
      <c r="D740" s="115">
        <v>0.005093719308048135</v>
      </c>
      <c r="E740" s="115">
        <v>2.329397879361043</v>
      </c>
      <c r="F740" s="86" t="s">
        <v>3162</v>
      </c>
      <c r="G740" s="86" t="b">
        <v>0</v>
      </c>
      <c r="H740" s="86" t="b">
        <v>0</v>
      </c>
      <c r="I740" s="86" t="b">
        <v>0</v>
      </c>
      <c r="J740" s="86" t="b">
        <v>0</v>
      </c>
      <c r="K740" s="86" t="b">
        <v>0</v>
      </c>
      <c r="L740" s="86" t="b">
        <v>0</v>
      </c>
    </row>
    <row r="741" spans="1:12" ht="15">
      <c r="A741" s="87" t="s">
        <v>4040</v>
      </c>
      <c r="B741" s="86" t="s">
        <v>4036</v>
      </c>
      <c r="C741" s="86">
        <v>2</v>
      </c>
      <c r="D741" s="115">
        <v>0.005093719308048135</v>
      </c>
      <c r="E741" s="115">
        <v>2.1533066203053615</v>
      </c>
      <c r="F741" s="86" t="s">
        <v>3162</v>
      </c>
      <c r="G741" s="86" t="b">
        <v>0</v>
      </c>
      <c r="H741" s="86" t="b">
        <v>0</v>
      </c>
      <c r="I741" s="86" t="b">
        <v>0</v>
      </c>
      <c r="J741" s="86" t="b">
        <v>0</v>
      </c>
      <c r="K741" s="86" t="b">
        <v>0</v>
      </c>
      <c r="L741" s="86" t="b">
        <v>0</v>
      </c>
    </row>
    <row r="742" spans="1:12" ht="15">
      <c r="A742" s="87" t="s">
        <v>4036</v>
      </c>
      <c r="B742" s="86" t="s">
        <v>3360</v>
      </c>
      <c r="C742" s="86">
        <v>2</v>
      </c>
      <c r="D742" s="115">
        <v>0.005093719308048135</v>
      </c>
      <c r="E742" s="115">
        <v>1.7553666116333237</v>
      </c>
      <c r="F742" s="86" t="s">
        <v>3162</v>
      </c>
      <c r="G742" s="86" t="b">
        <v>0</v>
      </c>
      <c r="H742" s="86" t="b">
        <v>0</v>
      </c>
      <c r="I742" s="86" t="b">
        <v>0</v>
      </c>
      <c r="J742" s="86" t="b">
        <v>0</v>
      </c>
      <c r="K742" s="86" t="b">
        <v>0</v>
      </c>
      <c r="L742" s="86" t="b">
        <v>0</v>
      </c>
    </row>
    <row r="743" spans="1:12" ht="15">
      <c r="A743" s="87" t="s">
        <v>3360</v>
      </c>
      <c r="B743" s="86" t="s">
        <v>4037</v>
      </c>
      <c r="C743" s="86">
        <v>2</v>
      </c>
      <c r="D743" s="115">
        <v>0.005093719308048135</v>
      </c>
      <c r="E743" s="115">
        <v>1.7553666116333237</v>
      </c>
      <c r="F743" s="86" t="s">
        <v>3162</v>
      </c>
      <c r="G743" s="86" t="b">
        <v>0</v>
      </c>
      <c r="H743" s="86" t="b">
        <v>0</v>
      </c>
      <c r="I743" s="86" t="b">
        <v>0</v>
      </c>
      <c r="J743" s="86" t="b">
        <v>0</v>
      </c>
      <c r="K743" s="86" t="b">
        <v>0</v>
      </c>
      <c r="L743" s="86" t="b">
        <v>0</v>
      </c>
    </row>
    <row r="744" spans="1:12" ht="15">
      <c r="A744" s="87" t="s">
        <v>4038</v>
      </c>
      <c r="B744" s="86" t="s">
        <v>4043</v>
      </c>
      <c r="C744" s="86">
        <v>2</v>
      </c>
      <c r="D744" s="115">
        <v>0.005093719308048135</v>
      </c>
      <c r="E744" s="115">
        <v>2.1533066203053615</v>
      </c>
      <c r="F744" s="86" t="s">
        <v>3162</v>
      </c>
      <c r="G744" s="86" t="b">
        <v>0</v>
      </c>
      <c r="H744" s="86" t="b">
        <v>0</v>
      </c>
      <c r="I744" s="86" t="b">
        <v>0</v>
      </c>
      <c r="J744" s="86" t="b">
        <v>0</v>
      </c>
      <c r="K744" s="86" t="b">
        <v>0</v>
      </c>
      <c r="L744" s="86" t="b">
        <v>0</v>
      </c>
    </row>
    <row r="745" spans="1:12" ht="15">
      <c r="A745" s="87" t="s">
        <v>4043</v>
      </c>
      <c r="B745" s="86" t="s">
        <v>4047</v>
      </c>
      <c r="C745" s="86">
        <v>2</v>
      </c>
      <c r="D745" s="115">
        <v>0.005093719308048135</v>
      </c>
      <c r="E745" s="115">
        <v>2.329397879361043</v>
      </c>
      <c r="F745" s="86" t="s">
        <v>3162</v>
      </c>
      <c r="G745" s="86" t="b">
        <v>0</v>
      </c>
      <c r="H745" s="86" t="b">
        <v>0</v>
      </c>
      <c r="I745" s="86" t="b">
        <v>0</v>
      </c>
      <c r="J745" s="86" t="b">
        <v>0</v>
      </c>
      <c r="K745" s="86" t="b">
        <v>0</v>
      </c>
      <c r="L745" s="86" t="b">
        <v>0</v>
      </c>
    </row>
    <row r="746" spans="1:12" ht="15">
      <c r="A746" s="87" t="s">
        <v>4047</v>
      </c>
      <c r="B746" s="86" t="s">
        <v>3327</v>
      </c>
      <c r="C746" s="86">
        <v>2</v>
      </c>
      <c r="D746" s="115">
        <v>0.005093719308048135</v>
      </c>
      <c r="E746" s="115">
        <v>1.931457870689005</v>
      </c>
      <c r="F746" s="86" t="s">
        <v>3162</v>
      </c>
      <c r="G746" s="86" t="b">
        <v>0</v>
      </c>
      <c r="H746" s="86" t="b">
        <v>0</v>
      </c>
      <c r="I746" s="86" t="b">
        <v>0</v>
      </c>
      <c r="J746" s="86" t="b">
        <v>0</v>
      </c>
      <c r="K746" s="86" t="b">
        <v>0</v>
      </c>
      <c r="L746" s="86" t="b">
        <v>0</v>
      </c>
    </row>
    <row r="747" spans="1:12" ht="15">
      <c r="A747" s="87" t="s">
        <v>3381</v>
      </c>
      <c r="B747" s="86" t="s">
        <v>4034</v>
      </c>
      <c r="C747" s="86">
        <v>2</v>
      </c>
      <c r="D747" s="115">
        <v>0.005093719308048135</v>
      </c>
      <c r="E747" s="115">
        <v>1.7853298350107671</v>
      </c>
      <c r="F747" s="86" t="s">
        <v>3162</v>
      </c>
      <c r="G747" s="86" t="b">
        <v>0</v>
      </c>
      <c r="H747" s="86" t="b">
        <v>0</v>
      </c>
      <c r="I747" s="86" t="b">
        <v>0</v>
      </c>
      <c r="J747" s="86" t="b">
        <v>0</v>
      </c>
      <c r="K747" s="86" t="b">
        <v>0</v>
      </c>
      <c r="L747" s="86" t="b">
        <v>0</v>
      </c>
    </row>
    <row r="748" spans="1:12" ht="15">
      <c r="A748" s="87" t="s">
        <v>4034</v>
      </c>
      <c r="B748" s="86" t="s">
        <v>3382</v>
      </c>
      <c r="C748" s="86">
        <v>2</v>
      </c>
      <c r="D748" s="115">
        <v>0.005093719308048135</v>
      </c>
      <c r="E748" s="115">
        <v>2.329397879361043</v>
      </c>
      <c r="F748" s="86" t="s">
        <v>3162</v>
      </c>
      <c r="G748" s="86" t="b">
        <v>0</v>
      </c>
      <c r="H748" s="86" t="b">
        <v>0</v>
      </c>
      <c r="I748" s="86" t="b">
        <v>0</v>
      </c>
      <c r="J748" s="86" t="b">
        <v>0</v>
      </c>
      <c r="K748" s="86" t="b">
        <v>0</v>
      </c>
      <c r="L748" s="86" t="b">
        <v>0</v>
      </c>
    </row>
    <row r="749" spans="1:12" ht="15">
      <c r="A749" s="87" t="s">
        <v>4054</v>
      </c>
      <c r="B749" s="86" t="s">
        <v>3327</v>
      </c>
      <c r="C749" s="86">
        <v>2</v>
      </c>
      <c r="D749" s="115">
        <v>0.005093719308048135</v>
      </c>
      <c r="E749" s="115">
        <v>1.931457870689005</v>
      </c>
      <c r="F749" s="86" t="s">
        <v>3162</v>
      </c>
      <c r="G749" s="86" t="b">
        <v>0</v>
      </c>
      <c r="H749" s="86" t="b">
        <v>0</v>
      </c>
      <c r="I749" s="86" t="b">
        <v>0</v>
      </c>
      <c r="J749" s="86" t="b">
        <v>0</v>
      </c>
      <c r="K749" s="86" t="b">
        <v>0</v>
      </c>
      <c r="L749" s="86" t="b">
        <v>0</v>
      </c>
    </row>
    <row r="750" spans="1:12" ht="15">
      <c r="A750" s="87" t="s">
        <v>4405</v>
      </c>
      <c r="B750" s="86" t="s">
        <v>4406</v>
      </c>
      <c r="C750" s="86">
        <v>2</v>
      </c>
      <c r="D750" s="115">
        <v>0.005093719308048135</v>
      </c>
      <c r="E750" s="115">
        <v>2.329397879361043</v>
      </c>
      <c r="F750" s="86" t="s">
        <v>3162</v>
      </c>
      <c r="G750" s="86" t="b">
        <v>0</v>
      </c>
      <c r="H750" s="86" t="b">
        <v>1</v>
      </c>
      <c r="I750" s="86" t="b">
        <v>0</v>
      </c>
      <c r="J750" s="86" t="b">
        <v>0</v>
      </c>
      <c r="K750" s="86" t="b">
        <v>0</v>
      </c>
      <c r="L750" s="86" t="b">
        <v>0</v>
      </c>
    </row>
    <row r="751" spans="1:12" ht="15">
      <c r="A751" s="87" t="s">
        <v>4408</v>
      </c>
      <c r="B751" s="86" t="s">
        <v>4133</v>
      </c>
      <c r="C751" s="86">
        <v>2</v>
      </c>
      <c r="D751" s="115">
        <v>0.005093719308048135</v>
      </c>
      <c r="E751" s="115">
        <v>2.329397879361043</v>
      </c>
      <c r="F751" s="86" t="s">
        <v>3162</v>
      </c>
      <c r="G751" s="86" t="b">
        <v>0</v>
      </c>
      <c r="H751" s="86" t="b">
        <v>0</v>
      </c>
      <c r="I751" s="86" t="b">
        <v>0</v>
      </c>
      <c r="J751" s="86" t="b">
        <v>0</v>
      </c>
      <c r="K751" s="86" t="b">
        <v>0</v>
      </c>
      <c r="L751" s="86" t="b">
        <v>0</v>
      </c>
    </row>
    <row r="752" spans="1:12" ht="15">
      <c r="A752" s="87" t="s">
        <v>4133</v>
      </c>
      <c r="B752" s="86" t="s">
        <v>4409</v>
      </c>
      <c r="C752" s="86">
        <v>2</v>
      </c>
      <c r="D752" s="115">
        <v>0.005093719308048135</v>
      </c>
      <c r="E752" s="115">
        <v>2.329397879361043</v>
      </c>
      <c r="F752" s="86" t="s">
        <v>3162</v>
      </c>
      <c r="G752" s="86" t="b">
        <v>0</v>
      </c>
      <c r="H752" s="86" t="b">
        <v>0</v>
      </c>
      <c r="I752" s="86" t="b">
        <v>0</v>
      </c>
      <c r="J752" s="86" t="b">
        <v>0</v>
      </c>
      <c r="K752" s="86" t="b">
        <v>0</v>
      </c>
      <c r="L752" s="86" t="b">
        <v>0</v>
      </c>
    </row>
    <row r="753" spans="1:12" ht="15">
      <c r="A753" s="87" t="s">
        <v>4409</v>
      </c>
      <c r="B753" s="86" t="s">
        <v>3368</v>
      </c>
      <c r="C753" s="86">
        <v>2</v>
      </c>
      <c r="D753" s="115">
        <v>0.005093719308048135</v>
      </c>
      <c r="E753" s="115">
        <v>1.5890351898667987</v>
      </c>
      <c r="F753" s="86" t="s">
        <v>3162</v>
      </c>
      <c r="G753" s="86" t="b">
        <v>0</v>
      </c>
      <c r="H753" s="86" t="b">
        <v>0</v>
      </c>
      <c r="I753" s="86" t="b">
        <v>0</v>
      </c>
      <c r="J753" s="86" t="b">
        <v>0</v>
      </c>
      <c r="K753" s="86" t="b">
        <v>0</v>
      </c>
      <c r="L753" s="86" t="b">
        <v>0</v>
      </c>
    </row>
    <row r="754" spans="1:12" ht="15">
      <c r="A754" s="87" t="s">
        <v>3364</v>
      </c>
      <c r="B754" s="86" t="s">
        <v>4023</v>
      </c>
      <c r="C754" s="86">
        <v>2</v>
      </c>
      <c r="D754" s="115">
        <v>0.005093719308048135</v>
      </c>
      <c r="E754" s="115">
        <v>2.1533066203053615</v>
      </c>
      <c r="F754" s="86" t="s">
        <v>3162</v>
      </c>
      <c r="G754" s="86" t="b">
        <v>0</v>
      </c>
      <c r="H754" s="86" t="b">
        <v>0</v>
      </c>
      <c r="I754" s="86" t="b">
        <v>0</v>
      </c>
      <c r="J754" s="86" t="b">
        <v>0</v>
      </c>
      <c r="K754" s="86" t="b">
        <v>1</v>
      </c>
      <c r="L754" s="86" t="b">
        <v>0</v>
      </c>
    </row>
    <row r="755" spans="1:12" ht="15">
      <c r="A755" s="87" t="s">
        <v>4021</v>
      </c>
      <c r="B755" s="86" t="s">
        <v>3363</v>
      </c>
      <c r="C755" s="86">
        <v>2</v>
      </c>
      <c r="D755" s="115">
        <v>0.005093719308048135</v>
      </c>
      <c r="E755" s="115">
        <v>1.8522766246413802</v>
      </c>
      <c r="F755" s="86" t="s">
        <v>3162</v>
      </c>
      <c r="G755" s="86" t="b">
        <v>0</v>
      </c>
      <c r="H755" s="86" t="b">
        <v>1</v>
      </c>
      <c r="I755" s="86" t="b">
        <v>0</v>
      </c>
      <c r="J755" s="86" t="b">
        <v>0</v>
      </c>
      <c r="K755" s="86" t="b">
        <v>0</v>
      </c>
      <c r="L755" s="86" t="b">
        <v>0</v>
      </c>
    </row>
    <row r="756" spans="1:12" ht="15">
      <c r="A756" s="87" t="s">
        <v>3363</v>
      </c>
      <c r="B756" s="86" t="s">
        <v>3380</v>
      </c>
      <c r="C756" s="86">
        <v>2</v>
      </c>
      <c r="D756" s="115">
        <v>0.005093719308048135</v>
      </c>
      <c r="E756" s="115">
        <v>1.6304278750250238</v>
      </c>
      <c r="F756" s="86" t="s">
        <v>3162</v>
      </c>
      <c r="G756" s="86" t="b">
        <v>0</v>
      </c>
      <c r="H756" s="86" t="b">
        <v>0</v>
      </c>
      <c r="I756" s="86" t="b">
        <v>0</v>
      </c>
      <c r="J756" s="86" t="b">
        <v>0</v>
      </c>
      <c r="K756" s="86" t="b">
        <v>0</v>
      </c>
      <c r="L756" s="86" t="b">
        <v>0</v>
      </c>
    </row>
    <row r="757" spans="1:12" ht="15">
      <c r="A757" s="87" t="s">
        <v>3380</v>
      </c>
      <c r="B757" s="86" t="s">
        <v>3361</v>
      </c>
      <c r="C757" s="86">
        <v>2</v>
      </c>
      <c r="D757" s="115">
        <v>0.005093719308048135</v>
      </c>
      <c r="E757" s="115">
        <v>1.7553666116333237</v>
      </c>
      <c r="F757" s="86" t="s">
        <v>3162</v>
      </c>
      <c r="G757" s="86" t="b">
        <v>0</v>
      </c>
      <c r="H757" s="86" t="b">
        <v>0</v>
      </c>
      <c r="I757" s="86" t="b">
        <v>0</v>
      </c>
      <c r="J757" s="86" t="b">
        <v>0</v>
      </c>
      <c r="K757" s="86" t="b">
        <v>0</v>
      </c>
      <c r="L757" s="86" t="b">
        <v>0</v>
      </c>
    </row>
    <row r="758" spans="1:12" ht="15">
      <c r="A758" s="87" t="s">
        <v>3354</v>
      </c>
      <c r="B758" s="86" t="s">
        <v>3357</v>
      </c>
      <c r="C758" s="86">
        <v>2</v>
      </c>
      <c r="D758" s="115">
        <v>0.005093719308048135</v>
      </c>
      <c r="E758" s="115">
        <v>0.5512466289773991</v>
      </c>
      <c r="F758" s="86" t="s">
        <v>3162</v>
      </c>
      <c r="G758" s="86" t="b">
        <v>0</v>
      </c>
      <c r="H758" s="86" t="b">
        <v>0</v>
      </c>
      <c r="I758" s="86" t="b">
        <v>0</v>
      </c>
      <c r="J758" s="86" t="b">
        <v>0</v>
      </c>
      <c r="K758" s="86" t="b">
        <v>0</v>
      </c>
      <c r="L758" s="86" t="b">
        <v>0</v>
      </c>
    </row>
    <row r="759" spans="1:12" ht="15">
      <c r="A759" s="87" t="s">
        <v>4193</v>
      </c>
      <c r="B759" s="86" t="s">
        <v>4188</v>
      </c>
      <c r="C759" s="86">
        <v>2</v>
      </c>
      <c r="D759" s="115">
        <v>0.005093719308048135</v>
      </c>
      <c r="E759" s="115">
        <v>2.1533066203053615</v>
      </c>
      <c r="F759" s="86" t="s">
        <v>3162</v>
      </c>
      <c r="G759" s="86" t="b">
        <v>0</v>
      </c>
      <c r="H759" s="86" t="b">
        <v>0</v>
      </c>
      <c r="I759" s="86" t="b">
        <v>0</v>
      </c>
      <c r="J759" s="86" t="b">
        <v>0</v>
      </c>
      <c r="K759" s="86" t="b">
        <v>0</v>
      </c>
      <c r="L759" s="86" t="b">
        <v>0</v>
      </c>
    </row>
    <row r="760" spans="1:12" ht="15">
      <c r="A760" s="87" t="s">
        <v>3357</v>
      </c>
      <c r="B760" s="86" t="s">
        <v>3358</v>
      </c>
      <c r="C760" s="86">
        <v>2</v>
      </c>
      <c r="D760" s="115">
        <v>0.005093719308048135</v>
      </c>
      <c r="E760" s="115">
        <v>1.1533066203053615</v>
      </c>
      <c r="F760" s="86" t="s">
        <v>3162</v>
      </c>
      <c r="G760" s="86" t="b">
        <v>0</v>
      </c>
      <c r="H760" s="86" t="b">
        <v>0</v>
      </c>
      <c r="I760" s="86" t="b">
        <v>0</v>
      </c>
      <c r="J760" s="86" t="b">
        <v>0</v>
      </c>
      <c r="K760" s="86" t="b">
        <v>0</v>
      </c>
      <c r="L760" s="86" t="b">
        <v>0</v>
      </c>
    </row>
    <row r="761" spans="1:12" ht="15">
      <c r="A761" s="87" t="s">
        <v>4267</v>
      </c>
      <c r="B761" s="86" t="s">
        <v>4087</v>
      </c>
      <c r="C761" s="86">
        <v>2</v>
      </c>
      <c r="D761" s="115">
        <v>0.005093719308048135</v>
      </c>
      <c r="E761" s="115">
        <v>2.329397879361043</v>
      </c>
      <c r="F761" s="86" t="s">
        <v>3162</v>
      </c>
      <c r="G761" s="86" t="b">
        <v>0</v>
      </c>
      <c r="H761" s="86" t="b">
        <v>0</v>
      </c>
      <c r="I761" s="86" t="b">
        <v>0</v>
      </c>
      <c r="J761" s="86" t="b">
        <v>0</v>
      </c>
      <c r="K761" s="86" t="b">
        <v>0</v>
      </c>
      <c r="L761" s="86" t="b">
        <v>0</v>
      </c>
    </row>
    <row r="762" spans="1:12" ht="15">
      <c r="A762" s="87" t="s">
        <v>4146</v>
      </c>
      <c r="B762" s="86" t="s">
        <v>3307</v>
      </c>
      <c r="C762" s="86">
        <v>2</v>
      </c>
      <c r="D762" s="115">
        <v>0.005093719308048135</v>
      </c>
      <c r="E762" s="115">
        <v>1.6304278750250238</v>
      </c>
      <c r="F762" s="86" t="s">
        <v>3162</v>
      </c>
      <c r="G762" s="86" t="b">
        <v>0</v>
      </c>
      <c r="H762" s="86" t="b">
        <v>0</v>
      </c>
      <c r="I762" s="86" t="b">
        <v>0</v>
      </c>
      <c r="J762" s="86" t="b">
        <v>0</v>
      </c>
      <c r="K762" s="86" t="b">
        <v>0</v>
      </c>
      <c r="L762" s="86" t="b">
        <v>0</v>
      </c>
    </row>
    <row r="763" spans="1:12" ht="15">
      <c r="A763" s="87" t="s">
        <v>3307</v>
      </c>
      <c r="B763" s="86" t="s">
        <v>4147</v>
      </c>
      <c r="C763" s="86">
        <v>2</v>
      </c>
      <c r="D763" s="115">
        <v>0.005093719308048135</v>
      </c>
      <c r="E763" s="115">
        <v>1.5890351898667987</v>
      </c>
      <c r="F763" s="86" t="s">
        <v>3162</v>
      </c>
      <c r="G763" s="86" t="b">
        <v>0</v>
      </c>
      <c r="H763" s="86" t="b">
        <v>0</v>
      </c>
      <c r="I763" s="86" t="b">
        <v>0</v>
      </c>
      <c r="J763" s="86" t="b">
        <v>0</v>
      </c>
      <c r="K763" s="86" t="b">
        <v>0</v>
      </c>
      <c r="L763" s="86" t="b">
        <v>0</v>
      </c>
    </row>
    <row r="764" spans="1:12" ht="15">
      <c r="A764" s="87" t="s">
        <v>4073</v>
      </c>
      <c r="B764" s="86" t="s">
        <v>3357</v>
      </c>
      <c r="C764" s="86">
        <v>2</v>
      </c>
      <c r="D764" s="115">
        <v>0.005093719308048135</v>
      </c>
      <c r="E764" s="115">
        <v>1.551246628977399</v>
      </c>
      <c r="F764" s="86" t="s">
        <v>3162</v>
      </c>
      <c r="G764" s="86" t="b">
        <v>0</v>
      </c>
      <c r="H764" s="86" t="b">
        <v>0</v>
      </c>
      <c r="I764" s="86" t="b">
        <v>0</v>
      </c>
      <c r="J764" s="86" t="b">
        <v>0</v>
      </c>
      <c r="K764" s="86" t="b">
        <v>0</v>
      </c>
      <c r="L764" s="86" t="b">
        <v>0</v>
      </c>
    </row>
    <row r="765" spans="1:12" ht="15">
      <c r="A765" s="87" t="s">
        <v>3357</v>
      </c>
      <c r="B765" s="86" t="s">
        <v>4042</v>
      </c>
      <c r="C765" s="86">
        <v>2</v>
      </c>
      <c r="D765" s="115">
        <v>0.005093719308048135</v>
      </c>
      <c r="E765" s="115">
        <v>1.551246628977399</v>
      </c>
      <c r="F765" s="86" t="s">
        <v>3162</v>
      </c>
      <c r="G765" s="86" t="b">
        <v>0</v>
      </c>
      <c r="H765" s="86" t="b">
        <v>0</v>
      </c>
      <c r="I765" s="86" t="b">
        <v>0</v>
      </c>
      <c r="J765" s="86" t="b">
        <v>0</v>
      </c>
      <c r="K765" s="86" t="b">
        <v>0</v>
      </c>
      <c r="L765" s="86" t="b">
        <v>0</v>
      </c>
    </row>
    <row r="766" spans="1:12" ht="15">
      <c r="A766" s="87" t="s">
        <v>4148</v>
      </c>
      <c r="B766" s="86" t="s">
        <v>4413</v>
      </c>
      <c r="C766" s="86">
        <v>2</v>
      </c>
      <c r="D766" s="115">
        <v>0.005093719308048135</v>
      </c>
      <c r="E766" s="115">
        <v>2.1533066203053615</v>
      </c>
      <c r="F766" s="86" t="s">
        <v>3162</v>
      </c>
      <c r="G766" s="86" t="b">
        <v>0</v>
      </c>
      <c r="H766" s="86" t="b">
        <v>0</v>
      </c>
      <c r="I766" s="86" t="b">
        <v>0</v>
      </c>
      <c r="J766" s="86" t="b">
        <v>0</v>
      </c>
      <c r="K766" s="86" t="b">
        <v>0</v>
      </c>
      <c r="L766" s="86" t="b">
        <v>0</v>
      </c>
    </row>
    <row r="767" spans="1:12" ht="15">
      <c r="A767" s="87" t="s">
        <v>3355</v>
      </c>
      <c r="B767" s="86" t="s">
        <v>3356</v>
      </c>
      <c r="C767" s="86">
        <v>3</v>
      </c>
      <c r="D767" s="115">
        <v>0.009063164516431512</v>
      </c>
      <c r="E767" s="115">
        <v>1.424881636631067</v>
      </c>
      <c r="F767" s="86" t="s">
        <v>3163</v>
      </c>
      <c r="G767" s="86" t="b">
        <v>0</v>
      </c>
      <c r="H767" s="86" t="b">
        <v>0</v>
      </c>
      <c r="I767" s="86" t="b">
        <v>0</v>
      </c>
      <c r="J767" s="86" t="b">
        <v>0</v>
      </c>
      <c r="K767" s="86" t="b">
        <v>0</v>
      </c>
      <c r="L767" s="86" t="b">
        <v>0</v>
      </c>
    </row>
    <row r="768" spans="1:12" ht="15">
      <c r="A768" s="87" t="s">
        <v>3376</v>
      </c>
      <c r="B768" s="86" t="s">
        <v>3359</v>
      </c>
      <c r="C768" s="86">
        <v>2</v>
      </c>
      <c r="D768" s="115">
        <v>0.008539858033020743</v>
      </c>
      <c r="E768" s="115">
        <v>1.424881636631067</v>
      </c>
      <c r="F768" s="86" t="s">
        <v>3163</v>
      </c>
      <c r="G768" s="86" t="b">
        <v>0</v>
      </c>
      <c r="H768" s="86" t="b">
        <v>0</v>
      </c>
      <c r="I768" s="86" t="b">
        <v>0</v>
      </c>
      <c r="J768" s="86" t="b">
        <v>0</v>
      </c>
      <c r="K768" s="86" t="b">
        <v>0</v>
      </c>
      <c r="L768" s="86" t="b">
        <v>0</v>
      </c>
    </row>
    <row r="769" spans="1:12" ht="15">
      <c r="A769" s="87" t="s">
        <v>3359</v>
      </c>
      <c r="B769" s="86" t="s">
        <v>3367</v>
      </c>
      <c r="C769" s="86">
        <v>2</v>
      </c>
      <c r="D769" s="115">
        <v>0.008539858033020743</v>
      </c>
      <c r="E769" s="115">
        <v>1.3457003905834422</v>
      </c>
      <c r="F769" s="86" t="s">
        <v>3163</v>
      </c>
      <c r="G769" s="86" t="b">
        <v>0</v>
      </c>
      <c r="H769" s="86" t="b">
        <v>0</v>
      </c>
      <c r="I769" s="86" t="b">
        <v>0</v>
      </c>
      <c r="J769" s="86" t="b">
        <v>0</v>
      </c>
      <c r="K769" s="86" t="b">
        <v>0</v>
      </c>
      <c r="L769" s="86" t="b">
        <v>0</v>
      </c>
    </row>
    <row r="770" spans="1:12" ht="15">
      <c r="A770" s="87" t="s">
        <v>3367</v>
      </c>
      <c r="B770" s="86" t="s">
        <v>3356</v>
      </c>
      <c r="C770" s="86">
        <v>2</v>
      </c>
      <c r="D770" s="115">
        <v>0.008539858033020743</v>
      </c>
      <c r="E770" s="115">
        <v>1.1238516409670858</v>
      </c>
      <c r="F770" s="86" t="s">
        <v>3163</v>
      </c>
      <c r="G770" s="86" t="b">
        <v>0</v>
      </c>
      <c r="H770" s="86" t="b">
        <v>0</v>
      </c>
      <c r="I770" s="86" t="b">
        <v>0</v>
      </c>
      <c r="J770" s="86" t="b">
        <v>0</v>
      </c>
      <c r="K770" s="86" t="b">
        <v>0</v>
      </c>
      <c r="L770" s="86" t="b">
        <v>0</v>
      </c>
    </row>
    <row r="771" spans="1:12" ht="15">
      <c r="A771" s="87" t="s">
        <v>3356</v>
      </c>
      <c r="B771" s="86" t="s">
        <v>3355</v>
      </c>
      <c r="C771" s="86">
        <v>2</v>
      </c>
      <c r="D771" s="115">
        <v>0.008539858033020743</v>
      </c>
      <c r="E771" s="115">
        <v>1.2487903775753857</v>
      </c>
      <c r="F771" s="86" t="s">
        <v>3163</v>
      </c>
      <c r="G771" s="86" t="b">
        <v>0</v>
      </c>
      <c r="H771" s="86" t="b">
        <v>0</v>
      </c>
      <c r="I771" s="86" t="b">
        <v>0</v>
      </c>
      <c r="J771" s="86" t="b">
        <v>0</v>
      </c>
      <c r="K771" s="86" t="b">
        <v>0</v>
      </c>
      <c r="L771" s="86" t="b">
        <v>0</v>
      </c>
    </row>
    <row r="772" spans="1:12" ht="15">
      <c r="A772" s="87" t="s">
        <v>3354</v>
      </c>
      <c r="B772" s="86" t="s">
        <v>3359</v>
      </c>
      <c r="C772" s="86">
        <v>59</v>
      </c>
      <c r="D772" s="115">
        <v>0.0008610802205128483</v>
      </c>
      <c r="E772" s="115">
        <v>1.1907984305976989</v>
      </c>
      <c r="F772" s="86" t="s">
        <v>3164</v>
      </c>
      <c r="G772" s="86" t="b">
        <v>0</v>
      </c>
      <c r="H772" s="86" t="b">
        <v>0</v>
      </c>
      <c r="I772" s="86" t="b">
        <v>0</v>
      </c>
      <c r="J772" s="86" t="b">
        <v>0</v>
      </c>
      <c r="K772" s="86" t="b">
        <v>0</v>
      </c>
      <c r="L772" s="86" t="b">
        <v>0</v>
      </c>
    </row>
    <row r="773" spans="1:12" ht="15">
      <c r="A773" s="87" t="s">
        <v>3359</v>
      </c>
      <c r="B773" s="86" t="s">
        <v>3373</v>
      </c>
      <c r="C773" s="86">
        <v>59</v>
      </c>
      <c r="D773" s="115">
        <v>0.0008610802205128483</v>
      </c>
      <c r="E773" s="115">
        <v>1.1980976693391985</v>
      </c>
      <c r="F773" s="86" t="s">
        <v>3164</v>
      </c>
      <c r="G773" s="86" t="b">
        <v>0</v>
      </c>
      <c r="H773" s="86" t="b">
        <v>0</v>
      </c>
      <c r="I773" s="86" t="b">
        <v>0</v>
      </c>
      <c r="J773" s="86" t="b">
        <v>0</v>
      </c>
      <c r="K773" s="86" t="b">
        <v>0</v>
      </c>
      <c r="L773" s="86" t="b">
        <v>0</v>
      </c>
    </row>
    <row r="774" spans="1:12" ht="15">
      <c r="A774" s="87" t="s">
        <v>3373</v>
      </c>
      <c r="B774" s="86" t="s">
        <v>3374</v>
      </c>
      <c r="C774" s="86">
        <v>59</v>
      </c>
      <c r="D774" s="115">
        <v>0.0008610802205128483</v>
      </c>
      <c r="E774" s="115">
        <v>1.1980976693391985</v>
      </c>
      <c r="F774" s="86" t="s">
        <v>3164</v>
      </c>
      <c r="G774" s="86" t="b">
        <v>0</v>
      </c>
      <c r="H774" s="86" t="b">
        <v>0</v>
      </c>
      <c r="I774" s="86" t="b">
        <v>0</v>
      </c>
      <c r="J774" s="86" t="b">
        <v>0</v>
      </c>
      <c r="K774" s="86" t="b">
        <v>0</v>
      </c>
      <c r="L774" s="86" t="b">
        <v>0</v>
      </c>
    </row>
    <row r="775" spans="1:12" ht="15">
      <c r="A775" s="87" t="s">
        <v>3357</v>
      </c>
      <c r="B775" s="86" t="s">
        <v>3354</v>
      </c>
      <c r="C775" s="86">
        <v>30</v>
      </c>
      <c r="D775" s="115">
        <v>0.009320824000739051</v>
      </c>
      <c r="E775" s="115">
        <v>1.1765579914830888</v>
      </c>
      <c r="F775" s="86" t="s">
        <v>3164</v>
      </c>
      <c r="G775" s="86" t="b">
        <v>0</v>
      </c>
      <c r="H775" s="86" t="b">
        <v>0</v>
      </c>
      <c r="I775" s="86" t="b">
        <v>0</v>
      </c>
      <c r="J775" s="86" t="b">
        <v>0</v>
      </c>
      <c r="K775" s="86" t="b">
        <v>0</v>
      </c>
      <c r="L775" s="86" t="b">
        <v>0</v>
      </c>
    </row>
    <row r="776" spans="1:12" ht="15">
      <c r="A776" s="87" t="s">
        <v>3372</v>
      </c>
      <c r="B776" s="86" t="s">
        <v>4165</v>
      </c>
      <c r="C776" s="86">
        <v>3</v>
      </c>
      <c r="D776" s="115">
        <v>0.003956275948461001</v>
      </c>
      <c r="E776" s="115">
        <v>1.0658596939893992</v>
      </c>
      <c r="F776" s="86" t="s">
        <v>3164</v>
      </c>
      <c r="G776" s="86" t="b">
        <v>0</v>
      </c>
      <c r="H776" s="86" t="b">
        <v>0</v>
      </c>
      <c r="I776" s="86" t="b">
        <v>0</v>
      </c>
      <c r="J776" s="86" t="b">
        <v>0</v>
      </c>
      <c r="K776" s="86" t="b">
        <v>0</v>
      </c>
      <c r="L776" s="86" t="b">
        <v>0</v>
      </c>
    </row>
    <row r="777" spans="1:12" ht="15">
      <c r="A777" s="87" t="s">
        <v>4169</v>
      </c>
      <c r="B777" s="86" t="s">
        <v>4261</v>
      </c>
      <c r="C777" s="86">
        <v>3</v>
      </c>
      <c r="D777" s="115">
        <v>0.003956275948461001</v>
      </c>
      <c r="E777" s="115">
        <v>2.269979676645324</v>
      </c>
      <c r="F777" s="86" t="s">
        <v>3164</v>
      </c>
      <c r="G777" s="86" t="b">
        <v>0</v>
      </c>
      <c r="H777" s="86" t="b">
        <v>0</v>
      </c>
      <c r="I777" s="86" t="b">
        <v>0</v>
      </c>
      <c r="J777" s="86" t="b">
        <v>0</v>
      </c>
      <c r="K777" s="86" t="b">
        <v>0</v>
      </c>
      <c r="L777" s="86" t="b">
        <v>0</v>
      </c>
    </row>
    <row r="778" spans="1:12" ht="15">
      <c r="A778" s="87" t="s">
        <v>3307</v>
      </c>
      <c r="B778" s="86" t="s">
        <v>3357</v>
      </c>
      <c r="C778" s="86">
        <v>3</v>
      </c>
      <c r="D778" s="115">
        <v>0.003956275948461001</v>
      </c>
      <c r="E778" s="115">
        <v>0.8085812061884945</v>
      </c>
      <c r="F778" s="86" t="s">
        <v>3164</v>
      </c>
      <c r="G778" s="86" t="b">
        <v>0</v>
      </c>
      <c r="H778" s="86" t="b">
        <v>0</v>
      </c>
      <c r="I778" s="86" t="b">
        <v>0</v>
      </c>
      <c r="J778" s="86" t="b">
        <v>0</v>
      </c>
      <c r="K778" s="86" t="b">
        <v>0</v>
      </c>
      <c r="L778" s="86" t="b">
        <v>0</v>
      </c>
    </row>
    <row r="779" spans="1:12" ht="15">
      <c r="A779" s="87" t="s">
        <v>3376</v>
      </c>
      <c r="B779" s="86" t="s">
        <v>3357</v>
      </c>
      <c r="C779" s="86">
        <v>3</v>
      </c>
      <c r="D779" s="115">
        <v>0.003956275948461001</v>
      </c>
      <c r="E779" s="115">
        <v>1.1096112018524757</v>
      </c>
      <c r="F779" s="86" t="s">
        <v>3164</v>
      </c>
      <c r="G779" s="86" t="b">
        <v>0</v>
      </c>
      <c r="H779" s="86" t="b">
        <v>0</v>
      </c>
      <c r="I779" s="86" t="b">
        <v>0</v>
      </c>
      <c r="J779" s="86" t="b">
        <v>0</v>
      </c>
      <c r="K779" s="86" t="b">
        <v>0</v>
      </c>
      <c r="L779" s="86" t="b">
        <v>0</v>
      </c>
    </row>
    <row r="780" spans="1:12" ht="15">
      <c r="A780" s="87" t="s">
        <v>4102</v>
      </c>
      <c r="B780" s="86" t="s">
        <v>3376</v>
      </c>
      <c r="C780" s="86">
        <v>3</v>
      </c>
      <c r="D780" s="115">
        <v>0.003956275948461001</v>
      </c>
      <c r="E780" s="115">
        <v>2.123851640967086</v>
      </c>
      <c r="F780" s="86" t="s">
        <v>3164</v>
      </c>
      <c r="G780" s="86" t="b">
        <v>0</v>
      </c>
      <c r="H780" s="86" t="b">
        <v>0</v>
      </c>
      <c r="I780" s="86" t="b">
        <v>0</v>
      </c>
      <c r="J780" s="86" t="b">
        <v>0</v>
      </c>
      <c r="K780" s="86" t="b">
        <v>0</v>
      </c>
      <c r="L780" s="86" t="b">
        <v>0</v>
      </c>
    </row>
    <row r="781" spans="1:12" ht="15">
      <c r="A781" s="87" t="s">
        <v>4352</v>
      </c>
      <c r="B781" s="86" t="s">
        <v>4353</v>
      </c>
      <c r="C781" s="86">
        <v>2</v>
      </c>
      <c r="D781" s="115">
        <v>0.002992539998683036</v>
      </c>
      <c r="E781" s="115">
        <v>2.6679196853173615</v>
      </c>
      <c r="F781" s="86" t="s">
        <v>3164</v>
      </c>
      <c r="G781" s="86" t="b">
        <v>0</v>
      </c>
      <c r="H781" s="86" t="b">
        <v>0</v>
      </c>
      <c r="I781" s="86" t="b">
        <v>0</v>
      </c>
      <c r="J781" s="86" t="b">
        <v>0</v>
      </c>
      <c r="K781" s="86" t="b">
        <v>0</v>
      </c>
      <c r="L781" s="86" t="b">
        <v>0</v>
      </c>
    </row>
    <row r="782" spans="1:12" ht="15">
      <c r="A782" s="87" t="s">
        <v>4072</v>
      </c>
      <c r="B782" s="86" t="s">
        <v>4260</v>
      </c>
      <c r="C782" s="86">
        <v>2</v>
      </c>
      <c r="D782" s="115">
        <v>0.002992539998683036</v>
      </c>
      <c r="E782" s="115">
        <v>2.3157371672059988</v>
      </c>
      <c r="F782" s="86" t="s">
        <v>3164</v>
      </c>
      <c r="G782" s="86" t="b">
        <v>0</v>
      </c>
      <c r="H782" s="86" t="b">
        <v>0</v>
      </c>
      <c r="I782" s="86" t="b">
        <v>0</v>
      </c>
      <c r="J782" s="86" t="b">
        <v>0</v>
      </c>
      <c r="K782" s="86" t="b">
        <v>0</v>
      </c>
      <c r="L782" s="86" t="b">
        <v>0</v>
      </c>
    </row>
    <row r="783" spans="1:12" ht="15">
      <c r="A783" s="87" t="s">
        <v>4261</v>
      </c>
      <c r="B783" s="86" t="s">
        <v>4403</v>
      </c>
      <c r="C783" s="86">
        <v>2</v>
      </c>
      <c r="D783" s="115">
        <v>0.002992539998683036</v>
      </c>
      <c r="E783" s="115">
        <v>2.49182842626168</v>
      </c>
      <c r="F783" s="86" t="s">
        <v>3164</v>
      </c>
      <c r="G783" s="86" t="b">
        <v>0</v>
      </c>
      <c r="H783" s="86" t="b">
        <v>0</v>
      </c>
      <c r="I783" s="86" t="b">
        <v>0</v>
      </c>
      <c r="J783" s="86" t="b">
        <v>0</v>
      </c>
      <c r="K783" s="86" t="b">
        <v>0</v>
      </c>
      <c r="L783" s="86" t="b">
        <v>0</v>
      </c>
    </row>
    <row r="784" spans="1:12" ht="15">
      <c r="A784" s="87" t="s">
        <v>4135</v>
      </c>
      <c r="B784" s="86" t="s">
        <v>4387</v>
      </c>
      <c r="C784" s="86">
        <v>2</v>
      </c>
      <c r="D784" s="115">
        <v>0.002992539998683036</v>
      </c>
      <c r="E784" s="115">
        <v>2.36688968965338</v>
      </c>
      <c r="F784" s="86" t="s">
        <v>3164</v>
      </c>
      <c r="G784" s="86" t="b">
        <v>0</v>
      </c>
      <c r="H784" s="86" t="b">
        <v>0</v>
      </c>
      <c r="I784" s="86" t="b">
        <v>0</v>
      </c>
      <c r="J784" s="86" t="b">
        <v>0</v>
      </c>
      <c r="K784" s="86" t="b">
        <v>0</v>
      </c>
      <c r="L784" s="86" t="b">
        <v>0</v>
      </c>
    </row>
    <row r="785" spans="1:12" ht="15">
      <c r="A785" s="87" t="s">
        <v>4166</v>
      </c>
      <c r="B785" s="86" t="s">
        <v>4350</v>
      </c>
      <c r="C785" s="86">
        <v>2</v>
      </c>
      <c r="D785" s="115">
        <v>0.002992539998683036</v>
      </c>
      <c r="E785" s="115">
        <v>2.6679196853173615</v>
      </c>
      <c r="F785" s="86" t="s">
        <v>3164</v>
      </c>
      <c r="G785" s="86" t="b">
        <v>0</v>
      </c>
      <c r="H785" s="86" t="b">
        <v>0</v>
      </c>
      <c r="I785" s="86" t="b">
        <v>0</v>
      </c>
      <c r="J785" s="86" t="b">
        <v>0</v>
      </c>
      <c r="K785" s="86" t="b">
        <v>0</v>
      </c>
      <c r="L785" s="86" t="b">
        <v>0</v>
      </c>
    </row>
    <row r="786" spans="1:12" ht="15">
      <c r="A786" s="87" t="s">
        <v>3372</v>
      </c>
      <c r="B786" s="86" t="s">
        <v>4196</v>
      </c>
      <c r="C786" s="86">
        <v>2</v>
      </c>
      <c r="D786" s="115">
        <v>0.002992539998683036</v>
      </c>
      <c r="E786" s="115">
        <v>1.0147071715420177</v>
      </c>
      <c r="F786" s="86" t="s">
        <v>3164</v>
      </c>
      <c r="G786" s="86" t="b">
        <v>0</v>
      </c>
      <c r="H786" s="86" t="b">
        <v>0</v>
      </c>
      <c r="I786" s="86" t="b">
        <v>0</v>
      </c>
      <c r="J786" s="86" t="b">
        <v>0</v>
      </c>
      <c r="K786" s="86" t="b">
        <v>0</v>
      </c>
      <c r="L786" s="86" t="b">
        <v>0</v>
      </c>
    </row>
    <row r="787" spans="1:12" ht="15">
      <c r="A787" s="87" t="s">
        <v>4196</v>
      </c>
      <c r="B787" s="86" t="s">
        <v>4083</v>
      </c>
      <c r="C787" s="86">
        <v>2</v>
      </c>
      <c r="D787" s="115">
        <v>0.002992539998683036</v>
      </c>
      <c r="E787" s="115">
        <v>2.3157371672059988</v>
      </c>
      <c r="F787" s="86" t="s">
        <v>3164</v>
      </c>
      <c r="G787" s="86" t="b">
        <v>0</v>
      </c>
      <c r="H787" s="86" t="b">
        <v>0</v>
      </c>
      <c r="I787" s="86" t="b">
        <v>0</v>
      </c>
      <c r="J787" s="86" t="b">
        <v>0</v>
      </c>
      <c r="K787" s="86" t="b">
        <v>0</v>
      </c>
      <c r="L787" s="86" t="b">
        <v>0</v>
      </c>
    </row>
    <row r="788" spans="1:12" ht="15">
      <c r="A788" s="87" t="s">
        <v>3372</v>
      </c>
      <c r="B788" s="86" t="s">
        <v>3319</v>
      </c>
      <c r="C788" s="86">
        <v>2</v>
      </c>
      <c r="D788" s="115">
        <v>0.002992539998683036</v>
      </c>
      <c r="E788" s="115">
        <v>1.0147071715420177</v>
      </c>
      <c r="F788" s="86" t="s">
        <v>3164</v>
      </c>
      <c r="G788" s="86" t="b">
        <v>0</v>
      </c>
      <c r="H788" s="86" t="b">
        <v>0</v>
      </c>
      <c r="I788" s="86" t="b">
        <v>0</v>
      </c>
      <c r="J788" s="86" t="b">
        <v>0</v>
      </c>
      <c r="K788" s="86" t="b">
        <v>0</v>
      </c>
      <c r="L788" s="86" t="b">
        <v>0</v>
      </c>
    </row>
    <row r="789" spans="1:12" ht="15">
      <c r="A789" s="87" t="s">
        <v>3319</v>
      </c>
      <c r="B789" s="86" t="s">
        <v>4392</v>
      </c>
      <c r="C789" s="86">
        <v>2</v>
      </c>
      <c r="D789" s="115">
        <v>0.002992539998683036</v>
      </c>
      <c r="E789" s="115">
        <v>2.49182842626168</v>
      </c>
      <c r="F789" s="86" t="s">
        <v>3164</v>
      </c>
      <c r="G789" s="86" t="b">
        <v>0</v>
      </c>
      <c r="H789" s="86" t="b">
        <v>0</v>
      </c>
      <c r="I789" s="86" t="b">
        <v>0</v>
      </c>
      <c r="J789" s="86" t="b">
        <v>0</v>
      </c>
      <c r="K789" s="86" t="b">
        <v>0</v>
      </c>
      <c r="L789" s="86" t="b">
        <v>0</v>
      </c>
    </row>
    <row r="790" spans="1:12" ht="15">
      <c r="A790" s="87" t="s">
        <v>4392</v>
      </c>
      <c r="B790" s="86" t="s">
        <v>4059</v>
      </c>
      <c r="C790" s="86">
        <v>2</v>
      </c>
      <c r="D790" s="115">
        <v>0.002992539998683036</v>
      </c>
      <c r="E790" s="115">
        <v>2.36688968965338</v>
      </c>
      <c r="F790" s="86" t="s">
        <v>3164</v>
      </c>
      <c r="G790" s="86" t="b">
        <v>0</v>
      </c>
      <c r="H790" s="86" t="b">
        <v>0</v>
      </c>
      <c r="I790" s="86" t="b">
        <v>0</v>
      </c>
      <c r="J790" s="86" t="b">
        <v>0</v>
      </c>
      <c r="K790" s="86" t="b">
        <v>1</v>
      </c>
      <c r="L790" s="86" t="b">
        <v>0</v>
      </c>
    </row>
    <row r="791" spans="1:12" ht="15">
      <c r="A791" s="87" t="s">
        <v>4382</v>
      </c>
      <c r="B791" s="86" t="s">
        <v>4383</v>
      </c>
      <c r="C791" s="86">
        <v>2</v>
      </c>
      <c r="D791" s="115">
        <v>0.002992539998683036</v>
      </c>
      <c r="E791" s="115">
        <v>2.6679196853173615</v>
      </c>
      <c r="F791" s="86" t="s">
        <v>3164</v>
      </c>
      <c r="G791" s="86" t="b">
        <v>1</v>
      </c>
      <c r="H791" s="86" t="b">
        <v>0</v>
      </c>
      <c r="I791" s="86" t="b">
        <v>0</v>
      </c>
      <c r="J791" s="86" t="b">
        <v>0</v>
      </c>
      <c r="K791" s="86" t="b">
        <v>0</v>
      </c>
      <c r="L791" s="86" t="b">
        <v>0</v>
      </c>
    </row>
    <row r="792" spans="1:12" ht="15">
      <c r="A792" s="87" t="s">
        <v>4118</v>
      </c>
      <c r="B792" s="86" t="s">
        <v>3354</v>
      </c>
      <c r="C792" s="86">
        <v>2</v>
      </c>
      <c r="D792" s="115">
        <v>0.002992539998683036</v>
      </c>
      <c r="E792" s="115">
        <v>0.8897684349337178</v>
      </c>
      <c r="F792" s="86" t="s">
        <v>3164</v>
      </c>
      <c r="G792" s="86" t="b">
        <v>0</v>
      </c>
      <c r="H792" s="86" t="b">
        <v>0</v>
      </c>
      <c r="I792" s="86" t="b">
        <v>0</v>
      </c>
      <c r="J792" s="86" t="b">
        <v>0</v>
      </c>
      <c r="K792" s="86" t="b">
        <v>0</v>
      </c>
      <c r="L792" s="86" t="b">
        <v>0</v>
      </c>
    </row>
    <row r="793" spans="1:12" ht="15">
      <c r="A793" s="87" t="s">
        <v>3372</v>
      </c>
      <c r="B793" s="86" t="s">
        <v>4223</v>
      </c>
      <c r="C793" s="86">
        <v>2</v>
      </c>
      <c r="D793" s="115">
        <v>0.002992539998683036</v>
      </c>
      <c r="E793" s="115">
        <v>1.190798430597699</v>
      </c>
      <c r="F793" s="86" t="s">
        <v>3164</v>
      </c>
      <c r="G793" s="86" t="b">
        <v>0</v>
      </c>
      <c r="H793" s="86" t="b">
        <v>0</v>
      </c>
      <c r="I793" s="86" t="b">
        <v>0</v>
      </c>
      <c r="J793" s="86" t="b">
        <v>0</v>
      </c>
      <c r="K793" s="86" t="b">
        <v>0</v>
      </c>
      <c r="L793" s="86" t="b">
        <v>0</v>
      </c>
    </row>
    <row r="794" spans="1:12" ht="15">
      <c r="A794" s="87" t="s">
        <v>3372</v>
      </c>
      <c r="B794" s="86" t="s">
        <v>4254</v>
      </c>
      <c r="C794" s="86">
        <v>2</v>
      </c>
      <c r="D794" s="115">
        <v>0.002992539998683036</v>
      </c>
      <c r="E794" s="115">
        <v>1.190798430597699</v>
      </c>
      <c r="F794" s="86" t="s">
        <v>3164</v>
      </c>
      <c r="G794" s="86" t="b">
        <v>0</v>
      </c>
      <c r="H794" s="86" t="b">
        <v>0</v>
      </c>
      <c r="I794" s="86" t="b">
        <v>0</v>
      </c>
      <c r="J794" s="86" t="b">
        <v>0</v>
      </c>
      <c r="K794" s="86" t="b">
        <v>0</v>
      </c>
      <c r="L794" s="86" t="b">
        <v>0</v>
      </c>
    </row>
    <row r="795" spans="1:12" ht="15">
      <c r="A795" s="87" t="s">
        <v>4254</v>
      </c>
      <c r="B795" s="86" t="s">
        <v>4255</v>
      </c>
      <c r="C795" s="86">
        <v>2</v>
      </c>
      <c r="D795" s="115">
        <v>0.002992539998683036</v>
      </c>
      <c r="E795" s="115">
        <v>2.6679196853173615</v>
      </c>
      <c r="F795" s="86" t="s">
        <v>3164</v>
      </c>
      <c r="G795" s="86" t="b">
        <v>0</v>
      </c>
      <c r="H795" s="86" t="b">
        <v>0</v>
      </c>
      <c r="I795" s="86" t="b">
        <v>0</v>
      </c>
      <c r="J795" s="86" t="b">
        <v>0</v>
      </c>
      <c r="K795" s="86" t="b">
        <v>0</v>
      </c>
      <c r="L795" s="86" t="b">
        <v>0</v>
      </c>
    </row>
    <row r="796" spans="1:12" ht="15">
      <c r="A796" s="87" t="s">
        <v>4255</v>
      </c>
      <c r="B796" s="86" t="s">
        <v>4373</v>
      </c>
      <c r="C796" s="86">
        <v>2</v>
      </c>
      <c r="D796" s="115">
        <v>0.002992539998683036</v>
      </c>
      <c r="E796" s="115">
        <v>2.6679196853173615</v>
      </c>
      <c r="F796" s="86" t="s">
        <v>3164</v>
      </c>
      <c r="G796" s="86" t="b">
        <v>0</v>
      </c>
      <c r="H796" s="86" t="b">
        <v>0</v>
      </c>
      <c r="I796" s="86" t="b">
        <v>0</v>
      </c>
      <c r="J796" s="86" t="b">
        <v>0</v>
      </c>
      <c r="K796" s="86" t="b">
        <v>0</v>
      </c>
      <c r="L796" s="86" t="b">
        <v>0</v>
      </c>
    </row>
    <row r="797" spans="1:12" ht="15">
      <c r="A797" s="87" t="s">
        <v>3307</v>
      </c>
      <c r="B797" s="86" t="s">
        <v>3354</v>
      </c>
      <c r="C797" s="86">
        <v>2</v>
      </c>
      <c r="D797" s="115">
        <v>0.002992539998683036</v>
      </c>
      <c r="E797" s="115">
        <v>0.3457003905834422</v>
      </c>
      <c r="F797" s="86" t="s">
        <v>3164</v>
      </c>
      <c r="G797" s="86" t="b">
        <v>0</v>
      </c>
      <c r="H797" s="86" t="b">
        <v>0</v>
      </c>
      <c r="I797" s="86" t="b">
        <v>0</v>
      </c>
      <c r="J797" s="86" t="b">
        <v>0</v>
      </c>
      <c r="K797" s="86" t="b">
        <v>0</v>
      </c>
      <c r="L797" s="86" t="b">
        <v>0</v>
      </c>
    </row>
    <row r="798" spans="1:12" ht="15">
      <c r="A798" s="87" t="s">
        <v>4344</v>
      </c>
      <c r="B798" s="86" t="s">
        <v>4345</v>
      </c>
      <c r="C798" s="86">
        <v>2</v>
      </c>
      <c r="D798" s="115">
        <v>0.002992539998683036</v>
      </c>
      <c r="E798" s="115">
        <v>2.6679196853173615</v>
      </c>
      <c r="F798" s="86" t="s">
        <v>3164</v>
      </c>
      <c r="G798" s="86" t="b">
        <v>0</v>
      </c>
      <c r="H798" s="86" t="b">
        <v>0</v>
      </c>
      <c r="I798" s="86" t="b">
        <v>0</v>
      </c>
      <c r="J798" s="86" t="b">
        <v>0</v>
      </c>
      <c r="K798" s="86" t="b">
        <v>0</v>
      </c>
      <c r="L798" s="86" t="b">
        <v>0</v>
      </c>
    </row>
    <row r="799" spans="1:12" ht="15">
      <c r="A799" s="87" t="s">
        <v>4345</v>
      </c>
      <c r="B799" s="86" t="s">
        <v>3375</v>
      </c>
      <c r="C799" s="86">
        <v>2</v>
      </c>
      <c r="D799" s="115">
        <v>0.002992539998683036</v>
      </c>
      <c r="E799" s="115">
        <v>2.014707171542018</v>
      </c>
      <c r="F799" s="86" t="s">
        <v>3164</v>
      </c>
      <c r="G799" s="86" t="b">
        <v>0</v>
      </c>
      <c r="H799" s="86" t="b">
        <v>0</v>
      </c>
      <c r="I799" s="86" t="b">
        <v>0</v>
      </c>
      <c r="J799" s="86" t="b">
        <v>0</v>
      </c>
      <c r="K799" s="86" t="b">
        <v>0</v>
      </c>
      <c r="L799" s="86" t="b">
        <v>0</v>
      </c>
    </row>
    <row r="800" spans="1:12" ht="15">
      <c r="A800" s="87" t="s">
        <v>3327</v>
      </c>
      <c r="B800" s="86" t="s">
        <v>3381</v>
      </c>
      <c r="C800" s="86">
        <v>5</v>
      </c>
      <c r="D800" s="115">
        <v>0.006918658670844989</v>
      </c>
      <c r="E800" s="115">
        <v>1.5528419686577808</v>
      </c>
      <c r="F800" s="86" t="s">
        <v>3165</v>
      </c>
      <c r="G800" s="86" t="b">
        <v>0</v>
      </c>
      <c r="H800" s="86" t="b">
        <v>0</v>
      </c>
      <c r="I800" s="86" t="b">
        <v>0</v>
      </c>
      <c r="J800" s="86" t="b">
        <v>0</v>
      </c>
      <c r="K800" s="86" t="b">
        <v>0</v>
      </c>
      <c r="L800" s="86" t="b">
        <v>0</v>
      </c>
    </row>
    <row r="801" spans="1:12" ht="15">
      <c r="A801" s="87" t="s">
        <v>3356</v>
      </c>
      <c r="B801" s="86" t="s">
        <v>4039</v>
      </c>
      <c r="C801" s="86">
        <v>5</v>
      </c>
      <c r="D801" s="115">
        <v>0.006918658670844989</v>
      </c>
      <c r="E801" s="115">
        <v>1.3467874862246563</v>
      </c>
      <c r="F801" s="86" t="s">
        <v>3165</v>
      </c>
      <c r="G801" s="86" t="b">
        <v>0</v>
      </c>
      <c r="H801" s="86" t="b">
        <v>0</v>
      </c>
      <c r="I801" s="86" t="b">
        <v>0</v>
      </c>
      <c r="J801" s="86" t="b">
        <v>0</v>
      </c>
      <c r="K801" s="86" t="b">
        <v>0</v>
      </c>
      <c r="L801" s="86" t="b">
        <v>0</v>
      </c>
    </row>
    <row r="802" spans="1:12" ht="15">
      <c r="A802" s="87" t="s">
        <v>4039</v>
      </c>
      <c r="B802" s="86" t="s">
        <v>4045</v>
      </c>
      <c r="C802" s="86">
        <v>5</v>
      </c>
      <c r="D802" s="115">
        <v>0.006918658670844989</v>
      </c>
      <c r="E802" s="115">
        <v>1.9030899869919435</v>
      </c>
      <c r="F802" s="86" t="s">
        <v>3165</v>
      </c>
      <c r="G802" s="86" t="b">
        <v>0</v>
      </c>
      <c r="H802" s="86" t="b">
        <v>0</v>
      </c>
      <c r="I802" s="86" t="b">
        <v>0</v>
      </c>
      <c r="J802" s="86" t="b">
        <v>0</v>
      </c>
      <c r="K802" s="86" t="b">
        <v>0</v>
      </c>
      <c r="L802" s="86" t="b">
        <v>0</v>
      </c>
    </row>
    <row r="803" spans="1:12" ht="15">
      <c r="A803" s="87" t="s">
        <v>4045</v>
      </c>
      <c r="B803" s="86" t="s">
        <v>4032</v>
      </c>
      <c r="C803" s="86">
        <v>5</v>
      </c>
      <c r="D803" s="115">
        <v>0.006918658670844989</v>
      </c>
      <c r="E803" s="115">
        <v>1.9030899869919435</v>
      </c>
      <c r="F803" s="86" t="s">
        <v>3165</v>
      </c>
      <c r="G803" s="86" t="b">
        <v>0</v>
      </c>
      <c r="H803" s="86" t="b">
        <v>0</v>
      </c>
      <c r="I803" s="86" t="b">
        <v>0</v>
      </c>
      <c r="J803" s="86" t="b">
        <v>0</v>
      </c>
      <c r="K803" s="86" t="b">
        <v>1</v>
      </c>
      <c r="L803" s="86" t="b">
        <v>0</v>
      </c>
    </row>
    <row r="804" spans="1:12" ht="15">
      <c r="A804" s="87" t="s">
        <v>4032</v>
      </c>
      <c r="B804" s="86" t="s">
        <v>3383</v>
      </c>
      <c r="C804" s="86">
        <v>5</v>
      </c>
      <c r="D804" s="115">
        <v>0.006918658670844989</v>
      </c>
      <c r="E804" s="115">
        <v>1.8239087409443189</v>
      </c>
      <c r="F804" s="86" t="s">
        <v>3165</v>
      </c>
      <c r="G804" s="86" t="b">
        <v>0</v>
      </c>
      <c r="H804" s="86" t="b">
        <v>1</v>
      </c>
      <c r="I804" s="86" t="b">
        <v>0</v>
      </c>
      <c r="J804" s="86" t="b">
        <v>0</v>
      </c>
      <c r="K804" s="86" t="b">
        <v>0</v>
      </c>
      <c r="L804" s="86" t="b">
        <v>0</v>
      </c>
    </row>
    <row r="805" spans="1:12" ht="15">
      <c r="A805" s="87" t="s">
        <v>3383</v>
      </c>
      <c r="B805" s="86" t="s">
        <v>3379</v>
      </c>
      <c r="C805" s="86">
        <v>5</v>
      </c>
      <c r="D805" s="115">
        <v>0.006918658670844989</v>
      </c>
      <c r="E805" s="115">
        <v>1.5686362358410129</v>
      </c>
      <c r="F805" s="86" t="s">
        <v>3165</v>
      </c>
      <c r="G805" s="86" t="b">
        <v>0</v>
      </c>
      <c r="H805" s="86" t="b">
        <v>0</v>
      </c>
      <c r="I805" s="86" t="b">
        <v>0</v>
      </c>
      <c r="J805" s="86" t="b">
        <v>0</v>
      </c>
      <c r="K805" s="86" t="b">
        <v>0</v>
      </c>
      <c r="L805" s="86" t="b">
        <v>0</v>
      </c>
    </row>
    <row r="806" spans="1:12" ht="15">
      <c r="A806" s="87" t="s">
        <v>3379</v>
      </c>
      <c r="B806" s="86" t="s">
        <v>4033</v>
      </c>
      <c r="C806" s="86">
        <v>5</v>
      </c>
      <c r="D806" s="115">
        <v>0.006918658670844989</v>
      </c>
      <c r="E806" s="115">
        <v>1.5228787452803376</v>
      </c>
      <c r="F806" s="86" t="s">
        <v>3165</v>
      </c>
      <c r="G806" s="86" t="b">
        <v>0</v>
      </c>
      <c r="H806" s="86" t="b">
        <v>0</v>
      </c>
      <c r="I806" s="86" t="b">
        <v>0</v>
      </c>
      <c r="J806" s="86" t="b">
        <v>0</v>
      </c>
      <c r="K806" s="86" t="b">
        <v>0</v>
      </c>
      <c r="L806" s="86" t="b">
        <v>0</v>
      </c>
    </row>
    <row r="807" spans="1:12" ht="15">
      <c r="A807" s="87" t="s">
        <v>4037</v>
      </c>
      <c r="B807" s="86" t="s">
        <v>4038</v>
      </c>
      <c r="C807" s="86">
        <v>5</v>
      </c>
      <c r="D807" s="115">
        <v>0.006918658670844989</v>
      </c>
      <c r="E807" s="115">
        <v>1.8239087409443189</v>
      </c>
      <c r="F807" s="86" t="s">
        <v>3165</v>
      </c>
      <c r="G807" s="86" t="b">
        <v>0</v>
      </c>
      <c r="H807" s="86" t="b">
        <v>0</v>
      </c>
      <c r="I807" s="86" t="b">
        <v>0</v>
      </c>
      <c r="J807" s="86" t="b">
        <v>0</v>
      </c>
      <c r="K807" s="86" t="b">
        <v>0</v>
      </c>
      <c r="L807" s="86" t="b">
        <v>0</v>
      </c>
    </row>
    <row r="808" spans="1:12" ht="15">
      <c r="A808" s="87" t="s">
        <v>3356</v>
      </c>
      <c r="B808" s="86" t="s">
        <v>3355</v>
      </c>
      <c r="C808" s="86">
        <v>4</v>
      </c>
      <c r="D808" s="115">
        <v>0.006460082192122831</v>
      </c>
      <c r="E808" s="115">
        <v>0.8027194418743807</v>
      </c>
      <c r="F808" s="86" t="s">
        <v>3165</v>
      </c>
      <c r="G808" s="86" t="b">
        <v>0</v>
      </c>
      <c r="H808" s="86" t="b">
        <v>0</v>
      </c>
      <c r="I808" s="86" t="b">
        <v>0</v>
      </c>
      <c r="J808" s="86" t="b">
        <v>0</v>
      </c>
      <c r="K808" s="86" t="b">
        <v>0</v>
      </c>
      <c r="L808" s="86" t="b">
        <v>0</v>
      </c>
    </row>
    <row r="809" spans="1:12" ht="15">
      <c r="A809" s="87" t="s">
        <v>4025</v>
      </c>
      <c r="B809" s="86" t="s">
        <v>3360</v>
      </c>
      <c r="C809" s="86">
        <v>4</v>
      </c>
      <c r="D809" s="115">
        <v>0.006460082192122831</v>
      </c>
      <c r="E809" s="115">
        <v>1.6989700043360187</v>
      </c>
      <c r="F809" s="86" t="s">
        <v>3165</v>
      </c>
      <c r="G809" s="86" t="b">
        <v>0</v>
      </c>
      <c r="H809" s="86" t="b">
        <v>0</v>
      </c>
      <c r="I809" s="86" t="b">
        <v>0</v>
      </c>
      <c r="J809" s="86" t="b">
        <v>0</v>
      </c>
      <c r="K809" s="86" t="b">
        <v>0</v>
      </c>
      <c r="L809" s="86" t="b">
        <v>0</v>
      </c>
    </row>
    <row r="810" spans="1:12" ht="15">
      <c r="A810" s="87" t="s">
        <v>4049</v>
      </c>
      <c r="B810" s="86" t="s">
        <v>4046</v>
      </c>
      <c r="C810" s="86">
        <v>4</v>
      </c>
      <c r="D810" s="115">
        <v>0.006460082192122831</v>
      </c>
      <c r="E810" s="115">
        <v>2</v>
      </c>
      <c r="F810" s="86" t="s">
        <v>3165</v>
      </c>
      <c r="G810" s="86" t="b">
        <v>0</v>
      </c>
      <c r="H810" s="86" t="b">
        <v>0</v>
      </c>
      <c r="I810" s="86" t="b">
        <v>0</v>
      </c>
      <c r="J810" s="86" t="b">
        <v>0</v>
      </c>
      <c r="K810" s="86" t="b">
        <v>0</v>
      </c>
      <c r="L810" s="86" t="b">
        <v>0</v>
      </c>
    </row>
    <row r="811" spans="1:12" ht="15">
      <c r="A811" s="87" t="s">
        <v>4046</v>
      </c>
      <c r="B811" s="86" t="s">
        <v>4040</v>
      </c>
      <c r="C811" s="86">
        <v>4</v>
      </c>
      <c r="D811" s="115">
        <v>0.006460082192122831</v>
      </c>
      <c r="E811" s="115">
        <v>2</v>
      </c>
      <c r="F811" s="86" t="s">
        <v>3165</v>
      </c>
      <c r="G811" s="86" t="b">
        <v>0</v>
      </c>
      <c r="H811" s="86" t="b">
        <v>0</v>
      </c>
      <c r="I811" s="86" t="b">
        <v>0</v>
      </c>
      <c r="J811" s="86" t="b">
        <v>0</v>
      </c>
      <c r="K811" s="86" t="b">
        <v>0</v>
      </c>
      <c r="L811" s="86" t="b">
        <v>0</v>
      </c>
    </row>
    <row r="812" spans="1:12" ht="15">
      <c r="A812" s="87" t="s">
        <v>4040</v>
      </c>
      <c r="B812" s="86" t="s">
        <v>4036</v>
      </c>
      <c r="C812" s="86">
        <v>4</v>
      </c>
      <c r="D812" s="115">
        <v>0.006460082192122831</v>
      </c>
      <c r="E812" s="115">
        <v>2</v>
      </c>
      <c r="F812" s="86" t="s">
        <v>3165</v>
      </c>
      <c r="G812" s="86" t="b">
        <v>0</v>
      </c>
      <c r="H812" s="86" t="b">
        <v>0</v>
      </c>
      <c r="I812" s="86" t="b">
        <v>0</v>
      </c>
      <c r="J812" s="86" t="b">
        <v>0</v>
      </c>
      <c r="K812" s="86" t="b">
        <v>0</v>
      </c>
      <c r="L812" s="86" t="b">
        <v>0</v>
      </c>
    </row>
    <row r="813" spans="1:12" ht="15">
      <c r="A813" s="87" t="s">
        <v>4036</v>
      </c>
      <c r="B813" s="86" t="s">
        <v>3360</v>
      </c>
      <c r="C813" s="86">
        <v>4</v>
      </c>
      <c r="D813" s="115">
        <v>0.006460082192122831</v>
      </c>
      <c r="E813" s="115">
        <v>1.6989700043360187</v>
      </c>
      <c r="F813" s="86" t="s">
        <v>3165</v>
      </c>
      <c r="G813" s="86" t="b">
        <v>0</v>
      </c>
      <c r="H813" s="86" t="b">
        <v>0</v>
      </c>
      <c r="I813" s="86" t="b">
        <v>0</v>
      </c>
      <c r="J813" s="86" t="b">
        <v>0</v>
      </c>
      <c r="K813" s="86" t="b">
        <v>0</v>
      </c>
      <c r="L813" s="86" t="b">
        <v>0</v>
      </c>
    </row>
    <row r="814" spans="1:12" ht="15">
      <c r="A814" s="87" t="s">
        <v>3360</v>
      </c>
      <c r="B814" s="86" t="s">
        <v>4037</v>
      </c>
      <c r="C814" s="86">
        <v>4</v>
      </c>
      <c r="D814" s="115">
        <v>0.006460082192122831</v>
      </c>
      <c r="E814" s="115">
        <v>1.6020599913279623</v>
      </c>
      <c r="F814" s="86" t="s">
        <v>3165</v>
      </c>
      <c r="G814" s="86" t="b">
        <v>0</v>
      </c>
      <c r="H814" s="86" t="b">
        <v>0</v>
      </c>
      <c r="I814" s="86" t="b">
        <v>0</v>
      </c>
      <c r="J814" s="86" t="b">
        <v>0</v>
      </c>
      <c r="K814" s="86" t="b">
        <v>0</v>
      </c>
      <c r="L814" s="86" t="b">
        <v>0</v>
      </c>
    </row>
    <row r="815" spans="1:12" ht="15">
      <c r="A815" s="87" t="s">
        <v>4038</v>
      </c>
      <c r="B815" s="86" t="s">
        <v>4043</v>
      </c>
      <c r="C815" s="86">
        <v>4</v>
      </c>
      <c r="D815" s="115">
        <v>0.006460082192122831</v>
      </c>
      <c r="E815" s="115">
        <v>1.8239087409443189</v>
      </c>
      <c r="F815" s="86" t="s">
        <v>3165</v>
      </c>
      <c r="G815" s="86" t="b">
        <v>0</v>
      </c>
      <c r="H815" s="86" t="b">
        <v>0</v>
      </c>
      <c r="I815" s="86" t="b">
        <v>0</v>
      </c>
      <c r="J815" s="86" t="b">
        <v>0</v>
      </c>
      <c r="K815" s="86" t="b">
        <v>0</v>
      </c>
      <c r="L815" s="86" t="b">
        <v>0</v>
      </c>
    </row>
    <row r="816" spans="1:12" ht="15">
      <c r="A816" s="87" t="s">
        <v>4043</v>
      </c>
      <c r="B816" s="86" t="s">
        <v>4047</v>
      </c>
      <c r="C816" s="86">
        <v>4</v>
      </c>
      <c r="D816" s="115">
        <v>0.006460082192122831</v>
      </c>
      <c r="E816" s="115">
        <v>1.9030899869919435</v>
      </c>
      <c r="F816" s="86" t="s">
        <v>3165</v>
      </c>
      <c r="G816" s="86" t="b">
        <v>0</v>
      </c>
      <c r="H816" s="86" t="b">
        <v>0</v>
      </c>
      <c r="I816" s="86" t="b">
        <v>0</v>
      </c>
      <c r="J816" s="86" t="b">
        <v>0</v>
      </c>
      <c r="K816" s="86" t="b">
        <v>0</v>
      </c>
      <c r="L816" s="86" t="b">
        <v>0</v>
      </c>
    </row>
    <row r="817" spans="1:12" ht="15">
      <c r="A817" s="87" t="s">
        <v>3327</v>
      </c>
      <c r="B817" s="86" t="s">
        <v>4020</v>
      </c>
      <c r="C817" s="86">
        <v>3</v>
      </c>
      <c r="D817" s="115">
        <v>0.005739611070881861</v>
      </c>
      <c r="E817" s="115">
        <v>1.6989700043360187</v>
      </c>
      <c r="F817" s="86" t="s">
        <v>3165</v>
      </c>
      <c r="G817" s="86" t="b">
        <v>0</v>
      </c>
      <c r="H817" s="86" t="b">
        <v>0</v>
      </c>
      <c r="I817" s="86" t="b">
        <v>0</v>
      </c>
      <c r="J817" s="86" t="b">
        <v>0</v>
      </c>
      <c r="K817" s="86" t="b">
        <v>1</v>
      </c>
      <c r="L817" s="86" t="b">
        <v>0</v>
      </c>
    </row>
    <row r="818" spans="1:12" ht="15">
      <c r="A818" s="87" t="s">
        <v>4047</v>
      </c>
      <c r="B818" s="86" t="s">
        <v>4052</v>
      </c>
      <c r="C818" s="86">
        <v>3</v>
      </c>
      <c r="D818" s="115">
        <v>0.005739611070881861</v>
      </c>
      <c r="E818" s="115">
        <v>1.9030899869919435</v>
      </c>
      <c r="F818" s="86" t="s">
        <v>3165</v>
      </c>
      <c r="G818" s="86" t="b">
        <v>0</v>
      </c>
      <c r="H818" s="86" t="b">
        <v>0</v>
      </c>
      <c r="I818" s="86" t="b">
        <v>0</v>
      </c>
      <c r="J818" s="86" t="b">
        <v>0</v>
      </c>
      <c r="K818" s="86" t="b">
        <v>0</v>
      </c>
      <c r="L818" s="86" t="b">
        <v>0</v>
      </c>
    </row>
    <row r="819" spans="1:12" ht="15">
      <c r="A819" s="87" t="s">
        <v>4052</v>
      </c>
      <c r="B819" s="86" t="s">
        <v>3327</v>
      </c>
      <c r="C819" s="86">
        <v>3</v>
      </c>
      <c r="D819" s="115">
        <v>0.005739611070881861</v>
      </c>
      <c r="E819" s="115">
        <v>1.6989700043360187</v>
      </c>
      <c r="F819" s="86" t="s">
        <v>3165</v>
      </c>
      <c r="G819" s="86" t="b">
        <v>0</v>
      </c>
      <c r="H819" s="86" t="b">
        <v>0</v>
      </c>
      <c r="I819" s="86" t="b">
        <v>0</v>
      </c>
      <c r="J819" s="86" t="b">
        <v>0</v>
      </c>
      <c r="K819" s="86" t="b">
        <v>0</v>
      </c>
      <c r="L819" s="86" t="b">
        <v>0</v>
      </c>
    </row>
    <row r="820" spans="1:12" ht="15">
      <c r="A820" s="87" t="s">
        <v>4034</v>
      </c>
      <c r="B820" s="86" t="s">
        <v>3382</v>
      </c>
      <c r="C820" s="86">
        <v>3</v>
      </c>
      <c r="D820" s="115">
        <v>0.005739611070881861</v>
      </c>
      <c r="E820" s="115">
        <v>1.8239087409443189</v>
      </c>
      <c r="F820" s="86" t="s">
        <v>3165</v>
      </c>
      <c r="G820" s="86" t="b">
        <v>0</v>
      </c>
      <c r="H820" s="86" t="b">
        <v>0</v>
      </c>
      <c r="I820" s="86" t="b">
        <v>0</v>
      </c>
      <c r="J820" s="86" t="b">
        <v>0</v>
      </c>
      <c r="K820" s="86" t="b">
        <v>0</v>
      </c>
      <c r="L820" s="86" t="b">
        <v>0</v>
      </c>
    </row>
    <row r="821" spans="1:12" ht="15">
      <c r="A821" s="87" t="s">
        <v>3382</v>
      </c>
      <c r="B821" s="86" t="s">
        <v>3355</v>
      </c>
      <c r="C821" s="86">
        <v>3</v>
      </c>
      <c r="D821" s="115">
        <v>0.005739611070881861</v>
      </c>
      <c r="E821" s="115">
        <v>1.154901959985743</v>
      </c>
      <c r="F821" s="86" t="s">
        <v>3165</v>
      </c>
      <c r="G821" s="86" t="b">
        <v>0</v>
      </c>
      <c r="H821" s="86" t="b">
        <v>0</v>
      </c>
      <c r="I821" s="86" t="b">
        <v>0</v>
      </c>
      <c r="J821" s="86" t="b">
        <v>0</v>
      </c>
      <c r="K821" s="86" t="b">
        <v>0</v>
      </c>
      <c r="L821" s="86" t="b">
        <v>0</v>
      </c>
    </row>
    <row r="822" spans="1:12" ht="15">
      <c r="A822" s="87" t="s">
        <v>3319</v>
      </c>
      <c r="B822" s="86" t="s">
        <v>4313</v>
      </c>
      <c r="C822" s="86">
        <v>2</v>
      </c>
      <c r="D822" s="115">
        <v>0.006103835804070782</v>
      </c>
      <c r="E822" s="115">
        <v>2.1249387366083</v>
      </c>
      <c r="F822" s="86" t="s">
        <v>3165</v>
      </c>
      <c r="G822" s="86" t="b">
        <v>0</v>
      </c>
      <c r="H822" s="86" t="b">
        <v>0</v>
      </c>
      <c r="I822" s="86" t="b">
        <v>0</v>
      </c>
      <c r="J822" s="86" t="b">
        <v>0</v>
      </c>
      <c r="K822" s="86" t="b">
        <v>0</v>
      </c>
      <c r="L822" s="86" t="b">
        <v>0</v>
      </c>
    </row>
    <row r="823" spans="1:12" ht="15">
      <c r="A823" s="87" t="s">
        <v>3363</v>
      </c>
      <c r="B823" s="86" t="s">
        <v>3361</v>
      </c>
      <c r="C823" s="86">
        <v>2</v>
      </c>
      <c r="D823" s="115">
        <v>0.004666938450066099</v>
      </c>
      <c r="E823" s="115">
        <v>1.8239087409443189</v>
      </c>
      <c r="F823" s="86" t="s">
        <v>3165</v>
      </c>
      <c r="G823" s="86" t="b">
        <v>0</v>
      </c>
      <c r="H823" s="86" t="b">
        <v>0</v>
      </c>
      <c r="I823" s="86" t="b">
        <v>0</v>
      </c>
      <c r="J823" s="86" t="b">
        <v>0</v>
      </c>
      <c r="K823" s="86" t="b">
        <v>0</v>
      </c>
      <c r="L823" s="86" t="b">
        <v>0</v>
      </c>
    </row>
    <row r="824" spans="1:12" ht="15">
      <c r="A824" s="87" t="s">
        <v>3377</v>
      </c>
      <c r="B824" s="86" t="s">
        <v>4186</v>
      </c>
      <c r="C824" s="86">
        <v>2</v>
      </c>
      <c r="D824" s="115">
        <v>0.004666938450066099</v>
      </c>
      <c r="E824" s="115">
        <v>2.3010299956639813</v>
      </c>
      <c r="F824" s="86" t="s">
        <v>3165</v>
      </c>
      <c r="G824" s="86" t="b">
        <v>1</v>
      </c>
      <c r="H824" s="86" t="b">
        <v>0</v>
      </c>
      <c r="I824" s="86" t="b">
        <v>0</v>
      </c>
      <c r="J824" s="86" t="b">
        <v>0</v>
      </c>
      <c r="K824" s="86" t="b">
        <v>0</v>
      </c>
      <c r="L824" s="86" t="b">
        <v>0</v>
      </c>
    </row>
    <row r="825" spans="1:12" ht="15">
      <c r="A825" s="87" t="s">
        <v>4186</v>
      </c>
      <c r="B825" s="86" t="s">
        <v>4271</v>
      </c>
      <c r="C825" s="86">
        <v>2</v>
      </c>
      <c r="D825" s="115">
        <v>0.004666938450066099</v>
      </c>
      <c r="E825" s="115">
        <v>2.3010299956639813</v>
      </c>
      <c r="F825" s="86" t="s">
        <v>3165</v>
      </c>
      <c r="G825" s="86" t="b">
        <v>0</v>
      </c>
      <c r="H825" s="86" t="b">
        <v>0</v>
      </c>
      <c r="I825" s="86" t="b">
        <v>0</v>
      </c>
      <c r="J825" s="86" t="b">
        <v>0</v>
      </c>
      <c r="K825" s="86" t="b">
        <v>1</v>
      </c>
      <c r="L825" s="86" t="b">
        <v>0</v>
      </c>
    </row>
    <row r="826" spans="1:12" ht="15">
      <c r="A826" s="87" t="s">
        <v>4271</v>
      </c>
      <c r="B826" s="86" t="s">
        <v>3356</v>
      </c>
      <c r="C826" s="86">
        <v>2</v>
      </c>
      <c r="D826" s="115">
        <v>0.004666938450066099</v>
      </c>
      <c r="E826" s="115">
        <v>1.4881166390211256</v>
      </c>
      <c r="F826" s="86" t="s">
        <v>3165</v>
      </c>
      <c r="G826" s="86" t="b">
        <v>0</v>
      </c>
      <c r="H826" s="86" t="b">
        <v>1</v>
      </c>
      <c r="I826" s="86" t="b">
        <v>0</v>
      </c>
      <c r="J826" s="86" t="b">
        <v>0</v>
      </c>
      <c r="K826" s="86" t="b">
        <v>0</v>
      </c>
      <c r="L826" s="86" t="b">
        <v>0</v>
      </c>
    </row>
    <row r="827" spans="1:12" ht="15">
      <c r="A827" s="87" t="s">
        <v>3355</v>
      </c>
      <c r="B827" s="86" t="s">
        <v>3356</v>
      </c>
      <c r="C827" s="86">
        <v>2</v>
      </c>
      <c r="D827" s="115">
        <v>0.004666938450066099</v>
      </c>
      <c r="E827" s="115">
        <v>1.4881166390211256</v>
      </c>
      <c r="F827" s="86" t="s">
        <v>3165</v>
      </c>
      <c r="G827" s="86" t="b">
        <v>0</v>
      </c>
      <c r="H827" s="86" t="b">
        <v>0</v>
      </c>
      <c r="I827" s="86" t="b">
        <v>0</v>
      </c>
      <c r="J827" s="86" t="b">
        <v>0</v>
      </c>
      <c r="K827" s="86" t="b">
        <v>0</v>
      </c>
      <c r="L827" s="86" t="b">
        <v>0</v>
      </c>
    </row>
    <row r="828" spans="1:12" ht="15">
      <c r="A828" s="87" t="s">
        <v>4033</v>
      </c>
      <c r="B828" s="86" t="s">
        <v>462</v>
      </c>
      <c r="C828" s="86">
        <v>2</v>
      </c>
      <c r="D828" s="115">
        <v>0.004666938450066099</v>
      </c>
      <c r="E828" s="115">
        <v>1.4259687322722812</v>
      </c>
      <c r="F828" s="86" t="s">
        <v>3165</v>
      </c>
      <c r="G828" s="86" t="b">
        <v>0</v>
      </c>
      <c r="H828" s="86" t="b">
        <v>0</v>
      </c>
      <c r="I828" s="86" t="b">
        <v>0</v>
      </c>
      <c r="J828" s="86" t="b">
        <v>0</v>
      </c>
      <c r="K828" s="86" t="b">
        <v>0</v>
      </c>
      <c r="L828" s="86" t="b">
        <v>0</v>
      </c>
    </row>
    <row r="829" spans="1:12" ht="15">
      <c r="A829" s="87" t="s">
        <v>462</v>
      </c>
      <c r="B829" s="86" t="s">
        <v>4049</v>
      </c>
      <c r="C829" s="86">
        <v>2</v>
      </c>
      <c r="D829" s="115">
        <v>0.004666938450066099</v>
      </c>
      <c r="E829" s="115">
        <v>1.6020599913279623</v>
      </c>
      <c r="F829" s="86" t="s">
        <v>3165</v>
      </c>
      <c r="G829" s="86" t="b">
        <v>0</v>
      </c>
      <c r="H829" s="86" t="b">
        <v>0</v>
      </c>
      <c r="I829" s="86" t="b">
        <v>0</v>
      </c>
      <c r="J829" s="86" t="b">
        <v>0</v>
      </c>
      <c r="K829" s="86" t="b">
        <v>0</v>
      </c>
      <c r="L829" s="86" t="b">
        <v>0</v>
      </c>
    </row>
    <row r="830" spans="1:12" ht="15">
      <c r="A830" s="87" t="s">
        <v>3381</v>
      </c>
      <c r="B830" s="86" t="s">
        <v>4034</v>
      </c>
      <c r="C830" s="86">
        <v>2</v>
      </c>
      <c r="D830" s="115">
        <v>0.004666938450066099</v>
      </c>
      <c r="E830" s="115">
        <v>1.5808706922580242</v>
      </c>
      <c r="F830" s="86" t="s">
        <v>3165</v>
      </c>
      <c r="G830" s="86" t="b">
        <v>0</v>
      </c>
      <c r="H830" s="86" t="b">
        <v>0</v>
      </c>
      <c r="I830" s="86" t="b">
        <v>0</v>
      </c>
      <c r="J830" s="86" t="b">
        <v>0</v>
      </c>
      <c r="K830" s="86" t="b">
        <v>0</v>
      </c>
      <c r="L830" s="86" t="b">
        <v>0</v>
      </c>
    </row>
    <row r="831" spans="1:12" ht="15">
      <c r="A831" s="87" t="s">
        <v>3356</v>
      </c>
      <c r="B831" s="86" t="s">
        <v>3364</v>
      </c>
      <c r="C831" s="86">
        <v>2</v>
      </c>
      <c r="D831" s="115">
        <v>0.004666938450066099</v>
      </c>
      <c r="E831" s="115">
        <v>1.1706962271689751</v>
      </c>
      <c r="F831" s="86" t="s">
        <v>3165</v>
      </c>
      <c r="G831" s="86" t="b">
        <v>0</v>
      </c>
      <c r="H831" s="86" t="b">
        <v>0</v>
      </c>
      <c r="I831" s="86" t="b">
        <v>0</v>
      </c>
      <c r="J831" s="86" t="b">
        <v>0</v>
      </c>
      <c r="K831" s="86" t="b">
        <v>0</v>
      </c>
      <c r="L831" s="86" t="b">
        <v>0</v>
      </c>
    </row>
    <row r="832" spans="1:12" ht="15">
      <c r="A832" s="87" t="s">
        <v>3364</v>
      </c>
      <c r="B832" s="86" t="s">
        <v>4023</v>
      </c>
      <c r="C832" s="86">
        <v>2</v>
      </c>
      <c r="D832" s="115">
        <v>0.004666938450066099</v>
      </c>
      <c r="E832" s="115">
        <v>2.1249387366083</v>
      </c>
      <c r="F832" s="86" t="s">
        <v>3165</v>
      </c>
      <c r="G832" s="86" t="b">
        <v>0</v>
      </c>
      <c r="H832" s="86" t="b">
        <v>0</v>
      </c>
      <c r="I832" s="86" t="b">
        <v>0</v>
      </c>
      <c r="J832" s="86" t="b">
        <v>0</v>
      </c>
      <c r="K832" s="86" t="b">
        <v>1</v>
      </c>
      <c r="L832" s="86" t="b">
        <v>0</v>
      </c>
    </row>
    <row r="833" spans="1:12" ht="15">
      <c r="A833" s="87" t="s">
        <v>4023</v>
      </c>
      <c r="B833" s="86" t="s">
        <v>4022</v>
      </c>
      <c r="C833" s="86">
        <v>2</v>
      </c>
      <c r="D833" s="115">
        <v>0.004666938450066099</v>
      </c>
      <c r="E833" s="115">
        <v>2</v>
      </c>
      <c r="F833" s="86" t="s">
        <v>3165</v>
      </c>
      <c r="G833" s="86" t="b">
        <v>0</v>
      </c>
      <c r="H833" s="86" t="b">
        <v>1</v>
      </c>
      <c r="I833" s="86" t="b">
        <v>0</v>
      </c>
      <c r="J833" s="86" t="b">
        <v>0</v>
      </c>
      <c r="K833" s="86" t="b">
        <v>0</v>
      </c>
      <c r="L833" s="86" t="b">
        <v>0</v>
      </c>
    </row>
    <row r="834" spans="1:12" ht="15">
      <c r="A834" s="87" t="s">
        <v>4022</v>
      </c>
      <c r="B834" s="86" t="s">
        <v>4021</v>
      </c>
      <c r="C834" s="86">
        <v>2</v>
      </c>
      <c r="D834" s="115">
        <v>0.004666938450066099</v>
      </c>
      <c r="E834" s="115">
        <v>1.8239087409443189</v>
      </c>
      <c r="F834" s="86" t="s">
        <v>3165</v>
      </c>
      <c r="G834" s="86" t="b">
        <v>0</v>
      </c>
      <c r="H834" s="86" t="b">
        <v>0</v>
      </c>
      <c r="I834" s="86" t="b">
        <v>0</v>
      </c>
      <c r="J834" s="86" t="b">
        <v>0</v>
      </c>
      <c r="K834" s="86" t="b">
        <v>1</v>
      </c>
      <c r="L834" s="86" t="b">
        <v>0</v>
      </c>
    </row>
    <row r="835" spans="1:12" ht="15">
      <c r="A835" s="87" t="s">
        <v>3361</v>
      </c>
      <c r="B835" s="86" t="s">
        <v>4095</v>
      </c>
      <c r="C835" s="86">
        <v>2</v>
      </c>
      <c r="D835" s="115">
        <v>0.004666938450066099</v>
      </c>
      <c r="E835" s="115">
        <v>2</v>
      </c>
      <c r="F835" s="86" t="s">
        <v>3165</v>
      </c>
      <c r="G835" s="86" t="b">
        <v>0</v>
      </c>
      <c r="H835" s="86" t="b">
        <v>0</v>
      </c>
      <c r="I835" s="86" t="b">
        <v>0</v>
      </c>
      <c r="J835" s="86" t="b">
        <v>0</v>
      </c>
      <c r="K835" s="86" t="b">
        <v>0</v>
      </c>
      <c r="L835" s="86" t="b">
        <v>0</v>
      </c>
    </row>
    <row r="836" spans="1:12" ht="15">
      <c r="A836" s="87" t="s">
        <v>4095</v>
      </c>
      <c r="B836" s="86" t="s">
        <v>3366</v>
      </c>
      <c r="C836" s="86">
        <v>2</v>
      </c>
      <c r="D836" s="115">
        <v>0.004666938450066099</v>
      </c>
      <c r="E836" s="115">
        <v>2.1249387366083</v>
      </c>
      <c r="F836" s="86" t="s">
        <v>3165</v>
      </c>
      <c r="G836" s="86" t="b">
        <v>0</v>
      </c>
      <c r="H836" s="86" t="b">
        <v>0</v>
      </c>
      <c r="I836" s="86" t="b">
        <v>0</v>
      </c>
      <c r="J836" s="86" t="b">
        <v>0</v>
      </c>
      <c r="K836" s="86" t="b">
        <v>0</v>
      </c>
      <c r="L836" s="86" t="b">
        <v>0</v>
      </c>
    </row>
    <row r="837" spans="1:12" ht="15">
      <c r="A837" s="87" t="s">
        <v>3366</v>
      </c>
      <c r="B837" s="86" t="s">
        <v>4076</v>
      </c>
      <c r="C837" s="86">
        <v>2</v>
      </c>
      <c r="D837" s="115">
        <v>0.004666938450066099</v>
      </c>
      <c r="E837" s="115">
        <v>2.1249387366083</v>
      </c>
      <c r="F837" s="86" t="s">
        <v>3165</v>
      </c>
      <c r="G837" s="86" t="b">
        <v>0</v>
      </c>
      <c r="H837" s="86" t="b">
        <v>0</v>
      </c>
      <c r="I837" s="86" t="b">
        <v>0</v>
      </c>
      <c r="J837" s="86" t="b">
        <v>0</v>
      </c>
      <c r="K837" s="86" t="b">
        <v>0</v>
      </c>
      <c r="L837" s="86" t="b">
        <v>0</v>
      </c>
    </row>
    <row r="838" spans="1:12" ht="15">
      <c r="A838" s="87" t="s">
        <v>4076</v>
      </c>
      <c r="B838" s="86" t="s">
        <v>4024</v>
      </c>
      <c r="C838" s="86">
        <v>2</v>
      </c>
      <c r="D838" s="115">
        <v>0.004666938450066099</v>
      </c>
      <c r="E838" s="115">
        <v>2</v>
      </c>
      <c r="F838" s="86" t="s">
        <v>3165</v>
      </c>
      <c r="G838" s="86" t="b">
        <v>0</v>
      </c>
      <c r="H838" s="86" t="b">
        <v>0</v>
      </c>
      <c r="I838" s="86" t="b">
        <v>0</v>
      </c>
      <c r="J838" s="86" t="b">
        <v>0</v>
      </c>
      <c r="K838" s="86" t="b">
        <v>0</v>
      </c>
      <c r="L838" s="86" t="b">
        <v>0</v>
      </c>
    </row>
    <row r="839" spans="1:12" ht="15">
      <c r="A839" s="87" t="s">
        <v>4024</v>
      </c>
      <c r="B839" s="86" t="s">
        <v>4025</v>
      </c>
      <c r="C839" s="86">
        <v>2</v>
      </c>
      <c r="D839" s="115">
        <v>0.004666938450066099</v>
      </c>
      <c r="E839" s="115">
        <v>1.6989700043360187</v>
      </c>
      <c r="F839" s="86" t="s">
        <v>3165</v>
      </c>
      <c r="G839" s="86" t="b">
        <v>0</v>
      </c>
      <c r="H839" s="86" t="b">
        <v>0</v>
      </c>
      <c r="I839" s="86" t="b">
        <v>0</v>
      </c>
      <c r="J839" s="86" t="b">
        <v>0</v>
      </c>
      <c r="K839" s="86" t="b">
        <v>0</v>
      </c>
      <c r="L839" s="86" t="b">
        <v>0</v>
      </c>
    </row>
    <row r="840" spans="1:12" ht="15">
      <c r="A840" s="87" t="s">
        <v>3360</v>
      </c>
      <c r="B840" s="86" t="s">
        <v>4027</v>
      </c>
      <c r="C840" s="86">
        <v>2</v>
      </c>
      <c r="D840" s="115">
        <v>0.004666938450066099</v>
      </c>
      <c r="E840" s="115">
        <v>1.6989700043360187</v>
      </c>
      <c r="F840" s="86" t="s">
        <v>3165</v>
      </c>
      <c r="G840" s="86" t="b">
        <v>0</v>
      </c>
      <c r="H840" s="86" t="b">
        <v>0</v>
      </c>
      <c r="I840" s="86" t="b">
        <v>0</v>
      </c>
      <c r="J840" s="86" t="b">
        <v>0</v>
      </c>
      <c r="K840" s="86" t="b">
        <v>0</v>
      </c>
      <c r="L840" s="86" t="b">
        <v>0</v>
      </c>
    </row>
    <row r="841" spans="1:12" ht="15">
      <c r="A841" s="87" t="s">
        <v>4027</v>
      </c>
      <c r="B841" s="86" t="s">
        <v>4026</v>
      </c>
      <c r="C841" s="86">
        <v>2</v>
      </c>
      <c r="D841" s="115">
        <v>0.004666938450066099</v>
      </c>
      <c r="E841" s="115">
        <v>2.3010299956639813</v>
      </c>
      <c r="F841" s="86" t="s">
        <v>3165</v>
      </c>
      <c r="G841" s="86" t="b">
        <v>0</v>
      </c>
      <c r="H841" s="86" t="b">
        <v>0</v>
      </c>
      <c r="I841" s="86" t="b">
        <v>0</v>
      </c>
      <c r="J841" s="86" t="b">
        <v>0</v>
      </c>
      <c r="K841" s="86" t="b">
        <v>0</v>
      </c>
      <c r="L841" s="86" t="b">
        <v>0</v>
      </c>
    </row>
    <row r="842" spans="1:12" ht="15">
      <c r="A842" s="87" t="s">
        <v>4026</v>
      </c>
      <c r="B842" s="86" t="s">
        <v>3327</v>
      </c>
      <c r="C842" s="86">
        <v>2</v>
      </c>
      <c r="D842" s="115">
        <v>0.004666938450066099</v>
      </c>
      <c r="E842" s="115">
        <v>1.6989700043360187</v>
      </c>
      <c r="F842" s="86" t="s">
        <v>3165</v>
      </c>
      <c r="G842" s="86" t="b">
        <v>0</v>
      </c>
      <c r="H842" s="86" t="b">
        <v>0</v>
      </c>
      <c r="I842" s="86" t="b">
        <v>0</v>
      </c>
      <c r="J842" s="86" t="b">
        <v>0</v>
      </c>
      <c r="K842" s="86" t="b">
        <v>0</v>
      </c>
      <c r="L842" s="86" t="b">
        <v>0</v>
      </c>
    </row>
    <row r="843" spans="1:12" ht="15">
      <c r="A843" s="87" t="s">
        <v>427</v>
      </c>
      <c r="B843" s="86" t="s">
        <v>3368</v>
      </c>
      <c r="C843" s="86">
        <v>2</v>
      </c>
      <c r="D843" s="115">
        <v>0.004666938450066099</v>
      </c>
      <c r="E843" s="115">
        <v>1.6478174818886375</v>
      </c>
      <c r="F843" s="86" t="s">
        <v>3165</v>
      </c>
      <c r="G843" s="86" t="b">
        <v>0</v>
      </c>
      <c r="H843" s="86" t="b">
        <v>0</v>
      </c>
      <c r="I843" s="86" t="b">
        <v>0</v>
      </c>
      <c r="J843" s="86" t="b">
        <v>0</v>
      </c>
      <c r="K843" s="86" t="b">
        <v>0</v>
      </c>
      <c r="L843" s="86" t="b">
        <v>0</v>
      </c>
    </row>
    <row r="844" spans="1:12" ht="15">
      <c r="A844" s="87" t="s">
        <v>4033</v>
      </c>
      <c r="B844" s="86" t="s">
        <v>427</v>
      </c>
      <c r="C844" s="86">
        <v>2</v>
      </c>
      <c r="D844" s="115">
        <v>0.004666938450066099</v>
      </c>
      <c r="E844" s="115">
        <v>1.3467874862246563</v>
      </c>
      <c r="F844" s="86" t="s">
        <v>3165</v>
      </c>
      <c r="G844" s="86" t="b">
        <v>0</v>
      </c>
      <c r="H844" s="86" t="b">
        <v>0</v>
      </c>
      <c r="I844" s="86" t="b">
        <v>0</v>
      </c>
      <c r="J844" s="86" t="b">
        <v>0</v>
      </c>
      <c r="K844" s="86" t="b">
        <v>0</v>
      </c>
      <c r="L844" s="86" t="b">
        <v>0</v>
      </c>
    </row>
    <row r="845" spans="1:12" ht="15">
      <c r="A845" s="87" t="s">
        <v>427</v>
      </c>
      <c r="B845" s="86" t="s">
        <v>4049</v>
      </c>
      <c r="C845" s="86">
        <v>2</v>
      </c>
      <c r="D845" s="115">
        <v>0.004666938450066099</v>
      </c>
      <c r="E845" s="115">
        <v>1.5228787452803376</v>
      </c>
      <c r="F845" s="86" t="s">
        <v>3165</v>
      </c>
      <c r="G845" s="86" t="b">
        <v>0</v>
      </c>
      <c r="H845" s="86" t="b">
        <v>0</v>
      </c>
      <c r="I845" s="86" t="b">
        <v>0</v>
      </c>
      <c r="J845" s="86" t="b">
        <v>0</v>
      </c>
      <c r="K845" s="86" t="b">
        <v>0</v>
      </c>
      <c r="L845" s="86" t="b">
        <v>0</v>
      </c>
    </row>
    <row r="846" spans="1:12" ht="15">
      <c r="A846" s="87" t="s">
        <v>4048</v>
      </c>
      <c r="B846" s="86" t="s">
        <v>3356</v>
      </c>
      <c r="C846" s="86">
        <v>2</v>
      </c>
      <c r="D846" s="115">
        <v>0.004666938450066099</v>
      </c>
      <c r="E846" s="115">
        <v>1.3120253799654444</v>
      </c>
      <c r="F846" s="86" t="s">
        <v>3165</v>
      </c>
      <c r="G846" s="86" t="b">
        <v>0</v>
      </c>
      <c r="H846" s="86" t="b">
        <v>0</v>
      </c>
      <c r="I846" s="86" t="b">
        <v>0</v>
      </c>
      <c r="J846" s="86" t="b">
        <v>0</v>
      </c>
      <c r="K846" s="86" t="b">
        <v>0</v>
      </c>
      <c r="L846" s="86" t="b">
        <v>0</v>
      </c>
    </row>
    <row r="847" spans="1:12" ht="15">
      <c r="A847" s="87" t="s">
        <v>3354</v>
      </c>
      <c r="B847" s="86" t="s">
        <v>3357</v>
      </c>
      <c r="C847" s="86">
        <v>3</v>
      </c>
      <c r="D847" s="115">
        <v>0.0132807351028227</v>
      </c>
      <c r="E847" s="115">
        <v>0.968482948553935</v>
      </c>
      <c r="F847" s="86" t="s">
        <v>3166</v>
      </c>
      <c r="G847" s="86" t="b">
        <v>0</v>
      </c>
      <c r="H847" s="86" t="b">
        <v>0</v>
      </c>
      <c r="I847" s="86" t="b">
        <v>0</v>
      </c>
      <c r="J847" s="86" t="b">
        <v>0</v>
      </c>
      <c r="K847" s="86" t="b">
        <v>0</v>
      </c>
      <c r="L847" s="86" t="b">
        <v>0</v>
      </c>
    </row>
    <row r="848" spans="1:12" ht="15">
      <c r="A848" s="87" t="s">
        <v>3355</v>
      </c>
      <c r="B848" s="86" t="s">
        <v>3354</v>
      </c>
      <c r="C848" s="86">
        <v>2</v>
      </c>
      <c r="D848" s="115">
        <v>0.014032978079990072</v>
      </c>
      <c r="E848" s="115">
        <v>0.7132104434506291</v>
      </c>
      <c r="F848" s="86" t="s">
        <v>3166</v>
      </c>
      <c r="G848" s="86" t="b">
        <v>0</v>
      </c>
      <c r="H848" s="86" t="b">
        <v>0</v>
      </c>
      <c r="I848" s="86" t="b">
        <v>0</v>
      </c>
      <c r="J848" s="86" t="b">
        <v>0</v>
      </c>
      <c r="K848" s="86" t="b">
        <v>0</v>
      </c>
      <c r="L848" s="86" t="b">
        <v>0</v>
      </c>
    </row>
    <row r="849" spans="1:12" ht="15">
      <c r="A849" s="87" t="s">
        <v>3385</v>
      </c>
      <c r="B849" s="86" t="s">
        <v>3388</v>
      </c>
      <c r="C849" s="86">
        <v>2</v>
      </c>
      <c r="D849" s="115">
        <v>0.014032978079990072</v>
      </c>
      <c r="E849" s="115">
        <v>1.3152704347785915</v>
      </c>
      <c r="F849" s="86" t="s">
        <v>3166</v>
      </c>
      <c r="G849" s="86" t="b">
        <v>1</v>
      </c>
      <c r="H849" s="86" t="b">
        <v>0</v>
      </c>
      <c r="I849" s="86" t="b">
        <v>0</v>
      </c>
      <c r="J849" s="86" t="b">
        <v>0</v>
      </c>
      <c r="K849" s="86" t="b">
        <v>0</v>
      </c>
      <c r="L849" s="86" t="b">
        <v>0</v>
      </c>
    </row>
    <row r="850" spans="1:12" ht="15">
      <c r="A850" s="87" t="s">
        <v>456</v>
      </c>
      <c r="B850" s="86" t="s">
        <v>455</v>
      </c>
      <c r="C850" s="86">
        <v>2</v>
      </c>
      <c r="D850" s="115">
        <v>0</v>
      </c>
      <c r="E850" s="115">
        <v>1.255272505103306</v>
      </c>
      <c r="F850" s="86" t="s">
        <v>3168</v>
      </c>
      <c r="G850" s="86" t="b">
        <v>0</v>
      </c>
      <c r="H850" s="86" t="b">
        <v>0</v>
      </c>
      <c r="I850" s="86" t="b">
        <v>0</v>
      </c>
      <c r="J850" s="86" t="b">
        <v>0</v>
      </c>
      <c r="K850" s="86" t="b">
        <v>0</v>
      </c>
      <c r="L850" s="86" t="b">
        <v>0</v>
      </c>
    </row>
    <row r="851" spans="1:12" ht="15">
      <c r="A851" s="87" t="s">
        <v>3355</v>
      </c>
      <c r="B851" s="86" t="s">
        <v>3368</v>
      </c>
      <c r="C851" s="86">
        <v>3</v>
      </c>
      <c r="D851" s="115">
        <v>0.005134468627738353</v>
      </c>
      <c r="E851" s="115">
        <v>1.1118503628009928</v>
      </c>
      <c r="F851" s="86" t="s">
        <v>3185</v>
      </c>
      <c r="G851" s="86" t="b">
        <v>0</v>
      </c>
      <c r="H851" s="86" t="b">
        <v>0</v>
      </c>
      <c r="I851" s="86" t="b">
        <v>0</v>
      </c>
      <c r="J851" s="86" t="b">
        <v>0</v>
      </c>
      <c r="K851" s="86" t="b">
        <v>0</v>
      </c>
      <c r="L851" s="86"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6F189-9EC3-4DAC-A5EF-D599B8560926}">
  <dimension ref="A1:C32"/>
  <sheetViews>
    <sheetView workbookViewId="0" topLeftCell="A1"/>
  </sheetViews>
  <sheetFormatPr defaultColWidth="9.140625" defaultRowHeight="15"/>
  <cols>
    <col min="3" max="3" width="11.421875" style="0" bestFit="1" customWidth="1"/>
  </cols>
  <sheetData>
    <row r="1" ht="15">
      <c r="C1" s="34" t="s">
        <v>42</v>
      </c>
    </row>
    <row r="2" spans="1:3" ht="15" customHeight="1">
      <c r="A2" s="13" t="s">
        <v>4475</v>
      </c>
      <c r="B2" s="118" t="s">
        <v>4476</v>
      </c>
      <c r="C2" s="54" t="s">
        <v>4477</v>
      </c>
    </row>
    <row r="3" spans="1:3" ht="15">
      <c r="A3" s="117" t="s">
        <v>3161</v>
      </c>
      <c r="B3" s="117" t="s">
        <v>3161</v>
      </c>
      <c r="C3" s="35">
        <v>214</v>
      </c>
    </row>
    <row r="4" spans="1:3" ht="15">
      <c r="A4" s="117" t="s">
        <v>3162</v>
      </c>
      <c r="B4" s="117" t="s">
        <v>3162</v>
      </c>
      <c r="C4" s="35">
        <v>41</v>
      </c>
    </row>
    <row r="5" spans="1:3" ht="15">
      <c r="A5" s="117" t="s">
        <v>3163</v>
      </c>
      <c r="B5" s="117" t="s">
        <v>3163</v>
      </c>
      <c r="C5" s="35">
        <v>19</v>
      </c>
    </row>
    <row r="6" spans="1:3" ht="15">
      <c r="A6" s="117" t="s">
        <v>3164</v>
      </c>
      <c r="B6" s="117" t="s">
        <v>3162</v>
      </c>
      <c r="C6" s="35">
        <v>8</v>
      </c>
    </row>
    <row r="7" spans="1:3" ht="15">
      <c r="A7" s="117" t="s">
        <v>3164</v>
      </c>
      <c r="B7" s="117" t="s">
        <v>3163</v>
      </c>
      <c r="C7" s="35">
        <v>1</v>
      </c>
    </row>
    <row r="8" spans="1:3" ht="15">
      <c r="A8" s="117" t="s">
        <v>3164</v>
      </c>
      <c r="B8" s="117" t="s">
        <v>3164</v>
      </c>
      <c r="C8" s="35">
        <v>56</v>
      </c>
    </row>
    <row r="9" spans="1:3" ht="15">
      <c r="A9" s="117" t="s">
        <v>3164</v>
      </c>
      <c r="B9" s="117" t="s">
        <v>3166</v>
      </c>
      <c r="C9" s="35">
        <v>1</v>
      </c>
    </row>
    <row r="10" spans="1:3" ht="15">
      <c r="A10" s="117" t="s">
        <v>3165</v>
      </c>
      <c r="B10" s="117" t="s">
        <v>3165</v>
      </c>
      <c r="C10" s="35">
        <v>21</v>
      </c>
    </row>
    <row r="11" spans="1:3" ht="15">
      <c r="A11" s="117" t="s">
        <v>3166</v>
      </c>
      <c r="B11" s="117" t="s">
        <v>3162</v>
      </c>
      <c r="C11" s="35">
        <v>1</v>
      </c>
    </row>
    <row r="12" spans="1:3" ht="15">
      <c r="A12" s="117" t="s">
        <v>3166</v>
      </c>
      <c r="B12" s="117" t="s">
        <v>3166</v>
      </c>
      <c r="C12" s="35">
        <v>11</v>
      </c>
    </row>
    <row r="13" spans="1:3" ht="15">
      <c r="A13" s="117" t="s">
        <v>3167</v>
      </c>
      <c r="B13" s="117" t="s">
        <v>3167</v>
      </c>
      <c r="C13" s="35">
        <v>6</v>
      </c>
    </row>
    <row r="14" spans="1:3" ht="15">
      <c r="A14" s="117" t="s">
        <v>3168</v>
      </c>
      <c r="B14" s="117" t="s">
        <v>3168</v>
      </c>
      <c r="C14" s="35">
        <v>9</v>
      </c>
    </row>
    <row r="15" spans="1:3" ht="15">
      <c r="A15" s="117" t="s">
        <v>3169</v>
      </c>
      <c r="B15" s="117" t="s">
        <v>3169</v>
      </c>
      <c r="C15" s="35">
        <v>5</v>
      </c>
    </row>
    <row r="16" spans="1:3" ht="15">
      <c r="A16" s="117" t="s">
        <v>3170</v>
      </c>
      <c r="B16" s="117" t="s">
        <v>3170</v>
      </c>
      <c r="C16" s="35">
        <v>5</v>
      </c>
    </row>
    <row r="17" spans="1:3" ht="15">
      <c r="A17" s="117" t="s">
        <v>3171</v>
      </c>
      <c r="B17" s="117" t="s">
        <v>3171</v>
      </c>
      <c r="C17" s="35">
        <v>4</v>
      </c>
    </row>
    <row r="18" spans="1:3" ht="15">
      <c r="A18" s="117" t="s">
        <v>3172</v>
      </c>
      <c r="B18" s="117" t="s">
        <v>3172</v>
      </c>
      <c r="C18" s="35">
        <v>4</v>
      </c>
    </row>
    <row r="19" spans="1:3" ht="15">
      <c r="A19" s="117" t="s">
        <v>3173</v>
      </c>
      <c r="B19" s="117" t="s">
        <v>3173</v>
      </c>
      <c r="C19" s="35">
        <v>3</v>
      </c>
    </row>
    <row r="20" spans="1:3" ht="15">
      <c r="A20" s="117" t="s">
        <v>3174</v>
      </c>
      <c r="B20" s="117" t="s">
        <v>3174</v>
      </c>
      <c r="C20" s="35">
        <v>3</v>
      </c>
    </row>
    <row r="21" spans="1:3" ht="15">
      <c r="A21" s="117" t="s">
        <v>3175</v>
      </c>
      <c r="B21" s="117" t="s">
        <v>3175</v>
      </c>
      <c r="C21" s="35">
        <v>1</v>
      </c>
    </row>
    <row r="22" spans="1:3" ht="15">
      <c r="A22" s="117" t="s">
        <v>3176</v>
      </c>
      <c r="B22" s="117" t="s">
        <v>3176</v>
      </c>
      <c r="C22" s="35">
        <v>1</v>
      </c>
    </row>
    <row r="23" spans="1:3" ht="15">
      <c r="A23" s="117" t="s">
        <v>3177</v>
      </c>
      <c r="B23" s="117" t="s">
        <v>3177</v>
      </c>
      <c r="C23" s="35">
        <v>1</v>
      </c>
    </row>
    <row r="24" spans="1:3" ht="15">
      <c r="A24" s="117" t="s">
        <v>3178</v>
      </c>
      <c r="B24" s="117" t="s">
        <v>3178</v>
      </c>
      <c r="C24" s="35">
        <v>1</v>
      </c>
    </row>
    <row r="25" spans="1:3" ht="15">
      <c r="A25" s="117" t="s">
        <v>3179</v>
      </c>
      <c r="B25" s="117" t="s">
        <v>3179</v>
      </c>
      <c r="C25" s="35">
        <v>1</v>
      </c>
    </row>
    <row r="26" spans="1:3" ht="15">
      <c r="A26" s="117" t="s">
        <v>3180</v>
      </c>
      <c r="B26" s="117" t="s">
        <v>3180</v>
      </c>
      <c r="C26" s="35">
        <v>1</v>
      </c>
    </row>
    <row r="27" spans="1:3" ht="15">
      <c r="A27" s="117" t="s">
        <v>3181</v>
      </c>
      <c r="B27" s="117" t="s">
        <v>3181</v>
      </c>
      <c r="C27" s="35">
        <v>1</v>
      </c>
    </row>
    <row r="28" spans="1:3" ht="15">
      <c r="A28" s="117" t="s">
        <v>3182</v>
      </c>
      <c r="B28" s="117" t="s">
        <v>3182</v>
      </c>
      <c r="C28" s="35">
        <v>1</v>
      </c>
    </row>
    <row r="29" spans="1:3" ht="15">
      <c r="A29" s="117" t="s">
        <v>3183</v>
      </c>
      <c r="B29" s="117" t="s">
        <v>3183</v>
      </c>
      <c r="C29" s="35">
        <v>1</v>
      </c>
    </row>
    <row r="30" spans="1:3" ht="15">
      <c r="A30" s="117" t="s">
        <v>3184</v>
      </c>
      <c r="B30" s="117" t="s">
        <v>3184</v>
      </c>
      <c r="C30" s="35">
        <v>1</v>
      </c>
    </row>
    <row r="31" spans="1:3" ht="15">
      <c r="A31" s="117" t="s">
        <v>3185</v>
      </c>
      <c r="B31" s="117" t="s">
        <v>3185</v>
      </c>
      <c r="C31" s="35">
        <v>4</v>
      </c>
    </row>
    <row r="32" spans="1:3" ht="15">
      <c r="A32" s="117" t="s">
        <v>3186</v>
      </c>
      <c r="B32" s="117" t="s">
        <v>3186</v>
      </c>
      <c r="C32" s="35">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F4EA85-5294-4219-984F-B36ADD560E21}">
  <dimension ref="A1:B7"/>
  <sheetViews>
    <sheetView workbookViewId="0" topLeftCell="A1"/>
  </sheetViews>
  <sheetFormatPr defaultColWidth="9.140625" defaultRowHeight="15"/>
  <cols>
    <col min="1" max="1" width="5.57421875" style="0" bestFit="1" customWidth="1"/>
    <col min="2" max="2" width="7.140625" style="0" bestFit="1" customWidth="1"/>
  </cols>
  <sheetData>
    <row r="1" spans="1:2" ht="15" customHeight="1">
      <c r="A1" s="13" t="s">
        <v>4496</v>
      </c>
      <c r="B1" s="13" t="s">
        <v>17</v>
      </c>
    </row>
    <row r="2" spans="1:2" ht="15">
      <c r="A2" s="81" t="s">
        <v>4497</v>
      </c>
      <c r="B2" s="81" t="s">
        <v>4503</v>
      </c>
    </row>
    <row r="3" spans="1:2" ht="15">
      <c r="A3" s="82" t="s">
        <v>4498</v>
      </c>
      <c r="B3" s="81" t="s">
        <v>4504</v>
      </c>
    </row>
    <row r="4" spans="1:2" ht="15">
      <c r="A4" s="82" t="s">
        <v>4499</v>
      </c>
      <c r="B4" s="81" t="s">
        <v>4505</v>
      </c>
    </row>
    <row r="5" spans="1:2" ht="15">
      <c r="A5" s="82" t="s">
        <v>4500</v>
      </c>
      <c r="B5" s="81" t="s">
        <v>4506</v>
      </c>
    </row>
    <row r="6" spans="1:2" ht="15">
      <c r="A6" s="82" t="s">
        <v>4501</v>
      </c>
      <c r="B6" s="81" t="s">
        <v>4507</v>
      </c>
    </row>
    <row r="7" spans="1:2" ht="15">
      <c r="A7" s="82" t="s">
        <v>4502</v>
      </c>
      <c r="B7" s="81" t="s">
        <v>4504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B9640-B951-448B-A6C3-0CC07DAB55EB}">
  <dimension ref="A1:B11"/>
  <sheetViews>
    <sheetView workbookViewId="0" topLeftCell="A1"/>
  </sheetViews>
  <sheetFormatPr defaultColWidth="9.140625" defaultRowHeight="15"/>
  <cols>
    <col min="1" max="1" width="42.140625" style="0" bestFit="1" customWidth="1"/>
    <col min="2" max="2" width="20.7109375" style="0" bestFit="1" customWidth="1"/>
  </cols>
  <sheetData>
    <row r="1" spans="1:2" ht="15" customHeight="1">
      <c r="A1" s="13" t="s">
        <v>4508</v>
      </c>
      <c r="B1" s="13" t="s">
        <v>34</v>
      </c>
    </row>
    <row r="2" spans="1:2" ht="15">
      <c r="A2" s="108" t="s">
        <v>385</v>
      </c>
      <c r="B2" s="81">
        <v>1861.666667</v>
      </c>
    </row>
    <row r="3" spans="1:2" ht="15">
      <c r="A3" s="111" t="s">
        <v>324</v>
      </c>
      <c r="B3" s="81">
        <v>1072</v>
      </c>
    </row>
    <row r="4" spans="1:2" ht="15">
      <c r="A4" s="111" t="s">
        <v>481</v>
      </c>
      <c r="B4" s="81">
        <v>1036</v>
      </c>
    </row>
    <row r="5" spans="1:2" ht="15">
      <c r="A5" s="111" t="s">
        <v>420</v>
      </c>
      <c r="B5" s="81">
        <v>707</v>
      </c>
    </row>
    <row r="6" spans="1:2" ht="15">
      <c r="A6" s="111" t="s">
        <v>429</v>
      </c>
      <c r="B6" s="81">
        <v>682</v>
      </c>
    </row>
    <row r="7" spans="1:2" ht="15">
      <c r="A7" s="111" t="s">
        <v>408</v>
      </c>
      <c r="B7" s="81">
        <v>663.666667</v>
      </c>
    </row>
    <row r="8" spans="1:2" ht="15">
      <c r="A8" s="111" t="s">
        <v>314</v>
      </c>
      <c r="B8" s="81">
        <v>433</v>
      </c>
    </row>
    <row r="9" spans="1:2" ht="15">
      <c r="A9" s="111" t="s">
        <v>430</v>
      </c>
      <c r="B9" s="81">
        <v>428.666667</v>
      </c>
    </row>
    <row r="10" spans="1:2" ht="15">
      <c r="A10" s="111" t="s">
        <v>300</v>
      </c>
      <c r="B10" s="81">
        <v>386</v>
      </c>
    </row>
    <row r="11" spans="1:2" ht="15">
      <c r="A11" s="111" t="s">
        <v>504</v>
      </c>
      <c r="B11" s="81">
        <v>238.666667</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278"/>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7.421875" style="3" customWidth="1"/>
    <col min="32" max="32" width="8.421875" style="3" customWidth="1"/>
    <col min="33" max="33" width="9.7109375" style="3" customWidth="1"/>
    <col min="34" max="34" width="10.140625" style="3" customWidth="1"/>
    <col min="35" max="35" width="8.28125" style="0" customWidth="1"/>
    <col min="36" max="36" width="8.140625" style="0" customWidth="1"/>
    <col min="37" max="37" width="15.57421875" style="0" customWidth="1"/>
    <col min="38" max="38" width="11.421875" style="0" customWidth="1"/>
    <col min="39" max="39" width="9.28125" style="0" customWidth="1"/>
    <col min="40" max="40" width="6.421875" style="0" customWidth="1"/>
    <col min="41" max="41" width="10.57421875" style="0" customWidth="1"/>
    <col min="42" max="42" width="13.8515625" style="0" customWidth="1"/>
    <col min="43" max="43" width="10.8515625" style="0" customWidth="1"/>
    <col min="44" max="44" width="8.7109375" style="0" customWidth="1"/>
    <col min="45" max="45" width="14.00390625" style="0" customWidth="1"/>
    <col min="46" max="46" width="8.8515625" style="0" customWidth="1"/>
    <col min="47" max="47" width="10.00390625" style="0" customWidth="1"/>
    <col min="48" max="48" width="7.57421875" style="0" customWidth="1"/>
    <col min="49" max="49" width="17.57421875" style="0" customWidth="1"/>
    <col min="50" max="50" width="8.7109375" style="0" customWidth="1"/>
    <col min="51" max="52" width="14.00390625" style="0" customWidth="1"/>
    <col min="53" max="53" width="13.00390625" style="0" customWidth="1"/>
    <col min="54" max="54" width="8.140625" style="0" customWidth="1"/>
    <col min="55" max="55" width="14.7109375" style="0" customWidth="1"/>
    <col min="56" max="56" width="16.28125" style="0" customWidth="1"/>
    <col min="57" max="57" width="15.00390625" style="0" customWidth="1"/>
    <col min="58" max="58" width="16.28125" style="0" customWidth="1"/>
    <col min="59" max="59" width="15.28125" style="0" customWidth="1"/>
    <col min="60" max="60" width="16.28125" style="0" customWidth="1"/>
    <col min="61" max="61" width="14.7109375" style="0" customWidth="1"/>
    <col min="62" max="62" width="16.28125" style="0" customWidth="1"/>
    <col min="63" max="64" width="16.57421875" style="0" customWidth="1"/>
    <col min="65" max="65" width="16.7109375" style="0" customWidth="1"/>
    <col min="66" max="66" width="20.7109375" style="0" customWidth="1"/>
    <col min="67" max="67" width="16.7109375" style="0" customWidth="1"/>
    <col min="68" max="68" width="20.7109375" style="0" customWidth="1"/>
    <col min="69" max="69" width="16.7109375" style="0" customWidth="1"/>
    <col min="70" max="70" width="20.7109375" style="0" customWidth="1"/>
    <col min="71" max="71" width="15.8515625" style="0" customWidth="1"/>
    <col min="72" max="72" width="19.140625" style="0" customWidth="1"/>
    <col min="73" max="73" width="14.5742187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75" ht="30" customHeight="1">
      <c r="A2" s="11" t="s">
        <v>5</v>
      </c>
      <c r="B2" t="s">
        <v>4532</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1895</v>
      </c>
      <c r="AF2" s="13" t="s">
        <v>1896</v>
      </c>
      <c r="AG2" s="13" t="s">
        <v>1897</v>
      </c>
      <c r="AH2" s="13" t="s">
        <v>1898</v>
      </c>
      <c r="AI2" s="13" t="s">
        <v>1899</v>
      </c>
      <c r="AJ2" s="13" t="s">
        <v>1900</v>
      </c>
      <c r="AK2" s="13" t="s">
        <v>1901</v>
      </c>
      <c r="AL2" s="13" t="s">
        <v>1902</v>
      </c>
      <c r="AM2" s="13" t="s">
        <v>1903</v>
      </c>
      <c r="AN2" s="13" t="s">
        <v>1904</v>
      </c>
      <c r="AO2" s="13" t="s">
        <v>1905</v>
      </c>
      <c r="AP2" s="13" t="s">
        <v>1906</v>
      </c>
      <c r="AQ2" s="13" t="s">
        <v>1907</v>
      </c>
      <c r="AR2" s="13" t="s">
        <v>1908</v>
      </c>
      <c r="AS2" s="13" t="s">
        <v>1909</v>
      </c>
      <c r="AT2" s="13" t="s">
        <v>1910</v>
      </c>
      <c r="AU2" s="13" t="s">
        <v>232</v>
      </c>
      <c r="AV2" s="13" t="s">
        <v>1911</v>
      </c>
      <c r="AW2" s="13" t="s">
        <v>1912</v>
      </c>
      <c r="AX2" s="13" t="s">
        <v>1913</v>
      </c>
      <c r="AY2" s="13" t="s">
        <v>1914</v>
      </c>
      <c r="AZ2" s="13" t="s">
        <v>1915</v>
      </c>
      <c r="BA2" s="13" t="s">
        <v>1916</v>
      </c>
      <c r="BB2" s="13" t="s">
        <v>3199</v>
      </c>
      <c r="BC2" s="112" t="s">
        <v>3543</v>
      </c>
      <c r="BD2" s="112" t="s">
        <v>3593</v>
      </c>
      <c r="BE2" s="112" t="s">
        <v>3595</v>
      </c>
      <c r="BF2" s="112" t="s">
        <v>3607</v>
      </c>
      <c r="BG2" s="112" t="s">
        <v>3609</v>
      </c>
      <c r="BH2" s="112" t="s">
        <v>3643</v>
      </c>
      <c r="BI2" s="112" t="s">
        <v>3678</v>
      </c>
      <c r="BJ2" s="112" t="s">
        <v>3811</v>
      </c>
      <c r="BK2" s="112" t="s">
        <v>3855</v>
      </c>
      <c r="BL2" s="112" t="s">
        <v>3987</v>
      </c>
      <c r="BM2" s="112" t="s">
        <v>4464</v>
      </c>
      <c r="BN2" s="112" t="s">
        <v>4465</v>
      </c>
      <c r="BO2" s="112" t="s">
        <v>4466</v>
      </c>
      <c r="BP2" s="112" t="s">
        <v>4467</v>
      </c>
      <c r="BQ2" s="112" t="s">
        <v>4468</v>
      </c>
      <c r="BR2" s="112" t="s">
        <v>4469</v>
      </c>
      <c r="BS2" s="112" t="s">
        <v>4470</v>
      </c>
      <c r="BT2" s="112" t="s">
        <v>4471</v>
      </c>
      <c r="BU2" s="112" t="s">
        <v>4473</v>
      </c>
      <c r="BV2" s="3"/>
      <c r="BW2" s="3"/>
    </row>
    <row r="3" spans="1:75" ht="41.45" customHeight="1">
      <c r="A3" s="66" t="s">
        <v>448</v>
      </c>
      <c r="C3" s="67"/>
      <c r="D3" s="67" t="s">
        <v>64</v>
      </c>
      <c r="E3" s="68">
        <v>162.00301604161635</v>
      </c>
      <c r="F3" s="70">
        <v>99.99999349565513</v>
      </c>
      <c r="G3" s="106" t="str">
        <f>HYPERLINK("https://pbs.twimg.com/profile_images/1267913408957091843/JT6PVs_3_normal.jpg")</f>
        <v>https://pbs.twimg.com/profile_images/1267913408957091843/JT6PVs_3_normal.jpg</v>
      </c>
      <c r="H3" s="67"/>
      <c r="I3" s="71" t="s">
        <v>448</v>
      </c>
      <c r="J3" s="72"/>
      <c r="K3" s="72"/>
      <c r="L3" s="71" t="s">
        <v>3159</v>
      </c>
      <c r="M3" s="75">
        <v>1.002167681333174</v>
      </c>
      <c r="N3" s="76">
        <v>8348.498046875</v>
      </c>
      <c r="O3" s="76">
        <v>3097.278076171875</v>
      </c>
      <c r="P3" s="77"/>
      <c r="Q3" s="78"/>
      <c r="R3" s="78"/>
      <c r="S3" s="49"/>
      <c r="T3" s="49">
        <v>0</v>
      </c>
      <c r="U3" s="49">
        <v>1</v>
      </c>
      <c r="V3" s="50">
        <v>0</v>
      </c>
      <c r="W3" s="50">
        <v>1</v>
      </c>
      <c r="X3" s="50">
        <v>0</v>
      </c>
      <c r="Y3" s="50">
        <v>0.999998</v>
      </c>
      <c r="Z3" s="50">
        <v>0</v>
      </c>
      <c r="AA3" s="50">
        <v>0</v>
      </c>
      <c r="AB3" s="73">
        <v>3</v>
      </c>
      <c r="AC3" s="73"/>
      <c r="AD3" s="74"/>
      <c r="AE3" s="81" t="s">
        <v>2191</v>
      </c>
      <c r="AF3" s="86" t="s">
        <v>2457</v>
      </c>
      <c r="AG3" s="81">
        <v>53</v>
      </c>
      <c r="AH3" s="81">
        <v>19</v>
      </c>
      <c r="AI3" s="81">
        <v>3</v>
      </c>
      <c r="AJ3" s="81">
        <v>0</v>
      </c>
      <c r="AK3" s="81"/>
      <c r="AL3" s="81"/>
      <c r="AM3" s="81" t="s">
        <v>2882</v>
      </c>
      <c r="AN3" s="81"/>
      <c r="AO3" s="81"/>
      <c r="AP3" s="83">
        <v>39856.815717592595</v>
      </c>
      <c r="AQ3" s="88" t="str">
        <f>HYPERLINK("https://pbs.twimg.com/profile_banners/20708776/1591129152")</f>
        <v>https://pbs.twimg.com/profile_banners/20708776/1591129152</v>
      </c>
      <c r="AR3" s="81" t="b">
        <v>1</v>
      </c>
      <c r="AS3" s="81" t="b">
        <v>0</v>
      </c>
      <c r="AT3" s="81" t="b">
        <v>0</v>
      </c>
      <c r="AU3" s="81"/>
      <c r="AV3" s="81">
        <v>1</v>
      </c>
      <c r="AW3" s="88" t="str">
        <f>HYPERLINK("https://abs.twimg.com/images/themes/theme1/bg.png")</f>
        <v>https://abs.twimg.com/images/themes/theme1/bg.png</v>
      </c>
      <c r="AX3" s="81" t="b">
        <v>0</v>
      </c>
      <c r="AY3" s="81" t="s">
        <v>2883</v>
      </c>
      <c r="AZ3" s="88" t="str">
        <f>HYPERLINK("https://twitter.com/vasiliouc")</f>
        <v>https://twitter.com/vasiliouc</v>
      </c>
      <c r="BA3" s="81" t="s">
        <v>66</v>
      </c>
      <c r="BB3" s="81" t="str">
        <f>REPLACE(INDEX(GroupVertices[Group],MATCH(Vertices[[#This Row],[Vertex]],GroupVertices[Vertex],0)),1,1,"")</f>
        <v>26</v>
      </c>
      <c r="BC3" s="49"/>
      <c r="BD3" s="49"/>
      <c r="BE3" s="49"/>
      <c r="BF3" s="49"/>
      <c r="BG3" s="49" t="s">
        <v>1145</v>
      </c>
      <c r="BH3" s="49" t="s">
        <v>1145</v>
      </c>
      <c r="BI3" s="113" t="s">
        <v>3679</v>
      </c>
      <c r="BJ3" s="113" t="s">
        <v>3679</v>
      </c>
      <c r="BK3" s="113" t="s">
        <v>3856</v>
      </c>
      <c r="BL3" s="113" t="s">
        <v>3856</v>
      </c>
      <c r="BM3" s="113">
        <v>1</v>
      </c>
      <c r="BN3" s="116">
        <v>3.4482758620689653</v>
      </c>
      <c r="BO3" s="113">
        <v>1</v>
      </c>
      <c r="BP3" s="116">
        <v>3.4482758620689653</v>
      </c>
      <c r="BQ3" s="113">
        <v>0</v>
      </c>
      <c r="BR3" s="116">
        <v>0</v>
      </c>
      <c r="BS3" s="113">
        <v>27</v>
      </c>
      <c r="BT3" s="116">
        <v>93.10344827586206</v>
      </c>
      <c r="BU3" s="113">
        <v>29</v>
      </c>
      <c r="BV3" s="3"/>
      <c r="BW3" s="3"/>
    </row>
    <row r="4" spans="1:78" ht="41.45" customHeight="1">
      <c r="A4" s="66" t="s">
        <v>527</v>
      </c>
      <c r="C4" s="67"/>
      <c r="D4" s="67" t="s">
        <v>64</v>
      </c>
      <c r="E4" s="68">
        <v>162.19076463223323</v>
      </c>
      <c r="F4" s="70">
        <v>99.99958860018707</v>
      </c>
      <c r="G4" s="106" t="str">
        <f>HYPERLINK("https://pbs.twimg.com/profile_images/1372649739590766598/e8qEGuT4_normal.jpg")</f>
        <v>https://pbs.twimg.com/profile_images/1372649739590766598/e8qEGuT4_normal.jpg</v>
      </c>
      <c r="H4" s="67"/>
      <c r="I4" s="71" t="s">
        <v>527</v>
      </c>
      <c r="J4" s="72"/>
      <c r="K4" s="72"/>
      <c r="L4" s="71" t="s">
        <v>2884</v>
      </c>
      <c r="M4" s="75">
        <v>1.1371058443232482</v>
      </c>
      <c r="N4" s="76">
        <v>8348.498046875</v>
      </c>
      <c r="O4" s="76">
        <v>2713.54443359375</v>
      </c>
      <c r="P4" s="77"/>
      <c r="Q4" s="78"/>
      <c r="R4" s="78"/>
      <c r="S4" s="92"/>
      <c r="T4" s="49">
        <v>1</v>
      </c>
      <c r="U4" s="49">
        <v>0</v>
      </c>
      <c r="V4" s="50">
        <v>0</v>
      </c>
      <c r="W4" s="50">
        <v>1</v>
      </c>
      <c r="X4" s="50">
        <v>0</v>
      </c>
      <c r="Y4" s="50">
        <v>0.999998</v>
      </c>
      <c r="Z4" s="50">
        <v>0</v>
      </c>
      <c r="AA4" s="50">
        <v>0</v>
      </c>
      <c r="AB4" s="73">
        <v>4</v>
      </c>
      <c r="AC4" s="73"/>
      <c r="AD4" s="74"/>
      <c r="AE4" s="81" t="s">
        <v>1917</v>
      </c>
      <c r="AF4" s="86" t="s">
        <v>2192</v>
      </c>
      <c r="AG4" s="81">
        <v>477</v>
      </c>
      <c r="AH4" s="81">
        <v>1015</v>
      </c>
      <c r="AI4" s="81">
        <v>892</v>
      </c>
      <c r="AJ4" s="81">
        <v>3945</v>
      </c>
      <c r="AK4" s="81"/>
      <c r="AL4" s="81" t="s">
        <v>2458</v>
      </c>
      <c r="AM4" s="81"/>
      <c r="AN4" s="88" t="str">
        <f>HYPERLINK("https://t.co/t9m5ZtIyHt")</f>
        <v>https://t.co/t9m5ZtIyHt</v>
      </c>
      <c r="AO4" s="81"/>
      <c r="AP4" s="83">
        <v>44266.93548611111</v>
      </c>
      <c r="AQ4" s="88" t="str">
        <f>HYPERLINK("https://pbs.twimg.com/profile_banners/1370139113991630848/1616099988")</f>
        <v>https://pbs.twimg.com/profile_banners/1370139113991630848/1616099988</v>
      </c>
      <c r="AR4" s="81" t="b">
        <v>1</v>
      </c>
      <c r="AS4" s="81" t="b">
        <v>0</v>
      </c>
      <c r="AT4" s="81" t="b">
        <v>0</v>
      </c>
      <c r="AU4" s="81"/>
      <c r="AV4" s="81">
        <v>6</v>
      </c>
      <c r="AW4" s="81"/>
      <c r="AX4" s="81" t="b">
        <v>0</v>
      </c>
      <c r="AY4" s="81" t="s">
        <v>2883</v>
      </c>
      <c r="AZ4" s="88" t="str">
        <f>HYPERLINK("https://twitter.com/pharmdeclares")</f>
        <v>https://twitter.com/pharmdeclares</v>
      </c>
      <c r="BA4" s="81" t="s">
        <v>65</v>
      </c>
      <c r="BB4" s="81" t="str">
        <f>REPLACE(INDEX(GroupVertices[Group],MATCH(Vertices[[#This Row],[Vertex]],GroupVertices[Vertex],0)),1,1,"")</f>
        <v>26</v>
      </c>
      <c r="BC4" s="49"/>
      <c r="BD4" s="49"/>
      <c r="BE4" s="49"/>
      <c r="BF4" s="49"/>
      <c r="BG4" s="49"/>
      <c r="BH4" s="49"/>
      <c r="BI4" s="49"/>
      <c r="BJ4" s="49"/>
      <c r="BK4" s="49"/>
      <c r="BL4" s="49"/>
      <c r="BM4" s="49"/>
      <c r="BN4" s="50"/>
      <c r="BO4" s="49"/>
      <c r="BP4" s="50"/>
      <c r="BQ4" s="49"/>
      <c r="BR4" s="50"/>
      <c r="BS4" s="49"/>
      <c r="BT4" s="50"/>
      <c r="BU4" s="49"/>
      <c r="BV4" s="2"/>
      <c r="BW4" s="3"/>
      <c r="BX4" s="3"/>
      <c r="BY4" s="3"/>
      <c r="BZ4" s="3"/>
    </row>
    <row r="5" spans="1:78" ht="41.45" customHeight="1">
      <c r="A5" s="66" t="s">
        <v>252</v>
      </c>
      <c r="C5" s="67"/>
      <c r="D5" s="67" t="s">
        <v>64</v>
      </c>
      <c r="E5" s="68">
        <v>162.3012271564315</v>
      </c>
      <c r="F5" s="70">
        <v>99.99935037855626</v>
      </c>
      <c r="G5" s="106" t="str">
        <f>HYPERLINK("https://pbs.twimg.com/profile_images/1133315045193134081/OmGti3FV_normal.png")</f>
        <v>https://pbs.twimg.com/profile_images/1133315045193134081/OmGti3FV_normal.png</v>
      </c>
      <c r="H5" s="67"/>
      <c r="I5" s="71" t="s">
        <v>252</v>
      </c>
      <c r="J5" s="72"/>
      <c r="K5" s="72"/>
      <c r="L5" s="71" t="s">
        <v>2885</v>
      </c>
      <c r="M5" s="75">
        <v>1.216497173150742</v>
      </c>
      <c r="N5" s="76">
        <v>746.3868408203125</v>
      </c>
      <c r="O5" s="76">
        <v>4610.28466796875</v>
      </c>
      <c r="P5" s="77"/>
      <c r="Q5" s="78"/>
      <c r="R5" s="78"/>
      <c r="S5" s="92"/>
      <c r="T5" s="49">
        <v>1</v>
      </c>
      <c r="U5" s="49">
        <v>1</v>
      </c>
      <c r="V5" s="50">
        <v>0</v>
      </c>
      <c r="W5" s="50">
        <v>0</v>
      </c>
      <c r="X5" s="50">
        <v>0</v>
      </c>
      <c r="Y5" s="50">
        <v>0.999998</v>
      </c>
      <c r="Z5" s="50">
        <v>0</v>
      </c>
      <c r="AA5" s="50">
        <v>0</v>
      </c>
      <c r="AB5" s="73">
        <v>5</v>
      </c>
      <c r="AC5" s="73"/>
      <c r="AD5" s="74"/>
      <c r="AE5" s="81" t="s">
        <v>1918</v>
      </c>
      <c r="AF5" s="86" t="s">
        <v>2193</v>
      </c>
      <c r="AG5" s="81">
        <v>532</v>
      </c>
      <c r="AH5" s="81">
        <v>1601</v>
      </c>
      <c r="AI5" s="81">
        <v>4655</v>
      </c>
      <c r="AJ5" s="81">
        <v>1332</v>
      </c>
      <c r="AK5" s="81"/>
      <c r="AL5" s="81" t="s">
        <v>2459</v>
      </c>
      <c r="AM5" s="81" t="s">
        <v>2723</v>
      </c>
      <c r="AN5" s="88" t="str">
        <f>HYPERLINK("https://t.co/ZXyUomuSSE")</f>
        <v>https://t.co/ZXyUomuSSE</v>
      </c>
      <c r="AO5" s="81"/>
      <c r="AP5" s="83">
        <v>41925.368101851855</v>
      </c>
      <c r="AQ5" s="88" t="str">
        <f>HYPERLINK("https://pbs.twimg.com/profile_banners/2827080417/1544795643")</f>
        <v>https://pbs.twimg.com/profile_banners/2827080417/1544795643</v>
      </c>
      <c r="AR5" s="81" t="b">
        <v>1</v>
      </c>
      <c r="AS5" s="81" t="b">
        <v>0</v>
      </c>
      <c r="AT5" s="81" t="b">
        <v>0</v>
      </c>
      <c r="AU5" s="81"/>
      <c r="AV5" s="81">
        <v>30</v>
      </c>
      <c r="AW5" s="88" t="str">
        <f>HYPERLINK("https://abs.twimg.com/images/themes/theme1/bg.png")</f>
        <v>https://abs.twimg.com/images/themes/theme1/bg.png</v>
      </c>
      <c r="AX5" s="81" t="b">
        <v>0</v>
      </c>
      <c r="AY5" s="81" t="s">
        <v>2883</v>
      </c>
      <c r="AZ5" s="88" t="str">
        <f>HYPERLINK("https://twitter.com/twbstaffsstoke")</f>
        <v>https://twitter.com/twbstaffsstoke</v>
      </c>
      <c r="BA5" s="81" t="s">
        <v>66</v>
      </c>
      <c r="BB5" s="81" t="str">
        <f>REPLACE(INDEX(GroupVertices[Group],MATCH(Vertices[[#This Row],[Vertex]],GroupVertices[Vertex],0)),1,1,"")</f>
        <v>1</v>
      </c>
      <c r="BC5" s="49" t="s">
        <v>3215</v>
      </c>
      <c r="BD5" s="49" t="s">
        <v>3215</v>
      </c>
      <c r="BE5" s="49" t="s">
        <v>901</v>
      </c>
      <c r="BF5" s="49" t="s">
        <v>901</v>
      </c>
      <c r="BG5" s="49" t="s">
        <v>948</v>
      </c>
      <c r="BH5" s="49" t="s">
        <v>948</v>
      </c>
      <c r="BI5" s="113" t="s">
        <v>3680</v>
      </c>
      <c r="BJ5" s="113" t="s">
        <v>3680</v>
      </c>
      <c r="BK5" s="113" t="s">
        <v>3857</v>
      </c>
      <c r="BL5" s="113" t="s">
        <v>3857</v>
      </c>
      <c r="BM5" s="113">
        <v>0</v>
      </c>
      <c r="BN5" s="116">
        <v>0</v>
      </c>
      <c r="BO5" s="113">
        <v>2</v>
      </c>
      <c r="BP5" s="116">
        <v>8.695652173913043</v>
      </c>
      <c r="BQ5" s="113">
        <v>0</v>
      </c>
      <c r="BR5" s="116">
        <v>0</v>
      </c>
      <c r="BS5" s="113">
        <v>21</v>
      </c>
      <c r="BT5" s="116">
        <v>91.30434782608695</v>
      </c>
      <c r="BU5" s="113">
        <v>23</v>
      </c>
      <c r="BV5" s="2"/>
      <c r="BW5" s="3"/>
      <c r="BX5" s="3"/>
      <c r="BY5" s="3"/>
      <c r="BZ5" s="3"/>
    </row>
    <row r="6" spans="1:78" ht="41.45" customHeight="1">
      <c r="A6" s="66" t="s">
        <v>253</v>
      </c>
      <c r="C6" s="67"/>
      <c r="D6" s="67" t="s">
        <v>64</v>
      </c>
      <c r="E6" s="68">
        <v>162.16607079149946</v>
      </c>
      <c r="F6" s="70">
        <v>99.99964185451068</v>
      </c>
      <c r="G6" s="106" t="str">
        <f>HYPERLINK("https://pbs.twimg.com/profile_images/1443271758845448201/WkmibGDQ_normal.jpg")</f>
        <v>https://pbs.twimg.com/profile_images/1443271758845448201/WkmibGDQ_normal.jpg</v>
      </c>
      <c r="H6" s="67"/>
      <c r="I6" s="71" t="s">
        <v>253</v>
      </c>
      <c r="J6" s="72"/>
      <c r="K6" s="72"/>
      <c r="L6" s="71" t="s">
        <v>2886</v>
      </c>
      <c r="M6" s="75">
        <v>1.1193579534078872</v>
      </c>
      <c r="N6" s="76">
        <v>355.4516296386719</v>
      </c>
      <c r="O6" s="76">
        <v>5388.71533203125</v>
      </c>
      <c r="P6" s="77"/>
      <c r="Q6" s="78"/>
      <c r="R6" s="78"/>
      <c r="S6" s="92"/>
      <c r="T6" s="49">
        <v>1</v>
      </c>
      <c r="U6" s="49">
        <v>1</v>
      </c>
      <c r="V6" s="50">
        <v>0</v>
      </c>
      <c r="W6" s="50">
        <v>0</v>
      </c>
      <c r="X6" s="50">
        <v>0</v>
      </c>
      <c r="Y6" s="50">
        <v>0.999998</v>
      </c>
      <c r="Z6" s="50">
        <v>0</v>
      </c>
      <c r="AA6" s="50">
        <v>0</v>
      </c>
      <c r="AB6" s="73">
        <v>6</v>
      </c>
      <c r="AC6" s="73"/>
      <c r="AD6" s="74"/>
      <c r="AE6" s="81" t="s">
        <v>1919</v>
      </c>
      <c r="AF6" s="86" t="s">
        <v>2194</v>
      </c>
      <c r="AG6" s="81">
        <v>372</v>
      </c>
      <c r="AH6" s="81">
        <v>884</v>
      </c>
      <c r="AI6" s="81">
        <v>13442</v>
      </c>
      <c r="AJ6" s="81">
        <v>11323</v>
      </c>
      <c r="AK6" s="81"/>
      <c r="AL6" s="81" t="s">
        <v>2460</v>
      </c>
      <c r="AM6" s="81" t="s">
        <v>2724</v>
      </c>
      <c r="AN6" s="81"/>
      <c r="AO6" s="81"/>
      <c r="AP6" s="83">
        <v>41086.5878125</v>
      </c>
      <c r="AQ6" s="88" t="str">
        <f>HYPERLINK("https://pbs.twimg.com/profile_banners/619103975/1638129917")</f>
        <v>https://pbs.twimg.com/profile_banners/619103975/1638129917</v>
      </c>
      <c r="AR6" s="81" t="b">
        <v>0</v>
      </c>
      <c r="AS6" s="81" t="b">
        <v>0</v>
      </c>
      <c r="AT6" s="81" t="b">
        <v>1</v>
      </c>
      <c r="AU6" s="81"/>
      <c r="AV6" s="81">
        <v>3</v>
      </c>
      <c r="AW6" s="88" t="str">
        <f>HYPERLINK("https://abs.twimg.com/images/themes/theme11/bg.gif")</f>
        <v>https://abs.twimg.com/images/themes/theme11/bg.gif</v>
      </c>
      <c r="AX6" s="81" t="b">
        <v>0</v>
      </c>
      <c r="AY6" s="81" t="s">
        <v>2883</v>
      </c>
      <c r="AZ6" s="88" t="str">
        <f>HYPERLINK("https://twitter.com/themeekfirefly")</f>
        <v>https://twitter.com/themeekfirefly</v>
      </c>
      <c r="BA6" s="81" t="s">
        <v>66</v>
      </c>
      <c r="BB6" s="81" t="str">
        <f>REPLACE(INDEX(GroupVertices[Group],MATCH(Vertices[[#This Row],[Vertex]],GroupVertices[Vertex],0)),1,1,"")</f>
        <v>1</v>
      </c>
      <c r="BC6" s="49"/>
      <c r="BD6" s="49"/>
      <c r="BE6" s="49"/>
      <c r="BF6" s="49"/>
      <c r="BG6" s="49" t="s">
        <v>949</v>
      </c>
      <c r="BH6" s="49" t="s">
        <v>949</v>
      </c>
      <c r="BI6" s="113" t="s">
        <v>3681</v>
      </c>
      <c r="BJ6" s="113" t="s">
        <v>3681</v>
      </c>
      <c r="BK6" s="113" t="s">
        <v>3858</v>
      </c>
      <c r="BL6" s="113" t="s">
        <v>3858</v>
      </c>
      <c r="BM6" s="113">
        <v>0</v>
      </c>
      <c r="BN6" s="116">
        <v>0</v>
      </c>
      <c r="BO6" s="113">
        <v>4</v>
      </c>
      <c r="BP6" s="116">
        <v>14.285714285714286</v>
      </c>
      <c r="BQ6" s="113">
        <v>0</v>
      </c>
      <c r="BR6" s="116">
        <v>0</v>
      </c>
      <c r="BS6" s="113">
        <v>24</v>
      </c>
      <c r="BT6" s="116">
        <v>85.71428571428571</v>
      </c>
      <c r="BU6" s="113">
        <v>28</v>
      </c>
      <c r="BV6" s="2"/>
      <c r="BW6" s="3"/>
      <c r="BX6" s="3"/>
      <c r="BY6" s="3"/>
      <c r="BZ6" s="3"/>
    </row>
    <row r="7" spans="1:78" ht="41.45" customHeight="1">
      <c r="A7" s="66" t="s">
        <v>254</v>
      </c>
      <c r="C7" s="67"/>
      <c r="D7" s="67" t="s">
        <v>64</v>
      </c>
      <c r="E7" s="68">
        <v>162.02639036414294</v>
      </c>
      <c r="F7" s="70">
        <v>99.9999430869824</v>
      </c>
      <c r="G7" s="106" t="str">
        <f>HYPERLINK("https://pbs.twimg.com/profile_images/1315654451391279114/RTPMazJY_normal.jpg")</f>
        <v>https://pbs.twimg.com/profile_images/1315654451391279114/RTPMazJY_normal.jpg</v>
      </c>
      <c r="H7" s="67"/>
      <c r="I7" s="71" t="s">
        <v>254</v>
      </c>
      <c r="J7" s="72"/>
      <c r="K7" s="72"/>
      <c r="L7" s="71" t="s">
        <v>2887</v>
      </c>
      <c r="M7" s="75">
        <v>1.0189672116652715</v>
      </c>
      <c r="N7" s="76">
        <v>7839.2158203125</v>
      </c>
      <c r="O7" s="76">
        <v>3919.564208984375</v>
      </c>
      <c r="P7" s="77"/>
      <c r="Q7" s="78"/>
      <c r="R7" s="78"/>
      <c r="S7" s="92"/>
      <c r="T7" s="49">
        <v>0</v>
      </c>
      <c r="U7" s="49">
        <v>2</v>
      </c>
      <c r="V7" s="50">
        <v>4</v>
      </c>
      <c r="W7" s="50">
        <v>0.25</v>
      </c>
      <c r="X7" s="50">
        <v>0</v>
      </c>
      <c r="Y7" s="50">
        <v>1.298243</v>
      </c>
      <c r="Z7" s="50">
        <v>0</v>
      </c>
      <c r="AA7" s="50">
        <v>0</v>
      </c>
      <c r="AB7" s="73">
        <v>7</v>
      </c>
      <c r="AC7" s="73"/>
      <c r="AD7" s="74"/>
      <c r="AE7" s="81" t="s">
        <v>1920</v>
      </c>
      <c r="AF7" s="86" t="s">
        <v>2195</v>
      </c>
      <c r="AG7" s="81">
        <v>76</v>
      </c>
      <c r="AH7" s="81">
        <v>143</v>
      </c>
      <c r="AI7" s="81">
        <v>1180</v>
      </c>
      <c r="AJ7" s="81">
        <v>1992</v>
      </c>
      <c r="AK7" s="81"/>
      <c r="AL7" s="81" t="s">
        <v>2461</v>
      </c>
      <c r="AM7" s="81" t="s">
        <v>2725</v>
      </c>
      <c r="AN7" s="88" t="str">
        <f>HYPERLINK("https://t.co/VpobLee5He")</f>
        <v>https://t.co/VpobLee5He</v>
      </c>
      <c r="AO7" s="81"/>
      <c r="AP7" s="83">
        <v>44116.54822916666</v>
      </c>
      <c r="AQ7" s="88" t="str">
        <f>HYPERLINK("https://pbs.twimg.com/profile_banners/1315640669491417092/1602511727")</f>
        <v>https://pbs.twimg.com/profile_banners/1315640669491417092/1602511727</v>
      </c>
      <c r="AR7" s="81" t="b">
        <v>1</v>
      </c>
      <c r="AS7" s="81" t="b">
        <v>0</v>
      </c>
      <c r="AT7" s="81" t="b">
        <v>0</v>
      </c>
      <c r="AU7" s="81"/>
      <c r="AV7" s="81">
        <v>0</v>
      </c>
      <c r="AW7" s="81"/>
      <c r="AX7" s="81" t="b">
        <v>0</v>
      </c>
      <c r="AY7" s="81" t="s">
        <v>2883</v>
      </c>
      <c r="AZ7" s="88" t="str">
        <f>HYPERLINK("https://twitter.com/whhtpharmacy")</f>
        <v>https://twitter.com/whhtpharmacy</v>
      </c>
      <c r="BA7" s="81" t="s">
        <v>66</v>
      </c>
      <c r="BB7" s="81" t="str">
        <f>REPLACE(INDEX(GroupVertices[Group],MATCH(Vertices[[#This Row],[Vertex]],GroupVertices[Vertex],0)),1,1,"")</f>
        <v>13</v>
      </c>
      <c r="BC7" s="49"/>
      <c r="BD7" s="49"/>
      <c r="BE7" s="49"/>
      <c r="BF7" s="49"/>
      <c r="BG7" s="49" t="s">
        <v>950</v>
      </c>
      <c r="BH7" s="49" t="s">
        <v>950</v>
      </c>
      <c r="BI7" s="113" t="s">
        <v>3682</v>
      </c>
      <c r="BJ7" s="113" t="s">
        <v>3682</v>
      </c>
      <c r="BK7" s="113" t="s">
        <v>3859</v>
      </c>
      <c r="BL7" s="113" t="s">
        <v>3859</v>
      </c>
      <c r="BM7" s="113">
        <v>0</v>
      </c>
      <c r="BN7" s="116">
        <v>0</v>
      </c>
      <c r="BO7" s="113">
        <v>0</v>
      </c>
      <c r="BP7" s="116">
        <v>0</v>
      </c>
      <c r="BQ7" s="113">
        <v>0</v>
      </c>
      <c r="BR7" s="116">
        <v>0</v>
      </c>
      <c r="BS7" s="113">
        <v>20</v>
      </c>
      <c r="BT7" s="116">
        <v>100</v>
      </c>
      <c r="BU7" s="113">
        <v>20</v>
      </c>
      <c r="BV7" s="2"/>
      <c r="BW7" s="3"/>
      <c r="BX7" s="3"/>
      <c r="BY7" s="3"/>
      <c r="BZ7" s="3"/>
    </row>
    <row r="8" spans="1:78" ht="41.45" customHeight="1">
      <c r="A8" s="66" t="s">
        <v>449</v>
      </c>
      <c r="C8" s="67"/>
      <c r="D8" s="67" t="s">
        <v>64</v>
      </c>
      <c r="E8" s="68">
        <v>162.38793835290116</v>
      </c>
      <c r="F8" s="70">
        <v>99.99916337864128</v>
      </c>
      <c r="G8" s="106" t="str">
        <f>HYPERLINK("https://pbs.twimg.com/profile_images/1421073734505582594/2cx0l86v_normal.jpg")</f>
        <v>https://pbs.twimg.com/profile_images/1421073734505582594/2cx0l86v_normal.jpg</v>
      </c>
      <c r="H8" s="67"/>
      <c r="I8" s="71" t="s">
        <v>449</v>
      </c>
      <c r="J8" s="72"/>
      <c r="K8" s="72"/>
      <c r="L8" s="71" t="s">
        <v>2888</v>
      </c>
      <c r="M8" s="75">
        <v>1.2788180114794911</v>
      </c>
      <c r="N8" s="76">
        <v>7604.57275390625</v>
      </c>
      <c r="O8" s="76">
        <v>2987.639892578125</v>
      </c>
      <c r="P8" s="77"/>
      <c r="Q8" s="78"/>
      <c r="R8" s="78"/>
      <c r="S8" s="92"/>
      <c r="T8" s="49">
        <v>1</v>
      </c>
      <c r="U8" s="49">
        <v>0</v>
      </c>
      <c r="V8" s="50">
        <v>0</v>
      </c>
      <c r="W8" s="50">
        <v>0.166667</v>
      </c>
      <c r="X8" s="50">
        <v>0</v>
      </c>
      <c r="Y8" s="50">
        <v>0.701753</v>
      </c>
      <c r="Z8" s="50">
        <v>0</v>
      </c>
      <c r="AA8" s="50">
        <v>0</v>
      </c>
      <c r="AB8" s="73">
        <v>8</v>
      </c>
      <c r="AC8" s="73"/>
      <c r="AD8" s="74"/>
      <c r="AE8" s="81" t="s">
        <v>1921</v>
      </c>
      <c r="AF8" s="86" t="s">
        <v>2196</v>
      </c>
      <c r="AG8" s="81">
        <v>1033</v>
      </c>
      <c r="AH8" s="81">
        <v>2061</v>
      </c>
      <c r="AI8" s="81">
        <v>16683</v>
      </c>
      <c r="AJ8" s="81">
        <v>29907</v>
      </c>
      <c r="AK8" s="81"/>
      <c r="AL8" s="81" t="s">
        <v>2462</v>
      </c>
      <c r="AM8" s="81" t="s">
        <v>2726</v>
      </c>
      <c r="AN8" s="81"/>
      <c r="AO8" s="81"/>
      <c r="AP8" s="83">
        <v>41697.94417824074</v>
      </c>
      <c r="AQ8" s="88" t="str">
        <f>HYPERLINK("https://pbs.twimg.com/profile_banners/2369952327/1569964311")</f>
        <v>https://pbs.twimg.com/profile_banners/2369952327/1569964311</v>
      </c>
      <c r="AR8" s="81" t="b">
        <v>1</v>
      </c>
      <c r="AS8" s="81" t="b">
        <v>0</v>
      </c>
      <c r="AT8" s="81" t="b">
        <v>0</v>
      </c>
      <c r="AU8" s="81"/>
      <c r="AV8" s="81">
        <v>57</v>
      </c>
      <c r="AW8" s="88" t="str">
        <f>HYPERLINK("https://abs.twimg.com/images/themes/theme1/bg.png")</f>
        <v>https://abs.twimg.com/images/themes/theme1/bg.png</v>
      </c>
      <c r="AX8" s="81" t="b">
        <v>0</v>
      </c>
      <c r="AY8" s="81" t="s">
        <v>2883</v>
      </c>
      <c r="AZ8" s="88" t="str">
        <f>HYPERLINK("https://twitter.com/cartertreacle")</f>
        <v>https://twitter.com/cartertreacle</v>
      </c>
      <c r="BA8" s="81" t="s">
        <v>65</v>
      </c>
      <c r="BB8" s="81" t="str">
        <f>REPLACE(INDEX(GroupVertices[Group],MATCH(Vertices[[#This Row],[Vertex]],GroupVertices[Vertex],0)),1,1,"")</f>
        <v>13</v>
      </c>
      <c r="BC8" s="49"/>
      <c r="BD8" s="49"/>
      <c r="BE8" s="49"/>
      <c r="BF8" s="49"/>
      <c r="BG8" s="49"/>
      <c r="BH8" s="49"/>
      <c r="BI8" s="49"/>
      <c r="BJ8" s="49"/>
      <c r="BK8" s="49"/>
      <c r="BL8" s="49"/>
      <c r="BM8" s="49"/>
      <c r="BN8" s="50"/>
      <c r="BO8" s="49"/>
      <c r="BP8" s="50"/>
      <c r="BQ8" s="49"/>
      <c r="BR8" s="50"/>
      <c r="BS8" s="49"/>
      <c r="BT8" s="50"/>
      <c r="BU8" s="49"/>
      <c r="BV8" s="2"/>
      <c r="BW8" s="3"/>
      <c r="BX8" s="3"/>
      <c r="BY8" s="3"/>
      <c r="BZ8" s="3"/>
    </row>
    <row r="9" spans="1:78" ht="41.45" customHeight="1">
      <c r="A9" s="66" t="s">
        <v>450</v>
      </c>
      <c r="C9" s="67"/>
      <c r="D9" s="67" t="s">
        <v>64</v>
      </c>
      <c r="E9" s="68">
        <v>163.99756206301925</v>
      </c>
      <c r="F9" s="70">
        <v>99.99569209108928</v>
      </c>
      <c r="G9" s="106" t="str">
        <f>HYPERLINK("https://pbs.twimg.com/profile_images/1460917507678777350/fOdqVuOx_normal.jpg")</f>
        <v>https://pbs.twimg.com/profile_images/1460917507678777350/fOdqVuOx_normal.jpg</v>
      </c>
      <c r="H9" s="67"/>
      <c r="I9" s="71" t="s">
        <v>450</v>
      </c>
      <c r="J9" s="72"/>
      <c r="K9" s="72"/>
      <c r="L9" s="71" t="s">
        <v>2889</v>
      </c>
      <c r="M9" s="75">
        <v>2.43568244297773</v>
      </c>
      <c r="N9" s="76">
        <v>7839.2158203125</v>
      </c>
      <c r="O9" s="76">
        <v>2987.639892578125</v>
      </c>
      <c r="P9" s="77"/>
      <c r="Q9" s="78"/>
      <c r="R9" s="78"/>
      <c r="S9" s="92"/>
      <c r="T9" s="49">
        <v>2</v>
      </c>
      <c r="U9" s="49">
        <v>0</v>
      </c>
      <c r="V9" s="50">
        <v>4</v>
      </c>
      <c r="W9" s="50">
        <v>0.25</v>
      </c>
      <c r="X9" s="50">
        <v>0</v>
      </c>
      <c r="Y9" s="50">
        <v>1.298243</v>
      </c>
      <c r="Z9" s="50">
        <v>0</v>
      </c>
      <c r="AA9" s="50">
        <v>0</v>
      </c>
      <c r="AB9" s="73">
        <v>9</v>
      </c>
      <c r="AC9" s="73"/>
      <c r="AD9" s="74"/>
      <c r="AE9" s="81" t="s">
        <v>1922</v>
      </c>
      <c r="AF9" s="86" t="s">
        <v>1816</v>
      </c>
      <c r="AG9" s="81">
        <v>2003</v>
      </c>
      <c r="AH9" s="81">
        <v>10600</v>
      </c>
      <c r="AI9" s="81">
        <v>23331</v>
      </c>
      <c r="AJ9" s="81">
        <v>16148</v>
      </c>
      <c r="AK9" s="81"/>
      <c r="AL9" s="81" t="s">
        <v>2463</v>
      </c>
      <c r="AM9" s="81" t="s">
        <v>2727</v>
      </c>
      <c r="AN9" s="88" t="str">
        <f>HYPERLINK("https://t.co/IkkdhXHnE1")</f>
        <v>https://t.co/IkkdhXHnE1</v>
      </c>
      <c r="AO9" s="81"/>
      <c r="AP9" s="83">
        <v>40008.39295138889</v>
      </c>
      <c r="AQ9" s="88" t="str">
        <f>HYPERLINK("https://pbs.twimg.com/profile_banners/56652363/1637144851")</f>
        <v>https://pbs.twimg.com/profile_banners/56652363/1637144851</v>
      </c>
      <c r="AR9" s="81" t="b">
        <v>0</v>
      </c>
      <c r="AS9" s="81" t="b">
        <v>0</v>
      </c>
      <c r="AT9" s="81" t="b">
        <v>0</v>
      </c>
      <c r="AU9" s="81"/>
      <c r="AV9" s="81">
        <v>143</v>
      </c>
      <c r="AW9" s="88" t="str">
        <f>HYPERLINK("https://abs.twimg.com/images/themes/theme1/bg.png")</f>
        <v>https://abs.twimg.com/images/themes/theme1/bg.png</v>
      </c>
      <c r="AX9" s="81" t="b">
        <v>1</v>
      </c>
      <c r="AY9" s="81" t="s">
        <v>2883</v>
      </c>
      <c r="AZ9" s="88" t="str">
        <f>HYPERLINK("https://twitter.com/westhertsnhs")</f>
        <v>https://twitter.com/westhertsnhs</v>
      </c>
      <c r="BA9" s="81" t="s">
        <v>65</v>
      </c>
      <c r="BB9" s="81" t="str">
        <f>REPLACE(INDEX(GroupVertices[Group],MATCH(Vertices[[#This Row],[Vertex]],GroupVertices[Vertex],0)),1,1,"")</f>
        <v>13</v>
      </c>
      <c r="BC9" s="49"/>
      <c r="BD9" s="49"/>
      <c r="BE9" s="49"/>
      <c r="BF9" s="49"/>
      <c r="BG9" s="49"/>
      <c r="BH9" s="49"/>
      <c r="BI9" s="49"/>
      <c r="BJ9" s="49"/>
      <c r="BK9" s="49"/>
      <c r="BL9" s="49"/>
      <c r="BM9" s="49"/>
      <c r="BN9" s="50"/>
      <c r="BO9" s="49"/>
      <c r="BP9" s="50"/>
      <c r="BQ9" s="49"/>
      <c r="BR9" s="50"/>
      <c r="BS9" s="49"/>
      <c r="BT9" s="50"/>
      <c r="BU9" s="49"/>
      <c r="BV9" s="2"/>
      <c r="BW9" s="3"/>
      <c r="BX9" s="3"/>
      <c r="BY9" s="3"/>
      <c r="BZ9" s="3"/>
    </row>
    <row r="10" spans="1:78" ht="41.45" customHeight="1">
      <c r="A10" s="66" t="s">
        <v>255</v>
      </c>
      <c r="C10" s="67"/>
      <c r="D10" s="67" t="s">
        <v>64</v>
      </c>
      <c r="E10" s="68">
        <v>163.25693534360784</v>
      </c>
      <c r="F10" s="70">
        <v>99.99728931427606</v>
      </c>
      <c r="G10" s="106" t="str">
        <f>HYPERLINK("https://pbs.twimg.com/profile_images/1460567259575988228/pjNOS9IW_normal.jpg")</f>
        <v>https://pbs.twimg.com/profile_images/1460567259575988228/pjNOS9IW_normal.jpg</v>
      </c>
      <c r="H10" s="67"/>
      <c r="I10" s="71" t="s">
        <v>255</v>
      </c>
      <c r="J10" s="72"/>
      <c r="K10" s="72"/>
      <c r="L10" s="71" t="s">
        <v>2890</v>
      </c>
      <c r="M10" s="75">
        <v>1.9033811956002173</v>
      </c>
      <c r="N10" s="76">
        <v>3091.998291015625</v>
      </c>
      <c r="O10" s="76">
        <v>3053.422607421875</v>
      </c>
      <c r="P10" s="77"/>
      <c r="Q10" s="78"/>
      <c r="R10" s="78"/>
      <c r="S10" s="92"/>
      <c r="T10" s="49">
        <v>1</v>
      </c>
      <c r="U10" s="49">
        <v>1</v>
      </c>
      <c r="V10" s="50">
        <v>0</v>
      </c>
      <c r="W10" s="50">
        <v>0</v>
      </c>
      <c r="X10" s="50">
        <v>0</v>
      </c>
      <c r="Y10" s="50">
        <v>0.999998</v>
      </c>
      <c r="Z10" s="50">
        <v>0</v>
      </c>
      <c r="AA10" s="50">
        <v>0</v>
      </c>
      <c r="AB10" s="73">
        <v>10</v>
      </c>
      <c r="AC10" s="73"/>
      <c r="AD10" s="74"/>
      <c r="AE10" s="81" t="s">
        <v>1923</v>
      </c>
      <c r="AF10" s="86" t="s">
        <v>2197</v>
      </c>
      <c r="AG10" s="81">
        <v>2004</v>
      </c>
      <c r="AH10" s="81">
        <v>6671</v>
      </c>
      <c r="AI10" s="81">
        <v>16256</v>
      </c>
      <c r="AJ10" s="81">
        <v>2678</v>
      </c>
      <c r="AK10" s="81"/>
      <c r="AL10" s="81" t="s">
        <v>2464</v>
      </c>
      <c r="AM10" s="81" t="s">
        <v>2728</v>
      </c>
      <c r="AN10" s="88" t="str">
        <f>HYPERLINK("https://t.co/kq8TqjHTBA")</f>
        <v>https://t.co/kq8TqjHTBA</v>
      </c>
      <c r="AO10" s="81"/>
      <c r="AP10" s="83">
        <v>41381.37630787037</v>
      </c>
      <c r="AQ10" s="88" t="str">
        <f>HYPERLINK("https://pbs.twimg.com/profile_banners/1358969828/1632407422")</f>
        <v>https://pbs.twimg.com/profile_banners/1358969828/1632407422</v>
      </c>
      <c r="AR10" s="81" t="b">
        <v>0</v>
      </c>
      <c r="AS10" s="81" t="b">
        <v>0</v>
      </c>
      <c r="AT10" s="81" t="b">
        <v>1</v>
      </c>
      <c r="AU10" s="81"/>
      <c r="AV10" s="81">
        <v>81</v>
      </c>
      <c r="AW10" s="88" t="str">
        <f>HYPERLINK("https://abs.twimg.com/images/themes/theme1/bg.png")</f>
        <v>https://abs.twimg.com/images/themes/theme1/bg.png</v>
      </c>
      <c r="AX10" s="81" t="b">
        <v>0</v>
      </c>
      <c r="AY10" s="81" t="s">
        <v>2883</v>
      </c>
      <c r="AZ10" s="88" t="str">
        <f>HYPERLINK("https://twitter.com/ukhsa_northwest")</f>
        <v>https://twitter.com/ukhsa_northwest</v>
      </c>
      <c r="BA10" s="81" t="s">
        <v>66</v>
      </c>
      <c r="BB10" s="81" t="str">
        <f>REPLACE(INDEX(GroupVertices[Group],MATCH(Vertices[[#This Row],[Vertex]],GroupVertices[Vertex],0)),1,1,"")</f>
        <v>1</v>
      </c>
      <c r="BC10" s="49"/>
      <c r="BD10" s="49"/>
      <c r="BE10" s="49"/>
      <c r="BF10" s="49"/>
      <c r="BG10" s="49" t="s">
        <v>951</v>
      </c>
      <c r="BH10" s="49" t="s">
        <v>951</v>
      </c>
      <c r="BI10" s="113" t="s">
        <v>3683</v>
      </c>
      <c r="BJ10" s="113" t="s">
        <v>3683</v>
      </c>
      <c r="BK10" s="113" t="s">
        <v>3860</v>
      </c>
      <c r="BL10" s="113" t="s">
        <v>3860</v>
      </c>
      <c r="BM10" s="113">
        <v>0</v>
      </c>
      <c r="BN10" s="116">
        <v>0</v>
      </c>
      <c r="BO10" s="113">
        <v>2</v>
      </c>
      <c r="BP10" s="116">
        <v>6.0606060606060606</v>
      </c>
      <c r="BQ10" s="113">
        <v>0</v>
      </c>
      <c r="BR10" s="116">
        <v>0</v>
      </c>
      <c r="BS10" s="113">
        <v>31</v>
      </c>
      <c r="BT10" s="116">
        <v>93.93939393939394</v>
      </c>
      <c r="BU10" s="113">
        <v>33</v>
      </c>
      <c r="BV10" s="2"/>
      <c r="BW10" s="3"/>
      <c r="BX10" s="3"/>
      <c r="BY10" s="3"/>
      <c r="BZ10" s="3"/>
    </row>
    <row r="11" spans="1:78" ht="41.45" customHeight="1">
      <c r="A11" s="66" t="s">
        <v>256</v>
      </c>
      <c r="C11" s="67"/>
      <c r="D11" s="67" t="s">
        <v>64</v>
      </c>
      <c r="E11" s="68">
        <v>162.05372324129098</v>
      </c>
      <c r="F11" s="70">
        <v>99.99988414135703</v>
      </c>
      <c r="G11" s="106" t="str">
        <f>HYPERLINK("https://pbs.twimg.com/profile_images/1391391408355905540/q_Bbnteu_normal.png")</f>
        <v>https://pbs.twimg.com/profile_images/1391391408355905540/q_Bbnteu_normal.png</v>
      </c>
      <c r="H11" s="67"/>
      <c r="I11" s="71" t="s">
        <v>256</v>
      </c>
      <c r="J11" s="72"/>
      <c r="K11" s="72"/>
      <c r="L11" s="71" t="s">
        <v>2891</v>
      </c>
      <c r="M11" s="75">
        <v>1.0386118237471598</v>
      </c>
      <c r="N11" s="76">
        <v>2310.1279296875</v>
      </c>
      <c r="O11" s="76">
        <v>6945.5771484375</v>
      </c>
      <c r="P11" s="77"/>
      <c r="Q11" s="78"/>
      <c r="R11" s="78"/>
      <c r="S11" s="92"/>
      <c r="T11" s="49">
        <v>1</v>
      </c>
      <c r="U11" s="49">
        <v>1</v>
      </c>
      <c r="V11" s="50">
        <v>0</v>
      </c>
      <c r="W11" s="50">
        <v>0</v>
      </c>
      <c r="X11" s="50">
        <v>0</v>
      </c>
      <c r="Y11" s="50">
        <v>0.999998</v>
      </c>
      <c r="Z11" s="50">
        <v>0</v>
      </c>
      <c r="AA11" s="50">
        <v>0</v>
      </c>
      <c r="AB11" s="73">
        <v>11</v>
      </c>
      <c r="AC11" s="73"/>
      <c r="AD11" s="74"/>
      <c r="AE11" s="81" t="s">
        <v>1924</v>
      </c>
      <c r="AF11" s="86" t="s">
        <v>2198</v>
      </c>
      <c r="AG11" s="81">
        <v>489</v>
      </c>
      <c r="AH11" s="81">
        <v>288</v>
      </c>
      <c r="AI11" s="81">
        <v>889</v>
      </c>
      <c r="AJ11" s="81">
        <v>2034</v>
      </c>
      <c r="AK11" s="81"/>
      <c r="AL11" s="81"/>
      <c r="AM11" s="81" t="s">
        <v>2729</v>
      </c>
      <c r="AN11" s="81"/>
      <c r="AO11" s="81"/>
      <c r="AP11" s="83">
        <v>39865.93271990741</v>
      </c>
      <c r="AQ11" s="81"/>
      <c r="AR11" s="81" t="b">
        <v>1</v>
      </c>
      <c r="AS11" s="81" t="b">
        <v>0</v>
      </c>
      <c r="AT11" s="81" t="b">
        <v>1</v>
      </c>
      <c r="AU11" s="81"/>
      <c r="AV11" s="81">
        <v>4</v>
      </c>
      <c r="AW11" s="88" t="str">
        <f>HYPERLINK("https://abs.twimg.com/images/themes/theme1/bg.png")</f>
        <v>https://abs.twimg.com/images/themes/theme1/bg.png</v>
      </c>
      <c r="AX11" s="81" t="b">
        <v>0</v>
      </c>
      <c r="AY11" s="81" t="s">
        <v>2883</v>
      </c>
      <c r="AZ11" s="88" t="str">
        <f>HYPERLINK("https://twitter.com/triciag6")</f>
        <v>https://twitter.com/triciag6</v>
      </c>
      <c r="BA11" s="81" t="s">
        <v>66</v>
      </c>
      <c r="BB11" s="81" t="str">
        <f>REPLACE(INDEX(GroupVertices[Group],MATCH(Vertices[[#This Row],[Vertex]],GroupVertices[Vertex],0)),1,1,"")</f>
        <v>1</v>
      </c>
      <c r="BC11" s="49"/>
      <c r="BD11" s="49"/>
      <c r="BE11" s="49"/>
      <c r="BF11" s="49"/>
      <c r="BG11" s="49" t="s">
        <v>952</v>
      </c>
      <c r="BH11" s="49" t="s">
        <v>952</v>
      </c>
      <c r="BI11" s="113" t="s">
        <v>3684</v>
      </c>
      <c r="BJ11" s="113" t="s">
        <v>3684</v>
      </c>
      <c r="BK11" s="113" t="s">
        <v>3861</v>
      </c>
      <c r="BL11" s="113" t="s">
        <v>3861</v>
      </c>
      <c r="BM11" s="113">
        <v>0</v>
      </c>
      <c r="BN11" s="116">
        <v>0</v>
      </c>
      <c r="BO11" s="113">
        <v>3</v>
      </c>
      <c r="BP11" s="116">
        <v>9.090909090909092</v>
      </c>
      <c r="BQ11" s="113">
        <v>0</v>
      </c>
      <c r="BR11" s="116">
        <v>0</v>
      </c>
      <c r="BS11" s="113">
        <v>30</v>
      </c>
      <c r="BT11" s="116">
        <v>90.9090909090909</v>
      </c>
      <c r="BU11" s="113">
        <v>33</v>
      </c>
      <c r="BV11" s="2"/>
      <c r="BW11" s="3"/>
      <c r="BX11" s="3"/>
      <c r="BY11" s="3"/>
      <c r="BZ11" s="3"/>
    </row>
    <row r="12" spans="1:78" ht="41.45" customHeight="1">
      <c r="A12" s="66" t="s">
        <v>257</v>
      </c>
      <c r="C12" s="67"/>
      <c r="D12" s="67" t="s">
        <v>64</v>
      </c>
      <c r="E12" s="68">
        <v>166.8739232519983</v>
      </c>
      <c r="F12" s="70">
        <v>99.9894889786925</v>
      </c>
      <c r="G12" s="106" t="str">
        <f>HYPERLINK("https://pbs.twimg.com/profile_images/1422159928278589444/8OZs4feU_normal.jpg")</f>
        <v>https://pbs.twimg.com/profile_images/1422159928278589444/8OZs4feU_normal.jpg</v>
      </c>
      <c r="H12" s="67"/>
      <c r="I12" s="71" t="s">
        <v>257</v>
      </c>
      <c r="J12" s="72"/>
      <c r="K12" s="72"/>
      <c r="L12" s="71" t="s">
        <v>2892</v>
      </c>
      <c r="M12" s="75">
        <v>4.502973034409001</v>
      </c>
      <c r="N12" s="76">
        <v>2310.1279296875</v>
      </c>
      <c r="O12" s="76">
        <v>1496.5609130859375</v>
      </c>
      <c r="P12" s="77"/>
      <c r="Q12" s="78"/>
      <c r="R12" s="78"/>
      <c r="S12" s="92"/>
      <c r="T12" s="49">
        <v>1</v>
      </c>
      <c r="U12" s="49">
        <v>1</v>
      </c>
      <c r="V12" s="50">
        <v>0</v>
      </c>
      <c r="W12" s="50">
        <v>0</v>
      </c>
      <c r="X12" s="50">
        <v>0</v>
      </c>
      <c r="Y12" s="50">
        <v>0.999998</v>
      </c>
      <c r="Z12" s="50">
        <v>0</v>
      </c>
      <c r="AA12" s="50">
        <v>0</v>
      </c>
      <c r="AB12" s="73">
        <v>12</v>
      </c>
      <c r="AC12" s="73"/>
      <c r="AD12" s="74"/>
      <c r="AE12" s="81" t="s">
        <v>1925</v>
      </c>
      <c r="AF12" s="86" t="s">
        <v>2199</v>
      </c>
      <c r="AG12" s="81">
        <v>505</v>
      </c>
      <c r="AH12" s="81">
        <v>25859</v>
      </c>
      <c r="AI12" s="81">
        <v>25513</v>
      </c>
      <c r="AJ12" s="81">
        <v>2960</v>
      </c>
      <c r="AK12" s="81"/>
      <c r="AL12" s="81" t="s">
        <v>2465</v>
      </c>
      <c r="AM12" s="81" t="s">
        <v>2730</v>
      </c>
      <c r="AN12" s="88" t="str">
        <f>HYPERLINK("https://t.co/Zx3G2xJgP4")</f>
        <v>https://t.co/Zx3G2xJgP4</v>
      </c>
      <c r="AO12" s="81"/>
      <c r="AP12" s="83">
        <v>40361.488020833334</v>
      </c>
      <c r="AQ12" s="88" t="str">
        <f>HYPERLINK("https://pbs.twimg.com/profile_banners/162018121/1637226112")</f>
        <v>https://pbs.twimg.com/profile_banners/162018121/1637226112</v>
      </c>
      <c r="AR12" s="81" t="b">
        <v>0</v>
      </c>
      <c r="AS12" s="81" t="b">
        <v>0</v>
      </c>
      <c r="AT12" s="81" t="b">
        <v>1</v>
      </c>
      <c r="AU12" s="81"/>
      <c r="AV12" s="81">
        <v>262</v>
      </c>
      <c r="AW12" s="88" t="str">
        <f>HYPERLINK("https://abs.twimg.com/images/themes/theme1/bg.png")</f>
        <v>https://abs.twimg.com/images/themes/theme1/bg.png</v>
      </c>
      <c r="AX12" s="81" t="b">
        <v>1</v>
      </c>
      <c r="AY12" s="81" t="s">
        <v>2883</v>
      </c>
      <c r="AZ12" s="88" t="str">
        <f>HYPERLINK("https://twitter.com/wirralcouncil")</f>
        <v>https://twitter.com/wirralcouncil</v>
      </c>
      <c r="BA12" s="81" t="s">
        <v>66</v>
      </c>
      <c r="BB12" s="81" t="str">
        <f>REPLACE(INDEX(GroupVertices[Group],MATCH(Vertices[[#This Row],[Vertex]],GroupVertices[Vertex],0)),1,1,"")</f>
        <v>1</v>
      </c>
      <c r="BC12" s="49" t="s">
        <v>3205</v>
      </c>
      <c r="BD12" s="49" t="s">
        <v>3205</v>
      </c>
      <c r="BE12" s="49" t="s">
        <v>902</v>
      </c>
      <c r="BF12" s="49" t="s">
        <v>902</v>
      </c>
      <c r="BG12" s="49" t="s">
        <v>953</v>
      </c>
      <c r="BH12" s="49" t="s">
        <v>953</v>
      </c>
      <c r="BI12" s="113" t="s">
        <v>3683</v>
      </c>
      <c r="BJ12" s="113" t="s">
        <v>3683</v>
      </c>
      <c r="BK12" s="113" t="s">
        <v>3860</v>
      </c>
      <c r="BL12" s="113" t="s">
        <v>3860</v>
      </c>
      <c r="BM12" s="113">
        <v>0</v>
      </c>
      <c r="BN12" s="116">
        <v>0</v>
      </c>
      <c r="BO12" s="113">
        <v>3</v>
      </c>
      <c r="BP12" s="116">
        <v>8.823529411764707</v>
      </c>
      <c r="BQ12" s="113">
        <v>0</v>
      </c>
      <c r="BR12" s="116">
        <v>0</v>
      </c>
      <c r="BS12" s="113">
        <v>31</v>
      </c>
      <c r="BT12" s="116">
        <v>91.17647058823529</v>
      </c>
      <c r="BU12" s="113">
        <v>34</v>
      </c>
      <c r="BV12" s="2"/>
      <c r="BW12" s="3"/>
      <c r="BX12" s="3"/>
      <c r="BY12" s="3"/>
      <c r="BZ12" s="3"/>
    </row>
    <row r="13" spans="1:78" ht="41.45" customHeight="1">
      <c r="A13" s="66" t="s">
        <v>258</v>
      </c>
      <c r="C13" s="67"/>
      <c r="D13" s="67" t="s">
        <v>64</v>
      </c>
      <c r="E13" s="68">
        <v>162.01036764305616</v>
      </c>
      <c r="F13" s="70">
        <v>99.99997764131452</v>
      </c>
      <c r="G13" s="106" t="str">
        <f>HYPERLINK("https://pbs.twimg.com/profile_images/1197500019844272131/OnC7Pgud_normal.png")</f>
        <v>https://pbs.twimg.com/profile_images/1197500019844272131/OnC7Pgud_normal.png</v>
      </c>
      <c r="H13" s="67"/>
      <c r="I13" s="71" t="s">
        <v>258</v>
      </c>
      <c r="J13" s="72"/>
      <c r="K13" s="72"/>
      <c r="L13" s="71" t="s">
        <v>2893</v>
      </c>
      <c r="M13" s="75">
        <v>1.0074514045827851</v>
      </c>
      <c r="N13" s="76">
        <v>2310.1279296875</v>
      </c>
      <c r="O13" s="76">
        <v>8502.439453125</v>
      </c>
      <c r="P13" s="77"/>
      <c r="Q13" s="78"/>
      <c r="R13" s="78"/>
      <c r="S13" s="92"/>
      <c r="T13" s="49">
        <v>1</v>
      </c>
      <c r="U13" s="49">
        <v>1</v>
      </c>
      <c r="V13" s="50">
        <v>0</v>
      </c>
      <c r="W13" s="50">
        <v>0</v>
      </c>
      <c r="X13" s="50">
        <v>0</v>
      </c>
      <c r="Y13" s="50">
        <v>0.999998</v>
      </c>
      <c r="Z13" s="50">
        <v>0</v>
      </c>
      <c r="AA13" s="50">
        <v>0</v>
      </c>
      <c r="AB13" s="73">
        <v>13</v>
      </c>
      <c r="AC13" s="73"/>
      <c r="AD13" s="74"/>
      <c r="AE13" s="81" t="s">
        <v>1926</v>
      </c>
      <c r="AF13" s="86" t="s">
        <v>2200</v>
      </c>
      <c r="AG13" s="81">
        <v>172</v>
      </c>
      <c r="AH13" s="81">
        <v>58</v>
      </c>
      <c r="AI13" s="81">
        <v>420</v>
      </c>
      <c r="AJ13" s="81">
        <v>163</v>
      </c>
      <c r="AK13" s="81"/>
      <c r="AL13" s="81" t="s">
        <v>2466</v>
      </c>
      <c r="AM13" s="81"/>
      <c r="AN13" s="81"/>
      <c r="AO13" s="81"/>
      <c r="AP13" s="83">
        <v>43643.51288194444</v>
      </c>
      <c r="AQ13" s="88" t="str">
        <f>HYPERLINK("https://pbs.twimg.com/profile_banners/1144218458021908480/1574341236")</f>
        <v>https://pbs.twimg.com/profile_banners/1144218458021908480/1574341236</v>
      </c>
      <c r="AR13" s="81" t="b">
        <v>1</v>
      </c>
      <c r="AS13" s="81" t="b">
        <v>0</v>
      </c>
      <c r="AT13" s="81" t="b">
        <v>0</v>
      </c>
      <c r="AU13" s="81"/>
      <c r="AV13" s="81">
        <v>0</v>
      </c>
      <c r="AW13" s="81"/>
      <c r="AX13" s="81" t="b">
        <v>0</v>
      </c>
      <c r="AY13" s="81" t="s">
        <v>2883</v>
      </c>
      <c r="AZ13" s="88" t="str">
        <f>HYPERLINK("https://twitter.com/tmfnetworks")</f>
        <v>https://twitter.com/tmfnetworks</v>
      </c>
      <c r="BA13" s="81" t="s">
        <v>66</v>
      </c>
      <c r="BB13" s="81" t="str">
        <f>REPLACE(INDEX(GroupVertices[Group],MATCH(Vertices[[#This Row],[Vertex]],GroupVertices[Vertex],0)),1,1,"")</f>
        <v>1</v>
      </c>
      <c r="BC13" s="49" t="s">
        <v>3204</v>
      </c>
      <c r="BD13" s="49" t="s">
        <v>3204</v>
      </c>
      <c r="BE13" s="49" t="s">
        <v>903</v>
      </c>
      <c r="BF13" s="49" t="s">
        <v>903</v>
      </c>
      <c r="BG13" s="49" t="s">
        <v>954</v>
      </c>
      <c r="BH13" s="49" t="s">
        <v>954</v>
      </c>
      <c r="BI13" s="113" t="s">
        <v>3685</v>
      </c>
      <c r="BJ13" s="113" t="s">
        <v>3685</v>
      </c>
      <c r="BK13" s="113" t="s">
        <v>3862</v>
      </c>
      <c r="BL13" s="113" t="s">
        <v>3862</v>
      </c>
      <c r="BM13" s="113">
        <v>0</v>
      </c>
      <c r="BN13" s="116">
        <v>0</v>
      </c>
      <c r="BO13" s="113">
        <v>1</v>
      </c>
      <c r="BP13" s="116">
        <v>3.0303030303030303</v>
      </c>
      <c r="BQ13" s="113">
        <v>0</v>
      </c>
      <c r="BR13" s="116">
        <v>0</v>
      </c>
      <c r="BS13" s="113">
        <v>32</v>
      </c>
      <c r="BT13" s="116">
        <v>96.96969696969697</v>
      </c>
      <c r="BU13" s="113">
        <v>33</v>
      </c>
      <c r="BV13" s="2"/>
      <c r="BW13" s="3"/>
      <c r="BX13" s="3"/>
      <c r="BY13" s="3"/>
      <c r="BZ13" s="3"/>
    </row>
    <row r="14" spans="1:78" ht="41.45" customHeight="1">
      <c r="A14" s="66" t="s">
        <v>259</v>
      </c>
      <c r="C14" s="67"/>
      <c r="D14" s="67" t="s">
        <v>64</v>
      </c>
      <c r="E14" s="68">
        <v>163.64713572772126</v>
      </c>
      <c r="F14" s="70">
        <v>99.9964478146587</v>
      </c>
      <c r="G14" s="106" t="str">
        <f>HYPERLINK("https://pbs.twimg.com/profile_images/1463431379312599046/S2RGeIjj_normal.jpg")</f>
        <v>https://pbs.twimg.com/profile_images/1463431379312599046/S2RGeIjj_normal.jpg</v>
      </c>
      <c r="H14" s="67"/>
      <c r="I14" s="71" t="s">
        <v>259</v>
      </c>
      <c r="J14" s="72"/>
      <c r="K14" s="72"/>
      <c r="L14" s="71" t="s">
        <v>2894</v>
      </c>
      <c r="M14" s="75">
        <v>2.1838249680795885</v>
      </c>
      <c r="N14" s="76">
        <v>355.4516296386719</v>
      </c>
      <c r="O14" s="76">
        <v>2274.99169921875</v>
      </c>
      <c r="P14" s="77"/>
      <c r="Q14" s="78"/>
      <c r="R14" s="78"/>
      <c r="S14" s="92"/>
      <c r="T14" s="49">
        <v>1</v>
      </c>
      <c r="U14" s="49">
        <v>1</v>
      </c>
      <c r="V14" s="50">
        <v>0</v>
      </c>
      <c r="W14" s="50">
        <v>0</v>
      </c>
      <c r="X14" s="50">
        <v>0</v>
      </c>
      <c r="Y14" s="50">
        <v>0.999998</v>
      </c>
      <c r="Z14" s="50">
        <v>0</v>
      </c>
      <c r="AA14" s="50">
        <v>0</v>
      </c>
      <c r="AB14" s="73">
        <v>14</v>
      </c>
      <c r="AC14" s="73"/>
      <c r="AD14" s="74"/>
      <c r="AE14" s="81" t="s">
        <v>1927</v>
      </c>
      <c r="AF14" s="86" t="s">
        <v>2201</v>
      </c>
      <c r="AG14" s="81">
        <v>888</v>
      </c>
      <c r="AH14" s="81">
        <v>8741</v>
      </c>
      <c r="AI14" s="81">
        <v>12873</v>
      </c>
      <c r="AJ14" s="81">
        <v>1936</v>
      </c>
      <c r="AK14" s="81"/>
      <c r="AL14" s="81" t="s">
        <v>2467</v>
      </c>
      <c r="AM14" s="81" t="s">
        <v>2731</v>
      </c>
      <c r="AN14" s="88" t="str">
        <f>HYPERLINK("https://t.co/3X1QYibexS")</f>
        <v>https://t.co/3X1QYibexS</v>
      </c>
      <c r="AO14" s="81"/>
      <c r="AP14" s="83">
        <v>40613.415625</v>
      </c>
      <c r="AQ14" s="88" t="str">
        <f>HYPERLINK("https://pbs.twimg.com/profile_banners/264101295/1626790980")</f>
        <v>https://pbs.twimg.com/profile_banners/264101295/1626790980</v>
      </c>
      <c r="AR14" s="81" t="b">
        <v>0</v>
      </c>
      <c r="AS14" s="81" t="b">
        <v>0</v>
      </c>
      <c r="AT14" s="81" t="b">
        <v>1</v>
      </c>
      <c r="AU14" s="81"/>
      <c r="AV14" s="81">
        <v>132</v>
      </c>
      <c r="AW14" s="88" t="str">
        <f>HYPERLINK("https://abs.twimg.com/images/themes/theme1/bg.png")</f>
        <v>https://abs.twimg.com/images/themes/theme1/bg.png</v>
      </c>
      <c r="AX14" s="81" t="b">
        <v>1</v>
      </c>
      <c r="AY14" s="81" t="s">
        <v>2883</v>
      </c>
      <c r="AZ14" s="88" t="str">
        <f>HYPERLINK("https://twitter.com/warringtonccg")</f>
        <v>https://twitter.com/warringtonccg</v>
      </c>
      <c r="BA14" s="81" t="s">
        <v>66</v>
      </c>
      <c r="BB14" s="81" t="str">
        <f>REPLACE(INDEX(GroupVertices[Group],MATCH(Vertices[[#This Row],[Vertex]],GroupVertices[Vertex],0)),1,1,"")</f>
        <v>1</v>
      </c>
      <c r="BC14" s="49"/>
      <c r="BD14" s="49"/>
      <c r="BE14" s="49"/>
      <c r="BF14" s="49"/>
      <c r="BG14" s="49" t="s">
        <v>955</v>
      </c>
      <c r="BH14" s="49" t="s">
        <v>955</v>
      </c>
      <c r="BI14" s="113" t="s">
        <v>3683</v>
      </c>
      <c r="BJ14" s="113" t="s">
        <v>3683</v>
      </c>
      <c r="BK14" s="113" t="s">
        <v>3860</v>
      </c>
      <c r="BL14" s="113" t="s">
        <v>3860</v>
      </c>
      <c r="BM14" s="113">
        <v>0</v>
      </c>
      <c r="BN14" s="116">
        <v>0</v>
      </c>
      <c r="BO14" s="113">
        <v>2</v>
      </c>
      <c r="BP14" s="116">
        <v>6.0606060606060606</v>
      </c>
      <c r="BQ14" s="113">
        <v>0</v>
      </c>
      <c r="BR14" s="116">
        <v>0</v>
      </c>
      <c r="BS14" s="113">
        <v>31</v>
      </c>
      <c r="BT14" s="116">
        <v>93.93939393939394</v>
      </c>
      <c r="BU14" s="113">
        <v>33</v>
      </c>
      <c r="BV14" s="2"/>
      <c r="BW14" s="3"/>
      <c r="BX14" s="3"/>
      <c r="BY14" s="3"/>
      <c r="BZ14" s="3"/>
    </row>
    <row r="15" spans="1:78" ht="41.45" customHeight="1">
      <c r="A15" s="66" t="s">
        <v>260</v>
      </c>
      <c r="C15" s="67"/>
      <c r="D15" s="67" t="s">
        <v>64</v>
      </c>
      <c r="E15" s="68">
        <v>162.10763498518298</v>
      </c>
      <c r="F15" s="70">
        <v>99.99976787619251</v>
      </c>
      <c r="G15" s="106" t="str">
        <f>HYPERLINK("https://pbs.twimg.com/profile_images/1286083011595780096/oPCSN3d3_normal.png")</f>
        <v>https://pbs.twimg.com/profile_images/1286083011595780096/oPCSN3d3_normal.png</v>
      </c>
      <c r="H15" s="67"/>
      <c r="I15" s="71" t="s">
        <v>260</v>
      </c>
      <c r="J15" s="72"/>
      <c r="K15" s="72"/>
      <c r="L15" s="71" t="s">
        <v>2895</v>
      </c>
      <c r="M15" s="75">
        <v>1.077359127577643</v>
      </c>
      <c r="N15" s="76">
        <v>1137.3221435546875</v>
      </c>
      <c r="O15" s="76">
        <v>6167.146484375</v>
      </c>
      <c r="P15" s="77"/>
      <c r="Q15" s="78"/>
      <c r="R15" s="78"/>
      <c r="S15" s="92"/>
      <c r="T15" s="49">
        <v>1</v>
      </c>
      <c r="U15" s="49">
        <v>1</v>
      </c>
      <c r="V15" s="50">
        <v>0</v>
      </c>
      <c r="W15" s="50">
        <v>0</v>
      </c>
      <c r="X15" s="50">
        <v>0</v>
      </c>
      <c r="Y15" s="50">
        <v>0.999998</v>
      </c>
      <c r="Z15" s="50">
        <v>0</v>
      </c>
      <c r="AA15" s="50">
        <v>0</v>
      </c>
      <c r="AB15" s="73">
        <v>15</v>
      </c>
      <c r="AC15" s="73"/>
      <c r="AD15" s="74"/>
      <c r="AE15" s="81" t="s">
        <v>1928</v>
      </c>
      <c r="AF15" s="86" t="s">
        <v>2202</v>
      </c>
      <c r="AG15" s="81">
        <v>221</v>
      </c>
      <c r="AH15" s="81">
        <v>574</v>
      </c>
      <c r="AI15" s="81">
        <v>381</v>
      </c>
      <c r="AJ15" s="81">
        <v>180</v>
      </c>
      <c r="AK15" s="81"/>
      <c r="AL15" s="81" t="s">
        <v>2468</v>
      </c>
      <c r="AM15" s="81"/>
      <c r="AN15" s="81"/>
      <c r="AO15" s="81"/>
      <c r="AP15" s="83">
        <v>44034.98060185185</v>
      </c>
      <c r="AQ15" s="88" t="str">
        <f>HYPERLINK("https://pbs.twimg.com/profile_banners/1286081578318217216/1595952830")</f>
        <v>https://pbs.twimg.com/profile_banners/1286081578318217216/1595952830</v>
      </c>
      <c r="AR15" s="81" t="b">
        <v>1</v>
      </c>
      <c r="AS15" s="81" t="b">
        <v>0</v>
      </c>
      <c r="AT15" s="81" t="b">
        <v>0</v>
      </c>
      <c r="AU15" s="81"/>
      <c r="AV15" s="81">
        <v>13</v>
      </c>
      <c r="AW15" s="81"/>
      <c r="AX15" s="81" t="b">
        <v>0</v>
      </c>
      <c r="AY15" s="81" t="s">
        <v>2883</v>
      </c>
      <c r="AZ15" s="88" t="str">
        <f>HYPERLINK("https://twitter.com/vumc_idfellows")</f>
        <v>https://twitter.com/vumc_idfellows</v>
      </c>
      <c r="BA15" s="81" t="s">
        <v>66</v>
      </c>
      <c r="BB15" s="81" t="str">
        <f>REPLACE(INDEX(GroupVertices[Group],MATCH(Vertices[[#This Row],[Vertex]],GroupVertices[Vertex],0)),1,1,"")</f>
        <v>1</v>
      </c>
      <c r="BC15" s="49" t="s">
        <v>3204</v>
      </c>
      <c r="BD15" s="49" t="s">
        <v>3204</v>
      </c>
      <c r="BE15" s="49" t="s">
        <v>903</v>
      </c>
      <c r="BF15" s="49" t="s">
        <v>903</v>
      </c>
      <c r="BG15" s="49" t="s">
        <v>956</v>
      </c>
      <c r="BH15" s="49" t="s">
        <v>956</v>
      </c>
      <c r="BI15" s="113" t="s">
        <v>3685</v>
      </c>
      <c r="BJ15" s="113" t="s">
        <v>3685</v>
      </c>
      <c r="BK15" s="113" t="s">
        <v>3862</v>
      </c>
      <c r="BL15" s="113" t="s">
        <v>3862</v>
      </c>
      <c r="BM15" s="113">
        <v>0</v>
      </c>
      <c r="BN15" s="116">
        <v>0</v>
      </c>
      <c r="BO15" s="113">
        <v>1</v>
      </c>
      <c r="BP15" s="116">
        <v>3.0303030303030303</v>
      </c>
      <c r="BQ15" s="113">
        <v>0</v>
      </c>
      <c r="BR15" s="116">
        <v>0</v>
      </c>
      <c r="BS15" s="113">
        <v>32</v>
      </c>
      <c r="BT15" s="116">
        <v>96.96969696969697</v>
      </c>
      <c r="BU15" s="113">
        <v>33</v>
      </c>
      <c r="BV15" s="2"/>
      <c r="BW15" s="3"/>
      <c r="BX15" s="3"/>
      <c r="BY15" s="3"/>
      <c r="BZ15" s="3"/>
    </row>
    <row r="16" spans="1:78" ht="41.45" customHeight="1">
      <c r="A16" s="66" t="s">
        <v>261</v>
      </c>
      <c r="C16" s="67"/>
      <c r="D16" s="67" t="s">
        <v>64</v>
      </c>
      <c r="E16" s="68">
        <v>166.50068810197675</v>
      </c>
      <c r="F16" s="70">
        <v>99.99029389136999</v>
      </c>
      <c r="G16" s="106" t="str">
        <f>HYPERLINK("https://pbs.twimg.com/profile_images/904626114403987457/5ARuuh0A_normal.jpg")</f>
        <v>https://pbs.twimg.com/profile_images/904626114403987457/5ARuuh0A_normal.jpg</v>
      </c>
      <c r="H16" s="67"/>
      <c r="I16" s="71" t="s">
        <v>261</v>
      </c>
      <c r="J16" s="72"/>
      <c r="K16" s="72"/>
      <c r="L16" s="71" t="s">
        <v>2896</v>
      </c>
      <c r="M16" s="75">
        <v>4.234722469428732</v>
      </c>
      <c r="N16" s="76">
        <v>1528.2574462890625</v>
      </c>
      <c r="O16" s="76">
        <v>1496.5609130859375</v>
      </c>
      <c r="P16" s="77"/>
      <c r="Q16" s="78"/>
      <c r="R16" s="78"/>
      <c r="S16" s="92"/>
      <c r="T16" s="49">
        <v>1</v>
      </c>
      <c r="U16" s="49">
        <v>1</v>
      </c>
      <c r="V16" s="50">
        <v>0</v>
      </c>
      <c r="W16" s="50">
        <v>0</v>
      </c>
      <c r="X16" s="50">
        <v>0</v>
      </c>
      <c r="Y16" s="50">
        <v>0.999998</v>
      </c>
      <c r="Z16" s="50">
        <v>0</v>
      </c>
      <c r="AA16" s="50">
        <v>0</v>
      </c>
      <c r="AB16" s="73">
        <v>16</v>
      </c>
      <c r="AC16" s="73"/>
      <c r="AD16" s="74"/>
      <c r="AE16" s="81" t="s">
        <v>1929</v>
      </c>
      <c r="AF16" s="86" t="s">
        <v>2203</v>
      </c>
      <c r="AG16" s="81">
        <v>967</v>
      </c>
      <c r="AH16" s="81">
        <v>23879</v>
      </c>
      <c r="AI16" s="81">
        <v>12797</v>
      </c>
      <c r="AJ16" s="81">
        <v>8375</v>
      </c>
      <c r="AK16" s="81"/>
      <c r="AL16" s="81" t="s">
        <v>2469</v>
      </c>
      <c r="AM16" s="81" t="s">
        <v>2732</v>
      </c>
      <c r="AN16" s="88" t="str">
        <f>HYPERLINK("http://t.co/um2y1OoKWZ")</f>
        <v>http://t.co/um2y1OoKWZ</v>
      </c>
      <c r="AO16" s="81"/>
      <c r="AP16" s="83">
        <v>40955.78666666667</v>
      </c>
      <c r="AQ16" s="88" t="str">
        <f>HYPERLINK("https://pbs.twimg.com/profile_banners/494291435/1608036715")</f>
        <v>https://pbs.twimg.com/profile_banners/494291435/1608036715</v>
      </c>
      <c r="AR16" s="81" t="b">
        <v>0</v>
      </c>
      <c r="AS16" s="81" t="b">
        <v>0</v>
      </c>
      <c r="AT16" s="81" t="b">
        <v>1</v>
      </c>
      <c r="AU16" s="81"/>
      <c r="AV16" s="81">
        <v>308</v>
      </c>
      <c r="AW16" s="88" t="str">
        <f>HYPERLINK("https://abs.twimg.com/images/themes/theme1/bg.png")</f>
        <v>https://abs.twimg.com/images/themes/theme1/bg.png</v>
      </c>
      <c r="AX16" s="81" t="b">
        <v>1</v>
      </c>
      <c r="AY16" s="81" t="s">
        <v>2883</v>
      </c>
      <c r="AZ16" s="88" t="str">
        <f>HYPERLINK("https://twitter.com/yorksambulance")</f>
        <v>https://twitter.com/yorksambulance</v>
      </c>
      <c r="BA16" s="81" t="s">
        <v>66</v>
      </c>
      <c r="BB16" s="81" t="str">
        <f>REPLACE(INDEX(GroupVertices[Group],MATCH(Vertices[[#This Row],[Vertex]],GroupVertices[Vertex],0)),1,1,"")</f>
        <v>1</v>
      </c>
      <c r="BC16" s="49"/>
      <c r="BD16" s="49"/>
      <c r="BE16" s="49"/>
      <c r="BF16" s="49"/>
      <c r="BG16" s="49" t="s">
        <v>957</v>
      </c>
      <c r="BH16" s="49" t="s">
        <v>957</v>
      </c>
      <c r="BI16" s="113" t="s">
        <v>3686</v>
      </c>
      <c r="BJ16" s="113" t="s">
        <v>3686</v>
      </c>
      <c r="BK16" s="113" t="s">
        <v>3863</v>
      </c>
      <c r="BL16" s="113" t="s">
        <v>3863</v>
      </c>
      <c r="BM16" s="113">
        <v>0</v>
      </c>
      <c r="BN16" s="116">
        <v>0</v>
      </c>
      <c r="BO16" s="113">
        <v>4</v>
      </c>
      <c r="BP16" s="116">
        <v>9.30232558139535</v>
      </c>
      <c r="BQ16" s="113">
        <v>0</v>
      </c>
      <c r="BR16" s="116">
        <v>0</v>
      </c>
      <c r="BS16" s="113">
        <v>39</v>
      </c>
      <c r="BT16" s="116">
        <v>90.69767441860465</v>
      </c>
      <c r="BU16" s="113">
        <v>43</v>
      </c>
      <c r="BV16" s="2"/>
      <c r="BW16" s="3"/>
      <c r="BX16" s="3"/>
      <c r="BY16" s="3"/>
      <c r="BZ16" s="3"/>
    </row>
    <row r="17" spans="1:78" ht="41.45" customHeight="1">
      <c r="A17" s="66" t="s">
        <v>262</v>
      </c>
      <c r="C17" s="67"/>
      <c r="D17" s="67" t="s">
        <v>64</v>
      </c>
      <c r="E17" s="68">
        <v>162.862964907474</v>
      </c>
      <c r="F17" s="70">
        <v>99.9981389443245</v>
      </c>
      <c r="G17" s="106" t="str">
        <f>HYPERLINK("https://pbs.twimg.com/profile_images/1460559139118231556/Q84pBpiB_normal.jpg")</f>
        <v>https://pbs.twimg.com/profile_images/1460559139118231556/Q84pBpiB_normal.jpg</v>
      </c>
      <c r="H17" s="67"/>
      <c r="I17" s="71" t="s">
        <v>262</v>
      </c>
      <c r="J17" s="72"/>
      <c r="K17" s="72"/>
      <c r="L17" s="71" t="s">
        <v>2897</v>
      </c>
      <c r="M17" s="75">
        <v>1.6202278214543782</v>
      </c>
      <c r="N17" s="76">
        <v>4264.80419921875</v>
      </c>
      <c r="O17" s="76">
        <v>3831.853515625</v>
      </c>
      <c r="P17" s="77"/>
      <c r="Q17" s="78"/>
      <c r="R17" s="78"/>
      <c r="S17" s="92"/>
      <c r="T17" s="49">
        <v>1</v>
      </c>
      <c r="U17" s="49">
        <v>1</v>
      </c>
      <c r="V17" s="50">
        <v>0</v>
      </c>
      <c r="W17" s="50">
        <v>0</v>
      </c>
      <c r="X17" s="50">
        <v>0</v>
      </c>
      <c r="Y17" s="50">
        <v>0.999998</v>
      </c>
      <c r="Z17" s="50">
        <v>0</v>
      </c>
      <c r="AA17" s="50">
        <v>0</v>
      </c>
      <c r="AB17" s="73">
        <v>17</v>
      </c>
      <c r="AC17" s="73"/>
      <c r="AD17" s="74"/>
      <c r="AE17" s="81" t="s">
        <v>1930</v>
      </c>
      <c r="AF17" s="86" t="s">
        <v>2204</v>
      </c>
      <c r="AG17" s="81">
        <v>1241</v>
      </c>
      <c r="AH17" s="81">
        <v>4581</v>
      </c>
      <c r="AI17" s="81">
        <v>9510</v>
      </c>
      <c r="AJ17" s="81">
        <v>1581</v>
      </c>
      <c r="AK17" s="81"/>
      <c r="AL17" s="81" t="s">
        <v>2470</v>
      </c>
      <c r="AM17" s="81" t="s">
        <v>2733</v>
      </c>
      <c r="AN17" s="88" t="str">
        <f>HYPERLINK("https://t.co/749nm3mEwM")</f>
        <v>https://t.co/749nm3mEwM</v>
      </c>
      <c r="AO17" s="81"/>
      <c r="AP17" s="83">
        <v>41387.625023148146</v>
      </c>
      <c r="AQ17" s="88" t="str">
        <f>HYPERLINK("https://pbs.twimg.com/profile_banners/1374759968/1632407591")</f>
        <v>https://pbs.twimg.com/profile_banners/1374759968/1632407591</v>
      </c>
      <c r="AR17" s="81" t="b">
        <v>0</v>
      </c>
      <c r="AS17" s="81" t="b">
        <v>0</v>
      </c>
      <c r="AT17" s="81" t="b">
        <v>0</v>
      </c>
      <c r="AU17" s="81"/>
      <c r="AV17" s="81">
        <v>59</v>
      </c>
      <c r="AW17" s="88" t="str">
        <f>HYPERLINK("https://abs.twimg.com/images/themes/theme1/bg.png")</f>
        <v>https://abs.twimg.com/images/themes/theme1/bg.png</v>
      </c>
      <c r="AX17" s="81" t="b">
        <v>0</v>
      </c>
      <c r="AY17" s="81" t="s">
        <v>2883</v>
      </c>
      <c r="AZ17" s="88" t="str">
        <f>HYPERLINK("https://twitter.com/ukhsa_southwest")</f>
        <v>https://twitter.com/ukhsa_southwest</v>
      </c>
      <c r="BA17" s="81" t="s">
        <v>66</v>
      </c>
      <c r="BB17" s="81" t="str">
        <f>REPLACE(INDEX(GroupVertices[Group],MATCH(Vertices[[#This Row],[Vertex]],GroupVertices[Vertex],0)),1,1,"")</f>
        <v>1</v>
      </c>
      <c r="BC17" s="49"/>
      <c r="BD17" s="49"/>
      <c r="BE17" s="49"/>
      <c r="BF17" s="49"/>
      <c r="BG17" s="49" t="s">
        <v>955</v>
      </c>
      <c r="BH17" s="49" t="s">
        <v>955</v>
      </c>
      <c r="BI17" s="113" t="s">
        <v>3683</v>
      </c>
      <c r="BJ17" s="113" t="s">
        <v>3683</v>
      </c>
      <c r="BK17" s="113" t="s">
        <v>3860</v>
      </c>
      <c r="BL17" s="113" t="s">
        <v>3860</v>
      </c>
      <c r="BM17" s="113">
        <v>0</v>
      </c>
      <c r="BN17" s="116">
        <v>0</v>
      </c>
      <c r="BO17" s="113">
        <v>2</v>
      </c>
      <c r="BP17" s="116">
        <v>6.0606060606060606</v>
      </c>
      <c r="BQ17" s="113">
        <v>0</v>
      </c>
      <c r="BR17" s="116">
        <v>0</v>
      </c>
      <c r="BS17" s="113">
        <v>31</v>
      </c>
      <c r="BT17" s="116">
        <v>93.93939393939394</v>
      </c>
      <c r="BU17" s="113">
        <v>33</v>
      </c>
      <c r="BV17" s="2"/>
      <c r="BW17" s="3"/>
      <c r="BX17" s="3"/>
      <c r="BY17" s="3"/>
      <c r="BZ17" s="3"/>
    </row>
    <row r="18" spans="1:78" ht="41.45" customHeight="1">
      <c r="A18" s="66" t="s">
        <v>263</v>
      </c>
      <c r="C18" s="67"/>
      <c r="D18" s="67" t="s">
        <v>64</v>
      </c>
      <c r="E18" s="68">
        <v>163.0328057509939</v>
      </c>
      <c r="F18" s="70">
        <v>99.9977726684041</v>
      </c>
      <c r="G18" s="106" t="str">
        <f>HYPERLINK("https://pbs.twimg.com/profile_images/1460245837980782608/U_2SJ21O_normal.jpg")</f>
        <v>https://pbs.twimg.com/profile_images/1460245837980782608/U_2SJ21O_normal.jpg</v>
      </c>
      <c r="H18" s="67"/>
      <c r="I18" s="71" t="s">
        <v>263</v>
      </c>
      <c r="J18" s="72"/>
      <c r="K18" s="72"/>
      <c r="L18" s="71" t="s">
        <v>2898</v>
      </c>
      <c r="M18" s="75">
        <v>1.7422953765287328</v>
      </c>
      <c r="N18" s="76">
        <v>1137.3221435546875</v>
      </c>
      <c r="O18" s="76">
        <v>3053.422607421875</v>
      </c>
      <c r="P18" s="77"/>
      <c r="Q18" s="78"/>
      <c r="R18" s="78"/>
      <c r="S18" s="92"/>
      <c r="T18" s="49">
        <v>1</v>
      </c>
      <c r="U18" s="49">
        <v>1</v>
      </c>
      <c r="V18" s="50">
        <v>0</v>
      </c>
      <c r="W18" s="50">
        <v>0</v>
      </c>
      <c r="X18" s="50">
        <v>0</v>
      </c>
      <c r="Y18" s="50">
        <v>0.999998</v>
      </c>
      <c r="Z18" s="50">
        <v>0</v>
      </c>
      <c r="AA18" s="50">
        <v>0</v>
      </c>
      <c r="AB18" s="73">
        <v>18</v>
      </c>
      <c r="AC18" s="73"/>
      <c r="AD18" s="74"/>
      <c r="AE18" s="81" t="s">
        <v>1931</v>
      </c>
      <c r="AF18" s="86" t="s">
        <v>2205</v>
      </c>
      <c r="AG18" s="81">
        <v>1126</v>
      </c>
      <c r="AH18" s="81">
        <v>5482</v>
      </c>
      <c r="AI18" s="81">
        <v>12329</v>
      </c>
      <c r="AJ18" s="81">
        <v>5494</v>
      </c>
      <c r="AK18" s="81"/>
      <c r="AL18" s="81" t="s">
        <v>2471</v>
      </c>
      <c r="AM18" s="81" t="s">
        <v>2734</v>
      </c>
      <c r="AN18" s="88" t="str">
        <f>HYPERLINK("https://t.co/Y71gg4xMhd")</f>
        <v>https://t.co/Y71gg4xMhd</v>
      </c>
      <c r="AO18" s="81"/>
      <c r="AP18" s="83">
        <v>40189.82116898148</v>
      </c>
      <c r="AQ18" s="88" t="str">
        <f>HYPERLINK("https://pbs.twimg.com/profile_banners/103949714/1618842044")</f>
        <v>https://pbs.twimg.com/profile_banners/103949714/1618842044</v>
      </c>
      <c r="AR18" s="81" t="b">
        <v>0</v>
      </c>
      <c r="AS18" s="81" t="b">
        <v>0</v>
      </c>
      <c r="AT18" s="81" t="b">
        <v>1</v>
      </c>
      <c r="AU18" s="81"/>
      <c r="AV18" s="81">
        <v>142</v>
      </c>
      <c r="AW18" s="88" t="str">
        <f>HYPERLINK("https://abs.twimg.com/images/themes/theme15/bg.png")</f>
        <v>https://abs.twimg.com/images/themes/theme15/bg.png</v>
      </c>
      <c r="AX18" s="81" t="b">
        <v>1</v>
      </c>
      <c r="AY18" s="81" t="s">
        <v>2883</v>
      </c>
      <c r="AZ18" s="88" t="str">
        <f>HYPERLINK("https://twitter.com/ukinatlanta")</f>
        <v>https://twitter.com/ukinatlanta</v>
      </c>
      <c r="BA18" s="81" t="s">
        <v>66</v>
      </c>
      <c r="BB18" s="81" t="str">
        <f>REPLACE(INDEX(GroupVertices[Group],MATCH(Vertices[[#This Row],[Vertex]],GroupVertices[Vertex],0)),1,1,"")</f>
        <v>1</v>
      </c>
      <c r="BC18" s="49" t="s">
        <v>3204</v>
      </c>
      <c r="BD18" s="49" t="s">
        <v>3204</v>
      </c>
      <c r="BE18" s="49" t="s">
        <v>903</v>
      </c>
      <c r="BF18" s="49" t="s">
        <v>903</v>
      </c>
      <c r="BG18" s="49" t="s">
        <v>954</v>
      </c>
      <c r="BH18" s="49" t="s">
        <v>954</v>
      </c>
      <c r="BI18" s="113" t="s">
        <v>3685</v>
      </c>
      <c r="BJ18" s="113" t="s">
        <v>3685</v>
      </c>
      <c r="BK18" s="113" t="s">
        <v>3862</v>
      </c>
      <c r="BL18" s="113" t="s">
        <v>3862</v>
      </c>
      <c r="BM18" s="113">
        <v>0</v>
      </c>
      <c r="BN18" s="116">
        <v>0</v>
      </c>
      <c r="BO18" s="113">
        <v>1</v>
      </c>
      <c r="BP18" s="116">
        <v>3.0303030303030303</v>
      </c>
      <c r="BQ18" s="113">
        <v>0</v>
      </c>
      <c r="BR18" s="116">
        <v>0</v>
      </c>
      <c r="BS18" s="113">
        <v>32</v>
      </c>
      <c r="BT18" s="116">
        <v>96.96969696969697</v>
      </c>
      <c r="BU18" s="113">
        <v>33</v>
      </c>
      <c r="BV18" s="2"/>
      <c r="BW18" s="3"/>
      <c r="BX18" s="3"/>
      <c r="BY18" s="3"/>
      <c r="BZ18" s="3"/>
    </row>
    <row r="19" spans="1:78" ht="41.45" customHeight="1">
      <c r="A19" s="66" t="s">
        <v>264</v>
      </c>
      <c r="C19" s="67"/>
      <c r="D19" s="67" t="s">
        <v>64</v>
      </c>
      <c r="E19" s="68">
        <v>162.0303489187644</v>
      </c>
      <c r="F19" s="70">
        <v>99.99993455002976</v>
      </c>
      <c r="G19" s="106" t="str">
        <f>HYPERLINK("https://pbs.twimg.com/profile_images/1360351752520892420/9AzOh9jt_normal.jpg")</f>
        <v>https://pbs.twimg.com/profile_images/1360351752520892420/9AzOh9jt_normal.jpg</v>
      </c>
      <c r="H19" s="67"/>
      <c r="I19" s="71" t="s">
        <v>264</v>
      </c>
      <c r="J19" s="72"/>
      <c r="K19" s="72"/>
      <c r="L19" s="71" t="s">
        <v>2899</v>
      </c>
      <c r="M19" s="75">
        <v>1.0218122934150622</v>
      </c>
      <c r="N19" s="76">
        <v>2701.063232421875</v>
      </c>
      <c r="O19" s="76">
        <v>7724.00830078125</v>
      </c>
      <c r="P19" s="77"/>
      <c r="Q19" s="78"/>
      <c r="R19" s="78"/>
      <c r="S19" s="92"/>
      <c r="T19" s="49">
        <v>1</v>
      </c>
      <c r="U19" s="49">
        <v>1</v>
      </c>
      <c r="V19" s="50">
        <v>0</v>
      </c>
      <c r="W19" s="50">
        <v>0</v>
      </c>
      <c r="X19" s="50">
        <v>0</v>
      </c>
      <c r="Y19" s="50">
        <v>0.999998</v>
      </c>
      <c r="Z19" s="50">
        <v>0</v>
      </c>
      <c r="AA19" s="50">
        <v>0</v>
      </c>
      <c r="AB19" s="73">
        <v>19</v>
      </c>
      <c r="AC19" s="73"/>
      <c r="AD19" s="74"/>
      <c r="AE19" s="81" t="s">
        <v>1932</v>
      </c>
      <c r="AF19" s="86" t="s">
        <v>2206</v>
      </c>
      <c r="AG19" s="81">
        <v>635</v>
      </c>
      <c r="AH19" s="81">
        <v>164</v>
      </c>
      <c r="AI19" s="81">
        <v>148</v>
      </c>
      <c r="AJ19" s="81">
        <v>196</v>
      </c>
      <c r="AK19" s="81"/>
      <c r="AL19" s="81" t="s">
        <v>2472</v>
      </c>
      <c r="AM19" s="81" t="s">
        <v>2735</v>
      </c>
      <c r="AN19" s="88" t="str">
        <f>HYPERLINK("https://t.co/lC8hQhvyhH")</f>
        <v>https://t.co/lC8hQhvyhH</v>
      </c>
      <c r="AO19" s="81"/>
      <c r="AP19" s="83">
        <v>44239.92674768518</v>
      </c>
      <c r="AQ19" s="88" t="str">
        <f>HYPERLINK("https://pbs.twimg.com/profile_banners/1360351548782632967/1613168532")</f>
        <v>https://pbs.twimg.com/profile_banners/1360351548782632967/1613168532</v>
      </c>
      <c r="AR19" s="81" t="b">
        <v>1</v>
      </c>
      <c r="AS19" s="81" t="b">
        <v>0</v>
      </c>
      <c r="AT19" s="81" t="b">
        <v>0</v>
      </c>
      <c r="AU19" s="81"/>
      <c r="AV19" s="81">
        <v>0</v>
      </c>
      <c r="AW19" s="81"/>
      <c r="AX19" s="81" t="b">
        <v>0</v>
      </c>
      <c r="AY19" s="81" t="s">
        <v>2883</v>
      </c>
      <c r="AZ19" s="88" t="str">
        <f>HYPERLINK("https://twitter.com/umncvmresearch")</f>
        <v>https://twitter.com/umncvmresearch</v>
      </c>
      <c r="BA19" s="81" t="s">
        <v>66</v>
      </c>
      <c r="BB19" s="81" t="str">
        <f>REPLACE(INDEX(GroupVertices[Group],MATCH(Vertices[[#This Row],[Vertex]],GroupVertices[Vertex],0)),1,1,"")</f>
        <v>1</v>
      </c>
      <c r="BC19" s="49" t="s">
        <v>3204</v>
      </c>
      <c r="BD19" s="49" t="s">
        <v>3204</v>
      </c>
      <c r="BE19" s="49" t="s">
        <v>903</v>
      </c>
      <c r="BF19" s="49" t="s">
        <v>903</v>
      </c>
      <c r="BG19" s="49" t="s">
        <v>954</v>
      </c>
      <c r="BH19" s="49" t="s">
        <v>954</v>
      </c>
      <c r="BI19" s="113" t="s">
        <v>3685</v>
      </c>
      <c r="BJ19" s="113" t="s">
        <v>3685</v>
      </c>
      <c r="BK19" s="113" t="s">
        <v>3862</v>
      </c>
      <c r="BL19" s="113" t="s">
        <v>3862</v>
      </c>
      <c r="BM19" s="113">
        <v>0</v>
      </c>
      <c r="BN19" s="116">
        <v>0</v>
      </c>
      <c r="BO19" s="113">
        <v>1</v>
      </c>
      <c r="BP19" s="116">
        <v>3.0303030303030303</v>
      </c>
      <c r="BQ19" s="113">
        <v>0</v>
      </c>
      <c r="BR19" s="116">
        <v>0</v>
      </c>
      <c r="BS19" s="113">
        <v>32</v>
      </c>
      <c r="BT19" s="116">
        <v>96.96969696969697</v>
      </c>
      <c r="BU19" s="113">
        <v>33</v>
      </c>
      <c r="BV19" s="2"/>
      <c r="BW19" s="3"/>
      <c r="BX19" s="3"/>
      <c r="BY19" s="3"/>
      <c r="BZ19" s="3"/>
    </row>
    <row r="20" spans="1:78" ht="41.45" customHeight="1">
      <c r="A20" s="66" t="s">
        <v>265</v>
      </c>
      <c r="C20" s="67"/>
      <c r="D20" s="67" t="s">
        <v>64</v>
      </c>
      <c r="E20" s="68">
        <v>163.40377886980318</v>
      </c>
      <c r="F20" s="70">
        <v>99.99697263398527</v>
      </c>
      <c r="G20" s="106" t="str">
        <f>HYPERLINK("https://pbs.twimg.com/profile_images/1460557038711357448/3d5x_t8R_normal.jpg")</f>
        <v>https://pbs.twimg.com/profile_images/1460557038711357448/3d5x_t8R_normal.jpg</v>
      </c>
      <c r="H20" s="67"/>
      <c r="I20" s="71" t="s">
        <v>265</v>
      </c>
      <c r="J20" s="72"/>
      <c r="K20" s="72"/>
      <c r="L20" s="71" t="s">
        <v>2900</v>
      </c>
      <c r="M20" s="75">
        <v>2.008920180509121</v>
      </c>
      <c r="N20" s="76">
        <v>4264.80419921875</v>
      </c>
      <c r="O20" s="76">
        <v>3053.422607421875</v>
      </c>
      <c r="P20" s="77"/>
      <c r="Q20" s="78"/>
      <c r="R20" s="78"/>
      <c r="S20" s="92"/>
      <c r="T20" s="49">
        <v>1</v>
      </c>
      <c r="U20" s="49">
        <v>1</v>
      </c>
      <c r="V20" s="50">
        <v>0</v>
      </c>
      <c r="W20" s="50">
        <v>0</v>
      </c>
      <c r="X20" s="50">
        <v>0</v>
      </c>
      <c r="Y20" s="50">
        <v>0.999998</v>
      </c>
      <c r="Z20" s="50">
        <v>0</v>
      </c>
      <c r="AA20" s="50">
        <v>0</v>
      </c>
      <c r="AB20" s="73">
        <v>20</v>
      </c>
      <c r="AC20" s="73"/>
      <c r="AD20" s="74"/>
      <c r="AE20" s="81" t="s">
        <v>1933</v>
      </c>
      <c r="AF20" s="86" t="s">
        <v>2207</v>
      </c>
      <c r="AG20" s="81">
        <v>652</v>
      </c>
      <c r="AH20" s="81">
        <v>7450</v>
      </c>
      <c r="AI20" s="81">
        <v>7175</v>
      </c>
      <c r="AJ20" s="81">
        <v>885</v>
      </c>
      <c r="AK20" s="81"/>
      <c r="AL20" s="81" t="s">
        <v>2473</v>
      </c>
      <c r="AM20" s="81" t="s">
        <v>2736</v>
      </c>
      <c r="AN20" s="88" t="str">
        <f>HYPERLINK("https://t.co/GQRT8UKa3R")</f>
        <v>https://t.co/GQRT8UKa3R</v>
      </c>
      <c r="AO20" s="81"/>
      <c r="AP20" s="83">
        <v>40492.56748842593</v>
      </c>
      <c r="AQ20" s="88" t="str">
        <f>HYPERLINK("https://pbs.twimg.com/profile_banners/214063337/1638441829")</f>
        <v>https://pbs.twimg.com/profile_banners/214063337/1638441829</v>
      </c>
      <c r="AR20" s="81" t="b">
        <v>0</v>
      </c>
      <c r="AS20" s="81" t="b">
        <v>0</v>
      </c>
      <c r="AT20" s="81" t="b">
        <v>0</v>
      </c>
      <c r="AU20" s="81"/>
      <c r="AV20" s="81">
        <v>158</v>
      </c>
      <c r="AW20" s="88" t="str">
        <f>HYPERLINK("https://abs.twimg.com/images/themes/theme1/bg.png")</f>
        <v>https://abs.twimg.com/images/themes/theme1/bg.png</v>
      </c>
      <c r="AX20" s="81" t="b">
        <v>0</v>
      </c>
      <c r="AY20" s="81" t="s">
        <v>2883</v>
      </c>
      <c r="AZ20" s="88" t="str">
        <f>HYPERLINK("https://twitter.com/ukhsa_london")</f>
        <v>https://twitter.com/ukhsa_london</v>
      </c>
      <c r="BA20" s="81" t="s">
        <v>66</v>
      </c>
      <c r="BB20" s="81" t="str">
        <f>REPLACE(INDEX(GroupVertices[Group],MATCH(Vertices[[#This Row],[Vertex]],GroupVertices[Vertex],0)),1,1,"")</f>
        <v>1</v>
      </c>
      <c r="BC20" s="49" t="s">
        <v>890</v>
      </c>
      <c r="BD20" s="49" t="s">
        <v>890</v>
      </c>
      <c r="BE20" s="49" t="s">
        <v>904</v>
      </c>
      <c r="BF20" s="49" t="s">
        <v>904</v>
      </c>
      <c r="BG20" s="49" t="s">
        <v>958</v>
      </c>
      <c r="BH20" s="49" t="s">
        <v>958</v>
      </c>
      <c r="BI20" s="113" t="s">
        <v>3687</v>
      </c>
      <c r="BJ20" s="113" t="s">
        <v>3687</v>
      </c>
      <c r="BK20" s="113" t="s">
        <v>3864</v>
      </c>
      <c r="BL20" s="113" t="s">
        <v>3864</v>
      </c>
      <c r="BM20" s="113">
        <v>0</v>
      </c>
      <c r="BN20" s="116">
        <v>0</v>
      </c>
      <c r="BO20" s="113">
        <v>2</v>
      </c>
      <c r="BP20" s="116">
        <v>5.882352941176471</v>
      </c>
      <c r="BQ20" s="113">
        <v>0</v>
      </c>
      <c r="BR20" s="116">
        <v>0</v>
      </c>
      <c r="BS20" s="113">
        <v>32</v>
      </c>
      <c r="BT20" s="116">
        <v>94.11764705882354</v>
      </c>
      <c r="BU20" s="113">
        <v>34</v>
      </c>
      <c r="BV20" s="2"/>
      <c r="BW20" s="3"/>
      <c r="BX20" s="3"/>
      <c r="BY20" s="3"/>
      <c r="BZ20" s="3"/>
    </row>
    <row r="21" spans="1:78" ht="41.45" customHeight="1">
      <c r="A21" s="66" t="s">
        <v>266</v>
      </c>
      <c r="C21" s="67"/>
      <c r="D21" s="67" t="s">
        <v>64</v>
      </c>
      <c r="E21" s="68">
        <v>167.2083268662095</v>
      </c>
      <c r="F21" s="70">
        <v>99.98876780945521</v>
      </c>
      <c r="G21" s="106" t="str">
        <f>HYPERLINK("https://pbs.twimg.com/profile_images/1252456521/UDOHLogoRGBHorz_normal.jpg")</f>
        <v>https://pbs.twimg.com/profile_images/1252456521/UDOHLogoRGBHorz_normal.jpg</v>
      </c>
      <c r="H21" s="67"/>
      <c r="I21" s="71" t="s">
        <v>266</v>
      </c>
      <c r="J21" s="72"/>
      <c r="K21" s="72"/>
      <c r="L21" s="71" t="s">
        <v>2901</v>
      </c>
      <c r="M21" s="75">
        <v>4.743314702224655</v>
      </c>
      <c r="N21" s="76">
        <v>2701.063232421875</v>
      </c>
      <c r="O21" s="76">
        <v>1496.5609130859375</v>
      </c>
      <c r="P21" s="77"/>
      <c r="Q21" s="78"/>
      <c r="R21" s="78"/>
      <c r="S21" s="92"/>
      <c r="T21" s="49">
        <v>1</v>
      </c>
      <c r="U21" s="49">
        <v>1</v>
      </c>
      <c r="V21" s="50">
        <v>0</v>
      </c>
      <c r="W21" s="50">
        <v>0</v>
      </c>
      <c r="X21" s="50">
        <v>0</v>
      </c>
      <c r="Y21" s="50">
        <v>0.999998</v>
      </c>
      <c r="Z21" s="50">
        <v>0</v>
      </c>
      <c r="AA21" s="50">
        <v>0</v>
      </c>
      <c r="AB21" s="73">
        <v>21</v>
      </c>
      <c r="AC21" s="73"/>
      <c r="AD21" s="74"/>
      <c r="AE21" s="81" t="s">
        <v>1934</v>
      </c>
      <c r="AF21" s="86" t="s">
        <v>2208</v>
      </c>
      <c r="AG21" s="81">
        <v>353</v>
      </c>
      <c r="AH21" s="81">
        <v>27633</v>
      </c>
      <c r="AI21" s="81">
        <v>2387</v>
      </c>
      <c r="AJ21" s="81">
        <v>104</v>
      </c>
      <c r="AK21" s="81"/>
      <c r="AL21" s="81" t="s">
        <v>2474</v>
      </c>
      <c r="AM21" s="81" t="s">
        <v>2737</v>
      </c>
      <c r="AN21" s="88" t="str">
        <f>HYPERLINK("https://t.co/PkWlOWoTez")</f>
        <v>https://t.co/PkWlOWoTez</v>
      </c>
      <c r="AO21" s="81"/>
      <c r="AP21" s="83">
        <v>39931.660462962966</v>
      </c>
      <c r="AQ21" s="88" t="str">
        <f>HYPERLINK("https://pbs.twimg.com/profile_banners/36099461/1420497536")</f>
        <v>https://pbs.twimg.com/profile_banners/36099461/1420497536</v>
      </c>
      <c r="AR21" s="81" t="b">
        <v>0</v>
      </c>
      <c r="AS21" s="81" t="b">
        <v>0</v>
      </c>
      <c r="AT21" s="81" t="b">
        <v>1</v>
      </c>
      <c r="AU21" s="81"/>
      <c r="AV21" s="81">
        <v>448</v>
      </c>
      <c r="AW21" s="88" t="str">
        <f>HYPERLINK("https://abs.twimg.com/images/themes/theme1/bg.png")</f>
        <v>https://abs.twimg.com/images/themes/theme1/bg.png</v>
      </c>
      <c r="AX21" s="81" t="b">
        <v>1</v>
      </c>
      <c r="AY21" s="81" t="s">
        <v>2883</v>
      </c>
      <c r="AZ21" s="88" t="str">
        <f>HYPERLINK("https://twitter.com/utahdepofhealth")</f>
        <v>https://twitter.com/utahdepofhealth</v>
      </c>
      <c r="BA21" s="81" t="s">
        <v>66</v>
      </c>
      <c r="BB21" s="81" t="str">
        <f>REPLACE(INDEX(GroupVertices[Group],MATCH(Vertices[[#This Row],[Vertex]],GroupVertices[Vertex],0)),1,1,"")</f>
        <v>1</v>
      </c>
      <c r="BC21" s="49"/>
      <c r="BD21" s="49"/>
      <c r="BE21" s="49"/>
      <c r="BF21" s="49"/>
      <c r="BG21" s="49" t="s">
        <v>959</v>
      </c>
      <c r="BH21" s="49" t="s">
        <v>959</v>
      </c>
      <c r="BI21" s="113" t="s">
        <v>3688</v>
      </c>
      <c r="BJ21" s="113" t="s">
        <v>3688</v>
      </c>
      <c r="BK21" s="113" t="s">
        <v>3865</v>
      </c>
      <c r="BL21" s="113" t="s">
        <v>3865</v>
      </c>
      <c r="BM21" s="113">
        <v>0</v>
      </c>
      <c r="BN21" s="116">
        <v>0</v>
      </c>
      <c r="BO21" s="113">
        <v>3</v>
      </c>
      <c r="BP21" s="116">
        <v>9.090909090909092</v>
      </c>
      <c r="BQ21" s="113">
        <v>0</v>
      </c>
      <c r="BR21" s="116">
        <v>0</v>
      </c>
      <c r="BS21" s="113">
        <v>30</v>
      </c>
      <c r="BT21" s="116">
        <v>90.9090909090909</v>
      </c>
      <c r="BU21" s="113">
        <v>33</v>
      </c>
      <c r="BV21" s="2"/>
      <c r="BW21" s="3"/>
      <c r="BX21" s="3"/>
      <c r="BY21" s="3"/>
      <c r="BZ21" s="3"/>
    </row>
    <row r="22" spans="1:78" ht="41.45" customHeight="1">
      <c r="A22" s="66" t="s">
        <v>267</v>
      </c>
      <c r="C22" s="67"/>
      <c r="D22" s="67" t="s">
        <v>64</v>
      </c>
      <c r="E22" s="68">
        <v>162.5779489747303</v>
      </c>
      <c r="F22" s="70">
        <v>99.99875360491457</v>
      </c>
      <c r="G22" s="106" t="str">
        <f>HYPERLINK("https://pbs.twimg.com/profile_images/1460234630653784068/9AHtWr3l_normal.jpg")</f>
        <v>https://pbs.twimg.com/profile_images/1460234630653784068/9AHtWr3l_normal.jpg</v>
      </c>
      <c r="H22" s="67"/>
      <c r="I22" s="71" t="s">
        <v>267</v>
      </c>
      <c r="J22" s="72"/>
      <c r="K22" s="72"/>
      <c r="L22" s="71" t="s">
        <v>2902</v>
      </c>
      <c r="M22" s="75">
        <v>1.415381935469446</v>
      </c>
      <c r="N22" s="76">
        <v>355.4516296386719</v>
      </c>
      <c r="O22" s="76">
        <v>3831.853515625</v>
      </c>
      <c r="P22" s="77"/>
      <c r="Q22" s="78"/>
      <c r="R22" s="78"/>
      <c r="S22" s="92"/>
      <c r="T22" s="49">
        <v>1</v>
      </c>
      <c r="U22" s="49">
        <v>1</v>
      </c>
      <c r="V22" s="50">
        <v>0</v>
      </c>
      <c r="W22" s="50">
        <v>0</v>
      </c>
      <c r="X22" s="50">
        <v>0</v>
      </c>
      <c r="Y22" s="50">
        <v>0.999998</v>
      </c>
      <c r="Z22" s="50">
        <v>0</v>
      </c>
      <c r="AA22" s="50">
        <v>0</v>
      </c>
      <c r="AB22" s="73">
        <v>22</v>
      </c>
      <c r="AC22" s="73"/>
      <c r="AD22" s="74"/>
      <c r="AE22" s="81" t="s">
        <v>1935</v>
      </c>
      <c r="AF22" s="86" t="s">
        <v>2209</v>
      </c>
      <c r="AG22" s="81">
        <v>452</v>
      </c>
      <c r="AH22" s="81">
        <v>3069</v>
      </c>
      <c r="AI22" s="81">
        <v>6460</v>
      </c>
      <c r="AJ22" s="81">
        <v>1249</v>
      </c>
      <c r="AK22" s="81"/>
      <c r="AL22" s="81" t="s">
        <v>2475</v>
      </c>
      <c r="AM22" s="81" t="s">
        <v>2738</v>
      </c>
      <c r="AN22" s="88" t="str">
        <f>HYPERLINK("https://t.co/NL9UnH3fCU")</f>
        <v>https://t.co/NL9UnH3fCU</v>
      </c>
      <c r="AO22" s="81"/>
      <c r="AP22" s="83">
        <v>41381.39597222222</v>
      </c>
      <c r="AQ22" s="88" t="str">
        <f>HYPERLINK("https://pbs.twimg.com/profile_banners/1358991378/1632407656")</f>
        <v>https://pbs.twimg.com/profile_banners/1358991378/1632407656</v>
      </c>
      <c r="AR22" s="81" t="b">
        <v>0</v>
      </c>
      <c r="AS22" s="81" t="b">
        <v>0</v>
      </c>
      <c r="AT22" s="81" t="b">
        <v>0</v>
      </c>
      <c r="AU22" s="81"/>
      <c r="AV22" s="81">
        <v>39</v>
      </c>
      <c r="AW22" s="88" t="str">
        <f>HYPERLINK("https://abs.twimg.com/images/themes/theme1/bg.png")</f>
        <v>https://abs.twimg.com/images/themes/theme1/bg.png</v>
      </c>
      <c r="AX22" s="81" t="b">
        <v>0</v>
      </c>
      <c r="AY22" s="81" t="s">
        <v>2883</v>
      </c>
      <c r="AZ22" s="88" t="str">
        <f>HYPERLINK("https://twitter.com/ukhsa_yandh")</f>
        <v>https://twitter.com/ukhsa_yandh</v>
      </c>
      <c r="BA22" s="81" t="s">
        <v>66</v>
      </c>
      <c r="BB22" s="81" t="str">
        <f>REPLACE(INDEX(GroupVertices[Group],MATCH(Vertices[[#This Row],[Vertex]],GroupVertices[Vertex],0)),1,1,"")</f>
        <v>1</v>
      </c>
      <c r="BC22" s="49" t="s">
        <v>3205</v>
      </c>
      <c r="BD22" s="49" t="s">
        <v>3205</v>
      </c>
      <c r="BE22" s="49" t="s">
        <v>902</v>
      </c>
      <c r="BF22" s="49" t="s">
        <v>902</v>
      </c>
      <c r="BG22" s="49" t="s">
        <v>960</v>
      </c>
      <c r="BH22" s="49" t="s">
        <v>960</v>
      </c>
      <c r="BI22" s="113" t="s">
        <v>3683</v>
      </c>
      <c r="BJ22" s="113" t="s">
        <v>3683</v>
      </c>
      <c r="BK22" s="113" t="s">
        <v>3860</v>
      </c>
      <c r="BL22" s="113" t="s">
        <v>3860</v>
      </c>
      <c r="BM22" s="113">
        <v>0</v>
      </c>
      <c r="BN22" s="116">
        <v>0</v>
      </c>
      <c r="BO22" s="113">
        <v>2</v>
      </c>
      <c r="BP22" s="116">
        <v>6.0606060606060606</v>
      </c>
      <c r="BQ22" s="113">
        <v>0</v>
      </c>
      <c r="BR22" s="116">
        <v>0</v>
      </c>
      <c r="BS22" s="113">
        <v>31</v>
      </c>
      <c r="BT22" s="116">
        <v>93.93939393939394</v>
      </c>
      <c r="BU22" s="113">
        <v>33</v>
      </c>
      <c r="BV22" s="2"/>
      <c r="BW22" s="3"/>
      <c r="BX22" s="3"/>
      <c r="BY22" s="3"/>
      <c r="BZ22" s="3"/>
    </row>
    <row r="23" spans="1:78" ht="41.45" customHeight="1">
      <c r="A23" s="66" t="s">
        <v>268</v>
      </c>
      <c r="C23" s="67"/>
      <c r="D23" s="67" t="s">
        <v>64</v>
      </c>
      <c r="E23" s="68">
        <v>162.05372324129098</v>
      </c>
      <c r="F23" s="70">
        <v>99.99988414135703</v>
      </c>
      <c r="G23" s="106" t="str">
        <f>HYPERLINK("https://pbs.twimg.com/profile_images/1371089561913278469/qnVepsyx_normal.jpg")</f>
        <v>https://pbs.twimg.com/profile_images/1371089561913278469/qnVepsyx_normal.jpg</v>
      </c>
      <c r="H23" s="67"/>
      <c r="I23" s="71" t="s">
        <v>268</v>
      </c>
      <c r="J23" s="72"/>
      <c r="K23" s="72"/>
      <c r="L23" s="71" t="s">
        <v>2903</v>
      </c>
      <c r="M23" s="75">
        <v>1.0386118237471598</v>
      </c>
      <c r="N23" s="76">
        <v>2701.063232421875</v>
      </c>
      <c r="O23" s="76">
        <v>6945.5771484375</v>
      </c>
      <c r="P23" s="77"/>
      <c r="Q23" s="78"/>
      <c r="R23" s="78"/>
      <c r="S23" s="92"/>
      <c r="T23" s="49">
        <v>1</v>
      </c>
      <c r="U23" s="49">
        <v>1</v>
      </c>
      <c r="V23" s="50">
        <v>0</v>
      </c>
      <c r="W23" s="50">
        <v>0</v>
      </c>
      <c r="X23" s="50">
        <v>0</v>
      </c>
      <c r="Y23" s="50">
        <v>0.999998</v>
      </c>
      <c r="Z23" s="50">
        <v>0</v>
      </c>
      <c r="AA23" s="50">
        <v>0</v>
      </c>
      <c r="AB23" s="73">
        <v>23</v>
      </c>
      <c r="AC23" s="73"/>
      <c r="AD23" s="74"/>
      <c r="AE23" s="81" t="s">
        <v>1936</v>
      </c>
      <c r="AF23" s="86" t="s">
        <v>2210</v>
      </c>
      <c r="AG23" s="81">
        <v>375</v>
      </c>
      <c r="AH23" s="81">
        <v>288</v>
      </c>
      <c r="AI23" s="81">
        <v>298</v>
      </c>
      <c r="AJ23" s="81">
        <v>784</v>
      </c>
      <c r="AK23" s="81"/>
      <c r="AL23" s="81" t="s">
        <v>2476</v>
      </c>
      <c r="AM23" s="81" t="s">
        <v>2739</v>
      </c>
      <c r="AN23" s="81"/>
      <c r="AO23" s="81"/>
      <c r="AP23" s="83">
        <v>44269.54902777778</v>
      </c>
      <c r="AQ23" s="88" t="str">
        <f>HYPERLINK("https://pbs.twimg.com/profile_banners/1371086258282369027/1615728223")</f>
        <v>https://pbs.twimg.com/profile_banners/1371086258282369027/1615728223</v>
      </c>
      <c r="AR23" s="81" t="b">
        <v>1</v>
      </c>
      <c r="AS23" s="81" t="b">
        <v>0</v>
      </c>
      <c r="AT23" s="81" t="b">
        <v>1</v>
      </c>
      <c r="AU23" s="81"/>
      <c r="AV23" s="81">
        <v>3</v>
      </c>
      <c r="AW23" s="81"/>
      <c r="AX23" s="81" t="b">
        <v>0</v>
      </c>
      <c r="AY23" s="81" t="s">
        <v>2883</v>
      </c>
      <c r="AZ23" s="88" t="str">
        <f>HYPERLINK("https://twitter.com/theamrdoc")</f>
        <v>https://twitter.com/theamrdoc</v>
      </c>
      <c r="BA23" s="81" t="s">
        <v>66</v>
      </c>
      <c r="BB23" s="81" t="str">
        <f>REPLACE(INDEX(GroupVertices[Group],MATCH(Vertices[[#This Row],[Vertex]],GroupVertices[Vertex],0)),1,1,"")</f>
        <v>1</v>
      </c>
      <c r="BC23" s="49"/>
      <c r="BD23" s="49"/>
      <c r="BE23" s="49"/>
      <c r="BF23" s="49"/>
      <c r="BG23" s="49" t="s">
        <v>961</v>
      </c>
      <c r="BH23" s="49" t="s">
        <v>961</v>
      </c>
      <c r="BI23" s="113" t="s">
        <v>3689</v>
      </c>
      <c r="BJ23" s="113" t="s">
        <v>3689</v>
      </c>
      <c r="BK23" s="113" t="s">
        <v>3866</v>
      </c>
      <c r="BL23" s="113" t="s">
        <v>3866</v>
      </c>
      <c r="BM23" s="113">
        <v>0</v>
      </c>
      <c r="BN23" s="116">
        <v>0</v>
      </c>
      <c r="BO23" s="113">
        <v>2</v>
      </c>
      <c r="BP23" s="116">
        <v>6.0606060606060606</v>
      </c>
      <c r="BQ23" s="113">
        <v>0</v>
      </c>
      <c r="BR23" s="116">
        <v>0</v>
      </c>
      <c r="BS23" s="113">
        <v>31</v>
      </c>
      <c r="BT23" s="116">
        <v>93.93939393939394</v>
      </c>
      <c r="BU23" s="113">
        <v>33</v>
      </c>
      <c r="BV23" s="2"/>
      <c r="BW23" s="3"/>
      <c r="BX23" s="3"/>
      <c r="BY23" s="3"/>
      <c r="BZ23" s="3"/>
    </row>
    <row r="24" spans="1:78" ht="41.45" customHeight="1">
      <c r="A24" s="66" t="s">
        <v>269</v>
      </c>
      <c r="C24" s="67"/>
      <c r="D24" s="67" t="s">
        <v>64</v>
      </c>
      <c r="E24" s="68">
        <v>162.0081056118439</v>
      </c>
      <c r="F24" s="70">
        <v>99.99998251957317</v>
      </c>
      <c r="G24" s="106" t="str">
        <f>HYPERLINK("https://pbs.twimg.com/profile_images/1083537458048966657/SBTduT5b_normal.jpg")</f>
        <v>https://pbs.twimg.com/profile_images/1083537458048966657/SBTduT5b_normal.jpg</v>
      </c>
      <c r="H24" s="67"/>
      <c r="I24" s="71" t="s">
        <v>269</v>
      </c>
      <c r="J24" s="72"/>
      <c r="K24" s="72"/>
      <c r="L24" s="71" t="s">
        <v>2904</v>
      </c>
      <c r="M24" s="75">
        <v>1.0058256435829047</v>
      </c>
      <c r="N24" s="76">
        <v>746.3868408203125</v>
      </c>
      <c r="O24" s="76">
        <v>8502.439453125</v>
      </c>
      <c r="P24" s="77"/>
      <c r="Q24" s="78"/>
      <c r="R24" s="78"/>
      <c r="S24" s="92"/>
      <c r="T24" s="49">
        <v>1</v>
      </c>
      <c r="U24" s="49">
        <v>1</v>
      </c>
      <c r="V24" s="50">
        <v>0</v>
      </c>
      <c r="W24" s="50">
        <v>0</v>
      </c>
      <c r="X24" s="50">
        <v>0</v>
      </c>
      <c r="Y24" s="50">
        <v>0.999998</v>
      </c>
      <c r="Z24" s="50">
        <v>0</v>
      </c>
      <c r="AA24" s="50">
        <v>0</v>
      </c>
      <c r="AB24" s="73">
        <v>24</v>
      </c>
      <c r="AC24" s="73"/>
      <c r="AD24" s="74"/>
      <c r="AE24" s="81" t="s">
        <v>1937</v>
      </c>
      <c r="AF24" s="86" t="s">
        <v>2211</v>
      </c>
      <c r="AG24" s="81">
        <v>120</v>
      </c>
      <c r="AH24" s="81">
        <v>46</v>
      </c>
      <c r="AI24" s="81">
        <v>357</v>
      </c>
      <c r="AJ24" s="81">
        <v>497</v>
      </c>
      <c r="AK24" s="81"/>
      <c r="AL24" s="81" t="s">
        <v>2477</v>
      </c>
      <c r="AM24" s="81" t="s">
        <v>2740</v>
      </c>
      <c r="AN24" s="81"/>
      <c r="AO24" s="81"/>
      <c r="AP24" s="83">
        <v>43472.39910879629</v>
      </c>
      <c r="AQ24" s="88" t="str">
        <f>HYPERLINK("https://pbs.twimg.com/profile_banners/1082208903599919104/1637247804")</f>
        <v>https://pbs.twimg.com/profile_banners/1082208903599919104/1637247804</v>
      </c>
      <c r="AR24" s="81" t="b">
        <v>1</v>
      </c>
      <c r="AS24" s="81" t="b">
        <v>0</v>
      </c>
      <c r="AT24" s="81" t="b">
        <v>1</v>
      </c>
      <c r="AU24" s="81"/>
      <c r="AV24" s="81">
        <v>0</v>
      </c>
      <c r="AW24" s="81"/>
      <c r="AX24" s="81" t="b">
        <v>0</v>
      </c>
      <c r="AY24" s="81" t="s">
        <v>2883</v>
      </c>
      <c r="AZ24" s="88" t="str">
        <f>HYPERLINK("https://twitter.com/travel_iosi")</f>
        <v>https://twitter.com/travel_iosi</v>
      </c>
      <c r="BA24" s="81" t="s">
        <v>66</v>
      </c>
      <c r="BB24" s="81" t="str">
        <f>REPLACE(INDEX(GroupVertices[Group],MATCH(Vertices[[#This Row],[Vertex]],GroupVertices[Vertex],0)),1,1,"")</f>
        <v>1</v>
      </c>
      <c r="BC24" s="49"/>
      <c r="BD24" s="49"/>
      <c r="BE24" s="49"/>
      <c r="BF24" s="49"/>
      <c r="BG24" s="49" t="s">
        <v>3610</v>
      </c>
      <c r="BH24" s="49" t="s">
        <v>3644</v>
      </c>
      <c r="BI24" s="113" t="s">
        <v>3690</v>
      </c>
      <c r="BJ24" s="113" t="s">
        <v>3812</v>
      </c>
      <c r="BK24" s="113" t="s">
        <v>3867</v>
      </c>
      <c r="BL24" s="113" t="s">
        <v>3867</v>
      </c>
      <c r="BM24" s="113">
        <v>0</v>
      </c>
      <c r="BN24" s="116">
        <v>0</v>
      </c>
      <c r="BO24" s="113">
        <v>0</v>
      </c>
      <c r="BP24" s="116">
        <v>0</v>
      </c>
      <c r="BQ24" s="113">
        <v>0</v>
      </c>
      <c r="BR24" s="116">
        <v>0</v>
      </c>
      <c r="BS24" s="113">
        <v>23</v>
      </c>
      <c r="BT24" s="116">
        <v>100</v>
      </c>
      <c r="BU24" s="113">
        <v>23</v>
      </c>
      <c r="BV24" s="2"/>
      <c r="BW24" s="3"/>
      <c r="BX24" s="3"/>
      <c r="BY24" s="3"/>
      <c r="BZ24" s="3"/>
    </row>
    <row r="25" spans="1:78" ht="41.45" customHeight="1">
      <c r="A25" s="66" t="s">
        <v>270</v>
      </c>
      <c r="C25" s="67"/>
      <c r="D25" s="67" t="s">
        <v>64</v>
      </c>
      <c r="E25" s="68">
        <v>162.0980213525309</v>
      </c>
      <c r="F25" s="70">
        <v>99.99978860879177</v>
      </c>
      <c r="G25" s="106" t="str">
        <f>HYPERLINK("https://pbs.twimg.com/profile_images/965579747446190080/74a4Xj4j_normal.jpg")</f>
        <v>https://pbs.twimg.com/profile_images/965579747446190080/74a4Xj4j_normal.jpg</v>
      </c>
      <c r="H25" s="67"/>
      <c r="I25" s="71" t="s">
        <v>270</v>
      </c>
      <c r="J25" s="72"/>
      <c r="K25" s="72"/>
      <c r="L25" s="71" t="s">
        <v>2905</v>
      </c>
      <c r="M25" s="75">
        <v>1.0704496433281514</v>
      </c>
      <c r="N25" s="76">
        <v>746.3868408203125</v>
      </c>
      <c r="O25" s="76">
        <v>6167.146484375</v>
      </c>
      <c r="P25" s="77"/>
      <c r="Q25" s="78"/>
      <c r="R25" s="78"/>
      <c r="S25" s="92"/>
      <c r="T25" s="49">
        <v>1</v>
      </c>
      <c r="U25" s="49">
        <v>1</v>
      </c>
      <c r="V25" s="50">
        <v>0</v>
      </c>
      <c r="W25" s="50">
        <v>0</v>
      </c>
      <c r="X25" s="50">
        <v>0</v>
      </c>
      <c r="Y25" s="50">
        <v>0.999998</v>
      </c>
      <c r="Z25" s="50">
        <v>0</v>
      </c>
      <c r="AA25" s="50">
        <v>0</v>
      </c>
      <c r="AB25" s="73">
        <v>25</v>
      </c>
      <c r="AC25" s="73"/>
      <c r="AD25" s="74"/>
      <c r="AE25" s="81" t="s">
        <v>1938</v>
      </c>
      <c r="AF25" s="86" t="s">
        <v>2212</v>
      </c>
      <c r="AG25" s="81">
        <v>48</v>
      </c>
      <c r="AH25" s="81">
        <v>523</v>
      </c>
      <c r="AI25" s="81">
        <v>188</v>
      </c>
      <c r="AJ25" s="81">
        <v>89</v>
      </c>
      <c r="AK25" s="81"/>
      <c r="AL25" s="81" t="s">
        <v>2478</v>
      </c>
      <c r="AM25" s="81" t="s">
        <v>2741</v>
      </c>
      <c r="AN25" s="88" t="str">
        <f>HYPERLINK("https://t.co/cwgpKPWljj")</f>
        <v>https://t.co/cwgpKPWljj</v>
      </c>
      <c r="AO25" s="81"/>
      <c r="AP25" s="83">
        <v>43150.55960648148</v>
      </c>
      <c r="AQ25" s="88" t="str">
        <f>HYPERLINK("https://pbs.twimg.com/profile_banners/965578170417205248/1519047074")</f>
        <v>https://pbs.twimg.com/profile_banners/965578170417205248/1519047074</v>
      </c>
      <c r="AR25" s="81" t="b">
        <v>0</v>
      </c>
      <c r="AS25" s="81" t="b">
        <v>0</v>
      </c>
      <c r="AT25" s="81" t="b">
        <v>0</v>
      </c>
      <c r="AU25" s="81"/>
      <c r="AV25" s="81">
        <v>11</v>
      </c>
      <c r="AW25" s="88" t="str">
        <f>HYPERLINK("https://abs.twimg.com/images/themes/theme1/bg.png")</f>
        <v>https://abs.twimg.com/images/themes/theme1/bg.png</v>
      </c>
      <c r="AX25" s="81" t="b">
        <v>0</v>
      </c>
      <c r="AY25" s="81" t="s">
        <v>2883</v>
      </c>
      <c r="AZ25" s="88" t="str">
        <f>HYPERLINK("https://twitter.com/ucl_ccm")</f>
        <v>https://twitter.com/ucl_ccm</v>
      </c>
      <c r="BA25" s="81" t="s">
        <v>66</v>
      </c>
      <c r="BB25" s="81" t="str">
        <f>REPLACE(INDEX(GroupVertices[Group],MATCH(Vertices[[#This Row],[Vertex]],GroupVertices[Vertex],0)),1,1,"")</f>
        <v>1</v>
      </c>
      <c r="BC25" s="49" t="s">
        <v>3544</v>
      </c>
      <c r="BD25" s="49" t="s">
        <v>3544</v>
      </c>
      <c r="BE25" s="49" t="s">
        <v>905</v>
      </c>
      <c r="BF25" s="49" t="s">
        <v>905</v>
      </c>
      <c r="BG25" s="49" t="s">
        <v>964</v>
      </c>
      <c r="BH25" s="49" t="s">
        <v>964</v>
      </c>
      <c r="BI25" s="113" t="s">
        <v>3691</v>
      </c>
      <c r="BJ25" s="113" t="s">
        <v>3691</v>
      </c>
      <c r="BK25" s="113" t="s">
        <v>3868</v>
      </c>
      <c r="BL25" s="113" t="s">
        <v>3868</v>
      </c>
      <c r="BM25" s="113">
        <v>0</v>
      </c>
      <c r="BN25" s="116">
        <v>0</v>
      </c>
      <c r="BO25" s="113">
        <v>0</v>
      </c>
      <c r="BP25" s="116">
        <v>0</v>
      </c>
      <c r="BQ25" s="113">
        <v>0</v>
      </c>
      <c r="BR25" s="116">
        <v>0</v>
      </c>
      <c r="BS25" s="113">
        <v>22</v>
      </c>
      <c r="BT25" s="116">
        <v>100</v>
      </c>
      <c r="BU25" s="113">
        <v>22</v>
      </c>
      <c r="BV25" s="2"/>
      <c r="BW25" s="3"/>
      <c r="BX25" s="3"/>
      <c r="BY25" s="3"/>
      <c r="BZ25" s="3"/>
    </row>
    <row r="26" spans="1:78" ht="41.45" customHeight="1">
      <c r="A26" s="66" t="s">
        <v>271</v>
      </c>
      <c r="C26" s="67"/>
      <c r="D26" s="67" t="s">
        <v>64</v>
      </c>
      <c r="E26" s="68">
        <v>166.87109571298296</v>
      </c>
      <c r="F26" s="70">
        <v>99.98949507651582</v>
      </c>
      <c r="G26" s="106" t="str">
        <f>HYPERLINK("https://pbs.twimg.com/profile_images/429264860296134656/gyQWTXN4_normal.png")</f>
        <v>https://pbs.twimg.com/profile_images/429264860296134656/gyQWTXN4_normal.png</v>
      </c>
      <c r="H26" s="67"/>
      <c r="I26" s="71" t="s">
        <v>271</v>
      </c>
      <c r="J26" s="72"/>
      <c r="K26" s="72"/>
      <c r="L26" s="71" t="s">
        <v>2906</v>
      </c>
      <c r="M26" s="75">
        <v>4.5009408331591505</v>
      </c>
      <c r="N26" s="76">
        <v>1919.192626953125</v>
      </c>
      <c r="O26" s="76">
        <v>1496.5609130859375</v>
      </c>
      <c r="P26" s="77"/>
      <c r="Q26" s="78"/>
      <c r="R26" s="78"/>
      <c r="S26" s="92"/>
      <c r="T26" s="49">
        <v>1</v>
      </c>
      <c r="U26" s="49">
        <v>1</v>
      </c>
      <c r="V26" s="50">
        <v>0</v>
      </c>
      <c r="W26" s="50">
        <v>0</v>
      </c>
      <c r="X26" s="50">
        <v>0</v>
      </c>
      <c r="Y26" s="50">
        <v>0.999998</v>
      </c>
      <c r="Z26" s="50">
        <v>0</v>
      </c>
      <c r="AA26" s="50">
        <v>0</v>
      </c>
      <c r="AB26" s="73">
        <v>26</v>
      </c>
      <c r="AC26" s="73"/>
      <c r="AD26" s="74"/>
      <c r="AE26" s="81" t="s">
        <v>1939</v>
      </c>
      <c r="AF26" s="86" t="s">
        <v>2213</v>
      </c>
      <c r="AG26" s="81">
        <v>346</v>
      </c>
      <c r="AH26" s="81">
        <v>25844</v>
      </c>
      <c r="AI26" s="81">
        <v>6737</v>
      </c>
      <c r="AJ26" s="81">
        <v>133</v>
      </c>
      <c r="AK26" s="81"/>
      <c r="AL26" s="81" t="s">
        <v>2479</v>
      </c>
      <c r="AM26" s="81" t="s">
        <v>2742</v>
      </c>
      <c r="AN26" s="88" t="str">
        <f>HYPERLINK("http://t.co/te1TiSF8VR")</f>
        <v>http://t.co/te1TiSF8VR</v>
      </c>
      <c r="AO26" s="81"/>
      <c r="AP26" s="83">
        <v>40429.64732638889</v>
      </c>
      <c r="AQ26" s="88" t="str">
        <f>HYPERLINK("https://pbs.twimg.com/profile_banners/188369254/1618245237")</f>
        <v>https://pbs.twimg.com/profile_banners/188369254/1618245237</v>
      </c>
      <c r="AR26" s="81" t="b">
        <v>0</v>
      </c>
      <c r="AS26" s="81" t="b">
        <v>0</v>
      </c>
      <c r="AT26" s="81" t="b">
        <v>1</v>
      </c>
      <c r="AU26" s="81"/>
      <c r="AV26" s="81">
        <v>417</v>
      </c>
      <c r="AW26" s="88" t="str">
        <f>HYPERLINK("https://abs.twimg.com/images/themes/theme1/bg.png")</f>
        <v>https://abs.twimg.com/images/themes/theme1/bg.png</v>
      </c>
      <c r="AX26" s="81" t="b">
        <v>1</v>
      </c>
      <c r="AY26" s="81" t="s">
        <v>2883</v>
      </c>
      <c r="AZ26" s="88" t="str">
        <f>HYPERLINK("https://twitter.com/vdhgov")</f>
        <v>https://twitter.com/vdhgov</v>
      </c>
      <c r="BA26" s="81" t="s">
        <v>66</v>
      </c>
      <c r="BB26" s="81" t="str">
        <f>REPLACE(INDEX(GroupVertices[Group],MATCH(Vertices[[#This Row],[Vertex]],GroupVertices[Vertex],0)),1,1,"")</f>
        <v>1</v>
      </c>
      <c r="BC26" s="49" t="s">
        <v>3545</v>
      </c>
      <c r="BD26" s="49" t="s">
        <v>3545</v>
      </c>
      <c r="BE26" s="49" t="s">
        <v>903</v>
      </c>
      <c r="BF26" s="49" t="s">
        <v>903</v>
      </c>
      <c r="BG26" s="49" t="s">
        <v>3611</v>
      </c>
      <c r="BH26" s="49" t="s">
        <v>3645</v>
      </c>
      <c r="BI26" s="113" t="s">
        <v>3692</v>
      </c>
      <c r="BJ26" s="113" t="s">
        <v>3813</v>
      </c>
      <c r="BK26" s="113" t="s">
        <v>3869</v>
      </c>
      <c r="BL26" s="113" t="s">
        <v>3869</v>
      </c>
      <c r="BM26" s="113">
        <v>1</v>
      </c>
      <c r="BN26" s="116">
        <v>1.7543859649122806</v>
      </c>
      <c r="BO26" s="113">
        <v>2</v>
      </c>
      <c r="BP26" s="116">
        <v>3.508771929824561</v>
      </c>
      <c r="BQ26" s="113">
        <v>0</v>
      </c>
      <c r="BR26" s="116">
        <v>0</v>
      </c>
      <c r="BS26" s="113">
        <v>54</v>
      </c>
      <c r="BT26" s="116">
        <v>94.73684210526316</v>
      </c>
      <c r="BU26" s="113">
        <v>57</v>
      </c>
      <c r="BV26" s="2"/>
      <c r="BW26" s="3"/>
      <c r="BX26" s="3"/>
      <c r="BY26" s="3"/>
      <c r="BZ26" s="3"/>
    </row>
    <row r="27" spans="1:78" ht="41.45" customHeight="1">
      <c r="A27" s="66" t="s">
        <v>272</v>
      </c>
      <c r="C27" s="67"/>
      <c r="D27" s="67" t="s">
        <v>64</v>
      </c>
      <c r="E27" s="68">
        <v>162.01338368467248</v>
      </c>
      <c r="F27" s="70">
        <v>99.99997113696965</v>
      </c>
      <c r="G27" s="106" t="str">
        <f>HYPERLINK("https://pbs.twimg.com/profile_images/765406776850132992/g4Q0EKix_normal.jpg")</f>
        <v>https://pbs.twimg.com/profile_images/765406776850132992/g4Q0EKix_normal.jpg</v>
      </c>
      <c r="H27" s="67"/>
      <c r="I27" s="71" t="s">
        <v>272</v>
      </c>
      <c r="J27" s="72"/>
      <c r="K27" s="72"/>
      <c r="L27" s="71" t="s">
        <v>2907</v>
      </c>
      <c r="M27" s="75">
        <v>1.009619085915959</v>
      </c>
      <c r="N27" s="76">
        <v>3482.93359375</v>
      </c>
      <c r="O27" s="76">
        <v>8502.439453125</v>
      </c>
      <c r="P27" s="77"/>
      <c r="Q27" s="78"/>
      <c r="R27" s="78"/>
      <c r="S27" s="92"/>
      <c r="T27" s="49">
        <v>1</v>
      </c>
      <c r="U27" s="49">
        <v>1</v>
      </c>
      <c r="V27" s="50">
        <v>0</v>
      </c>
      <c r="W27" s="50">
        <v>0</v>
      </c>
      <c r="X27" s="50">
        <v>0</v>
      </c>
      <c r="Y27" s="50">
        <v>0.999998</v>
      </c>
      <c r="Z27" s="50">
        <v>0</v>
      </c>
      <c r="AA27" s="50">
        <v>0</v>
      </c>
      <c r="AB27" s="73">
        <v>27</v>
      </c>
      <c r="AC27" s="73"/>
      <c r="AD27" s="74"/>
      <c r="AE27" s="81" t="s">
        <v>1940</v>
      </c>
      <c r="AF27" s="86" t="s">
        <v>2214</v>
      </c>
      <c r="AG27" s="81">
        <v>321</v>
      </c>
      <c r="AH27" s="81">
        <v>74</v>
      </c>
      <c r="AI27" s="81">
        <v>1083</v>
      </c>
      <c r="AJ27" s="81">
        <v>1199</v>
      </c>
      <c r="AK27" s="81"/>
      <c r="AL27" s="81" t="s">
        <v>2480</v>
      </c>
      <c r="AM27" s="81" t="s">
        <v>2743</v>
      </c>
      <c r="AN27" s="81"/>
      <c r="AO27" s="81"/>
      <c r="AP27" s="83">
        <v>42306.92361111111</v>
      </c>
      <c r="AQ27" s="88" t="str">
        <f>HYPERLINK("https://pbs.twimg.com/profile_banners/4062020953/1471322172")</f>
        <v>https://pbs.twimg.com/profile_banners/4062020953/1471322172</v>
      </c>
      <c r="AR27" s="81" t="b">
        <v>1</v>
      </c>
      <c r="AS27" s="81" t="b">
        <v>0</v>
      </c>
      <c r="AT27" s="81" t="b">
        <v>1</v>
      </c>
      <c r="AU27" s="81"/>
      <c r="AV27" s="81">
        <v>3</v>
      </c>
      <c r="AW27" s="88" t="str">
        <f>HYPERLINK("https://abs.twimg.com/images/themes/theme1/bg.png")</f>
        <v>https://abs.twimg.com/images/themes/theme1/bg.png</v>
      </c>
      <c r="AX27" s="81" t="b">
        <v>0</v>
      </c>
      <c r="AY27" s="81" t="s">
        <v>2883</v>
      </c>
      <c r="AZ27" s="88" t="str">
        <f>HYPERLINK("https://twitter.com/tehzeebzulfiqar")</f>
        <v>https://twitter.com/tehzeebzulfiqar</v>
      </c>
      <c r="BA27" s="81" t="s">
        <v>66</v>
      </c>
      <c r="BB27" s="81" t="str">
        <f>REPLACE(INDEX(GroupVertices[Group],MATCH(Vertices[[#This Row],[Vertex]],GroupVertices[Vertex],0)),1,1,"")</f>
        <v>1</v>
      </c>
      <c r="BC27" s="49"/>
      <c r="BD27" s="49"/>
      <c r="BE27" s="49"/>
      <c r="BF27" s="49"/>
      <c r="BG27" s="49" t="s">
        <v>966</v>
      </c>
      <c r="BH27" s="49" t="s">
        <v>3646</v>
      </c>
      <c r="BI27" s="113" t="s">
        <v>3693</v>
      </c>
      <c r="BJ27" s="113" t="s">
        <v>3814</v>
      </c>
      <c r="BK27" s="113" t="s">
        <v>3870</v>
      </c>
      <c r="BL27" s="113" t="s">
        <v>3988</v>
      </c>
      <c r="BM27" s="113">
        <v>0</v>
      </c>
      <c r="BN27" s="116">
        <v>0</v>
      </c>
      <c r="BO27" s="113">
        <v>5</v>
      </c>
      <c r="BP27" s="116">
        <v>8.333333333333334</v>
      </c>
      <c r="BQ27" s="113">
        <v>0</v>
      </c>
      <c r="BR27" s="116">
        <v>0</v>
      </c>
      <c r="BS27" s="113">
        <v>55</v>
      </c>
      <c r="BT27" s="116">
        <v>91.66666666666667</v>
      </c>
      <c r="BU27" s="113">
        <v>60</v>
      </c>
      <c r="BV27" s="2"/>
      <c r="BW27" s="3"/>
      <c r="BX27" s="3"/>
      <c r="BY27" s="3"/>
      <c r="BZ27" s="3"/>
    </row>
    <row r="28" spans="1:78" ht="41.45" customHeight="1">
      <c r="A28" s="66" t="s">
        <v>273</v>
      </c>
      <c r="C28" s="67"/>
      <c r="D28" s="67" t="s">
        <v>64</v>
      </c>
      <c r="E28" s="68">
        <v>162.4880332340433</v>
      </c>
      <c r="F28" s="70">
        <v>99.99894751569596</v>
      </c>
      <c r="G28" s="106" t="str">
        <f>HYPERLINK("https://pbs.twimg.com/profile_images/1460562385803128834/diXQnE9f_normal.jpg")</f>
        <v>https://pbs.twimg.com/profile_images/1460562385803128834/diXQnE9f_normal.jpg</v>
      </c>
      <c r="H28" s="67"/>
      <c r="I28" s="71" t="s">
        <v>273</v>
      </c>
      <c r="J28" s="72"/>
      <c r="K28" s="72"/>
      <c r="L28" s="71" t="s">
        <v>2908</v>
      </c>
      <c r="M28" s="75">
        <v>1.3507579357241994</v>
      </c>
      <c r="N28" s="76">
        <v>3873.869140625</v>
      </c>
      <c r="O28" s="76">
        <v>4610.28466796875</v>
      </c>
      <c r="P28" s="77"/>
      <c r="Q28" s="78"/>
      <c r="R28" s="78"/>
      <c r="S28" s="92"/>
      <c r="T28" s="49">
        <v>1</v>
      </c>
      <c r="U28" s="49">
        <v>1</v>
      </c>
      <c r="V28" s="50">
        <v>0</v>
      </c>
      <c r="W28" s="50">
        <v>0</v>
      </c>
      <c r="X28" s="50">
        <v>0</v>
      </c>
      <c r="Y28" s="50">
        <v>0.999998</v>
      </c>
      <c r="Z28" s="50">
        <v>0</v>
      </c>
      <c r="AA28" s="50">
        <v>0</v>
      </c>
      <c r="AB28" s="73">
        <v>28</v>
      </c>
      <c r="AC28" s="73"/>
      <c r="AD28" s="74"/>
      <c r="AE28" s="81" t="s">
        <v>1941</v>
      </c>
      <c r="AF28" s="86" t="s">
        <v>2215</v>
      </c>
      <c r="AG28" s="81">
        <v>466</v>
      </c>
      <c r="AH28" s="81">
        <v>2592</v>
      </c>
      <c r="AI28" s="81">
        <v>17763</v>
      </c>
      <c r="AJ28" s="81">
        <v>6164</v>
      </c>
      <c r="AK28" s="81"/>
      <c r="AL28" s="81" t="s">
        <v>2481</v>
      </c>
      <c r="AM28" s="81" t="s">
        <v>2744</v>
      </c>
      <c r="AN28" s="88" t="str">
        <f>HYPERLINK("https://t.co/LTw2gwi6PT")</f>
        <v>https://t.co/LTw2gwi6PT</v>
      </c>
      <c r="AO28" s="81"/>
      <c r="AP28" s="83">
        <v>41381.438738425924</v>
      </c>
      <c r="AQ28" s="88" t="str">
        <f>HYPERLINK("https://pbs.twimg.com/profile_banners/1359103958/1632407405")</f>
        <v>https://pbs.twimg.com/profile_banners/1359103958/1632407405</v>
      </c>
      <c r="AR28" s="81" t="b">
        <v>0</v>
      </c>
      <c r="AS28" s="81" t="b">
        <v>0</v>
      </c>
      <c r="AT28" s="81" t="b">
        <v>0</v>
      </c>
      <c r="AU28" s="81"/>
      <c r="AV28" s="81">
        <v>41</v>
      </c>
      <c r="AW28" s="88" t="str">
        <f>HYPERLINK("https://abs.twimg.com/images/themes/theme1/bg.png")</f>
        <v>https://abs.twimg.com/images/themes/theme1/bg.png</v>
      </c>
      <c r="AX28" s="81" t="b">
        <v>0</v>
      </c>
      <c r="AY28" s="81" t="s">
        <v>2883</v>
      </c>
      <c r="AZ28" s="88" t="str">
        <f>HYPERLINK("https://twitter.com/ukhsa_eastmids")</f>
        <v>https://twitter.com/ukhsa_eastmids</v>
      </c>
      <c r="BA28" s="81" t="s">
        <v>66</v>
      </c>
      <c r="BB28" s="81" t="str">
        <f>REPLACE(INDEX(GroupVertices[Group],MATCH(Vertices[[#This Row],[Vertex]],GroupVertices[Vertex],0)),1,1,"")</f>
        <v>1</v>
      </c>
      <c r="BC28" s="49"/>
      <c r="BD28" s="49"/>
      <c r="BE28" s="49"/>
      <c r="BF28" s="49"/>
      <c r="BG28" s="49" t="s">
        <v>968</v>
      </c>
      <c r="BH28" s="49" t="s">
        <v>968</v>
      </c>
      <c r="BI28" s="113" t="s">
        <v>3683</v>
      </c>
      <c r="BJ28" s="113" t="s">
        <v>3683</v>
      </c>
      <c r="BK28" s="113" t="s">
        <v>3860</v>
      </c>
      <c r="BL28" s="113" t="s">
        <v>3860</v>
      </c>
      <c r="BM28" s="113">
        <v>0</v>
      </c>
      <c r="BN28" s="116">
        <v>0</v>
      </c>
      <c r="BO28" s="113">
        <v>2</v>
      </c>
      <c r="BP28" s="116">
        <v>6.451612903225806</v>
      </c>
      <c r="BQ28" s="113">
        <v>0</v>
      </c>
      <c r="BR28" s="116">
        <v>0</v>
      </c>
      <c r="BS28" s="113">
        <v>29</v>
      </c>
      <c r="BT28" s="116">
        <v>93.54838709677419</v>
      </c>
      <c r="BU28" s="113">
        <v>31</v>
      </c>
      <c r="BV28" s="2"/>
      <c r="BW28" s="3"/>
      <c r="BX28" s="3"/>
      <c r="BY28" s="3"/>
      <c r="BZ28" s="3"/>
    </row>
    <row r="29" spans="1:78" ht="41.45" customHeight="1">
      <c r="A29" s="66" t="s">
        <v>274</v>
      </c>
      <c r="C29" s="67"/>
      <c r="D29" s="67" t="s">
        <v>64</v>
      </c>
      <c r="E29" s="68">
        <v>162.0197927731072</v>
      </c>
      <c r="F29" s="70">
        <v>99.9999573152368</v>
      </c>
      <c r="G29" s="106" t="str">
        <f>HYPERLINK("https://pbs.twimg.com/profile_images/1464645423038177285/u41Hm1wQ_normal.jpg")</f>
        <v>https://pbs.twimg.com/profile_images/1464645423038177285/u41Hm1wQ_normal.jpg</v>
      </c>
      <c r="H29" s="67"/>
      <c r="I29" s="71" t="s">
        <v>274</v>
      </c>
      <c r="J29" s="72"/>
      <c r="K29" s="72"/>
      <c r="L29" s="71" t="s">
        <v>2909</v>
      </c>
      <c r="M29" s="75">
        <v>1.0142254087489537</v>
      </c>
      <c r="N29" s="76">
        <v>6871.31201171875</v>
      </c>
      <c r="O29" s="76">
        <v>5481.90576171875</v>
      </c>
      <c r="P29" s="77"/>
      <c r="Q29" s="78"/>
      <c r="R29" s="78"/>
      <c r="S29" s="92"/>
      <c r="T29" s="49">
        <v>0</v>
      </c>
      <c r="U29" s="49">
        <v>6</v>
      </c>
      <c r="V29" s="50">
        <v>30</v>
      </c>
      <c r="W29" s="50">
        <v>0.166667</v>
      </c>
      <c r="X29" s="50">
        <v>0</v>
      </c>
      <c r="Y29" s="50">
        <v>3.29729</v>
      </c>
      <c r="Z29" s="50">
        <v>0</v>
      </c>
      <c r="AA29" s="50">
        <v>0</v>
      </c>
      <c r="AB29" s="73">
        <v>29</v>
      </c>
      <c r="AC29" s="73"/>
      <c r="AD29" s="74"/>
      <c r="AE29" s="81" t="s">
        <v>1942</v>
      </c>
      <c r="AF29" s="86" t="s">
        <v>2216</v>
      </c>
      <c r="AG29" s="81">
        <v>197</v>
      </c>
      <c r="AH29" s="81">
        <v>108</v>
      </c>
      <c r="AI29" s="81">
        <v>192</v>
      </c>
      <c r="AJ29" s="81">
        <v>233</v>
      </c>
      <c r="AK29" s="81"/>
      <c r="AL29" s="81" t="s">
        <v>2482</v>
      </c>
      <c r="AM29" s="81" t="s">
        <v>2745</v>
      </c>
      <c r="AN29" s="81"/>
      <c r="AO29" s="81"/>
      <c r="AP29" s="83">
        <v>43944.76733796296</v>
      </c>
      <c r="AQ29" s="88" t="str">
        <f>HYPERLINK("https://pbs.twimg.com/profile_banners/1253389369911717889/1616657296")</f>
        <v>https://pbs.twimg.com/profile_banners/1253389369911717889/1616657296</v>
      </c>
      <c r="AR29" s="81" t="b">
        <v>1</v>
      </c>
      <c r="AS29" s="81" t="b">
        <v>0</v>
      </c>
      <c r="AT29" s="81" t="b">
        <v>0</v>
      </c>
      <c r="AU29" s="81"/>
      <c r="AV29" s="81">
        <v>0</v>
      </c>
      <c r="AW29" s="81"/>
      <c r="AX29" s="81" t="b">
        <v>0</v>
      </c>
      <c r="AY29" s="81" t="s">
        <v>2883</v>
      </c>
      <c r="AZ29" s="88" t="str">
        <f>HYPERLINK("https://twitter.com/vikkij89")</f>
        <v>https://twitter.com/vikkij89</v>
      </c>
      <c r="BA29" s="81" t="s">
        <v>66</v>
      </c>
      <c r="BB29" s="81" t="str">
        <f>REPLACE(INDEX(GroupVertices[Group],MATCH(Vertices[[#This Row],[Vertex]],GroupVertices[Vertex],0)),1,1,"")</f>
        <v>8</v>
      </c>
      <c r="BC29" s="49"/>
      <c r="BD29" s="49"/>
      <c r="BE29" s="49"/>
      <c r="BF29" s="49"/>
      <c r="BG29" s="49" t="s">
        <v>970</v>
      </c>
      <c r="BH29" s="49" t="s">
        <v>970</v>
      </c>
      <c r="BI29" s="113" t="s">
        <v>3694</v>
      </c>
      <c r="BJ29" s="113" t="s">
        <v>3815</v>
      </c>
      <c r="BK29" s="113" t="s">
        <v>3871</v>
      </c>
      <c r="BL29" s="113" t="s">
        <v>3989</v>
      </c>
      <c r="BM29" s="113">
        <v>2</v>
      </c>
      <c r="BN29" s="116">
        <v>4.081632653061225</v>
      </c>
      <c r="BO29" s="113">
        <v>2</v>
      </c>
      <c r="BP29" s="116">
        <v>4.081632653061225</v>
      </c>
      <c r="BQ29" s="113">
        <v>0</v>
      </c>
      <c r="BR29" s="116">
        <v>0</v>
      </c>
      <c r="BS29" s="113">
        <v>45</v>
      </c>
      <c r="BT29" s="116">
        <v>91.83673469387755</v>
      </c>
      <c r="BU29" s="113">
        <v>49</v>
      </c>
      <c r="BV29" s="2"/>
      <c r="BW29" s="3"/>
      <c r="BX29" s="3"/>
      <c r="BY29" s="3"/>
      <c r="BZ29" s="3"/>
    </row>
    <row r="30" spans="1:78" ht="41.45" customHeight="1">
      <c r="A30" s="66" t="s">
        <v>451</v>
      </c>
      <c r="C30" s="67"/>
      <c r="D30" s="67" t="s">
        <v>64</v>
      </c>
      <c r="E30" s="68">
        <v>162.00584358063165</v>
      </c>
      <c r="F30" s="70">
        <v>99.99998739783182</v>
      </c>
      <c r="G30" s="106" t="str">
        <f>HYPERLINK("https://pbs.twimg.com/profile_images/1262831893608890373/-1oIzhZm_normal.jpg")</f>
        <v>https://pbs.twimg.com/profile_images/1262831893608890373/-1oIzhZm_normal.jpg</v>
      </c>
      <c r="H30" s="67"/>
      <c r="I30" s="71" t="s">
        <v>451</v>
      </c>
      <c r="J30" s="72"/>
      <c r="K30" s="72"/>
      <c r="L30" s="71" t="s">
        <v>2910</v>
      </c>
      <c r="M30" s="75">
        <v>1.0041998825830245</v>
      </c>
      <c r="N30" s="76">
        <v>6684.22607421875</v>
      </c>
      <c r="O30" s="76">
        <v>6446.7236328125</v>
      </c>
      <c r="P30" s="77"/>
      <c r="Q30" s="78"/>
      <c r="R30" s="78"/>
      <c r="S30" s="92"/>
      <c r="T30" s="49">
        <v>1</v>
      </c>
      <c r="U30" s="49">
        <v>0</v>
      </c>
      <c r="V30" s="50">
        <v>0</v>
      </c>
      <c r="W30" s="50">
        <v>0.090909</v>
      </c>
      <c r="X30" s="50">
        <v>0</v>
      </c>
      <c r="Y30" s="50">
        <v>0.617116</v>
      </c>
      <c r="Z30" s="50">
        <v>0</v>
      </c>
      <c r="AA30" s="50">
        <v>0</v>
      </c>
      <c r="AB30" s="73">
        <v>30</v>
      </c>
      <c r="AC30" s="73"/>
      <c r="AD30" s="74"/>
      <c r="AE30" s="81" t="s">
        <v>1943</v>
      </c>
      <c r="AF30" s="86" t="s">
        <v>2217</v>
      </c>
      <c r="AG30" s="81">
        <v>94</v>
      </c>
      <c r="AH30" s="81">
        <v>34</v>
      </c>
      <c r="AI30" s="81">
        <v>15</v>
      </c>
      <c r="AJ30" s="81">
        <v>44</v>
      </c>
      <c r="AK30" s="81"/>
      <c r="AL30" s="81" t="s">
        <v>2483</v>
      </c>
      <c r="AM30" s="81" t="s">
        <v>2745</v>
      </c>
      <c r="AN30" s="81"/>
      <c r="AO30" s="81"/>
      <c r="AP30" s="83">
        <v>43970.821597222224</v>
      </c>
      <c r="AQ30" s="81"/>
      <c r="AR30" s="81" t="b">
        <v>1</v>
      </c>
      <c r="AS30" s="81" t="b">
        <v>0</v>
      </c>
      <c r="AT30" s="81" t="b">
        <v>0</v>
      </c>
      <c r="AU30" s="81"/>
      <c r="AV30" s="81">
        <v>0</v>
      </c>
      <c r="AW30" s="81"/>
      <c r="AX30" s="81" t="b">
        <v>0</v>
      </c>
      <c r="AY30" s="81" t="s">
        <v>2883</v>
      </c>
      <c r="AZ30" s="88" t="str">
        <f>HYPERLINK("https://twitter.com/palfreymantom")</f>
        <v>https://twitter.com/palfreymantom</v>
      </c>
      <c r="BA30" s="81" t="s">
        <v>65</v>
      </c>
      <c r="BB30" s="81" t="str">
        <f>REPLACE(INDEX(GroupVertices[Group],MATCH(Vertices[[#This Row],[Vertex]],GroupVertices[Vertex],0)),1,1,"")</f>
        <v>8</v>
      </c>
      <c r="BC30" s="49"/>
      <c r="BD30" s="49"/>
      <c r="BE30" s="49"/>
      <c r="BF30" s="49"/>
      <c r="BG30" s="49"/>
      <c r="BH30" s="49"/>
      <c r="BI30" s="49"/>
      <c r="BJ30" s="49"/>
      <c r="BK30" s="49"/>
      <c r="BL30" s="49"/>
      <c r="BM30" s="49"/>
      <c r="BN30" s="50"/>
      <c r="BO30" s="49"/>
      <c r="BP30" s="50"/>
      <c r="BQ30" s="49"/>
      <c r="BR30" s="50"/>
      <c r="BS30" s="49"/>
      <c r="BT30" s="50"/>
      <c r="BU30" s="49"/>
      <c r="BV30" s="2"/>
      <c r="BW30" s="3"/>
      <c r="BX30" s="3"/>
      <c r="BY30" s="3"/>
      <c r="BZ30" s="3"/>
    </row>
    <row r="31" spans="1:78" ht="41.45" customHeight="1">
      <c r="A31" s="66" t="s">
        <v>452</v>
      </c>
      <c r="C31" s="67"/>
      <c r="D31" s="67" t="s">
        <v>64</v>
      </c>
      <c r="E31" s="68">
        <v>162.02205480431945</v>
      </c>
      <c r="F31" s="70">
        <v>99.99995243697815</v>
      </c>
      <c r="G31" s="106" t="str">
        <f>HYPERLINK("https://pbs.twimg.com/profile_images/1380953163398778883/PzEi9ZkS_normal.jpg")</f>
        <v>https://pbs.twimg.com/profile_images/1380953163398778883/PzEi9ZkS_normal.jpg</v>
      </c>
      <c r="H31" s="67"/>
      <c r="I31" s="71" t="s">
        <v>452</v>
      </c>
      <c r="J31" s="72"/>
      <c r="K31" s="72"/>
      <c r="L31" s="71" t="s">
        <v>2911</v>
      </c>
      <c r="M31" s="75">
        <v>1.015851169748834</v>
      </c>
      <c r="N31" s="76">
        <v>6602.443359375</v>
      </c>
      <c r="O31" s="76">
        <v>4625.95068359375</v>
      </c>
      <c r="P31" s="77"/>
      <c r="Q31" s="78"/>
      <c r="R31" s="78"/>
      <c r="S31" s="92"/>
      <c r="T31" s="49">
        <v>1</v>
      </c>
      <c r="U31" s="49">
        <v>0</v>
      </c>
      <c r="V31" s="50">
        <v>0</v>
      </c>
      <c r="W31" s="50">
        <v>0.090909</v>
      </c>
      <c r="X31" s="50">
        <v>0</v>
      </c>
      <c r="Y31" s="50">
        <v>0.617116</v>
      </c>
      <c r="Z31" s="50">
        <v>0</v>
      </c>
      <c r="AA31" s="50">
        <v>0</v>
      </c>
      <c r="AB31" s="73">
        <v>31</v>
      </c>
      <c r="AC31" s="73"/>
      <c r="AD31" s="74"/>
      <c r="AE31" s="81" t="s">
        <v>1944</v>
      </c>
      <c r="AF31" s="86" t="s">
        <v>2218</v>
      </c>
      <c r="AG31" s="81">
        <v>167</v>
      </c>
      <c r="AH31" s="81">
        <v>120</v>
      </c>
      <c r="AI31" s="81">
        <v>103</v>
      </c>
      <c r="AJ31" s="81">
        <v>206</v>
      </c>
      <c r="AK31" s="81"/>
      <c r="AL31" s="81" t="s">
        <v>2484</v>
      </c>
      <c r="AM31" s="81"/>
      <c r="AN31" s="81"/>
      <c r="AO31" s="81"/>
      <c r="AP31" s="83">
        <v>44296.76550925926</v>
      </c>
      <c r="AQ31" s="88" t="str">
        <f>HYPERLINK("https://pbs.twimg.com/profile_banners/1380949209923383301/1618079865")</f>
        <v>https://pbs.twimg.com/profile_banners/1380949209923383301/1618079865</v>
      </c>
      <c r="AR31" s="81" t="b">
        <v>1</v>
      </c>
      <c r="AS31" s="81" t="b">
        <v>0</v>
      </c>
      <c r="AT31" s="81" t="b">
        <v>0</v>
      </c>
      <c r="AU31" s="81"/>
      <c r="AV31" s="81">
        <v>1</v>
      </c>
      <c r="AW31" s="81"/>
      <c r="AX31" s="81" t="b">
        <v>0</v>
      </c>
      <c r="AY31" s="81" t="s">
        <v>2883</v>
      </c>
      <c r="AZ31" s="88" t="str">
        <f>HYPERLINK("https://twitter.com/uhnm_trauma_pdn")</f>
        <v>https://twitter.com/uhnm_trauma_pdn</v>
      </c>
      <c r="BA31" s="81" t="s">
        <v>65</v>
      </c>
      <c r="BB31" s="81" t="str">
        <f>REPLACE(INDEX(GroupVertices[Group],MATCH(Vertices[[#This Row],[Vertex]],GroupVertices[Vertex],0)),1,1,"")</f>
        <v>8</v>
      </c>
      <c r="BC31" s="49"/>
      <c r="BD31" s="49"/>
      <c r="BE31" s="49"/>
      <c r="BF31" s="49"/>
      <c r="BG31" s="49"/>
      <c r="BH31" s="49"/>
      <c r="BI31" s="49"/>
      <c r="BJ31" s="49"/>
      <c r="BK31" s="49"/>
      <c r="BL31" s="49"/>
      <c r="BM31" s="49"/>
      <c r="BN31" s="50"/>
      <c r="BO31" s="49"/>
      <c r="BP31" s="50"/>
      <c r="BQ31" s="49"/>
      <c r="BR31" s="50"/>
      <c r="BS31" s="49"/>
      <c r="BT31" s="50"/>
      <c r="BU31" s="49"/>
      <c r="BV31" s="2"/>
      <c r="BW31" s="3"/>
      <c r="BX31" s="3"/>
      <c r="BY31" s="3"/>
      <c r="BZ31" s="3"/>
    </row>
    <row r="32" spans="1:78" ht="41.45" customHeight="1">
      <c r="A32" s="66" t="s">
        <v>453</v>
      </c>
      <c r="C32" s="67"/>
      <c r="D32" s="67" t="s">
        <v>64</v>
      </c>
      <c r="E32" s="68">
        <v>162.04090506442157</v>
      </c>
      <c r="F32" s="70">
        <v>99.99991178482271</v>
      </c>
      <c r="G32" s="106" t="str">
        <f>HYPERLINK("https://pbs.twimg.com/profile_images/1251185853247995905/2L5CWWGi_normal.jpg")</f>
        <v>https://pbs.twimg.com/profile_images/1251185853247995905/2L5CWWGi_normal.jpg</v>
      </c>
      <c r="H32" s="67"/>
      <c r="I32" s="71" t="s">
        <v>453</v>
      </c>
      <c r="J32" s="72"/>
      <c r="K32" s="72"/>
      <c r="L32" s="71" t="s">
        <v>2912</v>
      </c>
      <c r="M32" s="75">
        <v>1.0293991780811709</v>
      </c>
      <c r="N32" s="76">
        <v>7140.18017578125</v>
      </c>
      <c r="O32" s="76">
        <v>6337.8603515625</v>
      </c>
      <c r="P32" s="77"/>
      <c r="Q32" s="78"/>
      <c r="R32" s="78"/>
      <c r="S32" s="92"/>
      <c r="T32" s="49">
        <v>1</v>
      </c>
      <c r="U32" s="49">
        <v>0</v>
      </c>
      <c r="V32" s="50">
        <v>0</v>
      </c>
      <c r="W32" s="50">
        <v>0.090909</v>
      </c>
      <c r="X32" s="50">
        <v>0</v>
      </c>
      <c r="Y32" s="50">
        <v>0.617116</v>
      </c>
      <c r="Z32" s="50">
        <v>0</v>
      </c>
      <c r="AA32" s="50">
        <v>0</v>
      </c>
      <c r="AB32" s="73">
        <v>32</v>
      </c>
      <c r="AC32" s="73"/>
      <c r="AD32" s="74"/>
      <c r="AE32" s="81" t="s">
        <v>1945</v>
      </c>
      <c r="AF32" s="86" t="s">
        <v>2219</v>
      </c>
      <c r="AG32" s="81">
        <v>113</v>
      </c>
      <c r="AH32" s="81">
        <v>220</v>
      </c>
      <c r="AI32" s="81">
        <v>136</v>
      </c>
      <c r="AJ32" s="81">
        <v>180</v>
      </c>
      <c r="AK32" s="81"/>
      <c r="AL32" s="81" t="s">
        <v>2485</v>
      </c>
      <c r="AM32" s="81"/>
      <c r="AN32" s="81"/>
      <c r="AO32" s="81"/>
      <c r="AP32" s="83">
        <v>43938.68368055556</v>
      </c>
      <c r="AQ32" s="88" t="str">
        <f>HYPERLINK("https://pbs.twimg.com/profile_banners/1251184722371317760/1587141359")</f>
        <v>https://pbs.twimg.com/profile_banners/1251184722371317760/1587141359</v>
      </c>
      <c r="AR32" s="81" t="b">
        <v>1</v>
      </c>
      <c r="AS32" s="81" t="b">
        <v>0</v>
      </c>
      <c r="AT32" s="81" t="b">
        <v>0</v>
      </c>
      <c r="AU32" s="81"/>
      <c r="AV32" s="81">
        <v>1</v>
      </c>
      <c r="AW32" s="81"/>
      <c r="AX32" s="81" t="b">
        <v>0</v>
      </c>
      <c r="AY32" s="81" t="s">
        <v>2883</v>
      </c>
      <c r="AZ32" s="88" t="str">
        <f>HYPERLINK("https://twitter.com/228uhnm")</f>
        <v>https://twitter.com/228uhnm</v>
      </c>
      <c r="BA32" s="81" t="s">
        <v>65</v>
      </c>
      <c r="BB32" s="81" t="str">
        <f>REPLACE(INDEX(GroupVertices[Group],MATCH(Vertices[[#This Row],[Vertex]],GroupVertices[Vertex],0)),1,1,"")</f>
        <v>8</v>
      </c>
      <c r="BC32" s="49"/>
      <c r="BD32" s="49"/>
      <c r="BE32" s="49"/>
      <c r="BF32" s="49"/>
      <c r="BG32" s="49"/>
      <c r="BH32" s="49"/>
      <c r="BI32" s="49"/>
      <c r="BJ32" s="49"/>
      <c r="BK32" s="49"/>
      <c r="BL32" s="49"/>
      <c r="BM32" s="49"/>
      <c r="BN32" s="50"/>
      <c r="BO32" s="49"/>
      <c r="BP32" s="50"/>
      <c r="BQ32" s="49"/>
      <c r="BR32" s="50"/>
      <c r="BS32" s="49"/>
      <c r="BT32" s="50"/>
      <c r="BU32" s="49"/>
      <c r="BV32" s="2"/>
      <c r="BW32" s="3"/>
      <c r="BX32" s="3"/>
      <c r="BY32" s="3"/>
      <c r="BZ32" s="3"/>
    </row>
    <row r="33" spans="1:78" ht="41.45" customHeight="1">
      <c r="A33" s="66" t="s">
        <v>454</v>
      </c>
      <c r="C33" s="67"/>
      <c r="D33" s="67" t="s">
        <v>64</v>
      </c>
      <c r="E33" s="68">
        <v>162.02865239535518</v>
      </c>
      <c r="F33" s="70">
        <v>99.99993820872375</v>
      </c>
      <c r="G33" s="106" t="str">
        <f>HYPERLINK("https://pbs.twimg.com/profile_images/1199261353531367425/Rqk8ZAwu_normal.jpg")</f>
        <v>https://pbs.twimg.com/profile_images/1199261353531367425/Rqk8ZAwu_normal.jpg</v>
      </c>
      <c r="H33" s="67"/>
      <c r="I33" s="71" t="s">
        <v>454</v>
      </c>
      <c r="J33" s="72"/>
      <c r="K33" s="72"/>
      <c r="L33" s="71" t="s">
        <v>2913</v>
      </c>
      <c r="M33" s="75">
        <v>1.020592972665152</v>
      </c>
      <c r="N33" s="76">
        <v>7058.39794921875</v>
      </c>
      <c r="O33" s="76">
        <v>4517.09228515625</v>
      </c>
      <c r="P33" s="77"/>
      <c r="Q33" s="78"/>
      <c r="R33" s="78"/>
      <c r="S33" s="92"/>
      <c r="T33" s="49">
        <v>1</v>
      </c>
      <c r="U33" s="49">
        <v>0</v>
      </c>
      <c r="V33" s="50">
        <v>0</v>
      </c>
      <c r="W33" s="50">
        <v>0.090909</v>
      </c>
      <c r="X33" s="50">
        <v>0</v>
      </c>
      <c r="Y33" s="50">
        <v>0.617116</v>
      </c>
      <c r="Z33" s="50">
        <v>0</v>
      </c>
      <c r="AA33" s="50">
        <v>0</v>
      </c>
      <c r="AB33" s="73">
        <v>33</v>
      </c>
      <c r="AC33" s="73"/>
      <c r="AD33" s="74"/>
      <c r="AE33" s="81" t="s">
        <v>1946</v>
      </c>
      <c r="AF33" s="86" t="s">
        <v>2220</v>
      </c>
      <c r="AG33" s="81">
        <v>229</v>
      </c>
      <c r="AH33" s="81">
        <v>155</v>
      </c>
      <c r="AI33" s="81">
        <v>160</v>
      </c>
      <c r="AJ33" s="81">
        <v>452</v>
      </c>
      <c r="AK33" s="81"/>
      <c r="AL33" s="81" t="s">
        <v>2486</v>
      </c>
      <c r="AM33" s="81" t="s">
        <v>2745</v>
      </c>
      <c r="AN33" s="81"/>
      <c r="AO33" s="81"/>
      <c r="AP33" s="83">
        <v>43794.820069444446</v>
      </c>
      <c r="AQ33" s="88" t="str">
        <f>HYPERLINK("https://pbs.twimg.com/profile_banners/1199050248758398976/1605986611")</f>
        <v>https://pbs.twimg.com/profile_banners/1199050248758398976/1605986611</v>
      </c>
      <c r="AR33" s="81" t="b">
        <v>1</v>
      </c>
      <c r="AS33" s="81" t="b">
        <v>0</v>
      </c>
      <c r="AT33" s="81" t="b">
        <v>0</v>
      </c>
      <c r="AU33" s="81"/>
      <c r="AV33" s="81">
        <v>0</v>
      </c>
      <c r="AW33" s="81"/>
      <c r="AX33" s="81" t="b">
        <v>0</v>
      </c>
      <c r="AY33" s="81" t="s">
        <v>2883</v>
      </c>
      <c r="AZ33" s="88" t="str">
        <f>HYPERLINK("https://twitter.com/mc_bugsy")</f>
        <v>https://twitter.com/mc_bugsy</v>
      </c>
      <c r="BA33" s="81" t="s">
        <v>65</v>
      </c>
      <c r="BB33" s="81" t="str">
        <f>REPLACE(INDEX(GroupVertices[Group],MATCH(Vertices[[#This Row],[Vertex]],GroupVertices[Vertex],0)),1,1,"")</f>
        <v>8</v>
      </c>
      <c r="BC33" s="49"/>
      <c r="BD33" s="49"/>
      <c r="BE33" s="49"/>
      <c r="BF33" s="49"/>
      <c r="BG33" s="49"/>
      <c r="BH33" s="49"/>
      <c r="BI33" s="49"/>
      <c r="BJ33" s="49"/>
      <c r="BK33" s="49"/>
      <c r="BL33" s="49"/>
      <c r="BM33" s="49"/>
      <c r="BN33" s="50"/>
      <c r="BO33" s="49"/>
      <c r="BP33" s="50"/>
      <c r="BQ33" s="49"/>
      <c r="BR33" s="50"/>
      <c r="BS33" s="49"/>
      <c r="BT33" s="50"/>
      <c r="BU33" s="49"/>
      <c r="BV33" s="2"/>
      <c r="BW33" s="3"/>
      <c r="BX33" s="3"/>
      <c r="BY33" s="3"/>
      <c r="BZ33" s="3"/>
    </row>
    <row r="34" spans="1:78" ht="41.45" customHeight="1">
      <c r="A34" s="66" t="s">
        <v>455</v>
      </c>
      <c r="C34" s="67"/>
      <c r="D34" s="67" t="s">
        <v>64</v>
      </c>
      <c r="E34" s="68">
        <v>164.18304862242388</v>
      </c>
      <c r="F34" s="70">
        <v>99.99529207387987</v>
      </c>
      <c r="G34" s="106" t="str">
        <f>HYPERLINK("https://pbs.twimg.com/profile_images/1466695600137773057/xbMguHGY_normal.jpg")</f>
        <v>https://pbs.twimg.com/profile_images/1466695600137773057/xbMguHGY_normal.jpg</v>
      </c>
      <c r="H34" s="67"/>
      <c r="I34" s="71" t="s">
        <v>455</v>
      </c>
      <c r="J34" s="72"/>
      <c r="K34" s="72"/>
      <c r="L34" s="71" t="s">
        <v>2914</v>
      </c>
      <c r="M34" s="75">
        <v>2.568994844967924</v>
      </c>
      <c r="N34" s="76">
        <v>7327.26708984375</v>
      </c>
      <c r="O34" s="76">
        <v>5373.044921875</v>
      </c>
      <c r="P34" s="77"/>
      <c r="Q34" s="78"/>
      <c r="R34" s="78"/>
      <c r="S34" s="92"/>
      <c r="T34" s="49">
        <v>1</v>
      </c>
      <c r="U34" s="49">
        <v>0</v>
      </c>
      <c r="V34" s="50">
        <v>0</v>
      </c>
      <c r="W34" s="50">
        <v>0.090909</v>
      </c>
      <c r="X34" s="50">
        <v>0</v>
      </c>
      <c r="Y34" s="50">
        <v>0.617116</v>
      </c>
      <c r="Z34" s="50">
        <v>0</v>
      </c>
      <c r="AA34" s="50">
        <v>0</v>
      </c>
      <c r="AB34" s="73">
        <v>34</v>
      </c>
      <c r="AC34" s="73"/>
      <c r="AD34" s="74"/>
      <c r="AE34" s="81" t="s">
        <v>1947</v>
      </c>
      <c r="AF34" s="86" t="s">
        <v>2221</v>
      </c>
      <c r="AG34" s="81">
        <v>1429</v>
      </c>
      <c r="AH34" s="81">
        <v>11584</v>
      </c>
      <c r="AI34" s="81">
        <v>7958</v>
      </c>
      <c r="AJ34" s="81">
        <v>4855</v>
      </c>
      <c r="AK34" s="81"/>
      <c r="AL34" s="81" t="s">
        <v>2487</v>
      </c>
      <c r="AM34" s="81" t="s">
        <v>2746</v>
      </c>
      <c r="AN34" s="88" t="str">
        <f>HYPERLINK("https://t.co/VoMzSmGwwV")</f>
        <v>https://t.co/VoMzSmGwwV</v>
      </c>
      <c r="AO34" s="81"/>
      <c r="AP34" s="83">
        <v>41386.56596064815</v>
      </c>
      <c r="AQ34" s="88" t="str">
        <f>HYPERLINK("https://pbs.twimg.com/profile_banners/1372138002/1617179894")</f>
        <v>https://pbs.twimg.com/profile_banners/1372138002/1617179894</v>
      </c>
      <c r="AR34" s="81" t="b">
        <v>0</v>
      </c>
      <c r="AS34" s="81" t="b">
        <v>0</v>
      </c>
      <c r="AT34" s="81" t="b">
        <v>1</v>
      </c>
      <c r="AU34" s="81"/>
      <c r="AV34" s="81">
        <v>107</v>
      </c>
      <c r="AW34" s="88" t="str">
        <f>HYPERLINK("https://abs.twimg.com/images/themes/theme1/bg.png")</f>
        <v>https://abs.twimg.com/images/themes/theme1/bg.png</v>
      </c>
      <c r="AX34" s="81" t="b">
        <v>1</v>
      </c>
      <c r="AY34" s="81" t="s">
        <v>2883</v>
      </c>
      <c r="AZ34" s="88" t="str">
        <f>HYPERLINK("https://twitter.com/uhnm_nhs")</f>
        <v>https://twitter.com/uhnm_nhs</v>
      </c>
      <c r="BA34" s="81" t="s">
        <v>65</v>
      </c>
      <c r="BB34" s="81" t="str">
        <f>REPLACE(INDEX(GroupVertices[Group],MATCH(Vertices[[#This Row],[Vertex]],GroupVertices[Vertex],0)),1,1,"")</f>
        <v>8</v>
      </c>
      <c r="BC34" s="49"/>
      <c r="BD34" s="49"/>
      <c r="BE34" s="49"/>
      <c r="BF34" s="49"/>
      <c r="BG34" s="49"/>
      <c r="BH34" s="49"/>
      <c r="BI34" s="49"/>
      <c r="BJ34" s="49"/>
      <c r="BK34" s="49"/>
      <c r="BL34" s="49"/>
      <c r="BM34" s="49"/>
      <c r="BN34" s="50"/>
      <c r="BO34" s="49"/>
      <c r="BP34" s="50"/>
      <c r="BQ34" s="49"/>
      <c r="BR34" s="50"/>
      <c r="BS34" s="49"/>
      <c r="BT34" s="50"/>
      <c r="BU34" s="49"/>
      <c r="BV34" s="2"/>
      <c r="BW34" s="3"/>
      <c r="BX34" s="3"/>
      <c r="BY34" s="3"/>
      <c r="BZ34" s="3"/>
    </row>
    <row r="35" spans="1:78" ht="41.45" customHeight="1">
      <c r="A35" s="66" t="s">
        <v>456</v>
      </c>
      <c r="C35" s="67"/>
      <c r="D35" s="67" t="s">
        <v>64</v>
      </c>
      <c r="E35" s="68">
        <v>162.56117224323944</v>
      </c>
      <c r="F35" s="70">
        <v>99.9987897853329</v>
      </c>
      <c r="G35" s="106" t="str">
        <f>HYPERLINK("https://pbs.twimg.com/profile_images/990865905981837313/jdrNFCbk_normal.jpg")</f>
        <v>https://pbs.twimg.com/profile_images/990865905981837313/jdrNFCbk_normal.jpg</v>
      </c>
      <c r="H35" s="67"/>
      <c r="I35" s="71" t="s">
        <v>456</v>
      </c>
      <c r="J35" s="72"/>
      <c r="K35" s="72"/>
      <c r="L35" s="71" t="s">
        <v>2915</v>
      </c>
      <c r="M35" s="75">
        <v>1.4033242080536663</v>
      </c>
      <c r="N35" s="76">
        <v>6415.3583984375</v>
      </c>
      <c r="O35" s="76">
        <v>5590.767578125</v>
      </c>
      <c r="P35" s="77"/>
      <c r="Q35" s="78"/>
      <c r="R35" s="78"/>
      <c r="S35" s="92"/>
      <c r="T35" s="49">
        <v>1</v>
      </c>
      <c r="U35" s="49">
        <v>0</v>
      </c>
      <c r="V35" s="50">
        <v>0</v>
      </c>
      <c r="W35" s="50">
        <v>0.090909</v>
      </c>
      <c r="X35" s="50">
        <v>0</v>
      </c>
      <c r="Y35" s="50">
        <v>0.617116</v>
      </c>
      <c r="Z35" s="50">
        <v>0</v>
      </c>
      <c r="AA35" s="50">
        <v>0</v>
      </c>
      <c r="AB35" s="73">
        <v>35</v>
      </c>
      <c r="AC35" s="73"/>
      <c r="AD35" s="74"/>
      <c r="AE35" s="81" t="s">
        <v>1948</v>
      </c>
      <c r="AF35" s="86" t="s">
        <v>2222</v>
      </c>
      <c r="AG35" s="81">
        <v>1416</v>
      </c>
      <c r="AH35" s="81">
        <v>2980</v>
      </c>
      <c r="AI35" s="81">
        <v>4173</v>
      </c>
      <c r="AJ35" s="81">
        <v>2702</v>
      </c>
      <c r="AK35" s="81"/>
      <c r="AL35" s="81" t="s">
        <v>2488</v>
      </c>
      <c r="AM35" s="81" t="s">
        <v>2747</v>
      </c>
      <c r="AN35" s="88" t="str">
        <f>HYPERLINK("https://t.co/mQcd4HP2z0")</f>
        <v>https://t.co/mQcd4HP2z0</v>
      </c>
      <c r="AO35" s="81"/>
      <c r="AP35" s="83">
        <v>40849.46603009259</v>
      </c>
      <c r="AQ35" s="88" t="str">
        <f>HYPERLINK("https://pbs.twimg.com/profile_banners/403343999/1609750740")</f>
        <v>https://pbs.twimg.com/profile_banners/403343999/1609750740</v>
      </c>
      <c r="AR35" s="81" t="b">
        <v>0</v>
      </c>
      <c r="AS35" s="81" t="b">
        <v>0</v>
      </c>
      <c r="AT35" s="81" t="b">
        <v>0</v>
      </c>
      <c r="AU35" s="81"/>
      <c r="AV35" s="81">
        <v>17</v>
      </c>
      <c r="AW35" s="88" t="str">
        <f>HYPERLINK("https://abs.twimg.com/images/themes/theme1/bg.png")</f>
        <v>https://abs.twimg.com/images/themes/theme1/bg.png</v>
      </c>
      <c r="AX35" s="81" t="b">
        <v>0</v>
      </c>
      <c r="AY35" s="81" t="s">
        <v>2883</v>
      </c>
      <c r="AZ35" s="88" t="str">
        <f>HYPERLINK("https://twitter.com/uhnmcharity")</f>
        <v>https://twitter.com/uhnmcharity</v>
      </c>
      <c r="BA35" s="81" t="s">
        <v>65</v>
      </c>
      <c r="BB35" s="81" t="str">
        <f>REPLACE(INDEX(GroupVertices[Group],MATCH(Vertices[[#This Row],[Vertex]],GroupVertices[Vertex],0)),1,1,"")</f>
        <v>8</v>
      </c>
      <c r="BC35" s="49"/>
      <c r="BD35" s="49"/>
      <c r="BE35" s="49"/>
      <c r="BF35" s="49"/>
      <c r="BG35" s="49"/>
      <c r="BH35" s="49"/>
      <c r="BI35" s="49"/>
      <c r="BJ35" s="49"/>
      <c r="BK35" s="49"/>
      <c r="BL35" s="49"/>
      <c r="BM35" s="49"/>
      <c r="BN35" s="50"/>
      <c r="BO35" s="49"/>
      <c r="BP35" s="50"/>
      <c r="BQ35" s="49"/>
      <c r="BR35" s="50"/>
      <c r="BS35" s="49"/>
      <c r="BT35" s="50"/>
      <c r="BU35" s="49"/>
      <c r="BV35" s="2"/>
      <c r="BW35" s="3"/>
      <c r="BX35" s="3"/>
      <c r="BY35" s="3"/>
      <c r="BZ35" s="3"/>
    </row>
    <row r="36" spans="1:78" ht="41.45" customHeight="1">
      <c r="A36" s="66" t="s">
        <v>275</v>
      </c>
      <c r="C36" s="67"/>
      <c r="D36" s="67" t="s">
        <v>64</v>
      </c>
      <c r="E36" s="68">
        <v>162.22318707960883</v>
      </c>
      <c r="F36" s="70">
        <v>99.99951867847973</v>
      </c>
      <c r="G36" s="106" t="str">
        <f>HYPERLINK("https://pbs.twimg.com/profile_images/1177052209659273216/Y7DiEhPi_normal.jpg")</f>
        <v>https://pbs.twimg.com/profile_images/1177052209659273216/Y7DiEhPi_normal.jpg</v>
      </c>
      <c r="H36" s="67"/>
      <c r="I36" s="71" t="s">
        <v>275</v>
      </c>
      <c r="J36" s="72"/>
      <c r="K36" s="72"/>
      <c r="L36" s="71" t="s">
        <v>2916</v>
      </c>
      <c r="M36" s="75">
        <v>1.1604084186548675</v>
      </c>
      <c r="N36" s="76">
        <v>3873.869140625</v>
      </c>
      <c r="O36" s="76">
        <v>5388.71533203125</v>
      </c>
      <c r="P36" s="77"/>
      <c r="Q36" s="78"/>
      <c r="R36" s="78"/>
      <c r="S36" s="92"/>
      <c r="T36" s="49">
        <v>1</v>
      </c>
      <c r="U36" s="49">
        <v>1</v>
      </c>
      <c r="V36" s="50">
        <v>0</v>
      </c>
      <c r="W36" s="50">
        <v>0</v>
      </c>
      <c r="X36" s="50">
        <v>0</v>
      </c>
      <c r="Y36" s="50">
        <v>0.999998</v>
      </c>
      <c r="Z36" s="50">
        <v>0</v>
      </c>
      <c r="AA36" s="50">
        <v>0</v>
      </c>
      <c r="AB36" s="73">
        <v>36</v>
      </c>
      <c r="AC36" s="73"/>
      <c r="AD36" s="74"/>
      <c r="AE36" s="81" t="s">
        <v>1949</v>
      </c>
      <c r="AF36" s="86" t="s">
        <v>2223</v>
      </c>
      <c r="AG36" s="81">
        <v>2323</v>
      </c>
      <c r="AH36" s="81">
        <v>1187</v>
      </c>
      <c r="AI36" s="81">
        <v>9422</v>
      </c>
      <c r="AJ36" s="81">
        <v>8203</v>
      </c>
      <c r="AK36" s="81"/>
      <c r="AL36" s="81" t="s">
        <v>2489</v>
      </c>
      <c r="AM36" s="81" t="s">
        <v>2748</v>
      </c>
      <c r="AN36" s="88" t="str">
        <f>HYPERLINK("http://t.co/eaZE6NSJ4i")</f>
        <v>http://t.co/eaZE6NSJ4i</v>
      </c>
      <c r="AO36" s="81"/>
      <c r="AP36" s="83">
        <v>41408.76986111111</v>
      </c>
      <c r="AQ36" s="88" t="str">
        <f>HYPERLINK("https://pbs.twimg.com/profile_banners/1428551821/1632758024")</f>
        <v>https://pbs.twimg.com/profile_banners/1428551821/1632758024</v>
      </c>
      <c r="AR36" s="81" t="b">
        <v>0</v>
      </c>
      <c r="AS36" s="81" t="b">
        <v>0</v>
      </c>
      <c r="AT36" s="81" t="b">
        <v>0</v>
      </c>
      <c r="AU36" s="81"/>
      <c r="AV36" s="81">
        <v>14</v>
      </c>
      <c r="AW36" s="88" t="str">
        <f>HYPERLINK("https://abs.twimg.com/images/themes/theme15/bg.png")</f>
        <v>https://abs.twimg.com/images/themes/theme15/bg.png</v>
      </c>
      <c r="AX36" s="81" t="b">
        <v>0</v>
      </c>
      <c r="AY36" s="81" t="s">
        <v>2883</v>
      </c>
      <c r="AZ36" s="88" t="str">
        <f>HYPERLINK("https://twitter.com/wintercourseid")</f>
        <v>https://twitter.com/wintercourseid</v>
      </c>
      <c r="BA36" s="81" t="s">
        <v>66</v>
      </c>
      <c r="BB36" s="81" t="str">
        <f>REPLACE(INDEX(GroupVertices[Group],MATCH(Vertices[[#This Row],[Vertex]],GroupVertices[Vertex],0)),1,1,"")</f>
        <v>1</v>
      </c>
      <c r="BC36" s="49" t="s">
        <v>3546</v>
      </c>
      <c r="BD36" s="49" t="s">
        <v>3546</v>
      </c>
      <c r="BE36" s="49" t="s">
        <v>3596</v>
      </c>
      <c r="BF36" s="49" t="s">
        <v>3602</v>
      </c>
      <c r="BG36" s="49" t="s">
        <v>3612</v>
      </c>
      <c r="BH36" s="49" t="s">
        <v>3647</v>
      </c>
      <c r="BI36" s="113" t="s">
        <v>3695</v>
      </c>
      <c r="BJ36" s="113" t="s">
        <v>3816</v>
      </c>
      <c r="BK36" s="113" t="s">
        <v>3872</v>
      </c>
      <c r="BL36" s="113" t="s">
        <v>3872</v>
      </c>
      <c r="BM36" s="113">
        <v>1</v>
      </c>
      <c r="BN36" s="116">
        <v>0.8064516129032258</v>
      </c>
      <c r="BO36" s="113">
        <v>3</v>
      </c>
      <c r="BP36" s="116">
        <v>2.4193548387096775</v>
      </c>
      <c r="BQ36" s="113">
        <v>0</v>
      </c>
      <c r="BR36" s="116">
        <v>0</v>
      </c>
      <c r="BS36" s="113">
        <v>120</v>
      </c>
      <c r="BT36" s="116">
        <v>96.7741935483871</v>
      </c>
      <c r="BU36" s="113">
        <v>124</v>
      </c>
      <c r="BV36" s="2"/>
      <c r="BW36" s="3"/>
      <c r="BX36" s="3"/>
      <c r="BY36" s="3"/>
      <c r="BZ36" s="3"/>
    </row>
    <row r="37" spans="1:78" ht="41.45" customHeight="1">
      <c r="A37" s="66" t="s">
        <v>276</v>
      </c>
      <c r="C37" s="67"/>
      <c r="D37" s="67" t="s">
        <v>64</v>
      </c>
      <c r="E37" s="68">
        <v>163.36381631838674</v>
      </c>
      <c r="F37" s="70">
        <v>99.99705881655478</v>
      </c>
      <c r="G37" s="106" t="str">
        <f>HYPERLINK("https://pbs.twimg.com/profile_images/1118441800312729600/f_Ikcwjr_normal.png")</f>
        <v>https://pbs.twimg.com/profile_images/1118441800312729600/f_Ikcwjr_normal.png</v>
      </c>
      <c r="H37" s="67"/>
      <c r="I37" s="71" t="s">
        <v>276</v>
      </c>
      <c r="J37" s="72"/>
      <c r="K37" s="72"/>
      <c r="L37" s="71" t="s">
        <v>2917</v>
      </c>
      <c r="M37" s="75">
        <v>1.9801984028445667</v>
      </c>
      <c r="N37" s="76">
        <v>3482.93359375</v>
      </c>
      <c r="O37" s="76">
        <v>3053.422607421875</v>
      </c>
      <c r="P37" s="77"/>
      <c r="Q37" s="78"/>
      <c r="R37" s="78"/>
      <c r="S37" s="92"/>
      <c r="T37" s="49">
        <v>1</v>
      </c>
      <c r="U37" s="49">
        <v>1</v>
      </c>
      <c r="V37" s="50">
        <v>0</v>
      </c>
      <c r="W37" s="50">
        <v>0</v>
      </c>
      <c r="X37" s="50">
        <v>0</v>
      </c>
      <c r="Y37" s="50">
        <v>0.999998</v>
      </c>
      <c r="Z37" s="50">
        <v>0</v>
      </c>
      <c r="AA37" s="50">
        <v>0</v>
      </c>
      <c r="AB37" s="73">
        <v>37</v>
      </c>
      <c r="AC37" s="73"/>
      <c r="AD37" s="74"/>
      <c r="AE37" s="81" t="s">
        <v>1950</v>
      </c>
      <c r="AF37" s="86" t="s">
        <v>2224</v>
      </c>
      <c r="AG37" s="81">
        <v>653</v>
      </c>
      <c r="AH37" s="81">
        <v>7238</v>
      </c>
      <c r="AI37" s="81">
        <v>14390</v>
      </c>
      <c r="AJ37" s="81">
        <v>6230</v>
      </c>
      <c r="AK37" s="81"/>
      <c r="AL37" s="81" t="s">
        <v>2490</v>
      </c>
      <c r="AM37" s="81" t="s">
        <v>2749</v>
      </c>
      <c r="AN37" s="88" t="str">
        <f>HYPERLINK("https://t.co/d1HOvjLdpm")</f>
        <v>https://t.co/d1HOvjLdpm</v>
      </c>
      <c r="AO37" s="81"/>
      <c r="AP37" s="83">
        <v>40009.68493055556</v>
      </c>
      <c r="AQ37" s="88" t="str">
        <f>HYPERLINK("https://pbs.twimg.com/profile_banners/57061632/1617893613")</f>
        <v>https://pbs.twimg.com/profile_banners/57061632/1617893613</v>
      </c>
      <c r="AR37" s="81" t="b">
        <v>1</v>
      </c>
      <c r="AS37" s="81" t="b">
        <v>0</v>
      </c>
      <c r="AT37" s="81" t="b">
        <v>1</v>
      </c>
      <c r="AU37" s="81"/>
      <c r="AV37" s="81">
        <v>139</v>
      </c>
      <c r="AW37" s="88" t="str">
        <f>HYPERLINK("https://abs.twimg.com/images/themes/theme1/bg.png")</f>
        <v>https://abs.twimg.com/images/themes/theme1/bg.png</v>
      </c>
      <c r="AX37" s="81" t="b">
        <v>1</v>
      </c>
      <c r="AY37" s="81" t="s">
        <v>2883</v>
      </c>
      <c r="AZ37" s="88" t="str">
        <f>HYPERLINK("https://twitter.com/tewv")</f>
        <v>https://twitter.com/tewv</v>
      </c>
      <c r="BA37" s="81" t="s">
        <v>66</v>
      </c>
      <c r="BB37" s="81" t="str">
        <f>REPLACE(INDEX(GroupVertices[Group],MATCH(Vertices[[#This Row],[Vertex]],GroupVertices[Vertex],0)),1,1,"")</f>
        <v>1</v>
      </c>
      <c r="BC37" s="49"/>
      <c r="BD37" s="49"/>
      <c r="BE37" s="49"/>
      <c r="BF37" s="49"/>
      <c r="BG37" s="49" t="s">
        <v>975</v>
      </c>
      <c r="BH37" s="49" t="s">
        <v>975</v>
      </c>
      <c r="BI37" s="113" t="s">
        <v>3696</v>
      </c>
      <c r="BJ37" s="113" t="s">
        <v>3696</v>
      </c>
      <c r="BK37" s="113" t="s">
        <v>3873</v>
      </c>
      <c r="BL37" s="113" t="s">
        <v>3873</v>
      </c>
      <c r="BM37" s="113">
        <v>1</v>
      </c>
      <c r="BN37" s="116">
        <v>4.166666666666667</v>
      </c>
      <c r="BO37" s="113">
        <v>0</v>
      </c>
      <c r="BP37" s="116">
        <v>0</v>
      </c>
      <c r="BQ37" s="113">
        <v>0</v>
      </c>
      <c r="BR37" s="116">
        <v>0</v>
      </c>
      <c r="BS37" s="113">
        <v>23</v>
      </c>
      <c r="BT37" s="116">
        <v>95.83333333333333</v>
      </c>
      <c r="BU37" s="113">
        <v>24</v>
      </c>
      <c r="BV37" s="2"/>
      <c r="BW37" s="3"/>
      <c r="BX37" s="3"/>
      <c r="BY37" s="3"/>
      <c r="BZ37" s="3"/>
    </row>
    <row r="38" spans="1:78" ht="41.45" customHeight="1">
      <c r="A38" s="66" t="s">
        <v>277</v>
      </c>
      <c r="C38" s="67"/>
      <c r="D38" s="67" t="s">
        <v>64</v>
      </c>
      <c r="E38" s="68">
        <v>162.59378319321607</v>
      </c>
      <c r="F38" s="70">
        <v>99.99871945710402</v>
      </c>
      <c r="G38" s="106" t="str">
        <f>HYPERLINK("https://pbs.twimg.com/profile_images/1460556011505397762/4N4wJZGb_normal.jpg")</f>
        <v>https://pbs.twimg.com/profile_images/1460556011505397762/4N4wJZGb_normal.jpg</v>
      </c>
      <c r="H38" s="67"/>
      <c r="I38" s="71" t="s">
        <v>277</v>
      </c>
      <c r="J38" s="72"/>
      <c r="K38" s="72"/>
      <c r="L38" s="71" t="s">
        <v>2918</v>
      </c>
      <c r="M38" s="75">
        <v>1.426762262468609</v>
      </c>
      <c r="N38" s="76">
        <v>746.3868408203125</v>
      </c>
      <c r="O38" s="76">
        <v>3831.853515625</v>
      </c>
      <c r="P38" s="77"/>
      <c r="Q38" s="78"/>
      <c r="R38" s="78"/>
      <c r="S38" s="92"/>
      <c r="T38" s="49">
        <v>1</v>
      </c>
      <c r="U38" s="49">
        <v>1</v>
      </c>
      <c r="V38" s="50">
        <v>0</v>
      </c>
      <c r="W38" s="50">
        <v>0</v>
      </c>
      <c r="X38" s="50">
        <v>0</v>
      </c>
      <c r="Y38" s="50">
        <v>0.999998</v>
      </c>
      <c r="Z38" s="50">
        <v>0</v>
      </c>
      <c r="AA38" s="50">
        <v>0</v>
      </c>
      <c r="AB38" s="73">
        <v>38</v>
      </c>
      <c r="AC38" s="73"/>
      <c r="AD38" s="74"/>
      <c r="AE38" s="81" t="s">
        <v>1951</v>
      </c>
      <c r="AF38" s="86" t="s">
        <v>2225</v>
      </c>
      <c r="AG38" s="81">
        <v>630</v>
      </c>
      <c r="AH38" s="81">
        <v>3153</v>
      </c>
      <c r="AI38" s="81">
        <v>13083</v>
      </c>
      <c r="AJ38" s="81">
        <v>3695</v>
      </c>
      <c r="AK38" s="81"/>
      <c r="AL38" s="81" t="s">
        <v>2491</v>
      </c>
      <c r="AM38" s="81" t="s">
        <v>2750</v>
      </c>
      <c r="AN38" s="88" t="str">
        <f>HYPERLINK("https://t.co/q4ylAvYzXm")</f>
        <v>https://t.co/q4ylAvYzXm</v>
      </c>
      <c r="AO38" s="81"/>
      <c r="AP38" s="83">
        <v>41381.43105324074</v>
      </c>
      <c r="AQ38" s="88" t="str">
        <f>HYPERLINK("https://pbs.twimg.com/profile_banners/1359068448/1632407500")</f>
        <v>https://pbs.twimg.com/profile_banners/1359068448/1632407500</v>
      </c>
      <c r="AR38" s="81" t="b">
        <v>0</v>
      </c>
      <c r="AS38" s="81" t="b">
        <v>0</v>
      </c>
      <c r="AT38" s="81" t="b">
        <v>1</v>
      </c>
      <c r="AU38" s="81"/>
      <c r="AV38" s="81">
        <v>45</v>
      </c>
      <c r="AW38" s="88" t="str">
        <f>HYPERLINK("https://abs.twimg.com/images/themes/theme1/bg.png")</f>
        <v>https://abs.twimg.com/images/themes/theme1/bg.png</v>
      </c>
      <c r="AX38" s="81" t="b">
        <v>0</v>
      </c>
      <c r="AY38" s="81" t="s">
        <v>2883</v>
      </c>
      <c r="AZ38" s="88" t="str">
        <f>HYPERLINK("https://twitter.com/ukhsa_northeast")</f>
        <v>https://twitter.com/ukhsa_northeast</v>
      </c>
      <c r="BA38" s="81" t="s">
        <v>66</v>
      </c>
      <c r="BB38" s="81" t="str">
        <f>REPLACE(INDEX(GroupVertices[Group],MATCH(Vertices[[#This Row],[Vertex]],GroupVertices[Vertex],0)),1,1,"")</f>
        <v>1</v>
      </c>
      <c r="BC38" s="49"/>
      <c r="BD38" s="49"/>
      <c r="BE38" s="49"/>
      <c r="BF38" s="49"/>
      <c r="BG38" s="49" t="s">
        <v>955</v>
      </c>
      <c r="BH38" s="49" t="s">
        <v>955</v>
      </c>
      <c r="BI38" s="113" t="s">
        <v>3683</v>
      </c>
      <c r="BJ38" s="113" t="s">
        <v>3683</v>
      </c>
      <c r="BK38" s="113" t="s">
        <v>3860</v>
      </c>
      <c r="BL38" s="113" t="s">
        <v>3860</v>
      </c>
      <c r="BM38" s="113">
        <v>0</v>
      </c>
      <c r="BN38" s="116">
        <v>0</v>
      </c>
      <c r="BO38" s="113">
        <v>2</v>
      </c>
      <c r="BP38" s="116">
        <v>6.0606060606060606</v>
      </c>
      <c r="BQ38" s="113">
        <v>0</v>
      </c>
      <c r="BR38" s="116">
        <v>0</v>
      </c>
      <c r="BS38" s="113">
        <v>31</v>
      </c>
      <c r="BT38" s="116">
        <v>93.93939393939394</v>
      </c>
      <c r="BU38" s="113">
        <v>33</v>
      </c>
      <c r="BV38" s="2"/>
      <c r="BW38" s="3"/>
      <c r="BX38" s="3"/>
      <c r="BY38" s="3"/>
      <c r="BZ38" s="3"/>
    </row>
    <row r="39" spans="1:78" ht="41.45" customHeight="1">
      <c r="A39" s="66" t="s">
        <v>278</v>
      </c>
      <c r="C39" s="67"/>
      <c r="D39" s="67" t="s">
        <v>64</v>
      </c>
      <c r="E39" s="68">
        <v>162.64863745011317</v>
      </c>
      <c r="F39" s="70">
        <v>99.99860115933171</v>
      </c>
      <c r="G39" s="106" t="str">
        <f>HYPERLINK("https://pbs.twimg.com/profile_images/1226884855046250497/rIUDHDSg_normal.png")</f>
        <v>https://pbs.twimg.com/profile_images/1226884855046250497/rIUDHDSg_normal.png</v>
      </c>
      <c r="H39" s="67"/>
      <c r="I39" s="71" t="s">
        <v>278</v>
      </c>
      <c r="J39" s="72"/>
      <c r="K39" s="72"/>
      <c r="L39" s="71" t="s">
        <v>2919</v>
      </c>
      <c r="M39" s="75">
        <v>1.466186966715709</v>
      </c>
      <c r="N39" s="76">
        <v>2310.1279296875</v>
      </c>
      <c r="O39" s="76">
        <v>3831.853515625</v>
      </c>
      <c r="P39" s="77"/>
      <c r="Q39" s="78"/>
      <c r="R39" s="78"/>
      <c r="S39" s="92"/>
      <c r="T39" s="49">
        <v>1</v>
      </c>
      <c r="U39" s="49">
        <v>1</v>
      </c>
      <c r="V39" s="50">
        <v>0</v>
      </c>
      <c r="W39" s="50">
        <v>0</v>
      </c>
      <c r="X39" s="50">
        <v>0</v>
      </c>
      <c r="Y39" s="50">
        <v>0.999998</v>
      </c>
      <c r="Z39" s="50">
        <v>0</v>
      </c>
      <c r="AA39" s="50">
        <v>0</v>
      </c>
      <c r="AB39" s="73">
        <v>39</v>
      </c>
      <c r="AC39" s="73"/>
      <c r="AD39" s="74"/>
      <c r="AE39" s="81" t="s">
        <v>1952</v>
      </c>
      <c r="AF39" s="86" t="s">
        <v>2226</v>
      </c>
      <c r="AG39" s="81">
        <v>853</v>
      </c>
      <c r="AH39" s="81">
        <v>3444</v>
      </c>
      <c r="AI39" s="81">
        <v>6347</v>
      </c>
      <c r="AJ39" s="81">
        <v>5238</v>
      </c>
      <c r="AK39" s="81"/>
      <c r="AL39" s="81" t="s">
        <v>2492</v>
      </c>
      <c r="AM39" s="81" t="s">
        <v>2751</v>
      </c>
      <c r="AN39" s="88" t="str">
        <f>HYPERLINK("http://t.co/dM1YRvDgbp")</f>
        <v>http://t.co/dM1YRvDgbp</v>
      </c>
      <c r="AO39" s="81"/>
      <c r="AP39" s="83">
        <v>41575.63527777778</v>
      </c>
      <c r="AQ39" s="88" t="str">
        <f>HYPERLINK("https://pbs.twimg.com/profile_banners/2161088306/1585850989")</f>
        <v>https://pbs.twimg.com/profile_banners/2161088306/1585850989</v>
      </c>
      <c r="AR39" s="81" t="b">
        <v>0</v>
      </c>
      <c r="AS39" s="81" t="b">
        <v>0</v>
      </c>
      <c r="AT39" s="81" t="b">
        <v>1</v>
      </c>
      <c r="AU39" s="81"/>
      <c r="AV39" s="81">
        <v>57</v>
      </c>
      <c r="AW39" s="88" t="str">
        <f>HYPERLINK("https://abs.twimg.com/images/themes/theme6/bg.gif")</f>
        <v>https://abs.twimg.com/images/themes/theme6/bg.gif</v>
      </c>
      <c r="AX39" s="81" t="b">
        <v>0</v>
      </c>
      <c r="AY39" s="81" t="s">
        <v>2883</v>
      </c>
      <c r="AZ39" s="88" t="str">
        <f>HYPERLINK("https://twitter.com/uwpharmacy")</f>
        <v>https://twitter.com/uwpharmacy</v>
      </c>
      <c r="BA39" s="81" t="s">
        <v>66</v>
      </c>
      <c r="BB39" s="81" t="str">
        <f>REPLACE(INDEX(GroupVertices[Group],MATCH(Vertices[[#This Row],[Vertex]],GroupVertices[Vertex],0)),1,1,"")</f>
        <v>1</v>
      </c>
      <c r="BC39" s="49" t="s">
        <v>3547</v>
      </c>
      <c r="BD39" s="49" t="s">
        <v>3547</v>
      </c>
      <c r="BE39" s="49" t="s">
        <v>907</v>
      </c>
      <c r="BF39" s="49" t="s">
        <v>907</v>
      </c>
      <c r="BG39" s="49" t="s">
        <v>976</v>
      </c>
      <c r="BH39" s="49" t="s">
        <v>976</v>
      </c>
      <c r="BI39" s="113" t="s">
        <v>3697</v>
      </c>
      <c r="BJ39" s="113" t="s">
        <v>3697</v>
      </c>
      <c r="BK39" s="113" t="s">
        <v>3874</v>
      </c>
      <c r="BL39" s="113" t="s">
        <v>3874</v>
      </c>
      <c r="BM39" s="113">
        <v>0</v>
      </c>
      <c r="BN39" s="116">
        <v>0</v>
      </c>
      <c r="BO39" s="113">
        <v>0</v>
      </c>
      <c r="BP39" s="116">
        <v>0</v>
      </c>
      <c r="BQ39" s="113">
        <v>0</v>
      </c>
      <c r="BR39" s="116">
        <v>0</v>
      </c>
      <c r="BS39" s="113">
        <v>32</v>
      </c>
      <c r="BT39" s="116">
        <v>100</v>
      </c>
      <c r="BU39" s="113">
        <v>32</v>
      </c>
      <c r="BV39" s="2"/>
      <c r="BW39" s="3"/>
      <c r="BX39" s="3"/>
      <c r="BY39" s="3"/>
      <c r="BZ39" s="3"/>
    </row>
    <row r="40" spans="1:78" ht="41.45" customHeight="1">
      <c r="A40" s="66" t="s">
        <v>279</v>
      </c>
      <c r="C40" s="67"/>
      <c r="D40" s="67" t="s">
        <v>64</v>
      </c>
      <c r="E40" s="68">
        <v>162.55872170942615</v>
      </c>
      <c r="F40" s="70">
        <v>99.99879507011312</v>
      </c>
      <c r="G40" s="106" t="str">
        <f>HYPERLINK("https://pbs.twimg.com/profile_images/1460568967207075840/g2z-GrlL_normal.jpg")</f>
        <v>https://pbs.twimg.com/profile_images/1460568967207075840/g2z-GrlL_normal.jpg</v>
      </c>
      <c r="H40" s="67"/>
      <c r="I40" s="71" t="s">
        <v>279</v>
      </c>
      <c r="J40" s="72"/>
      <c r="K40" s="72"/>
      <c r="L40" s="71" t="s">
        <v>2920</v>
      </c>
      <c r="M40" s="75">
        <v>1.4015629669704626</v>
      </c>
      <c r="N40" s="76">
        <v>5046.6748046875</v>
      </c>
      <c r="O40" s="76">
        <v>4610.28466796875</v>
      </c>
      <c r="P40" s="77"/>
      <c r="Q40" s="78"/>
      <c r="R40" s="78"/>
      <c r="S40" s="92"/>
      <c r="T40" s="49">
        <v>1</v>
      </c>
      <c r="U40" s="49">
        <v>1</v>
      </c>
      <c r="V40" s="50">
        <v>0</v>
      </c>
      <c r="W40" s="50">
        <v>0</v>
      </c>
      <c r="X40" s="50">
        <v>0</v>
      </c>
      <c r="Y40" s="50">
        <v>0.999998</v>
      </c>
      <c r="Z40" s="50">
        <v>0</v>
      </c>
      <c r="AA40" s="50">
        <v>0</v>
      </c>
      <c r="AB40" s="73">
        <v>40</v>
      </c>
      <c r="AC40" s="73"/>
      <c r="AD40" s="74"/>
      <c r="AE40" s="81" t="s">
        <v>1953</v>
      </c>
      <c r="AF40" s="86" t="s">
        <v>2227</v>
      </c>
      <c r="AG40" s="81">
        <v>821</v>
      </c>
      <c r="AH40" s="81">
        <v>2967</v>
      </c>
      <c r="AI40" s="81">
        <v>7174</v>
      </c>
      <c r="AJ40" s="81">
        <v>3120</v>
      </c>
      <c r="AK40" s="81"/>
      <c r="AL40" s="81" t="s">
        <v>2493</v>
      </c>
      <c r="AM40" s="81" t="s">
        <v>2752</v>
      </c>
      <c r="AN40" s="88" t="str">
        <f>HYPERLINK("https://t.co/cN1x4Yf1RL")</f>
        <v>https://t.co/cN1x4Yf1RL</v>
      </c>
      <c r="AO40" s="81"/>
      <c r="AP40" s="83">
        <v>41387.61368055556</v>
      </c>
      <c r="AQ40" s="88" t="str">
        <f>HYPERLINK("https://pbs.twimg.com/profile_banners/1374710232/1638203602")</f>
        <v>https://pbs.twimg.com/profile_banners/1374710232/1638203602</v>
      </c>
      <c r="AR40" s="81" t="b">
        <v>0</v>
      </c>
      <c r="AS40" s="81" t="b">
        <v>0</v>
      </c>
      <c r="AT40" s="81" t="b">
        <v>0</v>
      </c>
      <c r="AU40" s="81"/>
      <c r="AV40" s="81">
        <v>48</v>
      </c>
      <c r="AW40" s="88" t="str">
        <f>HYPERLINK("https://abs.twimg.com/images/themes/theme1/bg.png")</f>
        <v>https://abs.twimg.com/images/themes/theme1/bg.png</v>
      </c>
      <c r="AX40" s="81" t="b">
        <v>0</v>
      </c>
      <c r="AY40" s="81" t="s">
        <v>2883</v>
      </c>
      <c r="AZ40" s="88" t="str">
        <f>HYPERLINK("https://twitter.com/ukhsa_southeast")</f>
        <v>https://twitter.com/ukhsa_southeast</v>
      </c>
      <c r="BA40" s="81" t="s">
        <v>66</v>
      </c>
      <c r="BB40" s="81" t="str">
        <f>REPLACE(INDEX(GroupVertices[Group],MATCH(Vertices[[#This Row],[Vertex]],GroupVertices[Vertex],0)),1,1,"")</f>
        <v>1</v>
      </c>
      <c r="BC40" s="49" t="s">
        <v>3548</v>
      </c>
      <c r="BD40" s="49" t="s">
        <v>3548</v>
      </c>
      <c r="BE40" s="49" t="s">
        <v>908</v>
      </c>
      <c r="BF40" s="49" t="s">
        <v>908</v>
      </c>
      <c r="BG40" s="49" t="s">
        <v>977</v>
      </c>
      <c r="BH40" s="49" t="s">
        <v>977</v>
      </c>
      <c r="BI40" s="113" t="s">
        <v>3698</v>
      </c>
      <c r="BJ40" s="113" t="s">
        <v>3698</v>
      </c>
      <c r="BK40" s="113" t="s">
        <v>3875</v>
      </c>
      <c r="BL40" s="113" t="s">
        <v>3875</v>
      </c>
      <c r="BM40" s="113">
        <v>0</v>
      </c>
      <c r="BN40" s="116">
        <v>0</v>
      </c>
      <c r="BO40" s="113">
        <v>2</v>
      </c>
      <c r="BP40" s="116">
        <v>5.405405405405405</v>
      </c>
      <c r="BQ40" s="113">
        <v>0</v>
      </c>
      <c r="BR40" s="116">
        <v>0</v>
      </c>
      <c r="BS40" s="113">
        <v>35</v>
      </c>
      <c r="BT40" s="116">
        <v>94.5945945945946</v>
      </c>
      <c r="BU40" s="113">
        <v>37</v>
      </c>
      <c r="BV40" s="2"/>
      <c r="BW40" s="3"/>
      <c r="BX40" s="3"/>
      <c r="BY40" s="3"/>
      <c r="BZ40" s="3"/>
    </row>
    <row r="41" spans="1:78" ht="41.45" customHeight="1">
      <c r="A41" s="66" t="s">
        <v>280</v>
      </c>
      <c r="C41" s="67"/>
      <c r="D41" s="67" t="s">
        <v>64</v>
      </c>
      <c r="E41" s="68">
        <v>162.87220153492405</v>
      </c>
      <c r="F41" s="70">
        <v>99.99811902476834</v>
      </c>
      <c r="G41" s="106" t="str">
        <f>HYPERLINK("https://pbs.twimg.com/profile_images/1460591957491781632/oPkaQrtd_normal.jpg")</f>
        <v>https://pbs.twimg.com/profile_images/1460591957491781632/oPkaQrtd_normal.jpg</v>
      </c>
      <c r="H41" s="67"/>
      <c r="I41" s="71" t="s">
        <v>280</v>
      </c>
      <c r="J41" s="72"/>
      <c r="K41" s="72"/>
      <c r="L41" s="71" t="s">
        <v>2921</v>
      </c>
      <c r="M41" s="75">
        <v>1.6268663455372234</v>
      </c>
      <c r="N41" s="76">
        <v>5046.6748046875</v>
      </c>
      <c r="O41" s="76">
        <v>3831.853515625</v>
      </c>
      <c r="P41" s="77"/>
      <c r="Q41" s="78"/>
      <c r="R41" s="78"/>
      <c r="S41" s="92"/>
      <c r="T41" s="49">
        <v>1</v>
      </c>
      <c r="U41" s="49">
        <v>1</v>
      </c>
      <c r="V41" s="50">
        <v>0</v>
      </c>
      <c r="W41" s="50">
        <v>0</v>
      </c>
      <c r="X41" s="50">
        <v>0</v>
      </c>
      <c r="Y41" s="50">
        <v>0.999998</v>
      </c>
      <c r="Z41" s="50">
        <v>0</v>
      </c>
      <c r="AA41" s="50">
        <v>0</v>
      </c>
      <c r="AB41" s="73">
        <v>41</v>
      </c>
      <c r="AC41" s="73"/>
      <c r="AD41" s="74"/>
      <c r="AE41" s="81" t="s">
        <v>1954</v>
      </c>
      <c r="AF41" s="86" t="s">
        <v>2228</v>
      </c>
      <c r="AG41" s="81">
        <v>1231</v>
      </c>
      <c r="AH41" s="81">
        <v>4630</v>
      </c>
      <c r="AI41" s="81">
        <v>16951</v>
      </c>
      <c r="AJ41" s="81">
        <v>11624</v>
      </c>
      <c r="AK41" s="81"/>
      <c r="AL41" s="81" t="s">
        <v>2494</v>
      </c>
      <c r="AM41" s="81" t="s">
        <v>2753</v>
      </c>
      <c r="AN41" s="88" t="str">
        <f>HYPERLINK("https://t.co/SeCRLqmjau")</f>
        <v>https://t.co/SeCRLqmjau</v>
      </c>
      <c r="AO41" s="81"/>
      <c r="AP41" s="83">
        <v>41381.43603009259</v>
      </c>
      <c r="AQ41" s="88" t="str">
        <f>HYPERLINK("https://pbs.twimg.com/profile_banners/1359098408/1632407642")</f>
        <v>https://pbs.twimg.com/profile_banners/1359098408/1632407642</v>
      </c>
      <c r="AR41" s="81" t="b">
        <v>0</v>
      </c>
      <c r="AS41" s="81" t="b">
        <v>0</v>
      </c>
      <c r="AT41" s="81" t="b">
        <v>0</v>
      </c>
      <c r="AU41" s="81"/>
      <c r="AV41" s="81">
        <v>72</v>
      </c>
      <c r="AW41" s="88" t="str">
        <f>HYPERLINK("https://abs.twimg.com/images/themes/theme1/bg.png")</f>
        <v>https://abs.twimg.com/images/themes/theme1/bg.png</v>
      </c>
      <c r="AX41" s="81" t="b">
        <v>0</v>
      </c>
      <c r="AY41" s="81" t="s">
        <v>2883</v>
      </c>
      <c r="AZ41" s="88" t="str">
        <f>HYPERLINK("https://twitter.com/ukhsa_westmids")</f>
        <v>https://twitter.com/ukhsa_westmids</v>
      </c>
      <c r="BA41" s="81" t="s">
        <v>66</v>
      </c>
      <c r="BB41" s="81" t="str">
        <f>REPLACE(INDEX(GroupVertices[Group],MATCH(Vertices[[#This Row],[Vertex]],GroupVertices[Vertex],0)),1,1,"")</f>
        <v>1</v>
      </c>
      <c r="BC41" s="49" t="s">
        <v>3549</v>
      </c>
      <c r="BD41" s="49" t="s">
        <v>3549</v>
      </c>
      <c r="BE41" s="49" t="s">
        <v>3597</v>
      </c>
      <c r="BF41" s="49" t="s">
        <v>3597</v>
      </c>
      <c r="BG41" s="49" t="s">
        <v>3613</v>
      </c>
      <c r="BH41" s="49" t="s">
        <v>3648</v>
      </c>
      <c r="BI41" s="113" t="s">
        <v>3699</v>
      </c>
      <c r="BJ41" s="113" t="s">
        <v>3817</v>
      </c>
      <c r="BK41" s="113" t="s">
        <v>3876</v>
      </c>
      <c r="BL41" s="113" t="s">
        <v>3990</v>
      </c>
      <c r="BM41" s="113">
        <v>1</v>
      </c>
      <c r="BN41" s="116">
        <v>1.0416666666666667</v>
      </c>
      <c r="BO41" s="113">
        <v>3</v>
      </c>
      <c r="BP41" s="116">
        <v>3.125</v>
      </c>
      <c r="BQ41" s="113">
        <v>0</v>
      </c>
      <c r="BR41" s="116">
        <v>0</v>
      </c>
      <c r="BS41" s="113">
        <v>92</v>
      </c>
      <c r="BT41" s="116">
        <v>95.83333333333333</v>
      </c>
      <c r="BU41" s="113">
        <v>96</v>
      </c>
      <c r="BV41" s="2"/>
      <c r="BW41" s="3"/>
      <c r="BX41" s="3"/>
      <c r="BY41" s="3"/>
      <c r="BZ41" s="3"/>
    </row>
    <row r="42" spans="1:78" ht="41.45" customHeight="1">
      <c r="A42" s="66" t="s">
        <v>281</v>
      </c>
      <c r="C42" s="67"/>
      <c r="D42" s="67" t="s">
        <v>64</v>
      </c>
      <c r="E42" s="68">
        <v>162.01244117166738</v>
      </c>
      <c r="F42" s="70">
        <v>99.99997316957742</v>
      </c>
      <c r="G42" s="106" t="str">
        <f>HYPERLINK("https://pbs.twimg.com/profile_images/1462106165043683336/F_p05EaJ_normal.jpg")</f>
        <v>https://pbs.twimg.com/profile_images/1462106165043683336/F_p05EaJ_normal.jpg</v>
      </c>
      <c r="H42" s="67"/>
      <c r="I42" s="71" t="s">
        <v>281</v>
      </c>
      <c r="J42" s="72"/>
      <c r="K42" s="72"/>
      <c r="L42" s="71" t="s">
        <v>2922</v>
      </c>
      <c r="M42" s="75">
        <v>1.0089416854993423</v>
      </c>
      <c r="N42" s="76">
        <v>3091.998291015625</v>
      </c>
      <c r="O42" s="76">
        <v>8502.439453125</v>
      </c>
      <c r="P42" s="77"/>
      <c r="Q42" s="78"/>
      <c r="R42" s="78"/>
      <c r="S42" s="92"/>
      <c r="T42" s="49">
        <v>1</v>
      </c>
      <c r="U42" s="49">
        <v>1</v>
      </c>
      <c r="V42" s="50">
        <v>0</v>
      </c>
      <c r="W42" s="50">
        <v>0</v>
      </c>
      <c r="X42" s="50">
        <v>0</v>
      </c>
      <c r="Y42" s="50">
        <v>0.999998</v>
      </c>
      <c r="Z42" s="50">
        <v>0</v>
      </c>
      <c r="AA42" s="50">
        <v>0</v>
      </c>
      <c r="AB42" s="73">
        <v>42</v>
      </c>
      <c r="AC42" s="73"/>
      <c r="AD42" s="74"/>
      <c r="AE42" s="81" t="s">
        <v>1955</v>
      </c>
      <c r="AF42" s="86" t="s">
        <v>2229</v>
      </c>
      <c r="AG42" s="81">
        <v>93</v>
      </c>
      <c r="AH42" s="81">
        <v>69</v>
      </c>
      <c r="AI42" s="81">
        <v>45</v>
      </c>
      <c r="AJ42" s="81">
        <v>31</v>
      </c>
      <c r="AK42" s="81"/>
      <c r="AL42" s="81" t="s">
        <v>2495</v>
      </c>
      <c r="AM42" s="81" t="s">
        <v>2724</v>
      </c>
      <c r="AN42" s="81"/>
      <c r="AO42" s="81"/>
      <c r="AP42" s="83">
        <v>44331.599282407406</v>
      </c>
      <c r="AQ42" s="88" t="str">
        <f>HYPERLINK("https://pbs.twimg.com/profile_banners/1393572535711768580/1638286856")</f>
        <v>https://pbs.twimg.com/profile_banners/1393572535711768580/1638286856</v>
      </c>
      <c r="AR42" s="81" t="b">
        <v>1</v>
      </c>
      <c r="AS42" s="81" t="b">
        <v>0</v>
      </c>
      <c r="AT42" s="81" t="b">
        <v>1</v>
      </c>
      <c r="AU42" s="81"/>
      <c r="AV42" s="81">
        <v>0</v>
      </c>
      <c r="AW42" s="81"/>
      <c r="AX42" s="81" t="b">
        <v>0</v>
      </c>
      <c r="AY42" s="81" t="s">
        <v>2883</v>
      </c>
      <c r="AZ42" s="88" t="str">
        <f>HYPERLINK("https://twitter.com/zainablakhani5")</f>
        <v>https://twitter.com/zainablakhani5</v>
      </c>
      <c r="BA42" s="81" t="s">
        <v>66</v>
      </c>
      <c r="BB42" s="81" t="str">
        <f>REPLACE(INDEX(GroupVertices[Group],MATCH(Vertices[[#This Row],[Vertex]],GroupVertices[Vertex],0)),1,1,"")</f>
        <v>1</v>
      </c>
      <c r="BC42" s="49"/>
      <c r="BD42" s="49"/>
      <c r="BE42" s="49"/>
      <c r="BF42" s="49"/>
      <c r="BG42" s="49" t="s">
        <v>966</v>
      </c>
      <c r="BH42" s="49" t="s">
        <v>966</v>
      </c>
      <c r="BI42" s="113" t="s">
        <v>3700</v>
      </c>
      <c r="BJ42" s="113" t="s">
        <v>3681</v>
      </c>
      <c r="BK42" s="113" t="s">
        <v>3877</v>
      </c>
      <c r="BL42" s="113" t="s">
        <v>3858</v>
      </c>
      <c r="BM42" s="113">
        <v>0</v>
      </c>
      <c r="BN42" s="116">
        <v>0</v>
      </c>
      <c r="BO42" s="113">
        <v>4</v>
      </c>
      <c r="BP42" s="116">
        <v>12.121212121212121</v>
      </c>
      <c r="BQ42" s="113">
        <v>0</v>
      </c>
      <c r="BR42" s="116">
        <v>0</v>
      </c>
      <c r="BS42" s="113">
        <v>29</v>
      </c>
      <c r="BT42" s="116">
        <v>87.87878787878788</v>
      </c>
      <c r="BU42" s="113">
        <v>33</v>
      </c>
      <c r="BV42" s="2"/>
      <c r="BW42" s="3"/>
      <c r="BX42" s="3"/>
      <c r="BY42" s="3"/>
      <c r="BZ42" s="3"/>
    </row>
    <row r="43" spans="1:78" ht="41.45" customHeight="1">
      <c r="A43" s="66" t="s">
        <v>282</v>
      </c>
      <c r="C43" s="67"/>
      <c r="D43" s="67" t="s">
        <v>64</v>
      </c>
      <c r="E43" s="68">
        <v>162.69859063938372</v>
      </c>
      <c r="F43" s="70">
        <v>99.99849343111984</v>
      </c>
      <c r="G43" s="106" t="str">
        <f>HYPERLINK("https://pbs.twimg.com/profile_images/1293884944637452288/p3THPnno_normal.jpg")</f>
        <v>https://pbs.twimg.com/profile_images/1293884944637452288/p3THPnno_normal.jpg</v>
      </c>
      <c r="H43" s="67"/>
      <c r="I43" s="71" t="s">
        <v>282</v>
      </c>
      <c r="J43" s="72"/>
      <c r="K43" s="72"/>
      <c r="L43" s="71" t="s">
        <v>2923</v>
      </c>
      <c r="M43" s="75">
        <v>1.5020891887964014</v>
      </c>
      <c r="N43" s="76">
        <v>3482.93359375</v>
      </c>
      <c r="O43" s="76">
        <v>3831.853515625</v>
      </c>
      <c r="P43" s="77"/>
      <c r="Q43" s="78"/>
      <c r="R43" s="78"/>
      <c r="S43" s="92"/>
      <c r="T43" s="49">
        <v>1</v>
      </c>
      <c r="U43" s="49">
        <v>1</v>
      </c>
      <c r="V43" s="50">
        <v>0</v>
      </c>
      <c r="W43" s="50">
        <v>0</v>
      </c>
      <c r="X43" s="50">
        <v>0</v>
      </c>
      <c r="Y43" s="50">
        <v>0.999998</v>
      </c>
      <c r="Z43" s="50">
        <v>0</v>
      </c>
      <c r="AA43" s="50">
        <v>0</v>
      </c>
      <c r="AB43" s="73">
        <v>43</v>
      </c>
      <c r="AC43" s="73"/>
      <c r="AD43" s="74"/>
      <c r="AE43" s="81" t="s">
        <v>1956</v>
      </c>
      <c r="AF43" s="86" t="s">
        <v>2230</v>
      </c>
      <c r="AG43" s="81">
        <v>944</v>
      </c>
      <c r="AH43" s="81">
        <v>3709</v>
      </c>
      <c r="AI43" s="81">
        <v>10977</v>
      </c>
      <c r="AJ43" s="81">
        <v>4378</v>
      </c>
      <c r="AK43" s="81"/>
      <c r="AL43" s="81" t="s">
        <v>2496</v>
      </c>
      <c r="AM43" s="81" t="s">
        <v>2754</v>
      </c>
      <c r="AN43" s="88" t="str">
        <f>HYPERLINK("https://t.co/YtzxtcoBQv")</f>
        <v>https://t.co/YtzxtcoBQv</v>
      </c>
      <c r="AO43" s="81"/>
      <c r="AP43" s="83">
        <v>41571.530173611114</v>
      </c>
      <c r="AQ43" s="88" t="str">
        <f>HYPERLINK("https://pbs.twimg.com/profile_banners/2152897284/1596190379")</f>
        <v>https://pbs.twimg.com/profile_banners/2152897284/1596190379</v>
      </c>
      <c r="AR43" s="81" t="b">
        <v>0</v>
      </c>
      <c r="AS43" s="81" t="b">
        <v>0</v>
      </c>
      <c r="AT43" s="81" t="b">
        <v>1</v>
      </c>
      <c r="AU43" s="81"/>
      <c r="AV43" s="81">
        <v>58</v>
      </c>
      <c r="AW43" s="88" t="str">
        <f>HYPERLINK("https://abs.twimg.com/images/themes/theme16/bg.gif")</f>
        <v>https://abs.twimg.com/images/themes/theme16/bg.gif</v>
      </c>
      <c r="AX43" s="81" t="b">
        <v>1</v>
      </c>
      <c r="AY43" s="81" t="s">
        <v>2883</v>
      </c>
      <c r="AZ43" s="88" t="str">
        <f>HYPERLINK("https://twitter.com/wchc_nhs")</f>
        <v>https://twitter.com/wchc_nhs</v>
      </c>
      <c r="BA43" s="81" t="s">
        <v>66</v>
      </c>
      <c r="BB43" s="81" t="str">
        <f>REPLACE(INDEX(GroupVertices[Group],MATCH(Vertices[[#This Row],[Vertex]],GroupVertices[Vertex],0)),1,1,"")</f>
        <v>1</v>
      </c>
      <c r="BC43" s="49" t="s">
        <v>3550</v>
      </c>
      <c r="BD43" s="49" t="s">
        <v>3550</v>
      </c>
      <c r="BE43" s="49" t="s">
        <v>910</v>
      </c>
      <c r="BF43" s="49" t="s">
        <v>910</v>
      </c>
      <c r="BG43" s="49" t="s">
        <v>955</v>
      </c>
      <c r="BH43" s="49" t="s">
        <v>955</v>
      </c>
      <c r="BI43" s="113" t="s">
        <v>3701</v>
      </c>
      <c r="BJ43" s="113" t="s">
        <v>3701</v>
      </c>
      <c r="BK43" s="113" t="s">
        <v>3878</v>
      </c>
      <c r="BL43" s="113" t="s">
        <v>3878</v>
      </c>
      <c r="BM43" s="113">
        <v>0</v>
      </c>
      <c r="BN43" s="116">
        <v>0</v>
      </c>
      <c r="BO43" s="113">
        <v>3</v>
      </c>
      <c r="BP43" s="116">
        <v>10</v>
      </c>
      <c r="BQ43" s="113">
        <v>0</v>
      </c>
      <c r="BR43" s="116">
        <v>0</v>
      </c>
      <c r="BS43" s="113">
        <v>27</v>
      </c>
      <c r="BT43" s="116">
        <v>90</v>
      </c>
      <c r="BU43" s="113">
        <v>30</v>
      </c>
      <c r="BV43" s="2"/>
      <c r="BW43" s="3"/>
      <c r="BX43" s="3"/>
      <c r="BY43" s="3"/>
      <c r="BZ43" s="3"/>
    </row>
    <row r="44" spans="1:78" ht="41.45" customHeight="1">
      <c r="A44" s="66" t="s">
        <v>283</v>
      </c>
      <c r="C44" s="67"/>
      <c r="D44" s="67" t="s">
        <v>64</v>
      </c>
      <c r="E44" s="68">
        <v>162.20113227528938</v>
      </c>
      <c r="F44" s="70">
        <v>99.99956624150158</v>
      </c>
      <c r="G44" s="106" t="str">
        <f>HYPERLINK("https://pbs.twimg.com/profile_images/1255209049198649347/iDod2ON7_normal.jpg")</f>
        <v>https://pbs.twimg.com/profile_images/1255209049198649347/iDod2ON7_normal.jpg</v>
      </c>
      <c r="H44" s="67"/>
      <c r="I44" s="71" t="s">
        <v>283</v>
      </c>
      <c r="J44" s="72"/>
      <c r="K44" s="72"/>
      <c r="L44" s="71" t="s">
        <v>2924</v>
      </c>
      <c r="M44" s="75">
        <v>1.1445572489060336</v>
      </c>
      <c r="N44" s="76">
        <v>8348.498046875</v>
      </c>
      <c r="O44" s="76">
        <v>2000.8963623046875</v>
      </c>
      <c r="P44" s="77"/>
      <c r="Q44" s="78"/>
      <c r="R44" s="78"/>
      <c r="S44" s="92"/>
      <c r="T44" s="49">
        <v>1</v>
      </c>
      <c r="U44" s="49">
        <v>2</v>
      </c>
      <c r="V44" s="50">
        <v>0</v>
      </c>
      <c r="W44" s="50">
        <v>1</v>
      </c>
      <c r="X44" s="50">
        <v>0</v>
      </c>
      <c r="Y44" s="50">
        <v>1.298243</v>
      </c>
      <c r="Z44" s="50">
        <v>0</v>
      </c>
      <c r="AA44" s="50">
        <v>0</v>
      </c>
      <c r="AB44" s="73">
        <v>44</v>
      </c>
      <c r="AC44" s="73"/>
      <c r="AD44" s="74"/>
      <c r="AE44" s="81" t="s">
        <v>1957</v>
      </c>
      <c r="AF44" s="86" t="s">
        <v>2231</v>
      </c>
      <c r="AG44" s="81">
        <v>374</v>
      </c>
      <c r="AH44" s="81">
        <v>1070</v>
      </c>
      <c r="AI44" s="81">
        <v>471</v>
      </c>
      <c r="AJ44" s="81">
        <v>220</v>
      </c>
      <c r="AK44" s="81"/>
      <c r="AL44" s="81" t="s">
        <v>2497</v>
      </c>
      <c r="AM44" s="81"/>
      <c r="AN44" s="88" t="str">
        <f>HYPERLINK("https://t.co/hLtg73Zw47")</f>
        <v>https://t.co/hLtg73Zw47</v>
      </c>
      <c r="AO44" s="81"/>
      <c r="AP44" s="83">
        <v>43945.97565972222</v>
      </c>
      <c r="AQ44" s="88" t="str">
        <f>HYPERLINK("https://pbs.twimg.com/profile_banners/1253827213784494080/1619623658")</f>
        <v>https://pbs.twimg.com/profile_banners/1253827213784494080/1619623658</v>
      </c>
      <c r="AR44" s="81" t="b">
        <v>1</v>
      </c>
      <c r="AS44" s="81" t="b">
        <v>0</v>
      </c>
      <c r="AT44" s="81" t="b">
        <v>0</v>
      </c>
      <c r="AU44" s="81"/>
      <c r="AV44" s="81">
        <v>14</v>
      </c>
      <c r="AW44" s="81"/>
      <c r="AX44" s="81" t="b">
        <v>0</v>
      </c>
      <c r="AY44" s="81" t="s">
        <v>2883</v>
      </c>
      <c r="AZ44" s="88" t="str">
        <f>HYPERLINK("https://twitter.com/thepfid")</f>
        <v>https://twitter.com/thepfid</v>
      </c>
      <c r="BA44" s="81" t="s">
        <v>66</v>
      </c>
      <c r="BB44" s="81" t="str">
        <f>REPLACE(INDEX(GroupVertices[Group],MATCH(Vertices[[#This Row],[Vertex]],GroupVertices[Vertex],0)),1,1,"")</f>
        <v>25</v>
      </c>
      <c r="BC44" s="49" t="s">
        <v>3551</v>
      </c>
      <c r="BD44" s="49" t="s">
        <v>3551</v>
      </c>
      <c r="BE44" s="49" t="s">
        <v>3598</v>
      </c>
      <c r="BF44" s="49" t="s">
        <v>3608</v>
      </c>
      <c r="BG44" s="49" t="s">
        <v>3614</v>
      </c>
      <c r="BH44" s="49" t="s">
        <v>3649</v>
      </c>
      <c r="BI44" s="113" t="s">
        <v>3702</v>
      </c>
      <c r="BJ44" s="113" t="s">
        <v>3818</v>
      </c>
      <c r="BK44" s="113" t="s">
        <v>3879</v>
      </c>
      <c r="BL44" s="113" t="s">
        <v>3991</v>
      </c>
      <c r="BM44" s="113">
        <v>3</v>
      </c>
      <c r="BN44" s="116">
        <v>2.830188679245283</v>
      </c>
      <c r="BO44" s="113">
        <v>8</v>
      </c>
      <c r="BP44" s="116">
        <v>7.547169811320755</v>
      </c>
      <c r="BQ44" s="113">
        <v>0</v>
      </c>
      <c r="BR44" s="116">
        <v>0</v>
      </c>
      <c r="BS44" s="113">
        <v>95</v>
      </c>
      <c r="BT44" s="116">
        <v>89.62264150943396</v>
      </c>
      <c r="BU44" s="113">
        <v>106</v>
      </c>
      <c r="BV44" s="2"/>
      <c r="BW44" s="3"/>
      <c r="BX44" s="3"/>
      <c r="BY44" s="3"/>
      <c r="BZ44" s="3"/>
    </row>
    <row r="45" spans="1:78" ht="41.45" customHeight="1">
      <c r="A45" s="66" t="s">
        <v>457</v>
      </c>
      <c r="C45" s="67"/>
      <c r="D45" s="67" t="s">
        <v>64</v>
      </c>
      <c r="E45" s="68">
        <v>172.57782345629192</v>
      </c>
      <c r="F45" s="70">
        <v>99.97718804298152</v>
      </c>
      <c r="G45" s="106" t="str">
        <f>HYPERLINK("https://pbs.twimg.com/profile_images/1235946244100497408/_VadKQAB_normal.jpg")</f>
        <v>https://pbs.twimg.com/profile_images/1235946244100497408/_VadKQAB_normal.jpg</v>
      </c>
      <c r="H45" s="67"/>
      <c r="I45" s="71" t="s">
        <v>457</v>
      </c>
      <c r="J45" s="72"/>
      <c r="K45" s="72"/>
      <c r="L45" s="71" t="s">
        <v>2925</v>
      </c>
      <c r="M45" s="75">
        <v>8.60246487569079</v>
      </c>
      <c r="N45" s="76">
        <v>8348.498046875</v>
      </c>
      <c r="O45" s="76">
        <v>1617.162841796875</v>
      </c>
      <c r="P45" s="77"/>
      <c r="Q45" s="78"/>
      <c r="R45" s="78"/>
      <c r="S45" s="92"/>
      <c r="T45" s="49">
        <v>1</v>
      </c>
      <c r="U45" s="49">
        <v>0</v>
      </c>
      <c r="V45" s="50">
        <v>0</v>
      </c>
      <c r="W45" s="50">
        <v>1</v>
      </c>
      <c r="X45" s="50">
        <v>0</v>
      </c>
      <c r="Y45" s="50">
        <v>0.701753</v>
      </c>
      <c r="Z45" s="50">
        <v>0</v>
      </c>
      <c r="AA45" s="50">
        <v>0</v>
      </c>
      <c r="AB45" s="73">
        <v>45</v>
      </c>
      <c r="AC45" s="73"/>
      <c r="AD45" s="74"/>
      <c r="AE45" s="81" t="s">
        <v>1958</v>
      </c>
      <c r="AF45" s="86" t="s">
        <v>2232</v>
      </c>
      <c r="AG45" s="81">
        <v>658</v>
      </c>
      <c r="AH45" s="81">
        <v>56118</v>
      </c>
      <c r="AI45" s="81">
        <v>11911</v>
      </c>
      <c r="AJ45" s="81">
        <v>3888</v>
      </c>
      <c r="AK45" s="81"/>
      <c r="AL45" s="81" t="s">
        <v>2498</v>
      </c>
      <c r="AM45" s="81" t="s">
        <v>2755</v>
      </c>
      <c r="AN45" s="88" t="str">
        <f>HYPERLINK("https://t.co/VDgg83gdHV")</f>
        <v>https://t.co/VDgg83gdHV</v>
      </c>
      <c r="AO45" s="81"/>
      <c r="AP45" s="83">
        <v>40078.79284722222</v>
      </c>
      <c r="AQ45" s="88" t="str">
        <f>HYPERLINK("https://pbs.twimg.com/profile_banners/76417139/1594244786")</f>
        <v>https://pbs.twimg.com/profile_banners/76417139/1594244786</v>
      </c>
      <c r="AR45" s="81" t="b">
        <v>0</v>
      </c>
      <c r="AS45" s="81" t="b">
        <v>0</v>
      </c>
      <c r="AT45" s="81" t="b">
        <v>1</v>
      </c>
      <c r="AU45" s="81"/>
      <c r="AV45" s="81">
        <v>988</v>
      </c>
      <c r="AW45" s="88" t="str">
        <f>HYPERLINK("https://abs.twimg.com/images/themes/theme1/bg.png")</f>
        <v>https://abs.twimg.com/images/themes/theme1/bg.png</v>
      </c>
      <c r="AX45" s="81" t="b">
        <v>1</v>
      </c>
      <c r="AY45" s="81" t="s">
        <v>2883</v>
      </c>
      <c r="AZ45" s="88" t="str">
        <f>HYPERLINK("https://twitter.com/idsainfo")</f>
        <v>https://twitter.com/idsainfo</v>
      </c>
      <c r="BA45" s="81" t="s">
        <v>65</v>
      </c>
      <c r="BB45" s="81" t="str">
        <f>REPLACE(INDEX(GroupVertices[Group],MATCH(Vertices[[#This Row],[Vertex]],GroupVertices[Vertex],0)),1,1,"")</f>
        <v>25</v>
      </c>
      <c r="BC45" s="49"/>
      <c r="BD45" s="49"/>
      <c r="BE45" s="49"/>
      <c r="BF45" s="49"/>
      <c r="BG45" s="49"/>
      <c r="BH45" s="49"/>
      <c r="BI45" s="49"/>
      <c r="BJ45" s="49"/>
      <c r="BK45" s="49"/>
      <c r="BL45" s="49"/>
      <c r="BM45" s="49"/>
      <c r="BN45" s="50"/>
      <c r="BO45" s="49"/>
      <c r="BP45" s="50"/>
      <c r="BQ45" s="49"/>
      <c r="BR45" s="50"/>
      <c r="BS45" s="49"/>
      <c r="BT45" s="50"/>
      <c r="BU45" s="49"/>
      <c r="BV45" s="2"/>
      <c r="BW45" s="3"/>
      <c r="BX45" s="3"/>
      <c r="BY45" s="3"/>
      <c r="BZ45" s="3"/>
    </row>
    <row r="46" spans="1:78" ht="41.45" customHeight="1">
      <c r="A46" s="66" t="s">
        <v>284</v>
      </c>
      <c r="C46" s="67"/>
      <c r="D46" s="67" t="s">
        <v>64</v>
      </c>
      <c r="E46" s="68">
        <v>162.15664566144844</v>
      </c>
      <c r="F46" s="70">
        <v>99.99966218058839</v>
      </c>
      <c r="G46" s="106" t="str">
        <f>HYPERLINK("https://pbs.twimg.com/profile_images/506411328475389953/6odFfeAJ_normal.png")</f>
        <v>https://pbs.twimg.com/profile_images/506411328475389953/6odFfeAJ_normal.png</v>
      </c>
      <c r="H46" s="67"/>
      <c r="I46" s="71" t="s">
        <v>284</v>
      </c>
      <c r="J46" s="72"/>
      <c r="K46" s="72"/>
      <c r="L46" s="71" t="s">
        <v>2926</v>
      </c>
      <c r="M46" s="75">
        <v>1.1125839492417187</v>
      </c>
      <c r="N46" s="76">
        <v>5046.6748046875</v>
      </c>
      <c r="O46" s="76">
        <v>6167.146484375</v>
      </c>
      <c r="P46" s="77"/>
      <c r="Q46" s="78"/>
      <c r="R46" s="78"/>
      <c r="S46" s="92"/>
      <c r="T46" s="49">
        <v>1</v>
      </c>
      <c r="U46" s="49">
        <v>1</v>
      </c>
      <c r="V46" s="50">
        <v>0</v>
      </c>
      <c r="W46" s="50">
        <v>0</v>
      </c>
      <c r="X46" s="50">
        <v>0</v>
      </c>
      <c r="Y46" s="50">
        <v>0.999998</v>
      </c>
      <c r="Z46" s="50">
        <v>0</v>
      </c>
      <c r="AA46" s="50">
        <v>0</v>
      </c>
      <c r="AB46" s="73">
        <v>46</v>
      </c>
      <c r="AC46" s="73"/>
      <c r="AD46" s="74"/>
      <c r="AE46" s="81" t="s">
        <v>1959</v>
      </c>
      <c r="AF46" s="86" t="s">
        <v>2233</v>
      </c>
      <c r="AG46" s="81">
        <v>297</v>
      </c>
      <c r="AH46" s="81">
        <v>834</v>
      </c>
      <c r="AI46" s="81">
        <v>2325</v>
      </c>
      <c r="AJ46" s="81">
        <v>1501</v>
      </c>
      <c r="AK46" s="81"/>
      <c r="AL46" s="81" t="s">
        <v>2499</v>
      </c>
      <c r="AM46" s="81" t="s">
        <v>2756</v>
      </c>
      <c r="AN46" s="88" t="str">
        <f>HYPERLINK("https://t.co/bvtZwS6bss")</f>
        <v>https://t.co/bvtZwS6bss</v>
      </c>
      <c r="AO46" s="81"/>
      <c r="AP46" s="83">
        <v>41870.47149305556</v>
      </c>
      <c r="AQ46" s="88" t="str">
        <f>HYPERLINK("https://pbs.twimg.com/profile_banners/2744666365/1410251852")</f>
        <v>https://pbs.twimg.com/profile_banners/2744666365/1410251852</v>
      </c>
      <c r="AR46" s="81" t="b">
        <v>1</v>
      </c>
      <c r="AS46" s="81" t="b">
        <v>0</v>
      </c>
      <c r="AT46" s="81" t="b">
        <v>0</v>
      </c>
      <c r="AU46" s="81"/>
      <c r="AV46" s="81">
        <v>13</v>
      </c>
      <c r="AW46" s="88" t="str">
        <f>HYPERLINK("https://abs.twimg.com/images/themes/theme1/bg.png")</f>
        <v>https://abs.twimg.com/images/themes/theme1/bg.png</v>
      </c>
      <c r="AX46" s="81" t="b">
        <v>0</v>
      </c>
      <c r="AY46" s="81" t="s">
        <v>2883</v>
      </c>
      <c r="AZ46" s="88" t="str">
        <f>HYPERLINK("https://twitter.com/uos_primarycare")</f>
        <v>https://twitter.com/uos_primarycare</v>
      </c>
      <c r="BA46" s="81" t="s">
        <v>66</v>
      </c>
      <c r="BB46" s="81" t="str">
        <f>REPLACE(INDEX(GroupVertices[Group],MATCH(Vertices[[#This Row],[Vertex]],GroupVertices[Vertex],0)),1,1,"")</f>
        <v>1</v>
      </c>
      <c r="BC46" s="49" t="s">
        <v>3552</v>
      </c>
      <c r="BD46" s="49" t="s">
        <v>3552</v>
      </c>
      <c r="BE46" s="49" t="s">
        <v>905</v>
      </c>
      <c r="BF46" s="49" t="s">
        <v>905</v>
      </c>
      <c r="BG46" s="49" t="s">
        <v>3615</v>
      </c>
      <c r="BH46" s="49" t="s">
        <v>3650</v>
      </c>
      <c r="BI46" s="113" t="s">
        <v>3703</v>
      </c>
      <c r="BJ46" s="113" t="s">
        <v>3819</v>
      </c>
      <c r="BK46" s="113" t="s">
        <v>3880</v>
      </c>
      <c r="BL46" s="113" t="s">
        <v>3992</v>
      </c>
      <c r="BM46" s="113">
        <v>12</v>
      </c>
      <c r="BN46" s="116">
        <v>7.8431372549019605</v>
      </c>
      <c r="BO46" s="113">
        <v>0</v>
      </c>
      <c r="BP46" s="116">
        <v>0</v>
      </c>
      <c r="BQ46" s="113">
        <v>0</v>
      </c>
      <c r="BR46" s="116">
        <v>0</v>
      </c>
      <c r="BS46" s="113">
        <v>141</v>
      </c>
      <c r="BT46" s="116">
        <v>92.15686274509804</v>
      </c>
      <c r="BU46" s="113">
        <v>153</v>
      </c>
      <c r="BV46" s="2"/>
      <c r="BW46" s="3"/>
      <c r="BX46" s="3"/>
      <c r="BY46" s="3"/>
      <c r="BZ46" s="3"/>
    </row>
    <row r="47" spans="1:78" ht="41.45" customHeight="1">
      <c r="A47" s="66" t="s">
        <v>285</v>
      </c>
      <c r="C47" s="67"/>
      <c r="D47" s="67" t="s">
        <v>64</v>
      </c>
      <c r="E47" s="68">
        <v>162.51461210078725</v>
      </c>
      <c r="F47" s="70">
        <v>99.99889019615681</v>
      </c>
      <c r="G47" s="106" t="str">
        <f>HYPERLINK("https://pbs.twimg.com/profile_images/1460564335378546689/hTbdckAy_normal.jpg")</f>
        <v>https://pbs.twimg.com/profile_images/1460564335378546689/hTbdckAy_normal.jpg</v>
      </c>
      <c r="H47" s="67"/>
      <c r="I47" s="71" t="s">
        <v>285</v>
      </c>
      <c r="J47" s="72"/>
      <c r="K47" s="72"/>
      <c r="L47" s="71" t="s">
        <v>2927</v>
      </c>
      <c r="M47" s="75">
        <v>1.3698606274727945</v>
      </c>
      <c r="N47" s="76">
        <v>4655.7392578125</v>
      </c>
      <c r="O47" s="76">
        <v>4610.28466796875</v>
      </c>
      <c r="P47" s="77"/>
      <c r="Q47" s="78"/>
      <c r="R47" s="78"/>
      <c r="S47" s="92"/>
      <c r="T47" s="49">
        <v>1</v>
      </c>
      <c r="U47" s="49">
        <v>1</v>
      </c>
      <c r="V47" s="50">
        <v>0</v>
      </c>
      <c r="W47" s="50">
        <v>0</v>
      </c>
      <c r="X47" s="50">
        <v>0</v>
      </c>
      <c r="Y47" s="50">
        <v>0.999998</v>
      </c>
      <c r="Z47" s="50">
        <v>0</v>
      </c>
      <c r="AA47" s="50">
        <v>0</v>
      </c>
      <c r="AB47" s="73">
        <v>47</v>
      </c>
      <c r="AC47" s="73"/>
      <c r="AD47" s="74"/>
      <c r="AE47" s="81" t="s">
        <v>1960</v>
      </c>
      <c r="AF47" s="86" t="s">
        <v>2234</v>
      </c>
      <c r="AG47" s="81">
        <v>791</v>
      </c>
      <c r="AH47" s="81">
        <v>2733</v>
      </c>
      <c r="AI47" s="81">
        <v>11726</v>
      </c>
      <c r="AJ47" s="81">
        <v>6161</v>
      </c>
      <c r="AK47" s="81"/>
      <c r="AL47" s="81" t="s">
        <v>2500</v>
      </c>
      <c r="AM47" s="81" t="s">
        <v>2757</v>
      </c>
      <c r="AN47" s="88" t="str">
        <f>HYPERLINK("https://t.co/5qFgdShfrI")</f>
        <v>https://t.co/5qFgdShfrI</v>
      </c>
      <c r="AO47" s="81"/>
      <c r="AP47" s="83">
        <v>41388.6300462963</v>
      </c>
      <c r="AQ47" s="88" t="str">
        <f>HYPERLINK("https://pbs.twimg.com/profile_banners/1377247476/1632407364")</f>
        <v>https://pbs.twimg.com/profile_banners/1377247476/1632407364</v>
      </c>
      <c r="AR47" s="81" t="b">
        <v>0</v>
      </c>
      <c r="AS47" s="81" t="b">
        <v>0</v>
      </c>
      <c r="AT47" s="81" t="b">
        <v>1</v>
      </c>
      <c r="AU47" s="81"/>
      <c r="AV47" s="81">
        <v>41</v>
      </c>
      <c r="AW47" s="88" t="str">
        <f>HYPERLINK("https://abs.twimg.com/images/themes/theme1/bg.png")</f>
        <v>https://abs.twimg.com/images/themes/theme1/bg.png</v>
      </c>
      <c r="AX47" s="81" t="b">
        <v>0</v>
      </c>
      <c r="AY47" s="81" t="s">
        <v>2883</v>
      </c>
      <c r="AZ47" s="88" t="str">
        <f>HYPERLINK("https://twitter.com/ukhsa_eoengland")</f>
        <v>https://twitter.com/ukhsa_eoengland</v>
      </c>
      <c r="BA47" s="81" t="s">
        <v>66</v>
      </c>
      <c r="BB47" s="81" t="str">
        <f>REPLACE(INDEX(GroupVertices[Group],MATCH(Vertices[[#This Row],[Vertex]],GroupVertices[Vertex],0)),1,1,"")</f>
        <v>1</v>
      </c>
      <c r="BC47" s="49"/>
      <c r="BD47" s="49"/>
      <c r="BE47" s="49"/>
      <c r="BF47" s="49"/>
      <c r="BG47" s="49" t="s">
        <v>955</v>
      </c>
      <c r="BH47" s="49" t="s">
        <v>955</v>
      </c>
      <c r="BI47" s="113" t="s">
        <v>3683</v>
      </c>
      <c r="BJ47" s="113" t="s">
        <v>3683</v>
      </c>
      <c r="BK47" s="113" t="s">
        <v>3860</v>
      </c>
      <c r="BL47" s="113" t="s">
        <v>3860</v>
      </c>
      <c r="BM47" s="113">
        <v>0</v>
      </c>
      <c r="BN47" s="116">
        <v>0</v>
      </c>
      <c r="BO47" s="113">
        <v>6</v>
      </c>
      <c r="BP47" s="116">
        <v>6.0606060606060606</v>
      </c>
      <c r="BQ47" s="113">
        <v>0</v>
      </c>
      <c r="BR47" s="116">
        <v>0</v>
      </c>
      <c r="BS47" s="113">
        <v>93</v>
      </c>
      <c r="BT47" s="116">
        <v>93.93939393939394</v>
      </c>
      <c r="BU47" s="113">
        <v>99</v>
      </c>
      <c r="BV47" s="2"/>
      <c r="BW47" s="3"/>
      <c r="BX47" s="3"/>
      <c r="BY47" s="3"/>
      <c r="BZ47" s="3"/>
    </row>
    <row r="48" spans="1:78" ht="41.45" customHeight="1">
      <c r="A48" s="66" t="s">
        <v>286</v>
      </c>
      <c r="C48" s="67"/>
      <c r="D48" s="67" t="s">
        <v>64</v>
      </c>
      <c r="E48" s="68">
        <v>162.18115099958115</v>
      </c>
      <c r="F48" s="70">
        <v>99.99960933278633</v>
      </c>
      <c r="G48" s="106" t="str">
        <f>HYPERLINK("https://pbs.twimg.com/profile_images/1010216556519968768/05yVjydg_normal.jpg")</f>
        <v>https://pbs.twimg.com/profile_images/1010216556519968768/05yVjydg_normal.jpg</v>
      </c>
      <c r="H48" s="67"/>
      <c r="I48" s="71" t="s">
        <v>286</v>
      </c>
      <c r="J48" s="72"/>
      <c r="K48" s="72"/>
      <c r="L48" s="71" t="s">
        <v>2928</v>
      </c>
      <c r="M48" s="75">
        <v>1.1301963600737566</v>
      </c>
      <c r="N48" s="76">
        <v>2310.1279296875</v>
      </c>
      <c r="O48" s="76">
        <v>5388.71533203125</v>
      </c>
      <c r="P48" s="77"/>
      <c r="Q48" s="78"/>
      <c r="R48" s="78"/>
      <c r="S48" s="92"/>
      <c r="T48" s="49">
        <v>1</v>
      </c>
      <c r="U48" s="49">
        <v>1</v>
      </c>
      <c r="V48" s="50">
        <v>0</v>
      </c>
      <c r="W48" s="50">
        <v>0</v>
      </c>
      <c r="X48" s="50">
        <v>0</v>
      </c>
      <c r="Y48" s="50">
        <v>0.999998</v>
      </c>
      <c r="Z48" s="50">
        <v>0</v>
      </c>
      <c r="AA48" s="50">
        <v>0</v>
      </c>
      <c r="AB48" s="73">
        <v>48</v>
      </c>
      <c r="AC48" s="73"/>
      <c r="AD48" s="74"/>
      <c r="AE48" s="81" t="s">
        <v>1961</v>
      </c>
      <c r="AF48" s="86" t="s">
        <v>2235</v>
      </c>
      <c r="AG48" s="81">
        <v>440</v>
      </c>
      <c r="AH48" s="81">
        <v>964</v>
      </c>
      <c r="AI48" s="81">
        <v>3637</v>
      </c>
      <c r="AJ48" s="81">
        <v>2303</v>
      </c>
      <c r="AK48" s="81"/>
      <c r="AL48" s="81" t="s">
        <v>2501</v>
      </c>
      <c r="AM48" s="81" t="s">
        <v>2734</v>
      </c>
      <c r="AN48" s="88" t="str">
        <f>HYPERLINK("https://t.co/FZsCJZ514i")</f>
        <v>https://t.co/FZsCJZ514i</v>
      </c>
      <c r="AO48" s="81"/>
      <c r="AP48" s="83">
        <v>43251.623136574075</v>
      </c>
      <c r="AQ48" s="88" t="str">
        <f>HYPERLINK("https://pbs.twimg.com/profile_banners/1002202370351206400/1622657250")</f>
        <v>https://pbs.twimg.com/profile_banners/1002202370351206400/1622657250</v>
      </c>
      <c r="AR48" s="81" t="b">
        <v>0</v>
      </c>
      <c r="AS48" s="81" t="b">
        <v>0</v>
      </c>
      <c r="AT48" s="81" t="b">
        <v>1</v>
      </c>
      <c r="AU48" s="81"/>
      <c r="AV48" s="81">
        <v>13</v>
      </c>
      <c r="AW48" s="88" t="str">
        <f>HYPERLINK("https://abs.twimg.com/images/themes/theme1/bg.png")</f>
        <v>https://abs.twimg.com/images/themes/theme1/bg.png</v>
      </c>
      <c r="AX48" s="81" t="b">
        <v>1</v>
      </c>
      <c r="AY48" s="81" t="s">
        <v>2883</v>
      </c>
      <c r="AZ48" s="88" t="str">
        <f>HYPERLINK("https://twitter.com/stauntonuk")</f>
        <v>https://twitter.com/stauntonuk</v>
      </c>
      <c r="BA48" s="81" t="s">
        <v>66</v>
      </c>
      <c r="BB48" s="81" t="str">
        <f>REPLACE(INDEX(GroupVertices[Group],MATCH(Vertices[[#This Row],[Vertex]],GroupVertices[Vertex],0)),1,1,"")</f>
        <v>1</v>
      </c>
      <c r="BC48" s="49" t="s">
        <v>3204</v>
      </c>
      <c r="BD48" s="49" t="s">
        <v>3204</v>
      </c>
      <c r="BE48" s="49" t="s">
        <v>903</v>
      </c>
      <c r="BF48" s="49" t="s">
        <v>903</v>
      </c>
      <c r="BG48" s="49" t="s">
        <v>954</v>
      </c>
      <c r="BH48" s="49" t="s">
        <v>954</v>
      </c>
      <c r="BI48" s="113" t="s">
        <v>3685</v>
      </c>
      <c r="BJ48" s="113" t="s">
        <v>3685</v>
      </c>
      <c r="BK48" s="113" t="s">
        <v>3862</v>
      </c>
      <c r="BL48" s="113" t="s">
        <v>3862</v>
      </c>
      <c r="BM48" s="113">
        <v>0</v>
      </c>
      <c r="BN48" s="116">
        <v>0</v>
      </c>
      <c r="BO48" s="113">
        <v>1</v>
      </c>
      <c r="BP48" s="116">
        <v>3.0303030303030303</v>
      </c>
      <c r="BQ48" s="113">
        <v>0</v>
      </c>
      <c r="BR48" s="116">
        <v>0</v>
      </c>
      <c r="BS48" s="113">
        <v>32</v>
      </c>
      <c r="BT48" s="116">
        <v>96.96969696969697</v>
      </c>
      <c r="BU48" s="113">
        <v>33</v>
      </c>
      <c r="BV48" s="2"/>
      <c r="BW48" s="3"/>
      <c r="BX48" s="3"/>
      <c r="BY48" s="3"/>
      <c r="BZ48" s="3"/>
    </row>
    <row r="49" spans="1:78" ht="41.45" customHeight="1">
      <c r="A49" s="66" t="s">
        <v>287</v>
      </c>
      <c r="C49" s="67"/>
      <c r="D49" s="67" t="s">
        <v>64</v>
      </c>
      <c r="E49" s="68">
        <v>162.84863870979643</v>
      </c>
      <c r="F49" s="70">
        <v>99.99816983996263</v>
      </c>
      <c r="G49" s="106" t="str">
        <f>HYPERLINK("https://pbs.twimg.com/profile_images/1402605249555226628/YE48Q_x4_normal.jpg")</f>
        <v>https://pbs.twimg.com/profile_images/1402605249555226628/YE48Q_x4_normal.jpg</v>
      </c>
      <c r="H49" s="67"/>
      <c r="I49" s="71" t="s">
        <v>287</v>
      </c>
      <c r="J49" s="72"/>
      <c r="K49" s="72"/>
      <c r="L49" s="71" t="s">
        <v>2929</v>
      </c>
      <c r="M49" s="75">
        <v>1.6099313351218023</v>
      </c>
      <c r="N49" s="76">
        <v>6243.87158203125</v>
      </c>
      <c r="O49" s="76">
        <v>7993.3974609375</v>
      </c>
      <c r="P49" s="77"/>
      <c r="Q49" s="78"/>
      <c r="R49" s="78"/>
      <c r="S49" s="92"/>
      <c r="T49" s="49">
        <v>0</v>
      </c>
      <c r="U49" s="49">
        <v>2</v>
      </c>
      <c r="V49" s="50">
        <v>45</v>
      </c>
      <c r="W49" s="50">
        <v>0.003953</v>
      </c>
      <c r="X49" s="50">
        <v>0.000476</v>
      </c>
      <c r="Y49" s="50">
        <v>0.88464</v>
      </c>
      <c r="Z49" s="50">
        <v>0</v>
      </c>
      <c r="AA49" s="50">
        <v>0</v>
      </c>
      <c r="AB49" s="73">
        <v>49</v>
      </c>
      <c r="AC49" s="73"/>
      <c r="AD49" s="74"/>
      <c r="AE49" s="81" t="s">
        <v>1962</v>
      </c>
      <c r="AF49" s="86" t="s">
        <v>2236</v>
      </c>
      <c r="AG49" s="81">
        <v>1044</v>
      </c>
      <c r="AH49" s="81">
        <v>4505</v>
      </c>
      <c r="AI49" s="81">
        <v>3894</v>
      </c>
      <c r="AJ49" s="81">
        <v>2627</v>
      </c>
      <c r="AK49" s="81"/>
      <c r="AL49" s="81" t="s">
        <v>2502</v>
      </c>
      <c r="AM49" s="81"/>
      <c r="AN49" s="88" t="str">
        <f>HYPERLINK("https://t.co/0QXLlmYqZI")</f>
        <v>https://t.co/0QXLlmYqZI</v>
      </c>
      <c r="AO49" s="81"/>
      <c r="AP49" s="83">
        <v>40800.540497685186</v>
      </c>
      <c r="AQ49" s="88" t="str">
        <f>HYPERLINK("https://pbs.twimg.com/profile_banners/373360050/1638192729")</f>
        <v>https://pbs.twimg.com/profile_banners/373360050/1638192729</v>
      </c>
      <c r="AR49" s="81" t="b">
        <v>0</v>
      </c>
      <c r="AS49" s="81" t="b">
        <v>0</v>
      </c>
      <c r="AT49" s="81" t="b">
        <v>1</v>
      </c>
      <c r="AU49" s="81"/>
      <c r="AV49" s="81">
        <v>90</v>
      </c>
      <c r="AW49" s="88" t="str">
        <f>HYPERLINK("https://abs.twimg.com/images/themes/theme15/bg.png")</f>
        <v>https://abs.twimg.com/images/themes/theme15/bg.png</v>
      </c>
      <c r="AX49" s="81" t="b">
        <v>0</v>
      </c>
      <c r="AY49" s="81" t="s">
        <v>2883</v>
      </c>
      <c r="AZ49" s="88" t="str">
        <f>HYPERLINK("https://twitter.com/reactgroup")</f>
        <v>https://twitter.com/reactgroup</v>
      </c>
      <c r="BA49" s="81" t="s">
        <v>66</v>
      </c>
      <c r="BB49" s="81" t="str">
        <f>REPLACE(INDEX(GroupVertices[Group],MATCH(Vertices[[#This Row],[Vertex]],GroupVertices[Vertex],0)),1,1,"")</f>
        <v>3</v>
      </c>
      <c r="BC49" s="49" t="s">
        <v>3230</v>
      </c>
      <c r="BD49" s="49" t="s">
        <v>3230</v>
      </c>
      <c r="BE49" s="49" t="s">
        <v>915</v>
      </c>
      <c r="BF49" s="49" t="s">
        <v>915</v>
      </c>
      <c r="BG49" s="49" t="s">
        <v>987</v>
      </c>
      <c r="BH49" s="49" t="s">
        <v>987</v>
      </c>
      <c r="BI49" s="113" t="s">
        <v>3704</v>
      </c>
      <c r="BJ49" s="113" t="s">
        <v>3704</v>
      </c>
      <c r="BK49" s="113" t="s">
        <v>3881</v>
      </c>
      <c r="BL49" s="113" t="s">
        <v>3881</v>
      </c>
      <c r="BM49" s="113">
        <v>0</v>
      </c>
      <c r="BN49" s="116">
        <v>0</v>
      </c>
      <c r="BO49" s="113">
        <v>0</v>
      </c>
      <c r="BP49" s="116">
        <v>0</v>
      </c>
      <c r="BQ49" s="113">
        <v>0</v>
      </c>
      <c r="BR49" s="116">
        <v>0</v>
      </c>
      <c r="BS49" s="113">
        <v>23</v>
      </c>
      <c r="BT49" s="116">
        <v>100</v>
      </c>
      <c r="BU49" s="113">
        <v>23</v>
      </c>
      <c r="BV49" s="2"/>
      <c r="BW49" s="3"/>
      <c r="BX49" s="3"/>
      <c r="BY49" s="3"/>
      <c r="BZ49" s="3"/>
    </row>
    <row r="50" spans="1:78" ht="41.45" customHeight="1">
      <c r="A50" s="66" t="s">
        <v>458</v>
      </c>
      <c r="C50" s="67"/>
      <c r="D50" s="67" t="s">
        <v>64</v>
      </c>
      <c r="E50" s="68">
        <v>179.57598251919555</v>
      </c>
      <c r="F50" s="70">
        <v>99.96209593027885</v>
      </c>
      <c r="G50" s="106" t="str">
        <f>HYPERLINK("https://pbs.twimg.com/profile_images/791269606996443136/9oft8kxO_normal.jpg")</f>
        <v>https://pbs.twimg.com/profile_images/791269606996443136/9oft8kxO_normal.jpg</v>
      </c>
      <c r="H50" s="67"/>
      <c r="I50" s="71" t="s">
        <v>458</v>
      </c>
      <c r="J50" s="72"/>
      <c r="K50" s="72"/>
      <c r="L50" s="71" t="s">
        <v>2930</v>
      </c>
      <c r="M50" s="75">
        <v>13.632162969070825</v>
      </c>
      <c r="N50" s="76">
        <v>6510.15087890625</v>
      </c>
      <c r="O50" s="76">
        <v>8947.298828125</v>
      </c>
      <c r="P50" s="77"/>
      <c r="Q50" s="78"/>
      <c r="R50" s="78"/>
      <c r="S50" s="92"/>
      <c r="T50" s="49">
        <v>2</v>
      </c>
      <c r="U50" s="49">
        <v>0</v>
      </c>
      <c r="V50" s="50">
        <v>5</v>
      </c>
      <c r="W50" s="50">
        <v>0.003413</v>
      </c>
      <c r="X50" s="50">
        <v>0.000204</v>
      </c>
      <c r="Y50" s="50">
        <v>0.907143</v>
      </c>
      <c r="Z50" s="50">
        <v>0</v>
      </c>
      <c r="AA50" s="50">
        <v>0</v>
      </c>
      <c r="AB50" s="73">
        <v>50</v>
      </c>
      <c r="AC50" s="73"/>
      <c r="AD50" s="74"/>
      <c r="AE50" s="81" t="s">
        <v>1963</v>
      </c>
      <c r="AF50" s="86" t="s">
        <v>2237</v>
      </c>
      <c r="AG50" s="81">
        <v>508</v>
      </c>
      <c r="AH50" s="81">
        <v>93243</v>
      </c>
      <c r="AI50" s="81">
        <v>9883</v>
      </c>
      <c r="AJ50" s="81">
        <v>5715</v>
      </c>
      <c r="AK50" s="81"/>
      <c r="AL50" s="81" t="s">
        <v>2503</v>
      </c>
      <c r="AM50" s="81" t="s">
        <v>2758</v>
      </c>
      <c r="AN50" s="88" t="str">
        <f>HYPERLINK("http://t.co/HzZhkGX9HG")</f>
        <v>http://t.co/HzZhkGX9HG</v>
      </c>
      <c r="AO50" s="81"/>
      <c r="AP50" s="83">
        <v>40470.49408564815</v>
      </c>
      <c r="AQ50" s="88" t="str">
        <f>HYPERLINK("https://pbs.twimg.com/profile_banners/204752573/1614945647")</f>
        <v>https://pbs.twimg.com/profile_banners/204752573/1614945647</v>
      </c>
      <c r="AR50" s="81" t="b">
        <v>0</v>
      </c>
      <c r="AS50" s="81" t="b">
        <v>0</v>
      </c>
      <c r="AT50" s="81" t="b">
        <v>1</v>
      </c>
      <c r="AU50" s="81"/>
      <c r="AV50" s="81">
        <v>1870</v>
      </c>
      <c r="AW50" s="88" t="str">
        <f>HYPERLINK("https://abs.twimg.com/images/themes/theme1/bg.png")</f>
        <v>https://abs.twimg.com/images/themes/theme1/bg.png</v>
      </c>
      <c r="AX50" s="81" t="b">
        <v>1</v>
      </c>
      <c r="AY50" s="81" t="s">
        <v>2883</v>
      </c>
      <c r="AZ50" s="88" t="str">
        <f>HYPERLINK("https://twitter.com/ecdc_eu")</f>
        <v>https://twitter.com/ecdc_eu</v>
      </c>
      <c r="BA50" s="81" t="s">
        <v>65</v>
      </c>
      <c r="BB50" s="81" t="str">
        <f>REPLACE(INDEX(GroupVertices[Group],MATCH(Vertices[[#This Row],[Vertex]],GroupVertices[Vertex],0)),1,1,"")</f>
        <v>3</v>
      </c>
      <c r="BC50" s="49"/>
      <c r="BD50" s="49"/>
      <c r="BE50" s="49"/>
      <c r="BF50" s="49"/>
      <c r="BG50" s="49"/>
      <c r="BH50" s="49"/>
      <c r="BI50" s="49"/>
      <c r="BJ50" s="49"/>
      <c r="BK50" s="49"/>
      <c r="BL50" s="49"/>
      <c r="BM50" s="49"/>
      <c r="BN50" s="50"/>
      <c r="BO50" s="49"/>
      <c r="BP50" s="50"/>
      <c r="BQ50" s="49"/>
      <c r="BR50" s="50"/>
      <c r="BS50" s="49"/>
      <c r="BT50" s="50"/>
      <c r="BU50" s="49"/>
      <c r="BV50" s="2"/>
      <c r="BW50" s="3"/>
      <c r="BX50" s="3"/>
      <c r="BY50" s="3"/>
      <c r="BZ50" s="3"/>
    </row>
    <row r="51" spans="1:78" ht="41.45" customHeight="1">
      <c r="A51" s="66" t="s">
        <v>420</v>
      </c>
      <c r="C51" s="67"/>
      <c r="D51" s="67" t="s">
        <v>64</v>
      </c>
      <c r="E51" s="68">
        <v>162.82055182224428</v>
      </c>
      <c r="F51" s="70">
        <v>99.99823041167421</v>
      </c>
      <c r="G51" s="106" t="str">
        <f>HYPERLINK("https://pbs.twimg.com/profile_images/1062264156328325121/5ql-vtG5_normal.jpg")</f>
        <v>https://pbs.twimg.com/profile_images/1062264156328325121/5ql-vtG5_normal.jpg</v>
      </c>
      <c r="H51" s="67"/>
      <c r="I51" s="71" t="s">
        <v>420</v>
      </c>
      <c r="J51" s="72"/>
      <c r="K51" s="72"/>
      <c r="L51" s="71" t="s">
        <v>2931</v>
      </c>
      <c r="M51" s="75">
        <v>1.5897448027066206</v>
      </c>
      <c r="N51" s="76">
        <v>6066.24462890625</v>
      </c>
      <c r="O51" s="76">
        <v>8395.494140625</v>
      </c>
      <c r="P51" s="77"/>
      <c r="Q51" s="78"/>
      <c r="R51" s="78"/>
      <c r="S51" s="92"/>
      <c r="T51" s="49">
        <v>4</v>
      </c>
      <c r="U51" s="49">
        <v>2</v>
      </c>
      <c r="V51" s="50">
        <v>707</v>
      </c>
      <c r="W51" s="50">
        <v>0.004878</v>
      </c>
      <c r="X51" s="50">
        <v>0.002225</v>
      </c>
      <c r="Y51" s="50">
        <v>2.053556</v>
      </c>
      <c r="Z51" s="50">
        <v>0</v>
      </c>
      <c r="AA51" s="50">
        <v>0</v>
      </c>
      <c r="AB51" s="73">
        <v>51</v>
      </c>
      <c r="AC51" s="73"/>
      <c r="AD51" s="74"/>
      <c r="AE51" s="81" t="s">
        <v>1964</v>
      </c>
      <c r="AF51" s="86" t="s">
        <v>1824</v>
      </c>
      <c r="AG51" s="81">
        <v>154</v>
      </c>
      <c r="AH51" s="81">
        <v>4356</v>
      </c>
      <c r="AI51" s="81">
        <v>2317</v>
      </c>
      <c r="AJ51" s="81">
        <v>796</v>
      </c>
      <c r="AK51" s="81"/>
      <c r="AL51" s="81" t="s">
        <v>2504</v>
      </c>
      <c r="AM51" s="81" t="s">
        <v>2758</v>
      </c>
      <c r="AN51" s="88" t="str">
        <f>HYPERLINK("https://t.co/KcsNrCCIod")</f>
        <v>https://t.co/KcsNrCCIod</v>
      </c>
      <c r="AO51" s="81"/>
      <c r="AP51" s="83">
        <v>41520.50512731481</v>
      </c>
      <c r="AQ51" s="88" t="str">
        <f>HYPERLINK("https://pbs.twimg.com/profile_banners/1725283578/1637148435")</f>
        <v>https://pbs.twimg.com/profile_banners/1725283578/1637148435</v>
      </c>
      <c r="AR51" s="81" t="b">
        <v>0</v>
      </c>
      <c r="AS51" s="81" t="b">
        <v>0</v>
      </c>
      <c r="AT51" s="81" t="b">
        <v>0</v>
      </c>
      <c r="AU51" s="81"/>
      <c r="AV51" s="81">
        <v>76</v>
      </c>
      <c r="AW51" s="88" t="str">
        <f>HYPERLINK("https://abs.twimg.com/images/themes/theme1/bg.png")</f>
        <v>https://abs.twimg.com/images/themes/theme1/bg.png</v>
      </c>
      <c r="AX51" s="81" t="b">
        <v>1</v>
      </c>
      <c r="AY51" s="81" t="s">
        <v>2883</v>
      </c>
      <c r="AZ51" s="88" t="str">
        <f>HYPERLINK("https://twitter.com/eaad_eu")</f>
        <v>https://twitter.com/eaad_eu</v>
      </c>
      <c r="BA51" s="81" t="s">
        <v>66</v>
      </c>
      <c r="BB51" s="81" t="str">
        <f>REPLACE(INDEX(GroupVertices[Group],MATCH(Vertices[[#This Row],[Vertex]],GroupVertices[Vertex],0)),1,1,"")</f>
        <v>3</v>
      </c>
      <c r="BC51" s="49" t="s">
        <v>3553</v>
      </c>
      <c r="BD51" s="49" t="s">
        <v>3553</v>
      </c>
      <c r="BE51" s="49" t="s">
        <v>3599</v>
      </c>
      <c r="BF51" s="49" t="s">
        <v>3599</v>
      </c>
      <c r="BG51" s="49" t="s">
        <v>3616</v>
      </c>
      <c r="BH51" s="49" t="s">
        <v>3651</v>
      </c>
      <c r="BI51" s="113" t="s">
        <v>3705</v>
      </c>
      <c r="BJ51" s="113" t="s">
        <v>3820</v>
      </c>
      <c r="BK51" s="113" t="s">
        <v>3882</v>
      </c>
      <c r="BL51" s="113" t="s">
        <v>3882</v>
      </c>
      <c r="BM51" s="113">
        <v>4</v>
      </c>
      <c r="BN51" s="116">
        <v>3.053435114503817</v>
      </c>
      <c r="BO51" s="113">
        <v>5</v>
      </c>
      <c r="BP51" s="116">
        <v>3.816793893129771</v>
      </c>
      <c r="BQ51" s="113">
        <v>1</v>
      </c>
      <c r="BR51" s="116">
        <v>0.7633587786259542</v>
      </c>
      <c r="BS51" s="113">
        <v>122</v>
      </c>
      <c r="BT51" s="116">
        <v>93.12977099236642</v>
      </c>
      <c r="BU51" s="113">
        <v>131</v>
      </c>
      <c r="BV51" s="2"/>
      <c r="BW51" s="3"/>
      <c r="BX51" s="3"/>
      <c r="BY51" s="3"/>
      <c r="BZ51" s="3"/>
    </row>
    <row r="52" spans="1:78" ht="41.45" customHeight="1">
      <c r="A52" s="66" t="s">
        <v>288</v>
      </c>
      <c r="C52" s="67"/>
      <c r="D52" s="67" t="s">
        <v>64</v>
      </c>
      <c r="E52" s="68">
        <v>162.20377131170366</v>
      </c>
      <c r="F52" s="70">
        <v>99.99956055019982</v>
      </c>
      <c r="G52" s="106" t="str">
        <f>HYPERLINK("https://pbs.twimg.com/profile_images/1352629862561939458/kPtsMcXv_normal.jpg")</f>
        <v>https://pbs.twimg.com/profile_images/1352629862561939458/kPtsMcXv_normal.jpg</v>
      </c>
      <c r="H52" s="67"/>
      <c r="I52" s="71" t="s">
        <v>288</v>
      </c>
      <c r="J52" s="72"/>
      <c r="K52" s="72"/>
      <c r="L52" s="71" t="s">
        <v>2932</v>
      </c>
      <c r="M52" s="75">
        <v>1.1464539700725607</v>
      </c>
      <c r="N52" s="76">
        <v>9455.0546875</v>
      </c>
      <c r="O52" s="76">
        <v>6013.65283203125</v>
      </c>
      <c r="P52" s="77"/>
      <c r="Q52" s="78"/>
      <c r="R52" s="78"/>
      <c r="S52" s="92"/>
      <c r="T52" s="49">
        <v>0</v>
      </c>
      <c r="U52" s="49">
        <v>3</v>
      </c>
      <c r="V52" s="50">
        <v>6</v>
      </c>
      <c r="W52" s="50">
        <v>0.333333</v>
      </c>
      <c r="X52" s="50">
        <v>0</v>
      </c>
      <c r="Y52" s="50">
        <v>1.918915</v>
      </c>
      <c r="Z52" s="50">
        <v>0</v>
      </c>
      <c r="AA52" s="50">
        <v>0</v>
      </c>
      <c r="AB52" s="73">
        <v>52</v>
      </c>
      <c r="AC52" s="73"/>
      <c r="AD52" s="74"/>
      <c r="AE52" s="81" t="s">
        <v>1965</v>
      </c>
      <c r="AF52" s="86" t="s">
        <v>2238</v>
      </c>
      <c r="AG52" s="81">
        <v>626</v>
      </c>
      <c r="AH52" s="81">
        <v>1084</v>
      </c>
      <c r="AI52" s="81">
        <v>5099</v>
      </c>
      <c r="AJ52" s="81">
        <v>55</v>
      </c>
      <c r="AK52" s="81"/>
      <c r="AL52" s="81" t="s">
        <v>2505</v>
      </c>
      <c r="AM52" s="81" t="s">
        <v>2759</v>
      </c>
      <c r="AN52" s="88" t="str">
        <f>HYPERLINK("https://t.co/8uV6a8teGX")</f>
        <v>https://t.co/8uV6a8teGX</v>
      </c>
      <c r="AO52" s="81"/>
      <c r="AP52" s="83">
        <v>43130.59358796296</v>
      </c>
      <c r="AQ52" s="88" t="str">
        <f>HYPERLINK("https://pbs.twimg.com/profile_banners/958342730681270273/1611076709")</f>
        <v>https://pbs.twimg.com/profile_banners/958342730681270273/1611076709</v>
      </c>
      <c r="AR52" s="81" t="b">
        <v>0</v>
      </c>
      <c r="AS52" s="81" t="b">
        <v>0</v>
      </c>
      <c r="AT52" s="81" t="b">
        <v>1</v>
      </c>
      <c r="AU52" s="81"/>
      <c r="AV52" s="81">
        <v>12</v>
      </c>
      <c r="AW52" s="88" t="str">
        <f>HYPERLINK("https://abs.twimg.com/images/themes/theme1/bg.png")</f>
        <v>https://abs.twimg.com/images/themes/theme1/bg.png</v>
      </c>
      <c r="AX52" s="81" t="b">
        <v>0</v>
      </c>
      <c r="AY52" s="81" t="s">
        <v>2883</v>
      </c>
      <c r="AZ52" s="88" t="str">
        <f>HYPERLINK("https://twitter.com/redaktionmk")</f>
        <v>https://twitter.com/redaktionmk</v>
      </c>
      <c r="BA52" s="81" t="s">
        <v>66</v>
      </c>
      <c r="BB52" s="81" t="str">
        <f>REPLACE(INDEX(GroupVertices[Group],MATCH(Vertices[[#This Row],[Vertex]],GroupVertices[Vertex],0)),1,1,"")</f>
        <v>14</v>
      </c>
      <c r="BC52" s="49" t="s">
        <v>3273</v>
      </c>
      <c r="BD52" s="49" t="s">
        <v>3273</v>
      </c>
      <c r="BE52" s="49" t="s">
        <v>916</v>
      </c>
      <c r="BF52" s="49" t="s">
        <v>916</v>
      </c>
      <c r="BG52" s="49" t="s">
        <v>988</v>
      </c>
      <c r="BH52" s="49" t="s">
        <v>988</v>
      </c>
      <c r="BI52" s="113" t="s">
        <v>3706</v>
      </c>
      <c r="BJ52" s="113" t="s">
        <v>3706</v>
      </c>
      <c r="BK52" s="113" t="s">
        <v>3883</v>
      </c>
      <c r="BL52" s="113" t="s">
        <v>3883</v>
      </c>
      <c r="BM52" s="113">
        <v>0</v>
      </c>
      <c r="BN52" s="116">
        <v>0</v>
      </c>
      <c r="BO52" s="113">
        <v>1</v>
      </c>
      <c r="BP52" s="116">
        <v>3.8461538461538463</v>
      </c>
      <c r="BQ52" s="113">
        <v>0</v>
      </c>
      <c r="BR52" s="116">
        <v>0</v>
      </c>
      <c r="BS52" s="113">
        <v>25</v>
      </c>
      <c r="BT52" s="116">
        <v>96.15384615384616</v>
      </c>
      <c r="BU52" s="113">
        <v>26</v>
      </c>
      <c r="BV52" s="2"/>
      <c r="BW52" s="3"/>
      <c r="BX52" s="3"/>
      <c r="BY52" s="3"/>
      <c r="BZ52" s="3"/>
    </row>
    <row r="53" spans="1:78" ht="41.45" customHeight="1">
      <c r="A53" s="66" t="s">
        <v>459</v>
      </c>
      <c r="C53" s="67"/>
      <c r="D53" s="67" t="s">
        <v>64</v>
      </c>
      <c r="E53" s="68">
        <v>165.93178725209546</v>
      </c>
      <c r="F53" s="70">
        <v>99.9915207734208</v>
      </c>
      <c r="G53" s="106" t="str">
        <f>HYPERLINK("https://pbs.twimg.com/profile_images/953219626187542529/tUN_yzk2_normal.jpg")</f>
        <v>https://pbs.twimg.com/profile_images/953219626187542529/tUN_yzk2_normal.jpg</v>
      </c>
      <c r="H53" s="67"/>
      <c r="I53" s="71" t="s">
        <v>459</v>
      </c>
      <c r="J53" s="72"/>
      <c r="K53" s="72"/>
      <c r="L53" s="71" t="s">
        <v>2933</v>
      </c>
      <c r="M53" s="75">
        <v>3.825843577958808</v>
      </c>
      <c r="N53" s="76">
        <v>9455.0546875</v>
      </c>
      <c r="O53" s="76">
        <v>5147.51171875</v>
      </c>
      <c r="P53" s="77"/>
      <c r="Q53" s="78"/>
      <c r="R53" s="78"/>
      <c r="S53" s="92"/>
      <c r="T53" s="49">
        <v>1</v>
      </c>
      <c r="U53" s="49">
        <v>0</v>
      </c>
      <c r="V53" s="50">
        <v>0</v>
      </c>
      <c r="W53" s="50">
        <v>0.2</v>
      </c>
      <c r="X53" s="50">
        <v>0</v>
      </c>
      <c r="Y53" s="50">
        <v>0.693692</v>
      </c>
      <c r="Z53" s="50">
        <v>0</v>
      </c>
      <c r="AA53" s="50">
        <v>0</v>
      </c>
      <c r="AB53" s="73">
        <v>53</v>
      </c>
      <c r="AC53" s="73"/>
      <c r="AD53" s="74"/>
      <c r="AE53" s="81" t="s">
        <v>1966</v>
      </c>
      <c r="AF53" s="86" t="s">
        <v>2239</v>
      </c>
      <c r="AG53" s="81">
        <v>754</v>
      </c>
      <c r="AH53" s="81">
        <v>20861</v>
      </c>
      <c r="AI53" s="81">
        <v>4415</v>
      </c>
      <c r="AJ53" s="81">
        <v>837</v>
      </c>
      <c r="AK53" s="81"/>
      <c r="AL53" s="81" t="s">
        <v>2506</v>
      </c>
      <c r="AM53" s="81" t="s">
        <v>2760</v>
      </c>
      <c r="AN53" s="88" t="str">
        <f>HYPERLINK("https://t.co/QgRnuHp1LM")</f>
        <v>https://t.co/QgRnuHp1LM</v>
      </c>
      <c r="AO53" s="81"/>
      <c r="AP53" s="83">
        <v>40094.59554398148</v>
      </c>
      <c r="AQ53" s="88" t="str">
        <f>HYPERLINK("https://pbs.twimg.com/profile_banners/80858333/1578496194")</f>
        <v>https://pbs.twimg.com/profile_banners/80858333/1578496194</v>
      </c>
      <c r="AR53" s="81" t="b">
        <v>0</v>
      </c>
      <c r="AS53" s="81" t="b">
        <v>0</v>
      </c>
      <c r="AT53" s="81" t="b">
        <v>1</v>
      </c>
      <c r="AU53" s="81"/>
      <c r="AV53" s="81">
        <v>386</v>
      </c>
      <c r="AW53" s="88" t="str">
        <f>HYPERLINK("https://abs.twimg.com/images/themes/theme1/bg.png")</f>
        <v>https://abs.twimg.com/images/themes/theme1/bg.png</v>
      </c>
      <c r="AX53" s="81" t="b">
        <v>0</v>
      </c>
      <c r="AY53" s="81" t="s">
        <v>2883</v>
      </c>
      <c r="AZ53" s="88" t="str">
        <f>HYPERLINK("https://twitter.com/unibonn")</f>
        <v>https://twitter.com/unibonn</v>
      </c>
      <c r="BA53" s="81" t="s">
        <v>65</v>
      </c>
      <c r="BB53" s="81" t="str">
        <f>REPLACE(INDEX(GroupVertices[Group],MATCH(Vertices[[#This Row],[Vertex]],GroupVertices[Vertex],0)),1,1,"")</f>
        <v>14</v>
      </c>
      <c r="BC53" s="49"/>
      <c r="BD53" s="49"/>
      <c r="BE53" s="49"/>
      <c r="BF53" s="49"/>
      <c r="BG53" s="49"/>
      <c r="BH53" s="49"/>
      <c r="BI53" s="49"/>
      <c r="BJ53" s="49"/>
      <c r="BK53" s="49"/>
      <c r="BL53" s="49"/>
      <c r="BM53" s="49"/>
      <c r="BN53" s="50"/>
      <c r="BO53" s="49"/>
      <c r="BP53" s="50"/>
      <c r="BQ53" s="49"/>
      <c r="BR53" s="50"/>
      <c r="BS53" s="49"/>
      <c r="BT53" s="50"/>
      <c r="BU53" s="49"/>
      <c r="BV53" s="2"/>
      <c r="BW53" s="3"/>
      <c r="BX53" s="3"/>
      <c r="BY53" s="3"/>
      <c r="BZ53" s="3"/>
    </row>
    <row r="54" spans="1:78" ht="41.45" customHeight="1">
      <c r="A54" s="66" t="s">
        <v>460</v>
      </c>
      <c r="C54" s="67"/>
      <c r="D54" s="67" t="s">
        <v>64</v>
      </c>
      <c r="E54" s="68">
        <v>164.29935472725384</v>
      </c>
      <c r="F54" s="70">
        <v>99.99504125008087</v>
      </c>
      <c r="G54" s="106" t="str">
        <f>HYPERLINK("https://pbs.twimg.com/profile_images/1353674613109227521/bAxTC_2__normal.jpg")</f>
        <v>https://pbs.twimg.com/profile_images/1353674613109227521/bAxTC_2__normal.jpg</v>
      </c>
      <c r="H54" s="67"/>
      <c r="I54" s="71" t="s">
        <v>460</v>
      </c>
      <c r="J54" s="72"/>
      <c r="K54" s="72"/>
      <c r="L54" s="71" t="s">
        <v>2934</v>
      </c>
      <c r="M54" s="75">
        <v>2.652586056378442</v>
      </c>
      <c r="N54" s="76">
        <v>9711.029296875</v>
      </c>
      <c r="O54" s="76">
        <v>6013.65283203125</v>
      </c>
      <c r="P54" s="77"/>
      <c r="Q54" s="78"/>
      <c r="R54" s="78"/>
      <c r="S54" s="92"/>
      <c r="T54" s="49">
        <v>1</v>
      </c>
      <c r="U54" s="49">
        <v>0</v>
      </c>
      <c r="V54" s="50">
        <v>0</v>
      </c>
      <c r="W54" s="50">
        <v>0.2</v>
      </c>
      <c r="X54" s="50">
        <v>0</v>
      </c>
      <c r="Y54" s="50">
        <v>0.693692</v>
      </c>
      <c r="Z54" s="50">
        <v>0</v>
      </c>
      <c r="AA54" s="50">
        <v>0</v>
      </c>
      <c r="AB54" s="73">
        <v>54</v>
      </c>
      <c r="AC54" s="73"/>
      <c r="AD54" s="74"/>
      <c r="AE54" s="81" t="s">
        <v>1967</v>
      </c>
      <c r="AF54" s="86" t="s">
        <v>2240</v>
      </c>
      <c r="AG54" s="81">
        <v>1339</v>
      </c>
      <c r="AH54" s="81">
        <v>12201</v>
      </c>
      <c r="AI54" s="81">
        <v>3738</v>
      </c>
      <c r="AJ54" s="81">
        <v>1303</v>
      </c>
      <c r="AK54" s="81"/>
      <c r="AL54" s="81" t="s">
        <v>2507</v>
      </c>
      <c r="AM54" s="81" t="s">
        <v>2761</v>
      </c>
      <c r="AN54" s="88" t="str">
        <f>HYPERLINK("https://t.co/pkCDrjijD3")</f>
        <v>https://t.co/pkCDrjijD3</v>
      </c>
      <c r="AO54" s="81"/>
      <c r="AP54" s="83">
        <v>39856.30684027778</v>
      </c>
      <c r="AQ54" s="88" t="str">
        <f>HYPERLINK("https://pbs.twimg.com/profile_banners/20660144/1608104317")</f>
        <v>https://pbs.twimg.com/profile_banners/20660144/1608104317</v>
      </c>
      <c r="AR54" s="81" t="b">
        <v>0</v>
      </c>
      <c r="AS54" s="81" t="b">
        <v>0</v>
      </c>
      <c r="AT54" s="81" t="b">
        <v>1</v>
      </c>
      <c r="AU54" s="81"/>
      <c r="AV54" s="81">
        <v>196</v>
      </c>
      <c r="AW54" s="88" t="str">
        <f>HYPERLINK("https://abs.twimg.com/images/themes/theme16/bg.gif")</f>
        <v>https://abs.twimg.com/images/themes/theme16/bg.gif</v>
      </c>
      <c r="AX54" s="81" t="b">
        <v>0</v>
      </c>
      <c r="AY54" s="81" t="s">
        <v>2883</v>
      </c>
      <c r="AZ54" s="88" t="str">
        <f>HYPERLINK("https://twitter.com/umeauniversity")</f>
        <v>https://twitter.com/umeauniversity</v>
      </c>
      <c r="BA54" s="81" t="s">
        <v>65</v>
      </c>
      <c r="BB54" s="81" t="str">
        <f>REPLACE(INDEX(GroupVertices[Group],MATCH(Vertices[[#This Row],[Vertex]],GroupVertices[Vertex],0)),1,1,"")</f>
        <v>14</v>
      </c>
      <c r="BC54" s="49"/>
      <c r="BD54" s="49"/>
      <c r="BE54" s="49"/>
      <c r="BF54" s="49"/>
      <c r="BG54" s="49"/>
      <c r="BH54" s="49"/>
      <c r="BI54" s="49"/>
      <c r="BJ54" s="49"/>
      <c r="BK54" s="49"/>
      <c r="BL54" s="49"/>
      <c r="BM54" s="49"/>
      <c r="BN54" s="50"/>
      <c r="BO54" s="49"/>
      <c r="BP54" s="50"/>
      <c r="BQ54" s="49"/>
      <c r="BR54" s="50"/>
      <c r="BS54" s="49"/>
      <c r="BT54" s="50"/>
      <c r="BU54" s="49"/>
      <c r="BV54" s="2"/>
      <c r="BW54" s="3"/>
      <c r="BX54" s="3"/>
      <c r="BY54" s="3"/>
      <c r="BZ54" s="3"/>
    </row>
    <row r="55" spans="1:78" ht="41.45" customHeight="1">
      <c r="A55" s="66" t="s">
        <v>461</v>
      </c>
      <c r="C55" s="67"/>
      <c r="D55" s="67" t="s">
        <v>64</v>
      </c>
      <c r="E55" s="68">
        <v>167.84527715505936</v>
      </c>
      <c r="F55" s="70">
        <v>99.9873941731233</v>
      </c>
      <c r="G55" s="106" t="str">
        <f>HYPERLINK("https://pbs.twimg.com/profile_images/543001554941263872/V4NFE2EZ_normal.jpeg")</f>
        <v>https://pbs.twimg.com/profile_images/543001554941263872/V4NFE2EZ_normal.jpeg</v>
      </c>
      <c r="H55" s="67"/>
      <c r="I55" s="71" t="s">
        <v>461</v>
      </c>
      <c r="J55" s="72"/>
      <c r="K55" s="72"/>
      <c r="L55" s="71" t="s">
        <v>2935</v>
      </c>
      <c r="M55" s="75">
        <v>5.201101903774315</v>
      </c>
      <c r="N55" s="76">
        <v>9711.029296875</v>
      </c>
      <c r="O55" s="76">
        <v>5147.51171875</v>
      </c>
      <c r="P55" s="77"/>
      <c r="Q55" s="78"/>
      <c r="R55" s="78"/>
      <c r="S55" s="92"/>
      <c r="T55" s="49">
        <v>1</v>
      </c>
      <c r="U55" s="49">
        <v>0</v>
      </c>
      <c r="V55" s="50">
        <v>0</v>
      </c>
      <c r="W55" s="50">
        <v>0.2</v>
      </c>
      <c r="X55" s="50">
        <v>0</v>
      </c>
      <c r="Y55" s="50">
        <v>0.693692</v>
      </c>
      <c r="Z55" s="50">
        <v>0</v>
      </c>
      <c r="AA55" s="50">
        <v>0</v>
      </c>
      <c r="AB55" s="73">
        <v>55</v>
      </c>
      <c r="AC55" s="73"/>
      <c r="AD55" s="74"/>
      <c r="AE55" s="81" t="s">
        <v>1968</v>
      </c>
      <c r="AF55" s="86" t="s">
        <v>2241</v>
      </c>
      <c r="AG55" s="81">
        <v>176</v>
      </c>
      <c r="AH55" s="81">
        <v>31012</v>
      </c>
      <c r="AI55" s="81">
        <v>4396</v>
      </c>
      <c r="AJ55" s="81">
        <v>2023</v>
      </c>
      <c r="AK55" s="81"/>
      <c r="AL55" s="81" t="s">
        <v>2508</v>
      </c>
      <c r="AM55" s="81" t="s">
        <v>2758</v>
      </c>
      <c r="AN55" s="88" t="str">
        <f>HYPERLINK("https://t.co/jjQZwOtj5S")</f>
        <v>https://t.co/jjQZwOtj5S</v>
      </c>
      <c r="AO55" s="81"/>
      <c r="AP55" s="83">
        <v>39898.3437037037</v>
      </c>
      <c r="AQ55" s="88" t="str">
        <f>HYPERLINK("https://pbs.twimg.com/profile_banners/26710622/1556805570")</f>
        <v>https://pbs.twimg.com/profile_banners/26710622/1556805570</v>
      </c>
      <c r="AR55" s="81" t="b">
        <v>0</v>
      </c>
      <c r="AS55" s="81" t="b">
        <v>0</v>
      </c>
      <c r="AT55" s="81" t="b">
        <v>1</v>
      </c>
      <c r="AU55" s="81"/>
      <c r="AV55" s="81">
        <v>0</v>
      </c>
      <c r="AW55" s="88" t="str">
        <f>HYPERLINK("https://abs.twimg.com/images/themes/theme1/bg.png")</f>
        <v>https://abs.twimg.com/images/themes/theme1/bg.png</v>
      </c>
      <c r="AX55" s="81" t="b">
        <v>0</v>
      </c>
      <c r="AY55" s="81" t="s">
        <v>2883</v>
      </c>
      <c r="AZ55" s="88" t="str">
        <f>HYPERLINK("https://twitter.com/karolinskainst")</f>
        <v>https://twitter.com/karolinskainst</v>
      </c>
      <c r="BA55" s="81" t="s">
        <v>65</v>
      </c>
      <c r="BB55" s="81" t="str">
        <f>REPLACE(INDEX(GroupVertices[Group],MATCH(Vertices[[#This Row],[Vertex]],GroupVertices[Vertex],0)),1,1,"")</f>
        <v>14</v>
      </c>
      <c r="BC55" s="49"/>
      <c r="BD55" s="49"/>
      <c r="BE55" s="49"/>
      <c r="BF55" s="49"/>
      <c r="BG55" s="49"/>
      <c r="BH55" s="49"/>
      <c r="BI55" s="49"/>
      <c r="BJ55" s="49"/>
      <c r="BK55" s="49"/>
      <c r="BL55" s="49"/>
      <c r="BM55" s="49"/>
      <c r="BN55" s="50"/>
      <c r="BO55" s="49"/>
      <c r="BP55" s="50"/>
      <c r="BQ55" s="49"/>
      <c r="BR55" s="50"/>
      <c r="BS55" s="49"/>
      <c r="BT55" s="50"/>
      <c r="BU55" s="49"/>
      <c r="BV55" s="2"/>
      <c r="BW55" s="3"/>
      <c r="BX55" s="3"/>
      <c r="BY55" s="3"/>
      <c r="BZ55" s="3"/>
    </row>
    <row r="56" spans="1:78" ht="41.45" customHeight="1">
      <c r="A56" s="66" t="s">
        <v>289</v>
      </c>
      <c r="C56" s="67"/>
      <c r="D56" s="67" t="s">
        <v>64</v>
      </c>
      <c r="E56" s="68">
        <v>163.44298741081556</v>
      </c>
      <c r="F56" s="70">
        <v>99.99688807750198</v>
      </c>
      <c r="G56" s="106" t="str">
        <f>HYPERLINK("https://pbs.twimg.com/profile_images/378800000021890709/ba9b472a5cfa9b50513c87402e920d5d_normal.png")</f>
        <v>https://pbs.twimg.com/profile_images/378800000021890709/ba9b472a5cfa9b50513c87402e920d5d_normal.png</v>
      </c>
      <c r="H56" s="67"/>
      <c r="I56" s="71" t="s">
        <v>289</v>
      </c>
      <c r="J56" s="72"/>
      <c r="K56" s="72"/>
      <c r="L56" s="71" t="s">
        <v>2936</v>
      </c>
      <c r="M56" s="75">
        <v>2.037100037840381</v>
      </c>
      <c r="N56" s="76">
        <v>5459.70654296875</v>
      </c>
      <c r="O56" s="76">
        <v>5957.884765625</v>
      </c>
      <c r="P56" s="77"/>
      <c r="Q56" s="78"/>
      <c r="R56" s="78"/>
      <c r="S56" s="92"/>
      <c r="T56" s="49">
        <v>0</v>
      </c>
      <c r="U56" s="49">
        <v>1</v>
      </c>
      <c r="V56" s="50">
        <v>0</v>
      </c>
      <c r="W56" s="50">
        <v>0.052632</v>
      </c>
      <c r="X56" s="50">
        <v>0</v>
      </c>
      <c r="Y56" s="50">
        <v>0.490452</v>
      </c>
      <c r="Z56" s="50">
        <v>0</v>
      </c>
      <c r="AA56" s="50">
        <v>0</v>
      </c>
      <c r="AB56" s="73">
        <v>56</v>
      </c>
      <c r="AC56" s="73"/>
      <c r="AD56" s="74"/>
      <c r="AE56" s="81" t="s">
        <v>1969</v>
      </c>
      <c r="AF56" s="86" t="s">
        <v>2242</v>
      </c>
      <c r="AG56" s="81">
        <v>3002</v>
      </c>
      <c r="AH56" s="81">
        <v>7658</v>
      </c>
      <c r="AI56" s="81">
        <v>15412</v>
      </c>
      <c r="AJ56" s="81">
        <v>5906</v>
      </c>
      <c r="AK56" s="81"/>
      <c r="AL56" s="81" t="s">
        <v>2509</v>
      </c>
      <c r="AM56" s="81" t="s">
        <v>2762</v>
      </c>
      <c r="AN56" s="88" t="str">
        <f>HYPERLINK("https://t.co/6hBFyiJVoS")</f>
        <v>https://t.co/6hBFyiJVoS</v>
      </c>
      <c r="AO56" s="81"/>
      <c r="AP56" s="83">
        <v>40096.76648148148</v>
      </c>
      <c r="AQ56" s="88" t="str">
        <f>HYPERLINK("https://pbs.twimg.com/profile_banners/81412512/1613478178")</f>
        <v>https://pbs.twimg.com/profile_banners/81412512/1613478178</v>
      </c>
      <c r="AR56" s="81" t="b">
        <v>0</v>
      </c>
      <c r="AS56" s="81" t="b">
        <v>0</v>
      </c>
      <c r="AT56" s="81" t="b">
        <v>1</v>
      </c>
      <c r="AU56" s="81"/>
      <c r="AV56" s="81">
        <v>294</v>
      </c>
      <c r="AW56" s="88" t="str">
        <f>HYPERLINK("https://abs.twimg.com/images/themes/theme1/bg.png")</f>
        <v>https://abs.twimg.com/images/themes/theme1/bg.png</v>
      </c>
      <c r="AX56" s="81" t="b">
        <v>0</v>
      </c>
      <c r="AY56" s="81" t="s">
        <v>2883</v>
      </c>
      <c r="AZ56" s="88" t="str">
        <f>HYPERLINK("https://twitter.com/ourhospitals")</f>
        <v>https://twitter.com/ourhospitals</v>
      </c>
      <c r="BA56" s="81" t="s">
        <v>66</v>
      </c>
      <c r="BB56" s="81" t="str">
        <f>REPLACE(INDEX(GroupVertices[Group],MATCH(Vertices[[#This Row],[Vertex]],GroupVertices[Vertex],0)),1,1,"")</f>
        <v>5</v>
      </c>
      <c r="BC56" s="49" t="s">
        <v>3554</v>
      </c>
      <c r="BD56" s="49" t="s">
        <v>3554</v>
      </c>
      <c r="BE56" s="49" t="s">
        <v>903</v>
      </c>
      <c r="BF56" s="49" t="s">
        <v>903</v>
      </c>
      <c r="BG56" s="49" t="s">
        <v>989</v>
      </c>
      <c r="BH56" s="49" t="s">
        <v>989</v>
      </c>
      <c r="BI56" s="113" t="s">
        <v>3707</v>
      </c>
      <c r="BJ56" s="113" t="s">
        <v>3707</v>
      </c>
      <c r="BK56" s="113" t="s">
        <v>3884</v>
      </c>
      <c r="BL56" s="113" t="s">
        <v>3884</v>
      </c>
      <c r="BM56" s="113">
        <v>0</v>
      </c>
      <c r="BN56" s="116">
        <v>0</v>
      </c>
      <c r="BO56" s="113">
        <v>1</v>
      </c>
      <c r="BP56" s="116">
        <v>4</v>
      </c>
      <c r="BQ56" s="113">
        <v>0</v>
      </c>
      <c r="BR56" s="116">
        <v>0</v>
      </c>
      <c r="BS56" s="113">
        <v>24</v>
      </c>
      <c r="BT56" s="116">
        <v>96</v>
      </c>
      <c r="BU56" s="113">
        <v>25</v>
      </c>
      <c r="BV56" s="2"/>
      <c r="BW56" s="3"/>
      <c r="BX56" s="3"/>
      <c r="BY56" s="3"/>
      <c r="BZ56" s="3"/>
    </row>
    <row r="57" spans="1:78" ht="41.45" customHeight="1">
      <c r="A57" s="66" t="s">
        <v>427</v>
      </c>
      <c r="C57" s="67"/>
      <c r="D57" s="67" t="s">
        <v>64</v>
      </c>
      <c r="E57" s="68">
        <v>1000</v>
      </c>
      <c r="F57" s="70">
        <v>98.19278322610762</v>
      </c>
      <c r="G57" s="106" t="str">
        <f>HYPERLINK("https://pbs.twimg.com/profile_images/880104586211581952/KPwn1JyQ_normal.jpg")</f>
        <v>https://pbs.twimg.com/profile_images/880104586211581952/KPwn1JyQ_normal.jpg</v>
      </c>
      <c r="H57" s="67"/>
      <c r="I57" s="71" t="s">
        <v>427</v>
      </c>
      <c r="J57" s="72"/>
      <c r="K57" s="72"/>
      <c r="L57" s="71" t="s">
        <v>2937</v>
      </c>
      <c r="M57" s="75">
        <v>603.2851101791981</v>
      </c>
      <c r="N57" s="76">
        <v>5740.29150390625</v>
      </c>
      <c r="O57" s="76">
        <v>5385.48828125</v>
      </c>
      <c r="P57" s="77"/>
      <c r="Q57" s="78"/>
      <c r="R57" s="78"/>
      <c r="S57" s="92"/>
      <c r="T57" s="49">
        <v>8</v>
      </c>
      <c r="U57" s="49">
        <v>1</v>
      </c>
      <c r="V57" s="50">
        <v>66</v>
      </c>
      <c r="W57" s="50">
        <v>0.090909</v>
      </c>
      <c r="X57" s="50">
        <v>0</v>
      </c>
      <c r="Y57" s="50">
        <v>3.204251</v>
      </c>
      <c r="Z57" s="50">
        <v>0</v>
      </c>
      <c r="AA57" s="50">
        <v>0</v>
      </c>
      <c r="AB57" s="73">
        <v>57</v>
      </c>
      <c r="AC57" s="73"/>
      <c r="AD57" s="74"/>
      <c r="AE57" s="81" t="s">
        <v>1970</v>
      </c>
      <c r="AF57" s="86" t="s">
        <v>2243</v>
      </c>
      <c r="AG57" s="81">
        <v>256</v>
      </c>
      <c r="AH57" s="81">
        <v>4445565</v>
      </c>
      <c r="AI57" s="81">
        <v>31897</v>
      </c>
      <c r="AJ57" s="81">
        <v>512</v>
      </c>
      <c r="AK57" s="81"/>
      <c r="AL57" s="81" t="s">
        <v>2510</v>
      </c>
      <c r="AM57" s="81" t="s">
        <v>2734</v>
      </c>
      <c r="AN57" s="88" t="str">
        <f>HYPERLINK("http://t.co/5a7cTu2vly")</f>
        <v>http://t.co/5a7cTu2vly</v>
      </c>
      <c r="AO57" s="81"/>
      <c r="AP57" s="83">
        <v>40319.81990740741</v>
      </c>
      <c r="AQ57" s="88" t="str">
        <f>HYPERLINK("https://pbs.twimg.com/profile_banners/146569971/1625576050")</f>
        <v>https://pbs.twimg.com/profile_banners/146569971/1625576050</v>
      </c>
      <c r="AR57" s="81" t="b">
        <v>0</v>
      </c>
      <c r="AS57" s="81" t="b">
        <v>0</v>
      </c>
      <c r="AT57" s="81" t="b">
        <v>0</v>
      </c>
      <c r="AU57" s="81"/>
      <c r="AV57" s="81">
        <v>19425</v>
      </c>
      <c r="AW57" s="88" t="str">
        <f>HYPERLINK("https://abs.twimg.com/images/themes/theme1/bg.png")</f>
        <v>https://abs.twimg.com/images/themes/theme1/bg.png</v>
      </c>
      <c r="AX57" s="81" t="b">
        <v>1</v>
      </c>
      <c r="AY57" s="81" t="s">
        <v>2883</v>
      </c>
      <c r="AZ57" s="88" t="str">
        <f>HYPERLINK("https://twitter.com/cdcgov")</f>
        <v>https://twitter.com/cdcgov</v>
      </c>
      <c r="BA57" s="81" t="s">
        <v>66</v>
      </c>
      <c r="BB57" s="81" t="str">
        <f>REPLACE(INDEX(GroupVertices[Group],MATCH(Vertices[[#This Row],[Vertex]],GroupVertices[Vertex],0)),1,1,"")</f>
        <v>5</v>
      </c>
      <c r="BC57" s="49" t="s">
        <v>3555</v>
      </c>
      <c r="BD57" s="49" t="s">
        <v>3555</v>
      </c>
      <c r="BE57" s="49" t="s">
        <v>903</v>
      </c>
      <c r="BF57" s="49" t="s">
        <v>903</v>
      </c>
      <c r="BG57" s="49" t="s">
        <v>3617</v>
      </c>
      <c r="BH57" s="49" t="s">
        <v>3652</v>
      </c>
      <c r="BI57" s="113" t="s">
        <v>3708</v>
      </c>
      <c r="BJ57" s="113" t="s">
        <v>3821</v>
      </c>
      <c r="BK57" s="113" t="s">
        <v>3885</v>
      </c>
      <c r="BL57" s="113" t="s">
        <v>3885</v>
      </c>
      <c r="BM57" s="113">
        <v>7</v>
      </c>
      <c r="BN57" s="116">
        <v>3.763440860215054</v>
      </c>
      <c r="BO57" s="113">
        <v>8</v>
      </c>
      <c r="BP57" s="116">
        <v>4.301075268817204</v>
      </c>
      <c r="BQ57" s="113">
        <v>0</v>
      </c>
      <c r="BR57" s="116">
        <v>0</v>
      </c>
      <c r="BS57" s="113">
        <v>171</v>
      </c>
      <c r="BT57" s="116">
        <v>91.93548387096774</v>
      </c>
      <c r="BU57" s="113">
        <v>186</v>
      </c>
      <c r="BV57" s="2"/>
      <c r="BW57" s="3"/>
      <c r="BX57" s="3"/>
      <c r="BY57" s="3"/>
      <c r="BZ57" s="3"/>
    </row>
    <row r="58" spans="1:78" ht="41.45" customHeight="1">
      <c r="A58" s="66" t="s">
        <v>290</v>
      </c>
      <c r="C58" s="67"/>
      <c r="D58" s="67" t="s">
        <v>64</v>
      </c>
      <c r="E58" s="68">
        <v>162.0305374213654</v>
      </c>
      <c r="F58" s="70">
        <v>99.99993414350821</v>
      </c>
      <c r="G58" s="106" t="str">
        <f>HYPERLINK("https://pbs.twimg.com/profile_images/1353296179963035648/YmwSzrJH_normal.jpg")</f>
        <v>https://pbs.twimg.com/profile_images/1353296179963035648/YmwSzrJH_normal.jpg</v>
      </c>
      <c r="H58" s="67"/>
      <c r="I58" s="71" t="s">
        <v>290</v>
      </c>
      <c r="J58" s="72"/>
      <c r="K58" s="72"/>
      <c r="L58" s="71" t="s">
        <v>2938</v>
      </c>
      <c r="M58" s="75">
        <v>1.0219477734983855</v>
      </c>
      <c r="N58" s="76">
        <v>8348.498046875</v>
      </c>
      <c r="O58" s="76">
        <v>520.78125</v>
      </c>
      <c r="P58" s="77"/>
      <c r="Q58" s="78"/>
      <c r="R58" s="78"/>
      <c r="S58" s="92"/>
      <c r="T58" s="49">
        <v>0</v>
      </c>
      <c r="U58" s="49">
        <v>1</v>
      </c>
      <c r="V58" s="50">
        <v>0</v>
      </c>
      <c r="W58" s="50">
        <v>1</v>
      </c>
      <c r="X58" s="50">
        <v>0</v>
      </c>
      <c r="Y58" s="50">
        <v>0.999998</v>
      </c>
      <c r="Z58" s="50">
        <v>0</v>
      </c>
      <c r="AA58" s="50">
        <v>0</v>
      </c>
      <c r="AB58" s="73">
        <v>58</v>
      </c>
      <c r="AC58" s="73"/>
      <c r="AD58" s="74"/>
      <c r="AE58" s="81" t="s">
        <v>1971</v>
      </c>
      <c r="AF58" s="86" t="s">
        <v>2244</v>
      </c>
      <c r="AG58" s="81">
        <v>96</v>
      </c>
      <c r="AH58" s="81">
        <v>165</v>
      </c>
      <c r="AI58" s="81">
        <v>116</v>
      </c>
      <c r="AJ58" s="81">
        <v>2</v>
      </c>
      <c r="AK58" s="81"/>
      <c r="AL58" s="81" t="s">
        <v>2511</v>
      </c>
      <c r="AM58" s="81"/>
      <c r="AN58" s="88" t="str">
        <f>HYPERLINK("https://t.co/PF1j1pPsZp")</f>
        <v>https://t.co/PF1j1pPsZp</v>
      </c>
      <c r="AO58" s="81"/>
      <c r="AP58" s="83">
        <v>44181.61601851852</v>
      </c>
      <c r="AQ58" s="88" t="str">
        <f>HYPERLINK("https://pbs.twimg.com/profile_banners/1339220466116997121/1611681271")</f>
        <v>https://pbs.twimg.com/profile_banners/1339220466116997121/1611681271</v>
      </c>
      <c r="AR58" s="81" t="b">
        <v>1</v>
      </c>
      <c r="AS58" s="81" t="b">
        <v>0</v>
      </c>
      <c r="AT58" s="81" t="b">
        <v>0</v>
      </c>
      <c r="AU58" s="81"/>
      <c r="AV58" s="81">
        <v>0</v>
      </c>
      <c r="AW58" s="81"/>
      <c r="AX58" s="81" t="b">
        <v>0</v>
      </c>
      <c r="AY58" s="81" t="s">
        <v>2883</v>
      </c>
      <c r="AZ58" s="88" t="str">
        <f>HYPERLINK("https://twitter.com/polypidltd")</f>
        <v>https://twitter.com/polypidltd</v>
      </c>
      <c r="BA58" s="81" t="s">
        <v>66</v>
      </c>
      <c r="BB58" s="81" t="str">
        <f>REPLACE(INDEX(GroupVertices[Group],MATCH(Vertices[[#This Row],[Vertex]],GroupVertices[Vertex],0)),1,1,"")</f>
        <v>24</v>
      </c>
      <c r="BC58" s="49" t="s">
        <v>3204</v>
      </c>
      <c r="BD58" s="49" t="s">
        <v>3204</v>
      </c>
      <c r="BE58" s="49" t="s">
        <v>903</v>
      </c>
      <c r="BF58" s="49" t="s">
        <v>903</v>
      </c>
      <c r="BG58" s="49" t="s">
        <v>954</v>
      </c>
      <c r="BH58" s="49" t="s">
        <v>954</v>
      </c>
      <c r="BI58" s="113" t="s">
        <v>3685</v>
      </c>
      <c r="BJ58" s="113" t="s">
        <v>3685</v>
      </c>
      <c r="BK58" s="113" t="s">
        <v>3862</v>
      </c>
      <c r="BL58" s="113" t="s">
        <v>3862</v>
      </c>
      <c r="BM58" s="113">
        <v>0</v>
      </c>
      <c r="BN58" s="116">
        <v>0</v>
      </c>
      <c r="BO58" s="113">
        <v>1</v>
      </c>
      <c r="BP58" s="116">
        <v>3.0303030303030303</v>
      </c>
      <c r="BQ58" s="113">
        <v>0</v>
      </c>
      <c r="BR58" s="116">
        <v>0</v>
      </c>
      <c r="BS58" s="113">
        <v>32</v>
      </c>
      <c r="BT58" s="116">
        <v>96.96969696969697</v>
      </c>
      <c r="BU58" s="113">
        <v>33</v>
      </c>
      <c r="BV58" s="2"/>
      <c r="BW58" s="3"/>
      <c r="BX58" s="3"/>
      <c r="BY58" s="3"/>
      <c r="BZ58" s="3"/>
    </row>
    <row r="59" spans="1:78" ht="41.45" customHeight="1">
      <c r="A59" s="66" t="s">
        <v>462</v>
      </c>
      <c r="C59" s="67"/>
      <c r="D59" s="67" t="s">
        <v>64</v>
      </c>
      <c r="E59" s="68">
        <v>162.00490106762655</v>
      </c>
      <c r="F59" s="70">
        <v>99.99998943043958</v>
      </c>
      <c r="G59" s="106" t="str">
        <f>HYPERLINK("https://pbs.twimg.com/profile_images/1283958469842939905/Z5YkcYAr_normal.jpg")</f>
        <v>https://pbs.twimg.com/profile_images/1283958469842939905/Z5YkcYAr_normal.jpg</v>
      </c>
      <c r="H59" s="67"/>
      <c r="I59" s="71" t="s">
        <v>462</v>
      </c>
      <c r="J59" s="72"/>
      <c r="K59" s="72"/>
      <c r="L59" s="71" t="s">
        <v>2939</v>
      </c>
      <c r="M59" s="75">
        <v>1.0035224821664075</v>
      </c>
      <c r="N59" s="76">
        <v>8348.498046875</v>
      </c>
      <c r="O59" s="76">
        <v>904.5148315429688</v>
      </c>
      <c r="P59" s="77"/>
      <c r="Q59" s="78"/>
      <c r="R59" s="78"/>
      <c r="S59" s="92"/>
      <c r="T59" s="49">
        <v>1</v>
      </c>
      <c r="U59" s="49">
        <v>0</v>
      </c>
      <c r="V59" s="50">
        <v>0</v>
      </c>
      <c r="W59" s="50">
        <v>1</v>
      </c>
      <c r="X59" s="50">
        <v>0</v>
      </c>
      <c r="Y59" s="50">
        <v>0.999998</v>
      </c>
      <c r="Z59" s="50">
        <v>0</v>
      </c>
      <c r="AA59" s="50">
        <v>0</v>
      </c>
      <c r="AB59" s="73">
        <v>59</v>
      </c>
      <c r="AC59" s="73"/>
      <c r="AD59" s="74"/>
      <c r="AE59" s="81" t="s">
        <v>1972</v>
      </c>
      <c r="AF59" s="86" t="s">
        <v>2245</v>
      </c>
      <c r="AG59" s="81">
        <v>1</v>
      </c>
      <c r="AH59" s="81">
        <v>29</v>
      </c>
      <c r="AI59" s="81">
        <v>19</v>
      </c>
      <c r="AJ59" s="81">
        <v>0</v>
      </c>
      <c r="AK59" s="81"/>
      <c r="AL59" s="81"/>
      <c r="AM59" s="81"/>
      <c r="AN59" s="81"/>
      <c r="AO59" s="81"/>
      <c r="AP59" s="83">
        <v>39160.72895833333</v>
      </c>
      <c r="AQ59" s="81"/>
      <c r="AR59" s="81" t="b">
        <v>0</v>
      </c>
      <c r="AS59" s="81" t="b">
        <v>0</v>
      </c>
      <c r="AT59" s="81" t="b">
        <v>0</v>
      </c>
      <c r="AU59" s="81"/>
      <c r="AV59" s="81">
        <v>9</v>
      </c>
      <c r="AW59" s="88" t="str">
        <f>HYPERLINK("https://abs.twimg.com/images/themes/theme1/bg.png")</f>
        <v>https://abs.twimg.com/images/themes/theme1/bg.png</v>
      </c>
      <c r="AX59" s="81" t="b">
        <v>0</v>
      </c>
      <c r="AY59" s="81" t="s">
        <v>2883</v>
      </c>
      <c r="AZ59" s="88" t="str">
        <f>HYPERLINK("https://twitter.com/cdc")</f>
        <v>https://twitter.com/cdc</v>
      </c>
      <c r="BA59" s="81" t="s">
        <v>65</v>
      </c>
      <c r="BB59" s="81" t="str">
        <f>REPLACE(INDEX(GroupVertices[Group],MATCH(Vertices[[#This Row],[Vertex]],GroupVertices[Vertex],0)),1,1,"")</f>
        <v>24</v>
      </c>
      <c r="BC59" s="49"/>
      <c r="BD59" s="49"/>
      <c r="BE59" s="49"/>
      <c r="BF59" s="49"/>
      <c r="BG59" s="49"/>
      <c r="BH59" s="49"/>
      <c r="BI59" s="49"/>
      <c r="BJ59" s="49"/>
      <c r="BK59" s="49"/>
      <c r="BL59" s="49"/>
      <c r="BM59" s="49"/>
      <c r="BN59" s="50"/>
      <c r="BO59" s="49"/>
      <c r="BP59" s="50"/>
      <c r="BQ59" s="49"/>
      <c r="BR59" s="50"/>
      <c r="BS59" s="49"/>
      <c r="BT59" s="50"/>
      <c r="BU59" s="49"/>
      <c r="BV59" s="2"/>
      <c r="BW59" s="3"/>
      <c r="BX59" s="3"/>
      <c r="BY59" s="3"/>
      <c r="BZ59" s="3"/>
    </row>
    <row r="60" spans="1:78" ht="41.45" customHeight="1">
      <c r="A60" s="66" t="s">
        <v>291</v>
      </c>
      <c r="C60" s="67"/>
      <c r="D60" s="67" t="s">
        <v>64</v>
      </c>
      <c r="E60" s="68">
        <v>162.00056550780306</v>
      </c>
      <c r="F60" s="70">
        <v>99.99999878043533</v>
      </c>
      <c r="G60" s="106" t="str">
        <f>HYPERLINK("https://pbs.twimg.com/profile_images/1322223715153813505/pTHnVDRV_normal.jpg")</f>
        <v>https://pbs.twimg.com/profile_images/1322223715153813505/pTHnVDRV_normal.jpg</v>
      </c>
      <c r="H60" s="67"/>
      <c r="I60" s="71" t="s">
        <v>291</v>
      </c>
      <c r="J60" s="72"/>
      <c r="K60" s="72"/>
      <c r="L60" s="71" t="s">
        <v>2940</v>
      </c>
      <c r="M60" s="75">
        <v>1.0004064402499702</v>
      </c>
      <c r="N60" s="76">
        <v>746.3868408203125</v>
      </c>
      <c r="O60" s="76">
        <v>9280.87109375</v>
      </c>
      <c r="P60" s="77"/>
      <c r="Q60" s="78"/>
      <c r="R60" s="78"/>
      <c r="S60" s="92"/>
      <c r="T60" s="49">
        <v>1</v>
      </c>
      <c r="U60" s="49">
        <v>1</v>
      </c>
      <c r="V60" s="50">
        <v>0</v>
      </c>
      <c r="W60" s="50">
        <v>0</v>
      </c>
      <c r="X60" s="50">
        <v>0</v>
      </c>
      <c r="Y60" s="50">
        <v>0.999998</v>
      </c>
      <c r="Z60" s="50">
        <v>0</v>
      </c>
      <c r="AA60" s="50">
        <v>0</v>
      </c>
      <c r="AB60" s="73">
        <v>60</v>
      </c>
      <c r="AC60" s="73"/>
      <c r="AD60" s="74"/>
      <c r="AE60" s="81" t="s">
        <v>1973</v>
      </c>
      <c r="AF60" s="86" t="s">
        <v>2246</v>
      </c>
      <c r="AG60" s="81">
        <v>165</v>
      </c>
      <c r="AH60" s="81">
        <v>6</v>
      </c>
      <c r="AI60" s="81">
        <v>11</v>
      </c>
      <c r="AJ60" s="81">
        <v>6</v>
      </c>
      <c r="AK60" s="81"/>
      <c r="AL60" s="81" t="s">
        <v>2512</v>
      </c>
      <c r="AM60" s="81"/>
      <c r="AN60" s="81"/>
      <c r="AO60" s="81"/>
      <c r="AP60" s="83">
        <v>44134.71260416666</v>
      </c>
      <c r="AQ60" s="81"/>
      <c r="AR60" s="81" t="b">
        <v>1</v>
      </c>
      <c r="AS60" s="81" t="b">
        <v>0</v>
      </c>
      <c r="AT60" s="81" t="b">
        <v>0</v>
      </c>
      <c r="AU60" s="81"/>
      <c r="AV60" s="81">
        <v>0</v>
      </c>
      <c r="AW60" s="81"/>
      <c r="AX60" s="81" t="b">
        <v>0</v>
      </c>
      <c r="AY60" s="81" t="s">
        <v>2883</v>
      </c>
      <c r="AZ60" s="88" t="str">
        <f>HYPERLINK("https://twitter.com/sawansa26253866")</f>
        <v>https://twitter.com/sawansa26253866</v>
      </c>
      <c r="BA60" s="81" t="s">
        <v>66</v>
      </c>
      <c r="BB60" s="81" t="str">
        <f>REPLACE(INDEX(GroupVertices[Group],MATCH(Vertices[[#This Row],[Vertex]],GroupVertices[Vertex],0)),1,1,"")</f>
        <v>1</v>
      </c>
      <c r="BC60" s="49"/>
      <c r="BD60" s="49"/>
      <c r="BE60" s="49"/>
      <c r="BF60" s="49"/>
      <c r="BG60" s="49" t="s">
        <v>966</v>
      </c>
      <c r="BH60" s="49" t="s">
        <v>966</v>
      </c>
      <c r="BI60" s="113" t="s">
        <v>3709</v>
      </c>
      <c r="BJ60" s="113" t="s">
        <v>3709</v>
      </c>
      <c r="BK60" s="113" t="s">
        <v>3886</v>
      </c>
      <c r="BL60" s="113" t="s">
        <v>3886</v>
      </c>
      <c r="BM60" s="113">
        <v>1</v>
      </c>
      <c r="BN60" s="116">
        <v>2.9411764705882355</v>
      </c>
      <c r="BO60" s="113">
        <v>0</v>
      </c>
      <c r="BP60" s="116">
        <v>0</v>
      </c>
      <c r="BQ60" s="113">
        <v>0</v>
      </c>
      <c r="BR60" s="116">
        <v>0</v>
      </c>
      <c r="BS60" s="113">
        <v>33</v>
      </c>
      <c r="BT60" s="116">
        <v>97.05882352941177</v>
      </c>
      <c r="BU60" s="113">
        <v>34</v>
      </c>
      <c r="BV60" s="2"/>
      <c r="BW60" s="3"/>
      <c r="BX60" s="3"/>
      <c r="BY60" s="3"/>
      <c r="BZ60" s="3"/>
    </row>
    <row r="61" spans="1:78" ht="41.45" customHeight="1">
      <c r="A61" s="66" t="s">
        <v>292</v>
      </c>
      <c r="C61" s="67"/>
      <c r="D61" s="67" t="s">
        <v>64</v>
      </c>
      <c r="E61" s="68">
        <v>162.00508957022757</v>
      </c>
      <c r="F61" s="70">
        <v>99.99998902391803</v>
      </c>
      <c r="G61" s="106" t="str">
        <f>HYPERLINK("https://pbs.twimg.com/profile_images/1433526179282182153/QDkfzArV_normal.jpg")</f>
        <v>https://pbs.twimg.com/profile_images/1433526179282182153/QDkfzArV_normal.jpg</v>
      </c>
      <c r="H61" s="67"/>
      <c r="I61" s="71" t="s">
        <v>292</v>
      </c>
      <c r="J61" s="72"/>
      <c r="K61" s="72"/>
      <c r="L61" s="71" t="s">
        <v>2941</v>
      </c>
      <c r="M61" s="75">
        <v>1.003657962249731</v>
      </c>
      <c r="N61" s="76">
        <v>3482.93359375</v>
      </c>
      <c r="O61" s="76">
        <v>9280.87109375</v>
      </c>
      <c r="P61" s="77"/>
      <c r="Q61" s="78"/>
      <c r="R61" s="78"/>
      <c r="S61" s="92"/>
      <c r="T61" s="49">
        <v>1</v>
      </c>
      <c r="U61" s="49">
        <v>1</v>
      </c>
      <c r="V61" s="50">
        <v>0</v>
      </c>
      <c r="W61" s="50">
        <v>0</v>
      </c>
      <c r="X61" s="50">
        <v>0</v>
      </c>
      <c r="Y61" s="50">
        <v>0.999998</v>
      </c>
      <c r="Z61" s="50">
        <v>0</v>
      </c>
      <c r="AA61" s="50">
        <v>0</v>
      </c>
      <c r="AB61" s="73">
        <v>61</v>
      </c>
      <c r="AC61" s="73"/>
      <c r="AD61" s="74"/>
      <c r="AE61" s="81" t="s">
        <v>1974</v>
      </c>
      <c r="AF61" s="86" t="s">
        <v>2247</v>
      </c>
      <c r="AG61" s="81">
        <v>130</v>
      </c>
      <c r="AH61" s="81">
        <v>30</v>
      </c>
      <c r="AI61" s="81">
        <v>78</v>
      </c>
      <c r="AJ61" s="81">
        <v>110</v>
      </c>
      <c r="AK61" s="81"/>
      <c r="AL61" s="81" t="s">
        <v>2513</v>
      </c>
      <c r="AM61" s="81" t="s">
        <v>2763</v>
      </c>
      <c r="AN61" s="88" t="str">
        <f>HYPERLINK("https://t.co/fvgmsUFUlj")</f>
        <v>https://t.co/fvgmsUFUlj</v>
      </c>
      <c r="AO61" s="81"/>
      <c r="AP61" s="83">
        <v>44441.84954861111</v>
      </c>
      <c r="AQ61" s="88" t="str">
        <f>HYPERLINK("https://pbs.twimg.com/profile_banners/1433525903787765760/1630614540")</f>
        <v>https://pbs.twimg.com/profile_banners/1433525903787765760/1630614540</v>
      </c>
      <c r="AR61" s="81" t="b">
        <v>1</v>
      </c>
      <c r="AS61" s="81" t="b">
        <v>0</v>
      </c>
      <c r="AT61" s="81" t="b">
        <v>0</v>
      </c>
      <c r="AU61" s="81"/>
      <c r="AV61" s="81">
        <v>0</v>
      </c>
      <c r="AW61" s="81"/>
      <c r="AX61" s="81" t="b">
        <v>0</v>
      </c>
      <c r="AY61" s="81" t="s">
        <v>2883</v>
      </c>
      <c r="AZ61" s="88" t="str">
        <f>HYPERLINK("https://twitter.com/mouthy_ip")</f>
        <v>https://twitter.com/mouthy_ip</v>
      </c>
      <c r="BA61" s="81" t="s">
        <v>66</v>
      </c>
      <c r="BB61" s="81" t="str">
        <f>REPLACE(INDEX(GroupVertices[Group],MATCH(Vertices[[#This Row],[Vertex]],GroupVertices[Vertex],0)),1,1,"")</f>
        <v>1</v>
      </c>
      <c r="BC61" s="49" t="s">
        <v>3556</v>
      </c>
      <c r="BD61" s="49" t="s">
        <v>3556</v>
      </c>
      <c r="BE61" s="49" t="s">
        <v>914</v>
      </c>
      <c r="BF61" s="49" t="s">
        <v>914</v>
      </c>
      <c r="BG61" s="49" t="s">
        <v>990</v>
      </c>
      <c r="BH61" s="49" t="s">
        <v>990</v>
      </c>
      <c r="BI61" s="113" t="s">
        <v>3710</v>
      </c>
      <c r="BJ61" s="113" t="s">
        <v>3710</v>
      </c>
      <c r="BK61" s="113" t="s">
        <v>3887</v>
      </c>
      <c r="BL61" s="113" t="s">
        <v>3887</v>
      </c>
      <c r="BM61" s="113">
        <v>0</v>
      </c>
      <c r="BN61" s="116">
        <v>0</v>
      </c>
      <c r="BO61" s="113">
        <v>0</v>
      </c>
      <c r="BP61" s="116">
        <v>0</v>
      </c>
      <c r="BQ61" s="113">
        <v>0</v>
      </c>
      <c r="BR61" s="116">
        <v>0</v>
      </c>
      <c r="BS61" s="113">
        <v>13</v>
      </c>
      <c r="BT61" s="116">
        <v>100</v>
      </c>
      <c r="BU61" s="113">
        <v>13</v>
      </c>
      <c r="BV61" s="2"/>
      <c r="BW61" s="3"/>
      <c r="BX61" s="3"/>
      <c r="BY61" s="3"/>
      <c r="BZ61" s="3"/>
    </row>
    <row r="62" spans="1:78" ht="41.45" customHeight="1">
      <c r="A62" s="66" t="s">
        <v>293</v>
      </c>
      <c r="C62" s="67"/>
      <c r="D62" s="67" t="s">
        <v>64</v>
      </c>
      <c r="E62" s="68">
        <v>162.09500531091456</v>
      </c>
      <c r="F62" s="70">
        <v>99.99979511313664</v>
      </c>
      <c r="G62" s="106" t="str">
        <f>HYPERLINK("https://pbs.twimg.com/profile_images/1374661517061275648/LjNzeK6c_normal.jpg")</f>
        <v>https://pbs.twimg.com/profile_images/1374661517061275648/LjNzeK6c_normal.jpg</v>
      </c>
      <c r="H62" s="67"/>
      <c r="I62" s="71" t="s">
        <v>293</v>
      </c>
      <c r="J62" s="72"/>
      <c r="K62" s="72"/>
      <c r="L62" s="71" t="s">
        <v>2942</v>
      </c>
      <c r="M62" s="75">
        <v>1.0682819619949775</v>
      </c>
      <c r="N62" s="76">
        <v>355.4516296386719</v>
      </c>
      <c r="O62" s="76">
        <v>6167.146484375</v>
      </c>
      <c r="P62" s="77"/>
      <c r="Q62" s="78"/>
      <c r="R62" s="78"/>
      <c r="S62" s="92"/>
      <c r="T62" s="49">
        <v>1</v>
      </c>
      <c r="U62" s="49">
        <v>1</v>
      </c>
      <c r="V62" s="50">
        <v>0</v>
      </c>
      <c r="W62" s="50">
        <v>0</v>
      </c>
      <c r="X62" s="50">
        <v>0</v>
      </c>
      <c r="Y62" s="50">
        <v>0.999998</v>
      </c>
      <c r="Z62" s="50">
        <v>0</v>
      </c>
      <c r="AA62" s="50">
        <v>0</v>
      </c>
      <c r="AB62" s="73">
        <v>62</v>
      </c>
      <c r="AC62" s="73"/>
      <c r="AD62" s="74"/>
      <c r="AE62" s="81" t="s">
        <v>1975</v>
      </c>
      <c r="AF62" s="86" t="s">
        <v>2248</v>
      </c>
      <c r="AG62" s="81">
        <v>127</v>
      </c>
      <c r="AH62" s="81">
        <v>507</v>
      </c>
      <c r="AI62" s="81">
        <v>1305</v>
      </c>
      <c r="AJ62" s="81">
        <v>235</v>
      </c>
      <c r="AK62" s="81"/>
      <c r="AL62" s="81" t="s">
        <v>2514</v>
      </c>
      <c r="AM62" s="81" t="s">
        <v>2764</v>
      </c>
      <c r="AN62" s="88" t="str">
        <f>HYPERLINK("https://t.co/JcR2I6Wmgv")</f>
        <v>https://t.co/JcR2I6Wmgv</v>
      </c>
      <c r="AO62" s="81"/>
      <c r="AP62" s="83">
        <v>44279.41371527778</v>
      </c>
      <c r="AQ62" s="88" t="str">
        <f>HYPERLINK("https://pbs.twimg.com/profile_banners/1374660990369996805/1616579940")</f>
        <v>https://pbs.twimg.com/profile_banners/1374660990369996805/1616579940</v>
      </c>
      <c r="AR62" s="81" t="b">
        <v>1</v>
      </c>
      <c r="AS62" s="81" t="b">
        <v>0</v>
      </c>
      <c r="AT62" s="81" t="b">
        <v>0</v>
      </c>
      <c r="AU62" s="81"/>
      <c r="AV62" s="81">
        <v>2</v>
      </c>
      <c r="AW62" s="81"/>
      <c r="AX62" s="81" t="b">
        <v>0</v>
      </c>
      <c r="AY62" s="81" t="s">
        <v>2883</v>
      </c>
      <c r="AZ62" s="88" t="str">
        <f>HYPERLINK("https://twitter.com/nhs_nelccg")</f>
        <v>https://twitter.com/nhs_nelccg</v>
      </c>
      <c r="BA62" s="81" t="s">
        <v>66</v>
      </c>
      <c r="BB62" s="81" t="str">
        <f>REPLACE(INDEX(GroupVertices[Group],MATCH(Vertices[[#This Row],[Vertex]],GroupVertices[Vertex],0)),1,1,"")</f>
        <v>1</v>
      </c>
      <c r="BC62" s="49" t="s">
        <v>3205</v>
      </c>
      <c r="BD62" s="49" t="s">
        <v>3205</v>
      </c>
      <c r="BE62" s="49" t="s">
        <v>902</v>
      </c>
      <c r="BF62" s="49" t="s">
        <v>902</v>
      </c>
      <c r="BG62" s="49" t="s">
        <v>955</v>
      </c>
      <c r="BH62" s="49" t="s">
        <v>955</v>
      </c>
      <c r="BI62" s="113" t="s">
        <v>3711</v>
      </c>
      <c r="BJ62" s="113" t="s">
        <v>3711</v>
      </c>
      <c r="BK62" s="113" t="s">
        <v>3888</v>
      </c>
      <c r="BL62" s="113" t="s">
        <v>3888</v>
      </c>
      <c r="BM62" s="113">
        <v>0</v>
      </c>
      <c r="BN62" s="116">
        <v>0</v>
      </c>
      <c r="BO62" s="113">
        <v>2</v>
      </c>
      <c r="BP62" s="116">
        <v>11.11111111111111</v>
      </c>
      <c r="BQ62" s="113">
        <v>0</v>
      </c>
      <c r="BR62" s="116">
        <v>0</v>
      </c>
      <c r="BS62" s="113">
        <v>16</v>
      </c>
      <c r="BT62" s="116">
        <v>88.88888888888889</v>
      </c>
      <c r="BU62" s="113">
        <v>18</v>
      </c>
      <c r="BV62" s="2"/>
      <c r="BW62" s="3"/>
      <c r="BX62" s="3"/>
      <c r="BY62" s="3"/>
      <c r="BZ62" s="3"/>
    </row>
    <row r="63" spans="1:78" ht="41.45" customHeight="1">
      <c r="A63" s="66" t="s">
        <v>294</v>
      </c>
      <c r="C63" s="67"/>
      <c r="D63" s="67" t="s">
        <v>64</v>
      </c>
      <c r="E63" s="68">
        <v>162.68501845211023</v>
      </c>
      <c r="F63" s="70">
        <v>99.99852270067174</v>
      </c>
      <c r="G63" s="106" t="str">
        <f>HYPERLINK("https://pbs.twimg.com/profile_images/1377319341549555717/aaKhbk6A_normal.jpg")</f>
        <v>https://pbs.twimg.com/profile_images/1377319341549555717/aaKhbk6A_normal.jpg</v>
      </c>
      <c r="H63" s="67"/>
      <c r="I63" s="71" t="s">
        <v>294</v>
      </c>
      <c r="J63" s="72"/>
      <c r="K63" s="72"/>
      <c r="L63" s="71" t="s">
        <v>2943</v>
      </c>
      <c r="M63" s="75">
        <v>1.492334622797119</v>
      </c>
      <c r="N63" s="76">
        <v>3091.998291015625</v>
      </c>
      <c r="O63" s="76">
        <v>3831.853515625</v>
      </c>
      <c r="P63" s="77"/>
      <c r="Q63" s="78"/>
      <c r="R63" s="78"/>
      <c r="S63" s="92"/>
      <c r="T63" s="49">
        <v>1</v>
      </c>
      <c r="U63" s="49">
        <v>1</v>
      </c>
      <c r="V63" s="50">
        <v>0</v>
      </c>
      <c r="W63" s="50">
        <v>0</v>
      </c>
      <c r="X63" s="50">
        <v>0</v>
      </c>
      <c r="Y63" s="50">
        <v>0.999998</v>
      </c>
      <c r="Z63" s="50">
        <v>0</v>
      </c>
      <c r="AA63" s="50">
        <v>0</v>
      </c>
      <c r="AB63" s="73">
        <v>63</v>
      </c>
      <c r="AC63" s="73"/>
      <c r="AD63" s="74"/>
      <c r="AE63" s="81" t="s">
        <v>1976</v>
      </c>
      <c r="AF63" s="86" t="s">
        <v>2249</v>
      </c>
      <c r="AG63" s="81">
        <v>663</v>
      </c>
      <c r="AH63" s="81">
        <v>3637</v>
      </c>
      <c r="AI63" s="81">
        <v>6028</v>
      </c>
      <c r="AJ63" s="81">
        <v>2770</v>
      </c>
      <c r="AK63" s="81"/>
      <c r="AL63" s="81" t="s">
        <v>2515</v>
      </c>
      <c r="AM63" s="81" t="s">
        <v>2764</v>
      </c>
      <c r="AN63" s="88" t="str">
        <f>HYPERLINK("https://t.co/RaReO0JojX")</f>
        <v>https://t.co/RaReO0JojX</v>
      </c>
      <c r="AO63" s="81"/>
      <c r="AP63" s="83">
        <v>41494.41107638889</v>
      </c>
      <c r="AQ63" s="88" t="str">
        <f>HYPERLINK("https://pbs.twimg.com/profile_banners/1655026784/1617213496")</f>
        <v>https://pbs.twimg.com/profile_banners/1655026784/1617213496</v>
      </c>
      <c r="AR63" s="81" t="b">
        <v>1</v>
      </c>
      <c r="AS63" s="81" t="b">
        <v>0</v>
      </c>
      <c r="AT63" s="81" t="b">
        <v>1</v>
      </c>
      <c r="AU63" s="81"/>
      <c r="AV63" s="81">
        <v>66</v>
      </c>
      <c r="AW63" s="88" t="str">
        <f>HYPERLINK("https://abs.twimg.com/images/themes/theme1/bg.png")</f>
        <v>https://abs.twimg.com/images/themes/theme1/bg.png</v>
      </c>
      <c r="AX63" s="81" t="b">
        <v>0</v>
      </c>
      <c r="AY63" s="81" t="s">
        <v>2883</v>
      </c>
      <c r="AZ63" s="88" t="str">
        <f>HYPERLINK("https://twitter.com/nhs_tnw")</f>
        <v>https://twitter.com/nhs_tnw</v>
      </c>
      <c r="BA63" s="81" t="s">
        <v>66</v>
      </c>
      <c r="BB63" s="81" t="str">
        <f>REPLACE(INDEX(GroupVertices[Group],MATCH(Vertices[[#This Row],[Vertex]],GroupVertices[Vertex],0)),1,1,"")</f>
        <v>1</v>
      </c>
      <c r="BC63" s="49" t="s">
        <v>3205</v>
      </c>
      <c r="BD63" s="49" t="s">
        <v>3205</v>
      </c>
      <c r="BE63" s="49" t="s">
        <v>902</v>
      </c>
      <c r="BF63" s="49" t="s">
        <v>902</v>
      </c>
      <c r="BG63" s="49" t="s">
        <v>955</v>
      </c>
      <c r="BH63" s="49" t="s">
        <v>955</v>
      </c>
      <c r="BI63" s="113" t="s">
        <v>3711</v>
      </c>
      <c r="BJ63" s="113" t="s">
        <v>3711</v>
      </c>
      <c r="BK63" s="113" t="s">
        <v>3888</v>
      </c>
      <c r="BL63" s="113" t="s">
        <v>3888</v>
      </c>
      <c r="BM63" s="113">
        <v>0</v>
      </c>
      <c r="BN63" s="116">
        <v>0</v>
      </c>
      <c r="BO63" s="113">
        <v>2</v>
      </c>
      <c r="BP63" s="116">
        <v>11.11111111111111</v>
      </c>
      <c r="BQ63" s="113">
        <v>0</v>
      </c>
      <c r="BR63" s="116">
        <v>0</v>
      </c>
      <c r="BS63" s="113">
        <v>16</v>
      </c>
      <c r="BT63" s="116">
        <v>88.88888888888889</v>
      </c>
      <c r="BU63" s="113">
        <v>18</v>
      </c>
      <c r="BV63" s="2"/>
      <c r="BW63" s="3"/>
      <c r="BX63" s="3"/>
      <c r="BY63" s="3"/>
      <c r="BZ63" s="3"/>
    </row>
    <row r="64" spans="1:78" ht="41.45" customHeight="1">
      <c r="A64" s="66" t="s">
        <v>295</v>
      </c>
      <c r="C64" s="67"/>
      <c r="D64" s="67" t="s">
        <v>64</v>
      </c>
      <c r="E64" s="68">
        <v>162.62771366139984</v>
      </c>
      <c r="F64" s="70">
        <v>99.99864628322425</v>
      </c>
      <c r="G64" s="106" t="str">
        <f>HYPERLINK("https://pbs.twimg.com/profile_images/766559429797949440/nEbVFECW_normal.jpg")</f>
        <v>https://pbs.twimg.com/profile_images/766559429797949440/nEbVFECW_normal.jpg</v>
      </c>
      <c r="H64" s="67"/>
      <c r="I64" s="71" t="s">
        <v>295</v>
      </c>
      <c r="J64" s="72"/>
      <c r="K64" s="72"/>
      <c r="L64" s="71" t="s">
        <v>2944</v>
      </c>
      <c r="M64" s="75">
        <v>1.4511486774668152</v>
      </c>
      <c r="N64" s="76">
        <v>1528.2574462890625</v>
      </c>
      <c r="O64" s="76">
        <v>3831.853515625</v>
      </c>
      <c r="P64" s="77"/>
      <c r="Q64" s="78"/>
      <c r="R64" s="78"/>
      <c r="S64" s="92"/>
      <c r="T64" s="49">
        <v>1</v>
      </c>
      <c r="U64" s="49">
        <v>1</v>
      </c>
      <c r="V64" s="50">
        <v>0</v>
      </c>
      <c r="W64" s="50">
        <v>0</v>
      </c>
      <c r="X64" s="50">
        <v>0</v>
      </c>
      <c r="Y64" s="50">
        <v>0.999998</v>
      </c>
      <c r="Z64" s="50">
        <v>0</v>
      </c>
      <c r="AA64" s="50">
        <v>0</v>
      </c>
      <c r="AB64" s="73">
        <v>64</v>
      </c>
      <c r="AC64" s="73"/>
      <c r="AD64" s="74"/>
      <c r="AE64" s="81" t="s">
        <v>1977</v>
      </c>
      <c r="AF64" s="86" t="s">
        <v>2250</v>
      </c>
      <c r="AG64" s="81">
        <v>400</v>
      </c>
      <c r="AH64" s="81">
        <v>3333</v>
      </c>
      <c r="AI64" s="81">
        <v>5751</v>
      </c>
      <c r="AJ64" s="81">
        <v>940</v>
      </c>
      <c r="AK64" s="81"/>
      <c r="AL64" s="81" t="s">
        <v>2516</v>
      </c>
      <c r="AM64" s="81" t="s">
        <v>2754</v>
      </c>
      <c r="AN64" s="88" t="str">
        <f>HYPERLINK("https://t.co/t75x868Fcz")</f>
        <v>https://t.co/t75x868Fcz</v>
      </c>
      <c r="AO64" s="81"/>
      <c r="AP64" s="83">
        <v>41583.393171296295</v>
      </c>
      <c r="AQ64" s="88" t="str">
        <f>HYPERLINK("https://pbs.twimg.com/profile_banners/2175720200/1635176235")</f>
        <v>https://pbs.twimg.com/profile_banners/2175720200/1635176235</v>
      </c>
      <c r="AR64" s="81" t="b">
        <v>0</v>
      </c>
      <c r="AS64" s="81" t="b">
        <v>0</v>
      </c>
      <c r="AT64" s="81" t="b">
        <v>1</v>
      </c>
      <c r="AU64" s="81"/>
      <c r="AV64" s="81">
        <v>42</v>
      </c>
      <c r="AW64" s="88" t="str">
        <f>HYPERLINK("https://abs.twimg.com/images/themes/theme15/bg.png")</f>
        <v>https://abs.twimg.com/images/themes/theme15/bg.png</v>
      </c>
      <c r="AX64" s="81" t="b">
        <v>1</v>
      </c>
      <c r="AY64" s="81" t="s">
        <v>2883</v>
      </c>
      <c r="AZ64" s="88" t="str">
        <f>HYPERLINK("https://twitter.com/nhswirralccg")</f>
        <v>https://twitter.com/nhswirralccg</v>
      </c>
      <c r="BA64" s="81" t="s">
        <v>66</v>
      </c>
      <c r="BB64" s="81" t="str">
        <f>REPLACE(INDEX(GroupVertices[Group],MATCH(Vertices[[#This Row],[Vertex]],GroupVertices[Vertex],0)),1,1,"")</f>
        <v>1</v>
      </c>
      <c r="BC64" s="49" t="s">
        <v>3557</v>
      </c>
      <c r="BD64" s="49" t="s">
        <v>3557</v>
      </c>
      <c r="BE64" s="49" t="s">
        <v>912</v>
      </c>
      <c r="BF64" s="49" t="s">
        <v>912</v>
      </c>
      <c r="BG64" s="49" t="s">
        <v>991</v>
      </c>
      <c r="BH64" s="49" t="s">
        <v>991</v>
      </c>
      <c r="BI64" s="113" t="s">
        <v>3712</v>
      </c>
      <c r="BJ64" s="113" t="s">
        <v>3712</v>
      </c>
      <c r="BK64" s="113" t="s">
        <v>3889</v>
      </c>
      <c r="BL64" s="113" t="s">
        <v>3889</v>
      </c>
      <c r="BM64" s="113">
        <v>1</v>
      </c>
      <c r="BN64" s="116">
        <v>2.7777777777777777</v>
      </c>
      <c r="BO64" s="113">
        <v>1</v>
      </c>
      <c r="BP64" s="116">
        <v>2.7777777777777777</v>
      </c>
      <c r="BQ64" s="113">
        <v>0</v>
      </c>
      <c r="BR64" s="116">
        <v>0</v>
      </c>
      <c r="BS64" s="113">
        <v>34</v>
      </c>
      <c r="BT64" s="116">
        <v>94.44444444444444</v>
      </c>
      <c r="BU64" s="113">
        <v>36</v>
      </c>
      <c r="BV64" s="2"/>
      <c r="BW64" s="3"/>
      <c r="BX64" s="3"/>
      <c r="BY64" s="3"/>
      <c r="BZ64" s="3"/>
    </row>
    <row r="65" spans="1:78" ht="41.45" customHeight="1">
      <c r="A65" s="66" t="s">
        <v>296</v>
      </c>
      <c r="C65" s="67"/>
      <c r="D65" s="67" t="s">
        <v>64</v>
      </c>
      <c r="E65" s="68">
        <v>162.00791710924287</v>
      </c>
      <c r="F65" s="70">
        <v>99.99998292609472</v>
      </c>
      <c r="G65" s="106" t="str">
        <f>HYPERLINK("https://pbs.twimg.com/profile_images/1313845911458639872/8FaHKqk0_normal.jpg")</f>
        <v>https://pbs.twimg.com/profile_images/1313845911458639872/8FaHKqk0_normal.jpg</v>
      </c>
      <c r="H65" s="67"/>
      <c r="I65" s="71" t="s">
        <v>296</v>
      </c>
      <c r="J65" s="72"/>
      <c r="K65" s="72"/>
      <c r="L65" s="71" t="s">
        <v>2945</v>
      </c>
      <c r="M65" s="75">
        <v>1.0056901634995814</v>
      </c>
      <c r="N65" s="76">
        <v>355.4516296386719</v>
      </c>
      <c r="O65" s="76">
        <v>8502.439453125</v>
      </c>
      <c r="P65" s="77"/>
      <c r="Q65" s="78"/>
      <c r="R65" s="78"/>
      <c r="S65" s="92"/>
      <c r="T65" s="49">
        <v>1</v>
      </c>
      <c r="U65" s="49">
        <v>1</v>
      </c>
      <c r="V65" s="50">
        <v>0</v>
      </c>
      <c r="W65" s="50">
        <v>0</v>
      </c>
      <c r="X65" s="50">
        <v>0</v>
      </c>
      <c r="Y65" s="50">
        <v>0.999998</v>
      </c>
      <c r="Z65" s="50">
        <v>0</v>
      </c>
      <c r="AA65" s="50">
        <v>0</v>
      </c>
      <c r="AB65" s="73">
        <v>65</v>
      </c>
      <c r="AC65" s="73"/>
      <c r="AD65" s="74"/>
      <c r="AE65" s="81" t="s">
        <v>1978</v>
      </c>
      <c r="AF65" s="86" t="s">
        <v>2251</v>
      </c>
      <c r="AG65" s="81">
        <v>102</v>
      </c>
      <c r="AH65" s="81">
        <v>45</v>
      </c>
      <c r="AI65" s="81">
        <v>16</v>
      </c>
      <c r="AJ65" s="81">
        <v>54</v>
      </c>
      <c r="AK65" s="81"/>
      <c r="AL65" s="81" t="s">
        <v>2517</v>
      </c>
      <c r="AM65" s="81"/>
      <c r="AN65" s="81"/>
      <c r="AO65" s="81"/>
      <c r="AP65" s="83">
        <v>44111.592002314814</v>
      </c>
      <c r="AQ65" s="81"/>
      <c r="AR65" s="81" t="b">
        <v>1</v>
      </c>
      <c r="AS65" s="81" t="b">
        <v>0</v>
      </c>
      <c r="AT65" s="81" t="b">
        <v>0</v>
      </c>
      <c r="AU65" s="81"/>
      <c r="AV65" s="81">
        <v>2</v>
      </c>
      <c r="AW65" s="81"/>
      <c r="AX65" s="81" t="b">
        <v>0</v>
      </c>
      <c r="AY65" s="81" t="s">
        <v>2883</v>
      </c>
      <c r="AZ65" s="88" t="str">
        <f>HYPERLINK("https://twitter.com/parshallison")</f>
        <v>https://twitter.com/parshallison</v>
      </c>
      <c r="BA65" s="81" t="s">
        <v>66</v>
      </c>
      <c r="BB65" s="81" t="str">
        <f>REPLACE(INDEX(GroupVertices[Group],MATCH(Vertices[[#This Row],[Vertex]],GroupVertices[Vertex],0)),1,1,"")</f>
        <v>1</v>
      </c>
      <c r="BC65" s="49" t="s">
        <v>3558</v>
      </c>
      <c r="BD65" s="49" t="s">
        <v>3558</v>
      </c>
      <c r="BE65" s="49" t="s">
        <v>912</v>
      </c>
      <c r="BF65" s="49" t="s">
        <v>912</v>
      </c>
      <c r="BG65" s="49" t="s">
        <v>992</v>
      </c>
      <c r="BH65" s="49" t="s">
        <v>992</v>
      </c>
      <c r="BI65" s="113" t="s">
        <v>3713</v>
      </c>
      <c r="BJ65" s="113" t="s">
        <v>3713</v>
      </c>
      <c r="BK65" s="113" t="s">
        <v>3890</v>
      </c>
      <c r="BL65" s="113" t="s">
        <v>3890</v>
      </c>
      <c r="BM65" s="113">
        <v>1</v>
      </c>
      <c r="BN65" s="116">
        <v>2.7777777777777777</v>
      </c>
      <c r="BO65" s="113">
        <v>2</v>
      </c>
      <c r="BP65" s="116">
        <v>5.555555555555555</v>
      </c>
      <c r="BQ65" s="113">
        <v>1</v>
      </c>
      <c r="BR65" s="116">
        <v>2.7777777777777777</v>
      </c>
      <c r="BS65" s="113">
        <v>33</v>
      </c>
      <c r="BT65" s="116">
        <v>91.66666666666667</v>
      </c>
      <c r="BU65" s="113">
        <v>36</v>
      </c>
      <c r="BV65" s="2"/>
      <c r="BW65" s="3"/>
      <c r="BX65" s="3"/>
      <c r="BY65" s="3"/>
      <c r="BZ65" s="3"/>
    </row>
    <row r="66" spans="1:78" ht="41.45" customHeight="1">
      <c r="A66" s="66" t="s">
        <v>297</v>
      </c>
      <c r="C66" s="67"/>
      <c r="D66" s="67" t="s">
        <v>64</v>
      </c>
      <c r="E66" s="68">
        <v>162.00131951820714</v>
      </c>
      <c r="F66" s="70">
        <v>99.99999715434912</v>
      </c>
      <c r="G66" s="106" t="str">
        <f>HYPERLINK("https://abs.twimg.com/sticky/default_profile_images/default_profile_normal.png")</f>
        <v>https://abs.twimg.com/sticky/default_profile_images/default_profile_normal.png</v>
      </c>
      <c r="H66" s="67"/>
      <c r="I66" s="71" t="s">
        <v>297</v>
      </c>
      <c r="J66" s="72"/>
      <c r="K66" s="72"/>
      <c r="L66" s="71" t="s">
        <v>2946</v>
      </c>
      <c r="M66" s="75">
        <v>1.0009483605832636</v>
      </c>
      <c r="N66" s="76">
        <v>8348.498046875</v>
      </c>
      <c r="O66" s="76">
        <v>4193.65966796875</v>
      </c>
      <c r="P66" s="77"/>
      <c r="Q66" s="78"/>
      <c r="R66" s="78"/>
      <c r="S66" s="92"/>
      <c r="T66" s="49">
        <v>0</v>
      </c>
      <c r="U66" s="49">
        <v>1</v>
      </c>
      <c r="V66" s="50">
        <v>0</v>
      </c>
      <c r="W66" s="50">
        <v>1</v>
      </c>
      <c r="X66" s="50">
        <v>0</v>
      </c>
      <c r="Y66" s="50">
        <v>0.999998</v>
      </c>
      <c r="Z66" s="50">
        <v>0</v>
      </c>
      <c r="AA66" s="50">
        <v>0</v>
      </c>
      <c r="AB66" s="73">
        <v>66</v>
      </c>
      <c r="AC66" s="73"/>
      <c r="AD66" s="74"/>
      <c r="AE66" s="81" t="s">
        <v>1979</v>
      </c>
      <c r="AF66" s="86" t="s">
        <v>2252</v>
      </c>
      <c r="AG66" s="81">
        <v>20</v>
      </c>
      <c r="AH66" s="81">
        <v>10</v>
      </c>
      <c r="AI66" s="81">
        <v>83</v>
      </c>
      <c r="AJ66" s="81">
        <v>239</v>
      </c>
      <c r="AK66" s="81"/>
      <c r="AL66" s="81" t="s">
        <v>2518</v>
      </c>
      <c r="AM66" s="81"/>
      <c r="AN66" s="81"/>
      <c r="AO66" s="81"/>
      <c r="AP66" s="83">
        <v>44091.38716435185</v>
      </c>
      <c r="AQ66" s="81"/>
      <c r="AR66" s="81" t="b">
        <v>1</v>
      </c>
      <c r="AS66" s="81" t="b">
        <v>1</v>
      </c>
      <c r="AT66" s="81" t="b">
        <v>0</v>
      </c>
      <c r="AU66" s="81"/>
      <c r="AV66" s="81">
        <v>0</v>
      </c>
      <c r="AW66" s="81"/>
      <c r="AX66" s="81" t="b">
        <v>0</v>
      </c>
      <c r="AY66" s="81" t="s">
        <v>2883</v>
      </c>
      <c r="AZ66" s="88" t="str">
        <f>HYPERLINK("https://twitter.com/pen_no_sillyin")</f>
        <v>https://twitter.com/pen_no_sillyin</v>
      </c>
      <c r="BA66" s="81" t="s">
        <v>66</v>
      </c>
      <c r="BB66" s="81" t="str">
        <f>REPLACE(INDEX(GroupVertices[Group],MATCH(Vertices[[#This Row],[Vertex]],GroupVertices[Vertex],0)),1,1,"")</f>
        <v>23</v>
      </c>
      <c r="BC66" s="49" t="s">
        <v>3279</v>
      </c>
      <c r="BD66" s="49" t="s">
        <v>3279</v>
      </c>
      <c r="BE66" s="49" t="s">
        <v>914</v>
      </c>
      <c r="BF66" s="49" t="s">
        <v>914</v>
      </c>
      <c r="BG66" s="49" t="s">
        <v>991</v>
      </c>
      <c r="BH66" s="49" t="s">
        <v>991</v>
      </c>
      <c r="BI66" s="113" t="s">
        <v>3714</v>
      </c>
      <c r="BJ66" s="113" t="s">
        <v>3714</v>
      </c>
      <c r="BK66" s="113" t="s">
        <v>3891</v>
      </c>
      <c r="BL66" s="113" t="s">
        <v>3891</v>
      </c>
      <c r="BM66" s="113">
        <v>1</v>
      </c>
      <c r="BN66" s="116">
        <v>2.857142857142857</v>
      </c>
      <c r="BO66" s="113">
        <v>1</v>
      </c>
      <c r="BP66" s="116">
        <v>2.857142857142857</v>
      </c>
      <c r="BQ66" s="113">
        <v>0</v>
      </c>
      <c r="BR66" s="116">
        <v>0</v>
      </c>
      <c r="BS66" s="113">
        <v>33</v>
      </c>
      <c r="BT66" s="116">
        <v>94.28571428571429</v>
      </c>
      <c r="BU66" s="113">
        <v>35</v>
      </c>
      <c r="BV66" s="2"/>
      <c r="BW66" s="3"/>
      <c r="BX66" s="3"/>
      <c r="BY66" s="3"/>
      <c r="BZ66" s="3"/>
    </row>
    <row r="67" spans="1:78" ht="41.45" customHeight="1">
      <c r="A67" s="66" t="s">
        <v>463</v>
      </c>
      <c r="C67" s="67"/>
      <c r="D67" s="67" t="s">
        <v>64</v>
      </c>
      <c r="E67" s="68">
        <v>162.2678621960508</v>
      </c>
      <c r="F67" s="70">
        <v>99.99942233287136</v>
      </c>
      <c r="G67" s="106" t="str">
        <f>HYPERLINK("https://pbs.twimg.com/profile_images/537745219098128384/n5J1MmVj_normal.jpeg")</f>
        <v>https://pbs.twimg.com/profile_images/537745219098128384/n5J1MmVj_normal.jpeg</v>
      </c>
      <c r="H67" s="67"/>
      <c r="I67" s="71" t="s">
        <v>463</v>
      </c>
      <c r="J67" s="72"/>
      <c r="K67" s="72"/>
      <c r="L67" s="71" t="s">
        <v>2947</v>
      </c>
      <c r="M67" s="75">
        <v>1.1925171984025058</v>
      </c>
      <c r="N67" s="76">
        <v>8348.498046875</v>
      </c>
      <c r="O67" s="76">
        <v>3809.926025390625</v>
      </c>
      <c r="P67" s="77"/>
      <c r="Q67" s="78"/>
      <c r="R67" s="78"/>
      <c r="S67" s="92"/>
      <c r="T67" s="49">
        <v>1</v>
      </c>
      <c r="U67" s="49">
        <v>0</v>
      </c>
      <c r="V67" s="50">
        <v>0</v>
      </c>
      <c r="W67" s="50">
        <v>1</v>
      </c>
      <c r="X67" s="50">
        <v>0</v>
      </c>
      <c r="Y67" s="50">
        <v>0.999998</v>
      </c>
      <c r="Z67" s="50">
        <v>0</v>
      </c>
      <c r="AA67" s="50">
        <v>0</v>
      </c>
      <c r="AB67" s="73">
        <v>67</v>
      </c>
      <c r="AC67" s="73"/>
      <c r="AD67" s="74"/>
      <c r="AE67" s="81" t="s">
        <v>1980</v>
      </c>
      <c r="AF67" s="86" t="s">
        <v>2253</v>
      </c>
      <c r="AG67" s="81">
        <v>145</v>
      </c>
      <c r="AH67" s="81">
        <v>1424</v>
      </c>
      <c r="AI67" s="81">
        <v>15611</v>
      </c>
      <c r="AJ67" s="81">
        <v>9381</v>
      </c>
      <c r="AK67" s="81"/>
      <c r="AL67" s="81" t="s">
        <v>2519</v>
      </c>
      <c r="AM67" s="81" t="s">
        <v>2765</v>
      </c>
      <c r="AN67" s="88" t="str">
        <f>HYPERLINK("https://t.co/ouhiahTfzJ")</f>
        <v>https://t.co/ouhiahTfzJ</v>
      </c>
      <c r="AO67" s="81"/>
      <c r="AP67" s="83">
        <v>41969.95214120371</v>
      </c>
      <c r="AQ67" s="88" t="str">
        <f>HYPERLINK("https://pbs.twimg.com/profile_banners/2893919075/1632394493")</f>
        <v>https://pbs.twimg.com/profile_banners/2893919075/1632394493</v>
      </c>
      <c r="AR67" s="81" t="b">
        <v>0</v>
      </c>
      <c r="AS67" s="81" t="b">
        <v>0</v>
      </c>
      <c r="AT67" s="81" t="b">
        <v>1</v>
      </c>
      <c r="AU67" s="81"/>
      <c r="AV67" s="81">
        <v>8</v>
      </c>
      <c r="AW67" s="88" t="str">
        <f>HYPERLINK("https://abs.twimg.com/images/themes/theme1/bg.png")</f>
        <v>https://abs.twimg.com/images/themes/theme1/bg.png</v>
      </c>
      <c r="AX67" s="81" t="b">
        <v>0</v>
      </c>
      <c r="AY67" s="81" t="s">
        <v>2883</v>
      </c>
      <c r="AZ67" s="88" t="str">
        <f>HYPERLINK("https://twitter.com/frodmanor")</f>
        <v>https://twitter.com/frodmanor</v>
      </c>
      <c r="BA67" s="81" t="s">
        <v>65</v>
      </c>
      <c r="BB67" s="81" t="str">
        <f>REPLACE(INDEX(GroupVertices[Group],MATCH(Vertices[[#This Row],[Vertex]],GroupVertices[Vertex],0)),1,1,"")</f>
        <v>23</v>
      </c>
      <c r="BC67" s="49"/>
      <c r="BD67" s="49"/>
      <c r="BE67" s="49"/>
      <c r="BF67" s="49"/>
      <c r="BG67" s="49"/>
      <c r="BH67" s="49"/>
      <c r="BI67" s="49"/>
      <c r="BJ67" s="49"/>
      <c r="BK67" s="49"/>
      <c r="BL67" s="49"/>
      <c r="BM67" s="49"/>
      <c r="BN67" s="50"/>
      <c r="BO67" s="49"/>
      <c r="BP67" s="50"/>
      <c r="BQ67" s="49"/>
      <c r="BR67" s="50"/>
      <c r="BS67" s="49"/>
      <c r="BT67" s="50"/>
      <c r="BU67" s="49"/>
      <c r="BV67" s="2"/>
      <c r="BW67" s="3"/>
      <c r="BX67" s="3"/>
      <c r="BY67" s="3"/>
      <c r="BZ67" s="3"/>
    </row>
    <row r="68" spans="1:78" ht="41.45" customHeight="1">
      <c r="A68" s="66" t="s">
        <v>298</v>
      </c>
      <c r="C68" s="67"/>
      <c r="D68" s="67" t="s">
        <v>64</v>
      </c>
      <c r="E68" s="68">
        <v>165.67580071990898</v>
      </c>
      <c r="F68" s="70">
        <v>99.99207282969152</v>
      </c>
      <c r="G68" s="106" t="str">
        <f>HYPERLINK("https://pbs.twimg.com/profile_images/1198047348196302849/NtU9WNiM_normal.jpg")</f>
        <v>https://pbs.twimg.com/profile_images/1198047348196302849/NtU9WNiM_normal.jpg</v>
      </c>
      <c r="H68" s="67"/>
      <c r="I68" s="71" t="s">
        <v>298</v>
      </c>
      <c r="J68" s="72"/>
      <c r="K68" s="72"/>
      <c r="L68" s="71" t="s">
        <v>2948</v>
      </c>
      <c r="M68" s="75">
        <v>3.6418616248056743</v>
      </c>
      <c r="N68" s="76">
        <v>746.3868408203125</v>
      </c>
      <c r="O68" s="76">
        <v>1496.5609130859375</v>
      </c>
      <c r="P68" s="77"/>
      <c r="Q68" s="78"/>
      <c r="R68" s="78"/>
      <c r="S68" s="92"/>
      <c r="T68" s="49">
        <v>1</v>
      </c>
      <c r="U68" s="49">
        <v>1</v>
      </c>
      <c r="V68" s="50">
        <v>0</v>
      </c>
      <c r="W68" s="50">
        <v>0</v>
      </c>
      <c r="X68" s="50">
        <v>0</v>
      </c>
      <c r="Y68" s="50">
        <v>0.999998</v>
      </c>
      <c r="Z68" s="50">
        <v>0</v>
      </c>
      <c r="AA68" s="50">
        <v>0</v>
      </c>
      <c r="AB68" s="73">
        <v>68</v>
      </c>
      <c r="AC68" s="73"/>
      <c r="AD68" s="74"/>
      <c r="AE68" s="81" t="s">
        <v>1981</v>
      </c>
      <c r="AF68" s="86" t="s">
        <v>2254</v>
      </c>
      <c r="AG68" s="81">
        <v>2848</v>
      </c>
      <c r="AH68" s="81">
        <v>19503</v>
      </c>
      <c r="AI68" s="81">
        <v>11486</v>
      </c>
      <c r="AJ68" s="81">
        <v>9803</v>
      </c>
      <c r="AK68" s="81"/>
      <c r="AL68" s="81" t="s">
        <v>2520</v>
      </c>
      <c r="AM68" s="81" t="s">
        <v>2766</v>
      </c>
      <c r="AN68" s="88" t="str">
        <f>HYPERLINK("https://t.co/K5cJr334x6")</f>
        <v>https://t.co/K5cJr334x6</v>
      </c>
      <c r="AO68" s="81"/>
      <c r="AP68" s="83">
        <v>41604.50194444445</v>
      </c>
      <c r="AQ68" s="88" t="str">
        <f>HYPERLINK("https://pbs.twimg.com/profile_banners/2215603908/1550721351")</f>
        <v>https://pbs.twimg.com/profile_banners/2215603908/1550721351</v>
      </c>
      <c r="AR68" s="81" t="b">
        <v>1</v>
      </c>
      <c r="AS68" s="81" t="b">
        <v>0</v>
      </c>
      <c r="AT68" s="81" t="b">
        <v>1</v>
      </c>
      <c r="AU68" s="81"/>
      <c r="AV68" s="81">
        <v>224</v>
      </c>
      <c r="AW68" s="88" t="str">
        <f>HYPERLINK("https://abs.twimg.com/images/themes/theme1/bg.png")</f>
        <v>https://abs.twimg.com/images/themes/theme1/bg.png</v>
      </c>
      <c r="AX68" s="81" t="b">
        <v>1</v>
      </c>
      <c r="AY68" s="81" t="s">
        <v>2883</v>
      </c>
      <c r="AZ68" s="88" t="str">
        <f>HYPERLINK("https://twitter.com/sidpharm")</f>
        <v>https://twitter.com/sidpharm</v>
      </c>
      <c r="BA68" s="81" t="s">
        <v>66</v>
      </c>
      <c r="BB68" s="81" t="str">
        <f>REPLACE(INDEX(GroupVertices[Group],MATCH(Vertices[[#This Row],[Vertex]],GroupVertices[Vertex],0)),1,1,"")</f>
        <v>1</v>
      </c>
      <c r="BC68" s="49" t="s">
        <v>3559</v>
      </c>
      <c r="BD68" s="49" t="s">
        <v>3559</v>
      </c>
      <c r="BE68" s="49" t="s">
        <v>912</v>
      </c>
      <c r="BF68" s="49" t="s">
        <v>912</v>
      </c>
      <c r="BG68" s="49" t="s">
        <v>993</v>
      </c>
      <c r="BH68" s="49" t="s">
        <v>993</v>
      </c>
      <c r="BI68" s="113" t="s">
        <v>3715</v>
      </c>
      <c r="BJ68" s="113" t="s">
        <v>3715</v>
      </c>
      <c r="BK68" s="113" t="s">
        <v>3892</v>
      </c>
      <c r="BL68" s="113" t="s">
        <v>3892</v>
      </c>
      <c r="BM68" s="113">
        <v>0</v>
      </c>
      <c r="BN68" s="116">
        <v>0</v>
      </c>
      <c r="BO68" s="113">
        <v>3</v>
      </c>
      <c r="BP68" s="116">
        <v>9.090909090909092</v>
      </c>
      <c r="BQ68" s="113">
        <v>0</v>
      </c>
      <c r="BR68" s="116">
        <v>0</v>
      </c>
      <c r="BS68" s="113">
        <v>30</v>
      </c>
      <c r="BT68" s="116">
        <v>90.9090909090909</v>
      </c>
      <c r="BU68" s="113">
        <v>33</v>
      </c>
      <c r="BV68" s="2"/>
      <c r="BW68" s="3"/>
      <c r="BX68" s="3"/>
      <c r="BY68" s="3"/>
      <c r="BZ68" s="3"/>
    </row>
    <row r="69" spans="1:78" ht="41.45" customHeight="1">
      <c r="A69" s="66" t="s">
        <v>299</v>
      </c>
      <c r="C69" s="67"/>
      <c r="D69" s="67" t="s">
        <v>64</v>
      </c>
      <c r="E69" s="68">
        <v>162.11385557101667</v>
      </c>
      <c r="F69" s="70">
        <v>99.99975446098121</v>
      </c>
      <c r="G69" s="106" t="str">
        <f>HYPERLINK("https://pbs.twimg.com/profile_images/1027198777680113664/hnq8fV2v_normal.jpg")</f>
        <v>https://pbs.twimg.com/profile_images/1027198777680113664/hnq8fV2v_normal.jpg</v>
      </c>
      <c r="H69" s="67"/>
      <c r="I69" s="71" t="s">
        <v>299</v>
      </c>
      <c r="J69" s="72"/>
      <c r="K69" s="72"/>
      <c r="L69" s="71" t="s">
        <v>2949</v>
      </c>
      <c r="M69" s="75">
        <v>1.0818299703273142</v>
      </c>
      <c r="N69" s="76">
        <v>1528.2574462890625</v>
      </c>
      <c r="O69" s="76">
        <v>6167.146484375</v>
      </c>
      <c r="P69" s="77"/>
      <c r="Q69" s="78"/>
      <c r="R69" s="78"/>
      <c r="S69" s="92"/>
      <c r="T69" s="49">
        <v>1</v>
      </c>
      <c r="U69" s="49">
        <v>1</v>
      </c>
      <c r="V69" s="50">
        <v>0</v>
      </c>
      <c r="W69" s="50">
        <v>0</v>
      </c>
      <c r="X69" s="50">
        <v>0</v>
      </c>
      <c r="Y69" s="50">
        <v>0.999998</v>
      </c>
      <c r="Z69" s="50">
        <v>0</v>
      </c>
      <c r="AA69" s="50">
        <v>0</v>
      </c>
      <c r="AB69" s="73">
        <v>69</v>
      </c>
      <c r="AC69" s="73"/>
      <c r="AD69" s="74"/>
      <c r="AE69" s="81" t="s">
        <v>1982</v>
      </c>
      <c r="AF69" s="86" t="s">
        <v>2255</v>
      </c>
      <c r="AG69" s="81">
        <v>271</v>
      </c>
      <c r="AH69" s="81">
        <v>607</v>
      </c>
      <c r="AI69" s="81">
        <v>788</v>
      </c>
      <c r="AJ69" s="81">
        <v>50</v>
      </c>
      <c r="AK69" s="81"/>
      <c r="AL69" s="81" t="s">
        <v>2521</v>
      </c>
      <c r="AM69" s="81" t="s">
        <v>2767</v>
      </c>
      <c r="AN69" s="88" t="str">
        <f>HYPERLINK("https://t.co/z9OlNKmXr7")</f>
        <v>https://t.co/z9OlNKmXr7</v>
      </c>
      <c r="AO69" s="81"/>
      <c r="AP69" s="83">
        <v>43245.51725694445</v>
      </c>
      <c r="AQ69" s="88" t="str">
        <f>HYPERLINK("https://pbs.twimg.com/profile_banners/999989672037289984/1527251843")</f>
        <v>https://pbs.twimg.com/profile_banners/999989672037289984/1527251843</v>
      </c>
      <c r="AR69" s="81" t="b">
        <v>0</v>
      </c>
      <c r="AS69" s="81" t="b">
        <v>0</v>
      </c>
      <c r="AT69" s="81" t="b">
        <v>0</v>
      </c>
      <c r="AU69" s="81"/>
      <c r="AV69" s="81">
        <v>11</v>
      </c>
      <c r="AW69" s="88" t="str">
        <f>HYPERLINK("https://abs.twimg.com/images/themes/theme1/bg.png")</f>
        <v>https://abs.twimg.com/images/themes/theme1/bg.png</v>
      </c>
      <c r="AX69" s="81" t="b">
        <v>0</v>
      </c>
      <c r="AY69" s="81" t="s">
        <v>2883</v>
      </c>
      <c r="AZ69" s="88" t="str">
        <f>HYPERLINK("https://twitter.com/pandoraidnet")</f>
        <v>https://twitter.com/pandoraidnet</v>
      </c>
      <c r="BA69" s="81" t="s">
        <v>66</v>
      </c>
      <c r="BB69" s="81" t="str">
        <f>REPLACE(INDEX(GroupVertices[Group],MATCH(Vertices[[#This Row],[Vertex]],GroupVertices[Vertex],0)),1,1,"")</f>
        <v>1</v>
      </c>
      <c r="BC69" s="49"/>
      <c r="BD69" s="49"/>
      <c r="BE69" s="49"/>
      <c r="BF69" s="49"/>
      <c r="BG69" s="49" t="s">
        <v>994</v>
      </c>
      <c r="BH69" s="49" t="s">
        <v>994</v>
      </c>
      <c r="BI69" s="113" t="s">
        <v>3716</v>
      </c>
      <c r="BJ69" s="113" t="s">
        <v>3716</v>
      </c>
      <c r="BK69" s="113" t="s">
        <v>3893</v>
      </c>
      <c r="BL69" s="113" t="s">
        <v>3893</v>
      </c>
      <c r="BM69" s="113">
        <v>0</v>
      </c>
      <c r="BN69" s="116">
        <v>0</v>
      </c>
      <c r="BO69" s="113">
        <v>0</v>
      </c>
      <c r="BP69" s="116">
        <v>0</v>
      </c>
      <c r="BQ69" s="113">
        <v>0</v>
      </c>
      <c r="BR69" s="116">
        <v>0</v>
      </c>
      <c r="BS69" s="113">
        <v>24</v>
      </c>
      <c r="BT69" s="116">
        <v>100</v>
      </c>
      <c r="BU69" s="113">
        <v>24</v>
      </c>
      <c r="BV69" s="2"/>
      <c r="BW69" s="3"/>
      <c r="BX69" s="3"/>
      <c r="BY69" s="3"/>
      <c r="BZ69" s="3"/>
    </row>
    <row r="70" spans="1:78" ht="41.45" customHeight="1">
      <c r="A70" s="66" t="s">
        <v>300</v>
      </c>
      <c r="C70" s="67"/>
      <c r="D70" s="67" t="s">
        <v>64</v>
      </c>
      <c r="E70" s="68">
        <v>162.05410024649302</v>
      </c>
      <c r="F70" s="70">
        <v>99.99988332831393</v>
      </c>
      <c r="G70" s="106" t="str">
        <f>HYPERLINK("https://pbs.twimg.com/profile_images/1418147419611705345/NwztbfLI_normal.jpg")</f>
        <v>https://pbs.twimg.com/profile_images/1418147419611705345/NwztbfLI_normal.jpg</v>
      </c>
      <c r="H70" s="67"/>
      <c r="I70" s="71" t="s">
        <v>300</v>
      </c>
      <c r="J70" s="72"/>
      <c r="K70" s="72"/>
      <c r="L70" s="71" t="s">
        <v>2950</v>
      </c>
      <c r="M70" s="75">
        <v>1.0388827839138066</v>
      </c>
      <c r="N70" s="76">
        <v>8138.19287109375</v>
      </c>
      <c r="O70" s="76">
        <v>8250.646484375</v>
      </c>
      <c r="P70" s="77"/>
      <c r="Q70" s="78"/>
      <c r="R70" s="78"/>
      <c r="S70" s="92"/>
      <c r="T70" s="49">
        <v>0</v>
      </c>
      <c r="U70" s="49">
        <v>6</v>
      </c>
      <c r="V70" s="50">
        <v>386</v>
      </c>
      <c r="W70" s="50">
        <v>0.005618</v>
      </c>
      <c r="X70" s="50">
        <v>0.033749</v>
      </c>
      <c r="Y70" s="50">
        <v>2.154876</v>
      </c>
      <c r="Z70" s="50">
        <v>0.06666666666666667</v>
      </c>
      <c r="AA70" s="50">
        <v>0</v>
      </c>
      <c r="AB70" s="73">
        <v>70</v>
      </c>
      <c r="AC70" s="73"/>
      <c r="AD70" s="74"/>
      <c r="AE70" s="81" t="s">
        <v>1983</v>
      </c>
      <c r="AF70" s="86" t="s">
        <v>2256</v>
      </c>
      <c r="AG70" s="81">
        <v>1011</v>
      </c>
      <c r="AH70" s="81">
        <v>290</v>
      </c>
      <c r="AI70" s="81">
        <v>196</v>
      </c>
      <c r="AJ70" s="81">
        <v>277</v>
      </c>
      <c r="AK70" s="81"/>
      <c r="AL70" s="81" t="s">
        <v>2522</v>
      </c>
      <c r="AM70" s="81" t="s">
        <v>2752</v>
      </c>
      <c r="AN70" s="81"/>
      <c r="AO70" s="81"/>
      <c r="AP70" s="83">
        <v>43279.91175925926</v>
      </c>
      <c r="AQ70" s="88" t="str">
        <f>HYPERLINK("https://pbs.twimg.com/profile_banners/1012453824123064320/1622503361")</f>
        <v>https://pbs.twimg.com/profile_banners/1012453824123064320/1622503361</v>
      </c>
      <c r="AR70" s="81" t="b">
        <v>1</v>
      </c>
      <c r="AS70" s="81" t="b">
        <v>0</v>
      </c>
      <c r="AT70" s="81" t="b">
        <v>0</v>
      </c>
      <c r="AU70" s="81"/>
      <c r="AV70" s="81">
        <v>1</v>
      </c>
      <c r="AW70" s="81"/>
      <c r="AX70" s="81" t="b">
        <v>0</v>
      </c>
      <c r="AY70" s="81" t="s">
        <v>2883</v>
      </c>
      <c r="AZ70" s="88" t="str">
        <f>HYPERLINK("https://twitter.com/preetyjr")</f>
        <v>https://twitter.com/preetyjr</v>
      </c>
      <c r="BA70" s="81" t="s">
        <v>66</v>
      </c>
      <c r="BB70" s="81" t="str">
        <f>REPLACE(INDEX(GroupVertices[Group],MATCH(Vertices[[#This Row],[Vertex]],GroupVertices[Vertex],0)),1,1,"")</f>
        <v>2</v>
      </c>
      <c r="BC70" s="49"/>
      <c r="BD70" s="49"/>
      <c r="BE70" s="49"/>
      <c r="BF70" s="49"/>
      <c r="BG70" s="49" t="s">
        <v>995</v>
      </c>
      <c r="BH70" s="49" t="s">
        <v>995</v>
      </c>
      <c r="BI70" s="113" t="s">
        <v>3717</v>
      </c>
      <c r="BJ70" s="113" t="s">
        <v>3717</v>
      </c>
      <c r="BK70" s="113" t="s">
        <v>3894</v>
      </c>
      <c r="BL70" s="113" t="s">
        <v>3894</v>
      </c>
      <c r="BM70" s="113">
        <v>0</v>
      </c>
      <c r="BN70" s="116">
        <v>0</v>
      </c>
      <c r="BO70" s="113">
        <v>0</v>
      </c>
      <c r="BP70" s="116">
        <v>0</v>
      </c>
      <c r="BQ70" s="113">
        <v>0</v>
      </c>
      <c r="BR70" s="116">
        <v>0</v>
      </c>
      <c r="BS70" s="113">
        <v>11</v>
      </c>
      <c r="BT70" s="116">
        <v>100</v>
      </c>
      <c r="BU70" s="113">
        <v>11</v>
      </c>
      <c r="BV70" s="2"/>
      <c r="BW70" s="3"/>
      <c r="BX70" s="3"/>
      <c r="BY70" s="3"/>
      <c r="BZ70" s="3"/>
    </row>
    <row r="71" spans="1:78" ht="41.45" customHeight="1">
      <c r="A71" s="66" t="s">
        <v>464</v>
      </c>
      <c r="C71" s="67"/>
      <c r="D71" s="67" t="s">
        <v>64</v>
      </c>
      <c r="E71" s="68">
        <v>162.1391149195535</v>
      </c>
      <c r="F71" s="70">
        <v>99.99969998709294</v>
      </c>
      <c r="G71" s="106" t="str">
        <f>HYPERLINK("https://pbs.twimg.com/profile_images/1048127890938892288/-R2ZWd--_normal.jpg")</f>
        <v>https://pbs.twimg.com/profile_images/1048127890938892288/-R2ZWd--_normal.jpg</v>
      </c>
      <c r="H71" s="67"/>
      <c r="I71" s="71" t="s">
        <v>464</v>
      </c>
      <c r="J71" s="72"/>
      <c r="K71" s="72"/>
      <c r="L71" s="71" t="s">
        <v>2951</v>
      </c>
      <c r="M71" s="75">
        <v>1.0999843014926456</v>
      </c>
      <c r="N71" s="76">
        <v>8339.404296875</v>
      </c>
      <c r="O71" s="76">
        <v>7637.90576171875</v>
      </c>
      <c r="P71" s="77"/>
      <c r="Q71" s="78"/>
      <c r="R71" s="78"/>
      <c r="S71" s="92"/>
      <c r="T71" s="49">
        <v>1</v>
      </c>
      <c r="U71" s="49">
        <v>0</v>
      </c>
      <c r="V71" s="50">
        <v>0</v>
      </c>
      <c r="W71" s="50">
        <v>0.004386</v>
      </c>
      <c r="X71" s="50">
        <v>0.006616</v>
      </c>
      <c r="Y71" s="50">
        <v>0.455274</v>
      </c>
      <c r="Z71" s="50">
        <v>0</v>
      </c>
      <c r="AA71" s="50">
        <v>0</v>
      </c>
      <c r="AB71" s="73">
        <v>71</v>
      </c>
      <c r="AC71" s="73"/>
      <c r="AD71" s="74"/>
      <c r="AE71" s="81" t="s">
        <v>1984</v>
      </c>
      <c r="AF71" s="86" t="s">
        <v>2257</v>
      </c>
      <c r="AG71" s="81">
        <v>157</v>
      </c>
      <c r="AH71" s="81">
        <v>741</v>
      </c>
      <c r="AI71" s="81">
        <v>321</v>
      </c>
      <c r="AJ71" s="81">
        <v>500</v>
      </c>
      <c r="AK71" s="81"/>
      <c r="AL71" s="81" t="s">
        <v>2523</v>
      </c>
      <c r="AM71" s="81" t="s">
        <v>2768</v>
      </c>
      <c r="AN71" s="81"/>
      <c r="AO71" s="81"/>
      <c r="AP71" s="83">
        <v>43378.35039351852</v>
      </c>
      <c r="AQ71" s="81"/>
      <c r="AR71" s="81" t="b">
        <v>1</v>
      </c>
      <c r="AS71" s="81" t="b">
        <v>0</v>
      </c>
      <c r="AT71" s="81" t="b">
        <v>0</v>
      </c>
      <c r="AU71" s="81"/>
      <c r="AV71" s="81">
        <v>5</v>
      </c>
      <c r="AW71" s="81"/>
      <c r="AX71" s="81" t="b">
        <v>0</v>
      </c>
      <c r="AY71" s="81" t="s">
        <v>2883</v>
      </c>
      <c r="AZ71" s="88" t="str">
        <f>HYPERLINK("https://twitter.com/drkieranhand")</f>
        <v>https://twitter.com/drkieranhand</v>
      </c>
      <c r="BA71" s="81" t="s">
        <v>65</v>
      </c>
      <c r="BB71" s="81" t="str">
        <f>REPLACE(INDEX(GroupVertices[Group],MATCH(Vertices[[#This Row],[Vertex]],GroupVertices[Vertex],0)),1,1,"")</f>
        <v>2</v>
      </c>
      <c r="BC71" s="49"/>
      <c r="BD71" s="49"/>
      <c r="BE71" s="49"/>
      <c r="BF71" s="49"/>
      <c r="BG71" s="49"/>
      <c r="BH71" s="49"/>
      <c r="BI71" s="49"/>
      <c r="BJ71" s="49"/>
      <c r="BK71" s="49"/>
      <c r="BL71" s="49"/>
      <c r="BM71" s="49"/>
      <c r="BN71" s="50"/>
      <c r="BO71" s="49"/>
      <c r="BP71" s="50"/>
      <c r="BQ71" s="49"/>
      <c r="BR71" s="50"/>
      <c r="BS71" s="49"/>
      <c r="BT71" s="50"/>
      <c r="BU71" s="49"/>
      <c r="BV71" s="2"/>
      <c r="BW71" s="3"/>
      <c r="BX71" s="3"/>
      <c r="BY71" s="3"/>
      <c r="BZ71" s="3"/>
    </row>
    <row r="72" spans="1:78" ht="41.45" customHeight="1">
      <c r="A72" s="66" t="s">
        <v>465</v>
      </c>
      <c r="C72" s="67"/>
      <c r="D72" s="67" t="s">
        <v>64</v>
      </c>
      <c r="E72" s="68">
        <v>163.09859315875022</v>
      </c>
      <c r="F72" s="70">
        <v>99.99763079238166</v>
      </c>
      <c r="G72" s="106" t="str">
        <f>HYPERLINK("https://pbs.twimg.com/profile_images/1114070784144748544/M7yQuDaB_normal.png")</f>
        <v>https://pbs.twimg.com/profile_images/1114070784144748544/M7yQuDaB_normal.png</v>
      </c>
      <c r="H72" s="67"/>
      <c r="I72" s="71" t="s">
        <v>465</v>
      </c>
      <c r="J72" s="72"/>
      <c r="K72" s="72"/>
      <c r="L72" s="71" t="s">
        <v>2952</v>
      </c>
      <c r="M72" s="75">
        <v>1.7895779256085882</v>
      </c>
      <c r="N72" s="76">
        <v>8447.1552734375</v>
      </c>
      <c r="O72" s="76">
        <v>8062.001953125</v>
      </c>
      <c r="P72" s="77"/>
      <c r="Q72" s="78"/>
      <c r="R72" s="78"/>
      <c r="S72" s="92"/>
      <c r="T72" s="49">
        <v>1</v>
      </c>
      <c r="U72" s="49">
        <v>0</v>
      </c>
      <c r="V72" s="50">
        <v>0</v>
      </c>
      <c r="W72" s="50">
        <v>0.004386</v>
      </c>
      <c r="X72" s="50">
        <v>0.006616</v>
      </c>
      <c r="Y72" s="50">
        <v>0.455274</v>
      </c>
      <c r="Z72" s="50">
        <v>0</v>
      </c>
      <c r="AA72" s="50">
        <v>0</v>
      </c>
      <c r="AB72" s="73">
        <v>72</v>
      </c>
      <c r="AC72" s="73"/>
      <c r="AD72" s="74"/>
      <c r="AE72" s="81" t="s">
        <v>1985</v>
      </c>
      <c r="AF72" s="86" t="s">
        <v>2258</v>
      </c>
      <c r="AG72" s="81">
        <v>756</v>
      </c>
      <c r="AH72" s="81">
        <v>5831</v>
      </c>
      <c r="AI72" s="81">
        <v>4609</v>
      </c>
      <c r="AJ72" s="81">
        <v>2383</v>
      </c>
      <c r="AK72" s="81"/>
      <c r="AL72" s="81" t="s">
        <v>2524</v>
      </c>
      <c r="AM72" s="81" t="s">
        <v>2752</v>
      </c>
      <c r="AN72" s="88" t="str">
        <f>HYPERLINK("https://t.co/TpCzxgHxkN")</f>
        <v>https://t.co/TpCzxgHxkN</v>
      </c>
      <c r="AO72" s="81"/>
      <c r="AP72" s="83">
        <v>43040.59780092593</v>
      </c>
      <c r="AQ72" s="88" t="str">
        <f>HYPERLINK("https://pbs.twimg.com/profile_banners/925729346983165954/1590078834")</f>
        <v>https://pbs.twimg.com/profile_banners/925729346983165954/1590078834</v>
      </c>
      <c r="AR72" s="81" t="b">
        <v>1</v>
      </c>
      <c r="AS72" s="81" t="b">
        <v>0</v>
      </c>
      <c r="AT72" s="81" t="b">
        <v>1</v>
      </c>
      <c r="AU72" s="81"/>
      <c r="AV72" s="81">
        <v>36</v>
      </c>
      <c r="AW72" s="81"/>
      <c r="AX72" s="81" t="b">
        <v>1</v>
      </c>
      <c r="AY72" s="81" t="s">
        <v>2883</v>
      </c>
      <c r="AZ72" s="88" t="str">
        <f>HYPERLINK("https://twitter.com/nhssoutheast")</f>
        <v>https://twitter.com/nhssoutheast</v>
      </c>
      <c r="BA72" s="81" t="s">
        <v>65</v>
      </c>
      <c r="BB72" s="81" t="str">
        <f>REPLACE(INDEX(GroupVertices[Group],MATCH(Vertices[[#This Row],[Vertex]],GroupVertices[Vertex],0)),1,1,"")</f>
        <v>2</v>
      </c>
      <c r="BC72" s="49"/>
      <c r="BD72" s="49"/>
      <c r="BE72" s="49"/>
      <c r="BF72" s="49"/>
      <c r="BG72" s="49"/>
      <c r="BH72" s="49"/>
      <c r="BI72" s="49"/>
      <c r="BJ72" s="49"/>
      <c r="BK72" s="49"/>
      <c r="BL72" s="49"/>
      <c r="BM72" s="49"/>
      <c r="BN72" s="50"/>
      <c r="BO72" s="49"/>
      <c r="BP72" s="50"/>
      <c r="BQ72" s="49"/>
      <c r="BR72" s="50"/>
      <c r="BS72" s="49"/>
      <c r="BT72" s="50"/>
      <c r="BU72" s="49"/>
      <c r="BV72" s="2"/>
      <c r="BW72" s="3"/>
      <c r="BX72" s="3"/>
      <c r="BY72" s="3"/>
      <c r="BZ72" s="3"/>
    </row>
    <row r="73" spans="1:78" ht="41.45" customHeight="1">
      <c r="A73" s="66" t="s">
        <v>466</v>
      </c>
      <c r="C73" s="67"/>
      <c r="D73" s="67" t="s">
        <v>64</v>
      </c>
      <c r="E73" s="68">
        <v>166.70709845009472</v>
      </c>
      <c r="F73" s="70">
        <v>99.98984875026805</v>
      </c>
      <c r="G73" s="106" t="str">
        <f>HYPERLINK("https://pbs.twimg.com/profile_images/679318045651812354/tCf3uaNy_normal.jpg")</f>
        <v>https://pbs.twimg.com/profile_images/679318045651812354/tCf3uaNy_normal.jpg</v>
      </c>
      <c r="H73" s="67"/>
      <c r="I73" s="71" t="s">
        <v>466</v>
      </c>
      <c r="J73" s="72"/>
      <c r="K73" s="72"/>
      <c r="L73" s="71" t="s">
        <v>2953</v>
      </c>
      <c r="M73" s="75">
        <v>4.38307316066782</v>
      </c>
      <c r="N73" s="76">
        <v>8401.48046875</v>
      </c>
      <c r="O73" s="76">
        <v>8621.2294921875</v>
      </c>
      <c r="P73" s="77"/>
      <c r="Q73" s="78"/>
      <c r="R73" s="78"/>
      <c r="S73" s="92"/>
      <c r="T73" s="49">
        <v>2</v>
      </c>
      <c r="U73" s="49">
        <v>0</v>
      </c>
      <c r="V73" s="50">
        <v>0</v>
      </c>
      <c r="W73" s="50">
        <v>0.004405</v>
      </c>
      <c r="X73" s="50">
        <v>0.00823</v>
      </c>
      <c r="Y73" s="50">
        <v>0.791781</v>
      </c>
      <c r="Z73" s="50">
        <v>0.5</v>
      </c>
      <c r="AA73" s="50">
        <v>0</v>
      </c>
      <c r="AB73" s="73">
        <v>73</v>
      </c>
      <c r="AC73" s="73"/>
      <c r="AD73" s="74"/>
      <c r="AE73" s="81" t="s">
        <v>1986</v>
      </c>
      <c r="AF73" s="86" t="s">
        <v>2259</v>
      </c>
      <c r="AG73" s="81">
        <v>348</v>
      </c>
      <c r="AH73" s="81">
        <v>24974</v>
      </c>
      <c r="AI73" s="81">
        <v>750</v>
      </c>
      <c r="AJ73" s="81">
        <v>279</v>
      </c>
      <c r="AK73" s="81"/>
      <c r="AL73" s="81" t="s">
        <v>2525</v>
      </c>
      <c r="AM73" s="81" t="s">
        <v>2769</v>
      </c>
      <c r="AN73" s="88" t="str">
        <f>HYPERLINK("https://t.co/huTVx4GqfA")</f>
        <v>https://t.co/huTVx4GqfA</v>
      </c>
      <c r="AO73" s="81"/>
      <c r="AP73" s="83">
        <v>42356.5499537037</v>
      </c>
      <c r="AQ73" s="88" t="str">
        <f>HYPERLINK("https://pbs.twimg.com/profile_banners/4524846597/1481019704")</f>
        <v>https://pbs.twimg.com/profile_banners/4524846597/1481019704</v>
      </c>
      <c r="AR73" s="81" t="b">
        <v>0</v>
      </c>
      <c r="AS73" s="81" t="b">
        <v>0</v>
      </c>
      <c r="AT73" s="81" t="b">
        <v>0</v>
      </c>
      <c r="AU73" s="81"/>
      <c r="AV73" s="81">
        <v>195</v>
      </c>
      <c r="AW73" s="88" t="str">
        <f>HYPERLINK("https://abs.twimg.com/images/themes/theme1/bg.png")</f>
        <v>https://abs.twimg.com/images/themes/theme1/bg.png</v>
      </c>
      <c r="AX73" s="81" t="b">
        <v>0</v>
      </c>
      <c r="AY73" s="81" t="s">
        <v>2883</v>
      </c>
      <c r="AZ73" s="88" t="str">
        <f>HYPERLINK("https://twitter.com/ukamrenvoy")</f>
        <v>https://twitter.com/ukamrenvoy</v>
      </c>
      <c r="BA73" s="81" t="s">
        <v>65</v>
      </c>
      <c r="BB73" s="81" t="str">
        <f>REPLACE(INDEX(GroupVertices[Group],MATCH(Vertices[[#This Row],[Vertex]],GroupVertices[Vertex],0)),1,1,"")</f>
        <v>2</v>
      </c>
      <c r="BC73" s="49"/>
      <c r="BD73" s="49"/>
      <c r="BE73" s="49"/>
      <c r="BF73" s="49"/>
      <c r="BG73" s="49"/>
      <c r="BH73" s="49"/>
      <c r="BI73" s="49"/>
      <c r="BJ73" s="49"/>
      <c r="BK73" s="49"/>
      <c r="BL73" s="49"/>
      <c r="BM73" s="49"/>
      <c r="BN73" s="50"/>
      <c r="BO73" s="49"/>
      <c r="BP73" s="50"/>
      <c r="BQ73" s="49"/>
      <c r="BR73" s="50"/>
      <c r="BS73" s="49"/>
      <c r="BT73" s="50"/>
      <c r="BU73" s="49"/>
      <c r="BV73" s="2"/>
      <c r="BW73" s="3"/>
      <c r="BX73" s="3"/>
      <c r="BY73" s="3"/>
      <c r="BZ73" s="3"/>
    </row>
    <row r="74" spans="1:78" ht="41.45" customHeight="1">
      <c r="A74" s="66" t="s">
        <v>430</v>
      </c>
      <c r="C74" s="67"/>
      <c r="D74" s="67" t="s">
        <v>64</v>
      </c>
      <c r="E74" s="68">
        <v>163.2627789242395</v>
      </c>
      <c r="F74" s="70">
        <v>99.99727671210788</v>
      </c>
      <c r="G74" s="106" t="str">
        <f>HYPERLINK("https://pbs.twimg.com/profile_images/1340921970452553731/yxEpHsj2_normal.jpg")</f>
        <v>https://pbs.twimg.com/profile_images/1340921970452553731/yxEpHsj2_normal.jpg</v>
      </c>
      <c r="H74" s="67"/>
      <c r="I74" s="71" t="s">
        <v>430</v>
      </c>
      <c r="J74" s="72"/>
      <c r="K74" s="72"/>
      <c r="L74" s="71" t="s">
        <v>2954</v>
      </c>
      <c r="M74" s="75">
        <v>1.9075810781832416</v>
      </c>
      <c r="N74" s="76">
        <v>7889.98291015625</v>
      </c>
      <c r="O74" s="76">
        <v>7900.84814453125</v>
      </c>
      <c r="P74" s="77"/>
      <c r="Q74" s="78"/>
      <c r="R74" s="78"/>
      <c r="S74" s="92"/>
      <c r="T74" s="49">
        <v>4</v>
      </c>
      <c r="U74" s="49">
        <v>2</v>
      </c>
      <c r="V74" s="50">
        <v>428.666667</v>
      </c>
      <c r="W74" s="50">
        <v>0.006803</v>
      </c>
      <c r="X74" s="50">
        <v>0.068294</v>
      </c>
      <c r="Y74" s="50">
        <v>1.617766</v>
      </c>
      <c r="Z74" s="50">
        <v>0.16666666666666666</v>
      </c>
      <c r="AA74" s="50">
        <v>0</v>
      </c>
      <c r="AB74" s="73">
        <v>74</v>
      </c>
      <c r="AC74" s="73"/>
      <c r="AD74" s="74"/>
      <c r="AE74" s="81" t="s">
        <v>1987</v>
      </c>
      <c r="AF74" s="86" t="s">
        <v>2260</v>
      </c>
      <c r="AG74" s="81">
        <v>3190</v>
      </c>
      <c r="AH74" s="81">
        <v>6702</v>
      </c>
      <c r="AI74" s="81">
        <v>20335</v>
      </c>
      <c r="AJ74" s="81">
        <v>22788</v>
      </c>
      <c r="AK74" s="81"/>
      <c r="AL74" s="81" t="s">
        <v>2526</v>
      </c>
      <c r="AM74" s="81" t="s">
        <v>2770</v>
      </c>
      <c r="AN74" s="88" t="str">
        <f>HYPERLINK("https://t.co/R530VR1BVe")</f>
        <v>https://t.co/R530VR1BVe</v>
      </c>
      <c r="AO74" s="81"/>
      <c r="AP74" s="83">
        <v>41557.56804398148</v>
      </c>
      <c r="AQ74" s="88" t="str">
        <f>HYPERLINK("https://pbs.twimg.com/profile_banners/1951791067/1637744371")</f>
        <v>https://pbs.twimg.com/profile_banners/1951791067/1637744371</v>
      </c>
      <c r="AR74" s="81" t="b">
        <v>1</v>
      </c>
      <c r="AS74" s="81" t="b">
        <v>0</v>
      </c>
      <c r="AT74" s="81" t="b">
        <v>1</v>
      </c>
      <c r="AU74" s="81"/>
      <c r="AV74" s="81">
        <v>117</v>
      </c>
      <c r="AW74" s="88" t="str">
        <f>HYPERLINK("https://abs.twimg.com/images/themes/theme1/bg.png")</f>
        <v>https://abs.twimg.com/images/themes/theme1/bg.png</v>
      </c>
      <c r="AX74" s="81" t="b">
        <v>1</v>
      </c>
      <c r="AY74" s="81" t="s">
        <v>2883</v>
      </c>
      <c r="AZ74" s="88" t="str">
        <f>HYPERLINK("https://twitter.com/drdianeashiru")</f>
        <v>https://twitter.com/drdianeashiru</v>
      </c>
      <c r="BA74" s="81" t="s">
        <v>66</v>
      </c>
      <c r="BB74" s="81" t="str">
        <f>REPLACE(INDEX(GroupVertices[Group],MATCH(Vertices[[#This Row],[Vertex]],GroupVertices[Vertex],0)),1,1,"")</f>
        <v>2</v>
      </c>
      <c r="BC74" s="49" t="s">
        <v>3560</v>
      </c>
      <c r="BD74" s="49" t="s">
        <v>3560</v>
      </c>
      <c r="BE74" s="49" t="s">
        <v>3600</v>
      </c>
      <c r="BF74" s="49" t="s">
        <v>944</v>
      </c>
      <c r="BG74" s="49" t="s">
        <v>3618</v>
      </c>
      <c r="BH74" s="49" t="s">
        <v>3653</v>
      </c>
      <c r="BI74" s="113" t="s">
        <v>3718</v>
      </c>
      <c r="BJ74" s="113" t="s">
        <v>3822</v>
      </c>
      <c r="BK74" s="113" t="s">
        <v>3895</v>
      </c>
      <c r="BL74" s="113" t="s">
        <v>3895</v>
      </c>
      <c r="BM74" s="113">
        <v>0</v>
      </c>
      <c r="BN74" s="116">
        <v>0</v>
      </c>
      <c r="BO74" s="113">
        <v>2</v>
      </c>
      <c r="BP74" s="116">
        <v>4.761904761904762</v>
      </c>
      <c r="BQ74" s="113">
        <v>0</v>
      </c>
      <c r="BR74" s="116">
        <v>0</v>
      </c>
      <c r="BS74" s="113">
        <v>40</v>
      </c>
      <c r="BT74" s="116">
        <v>95.23809523809524</v>
      </c>
      <c r="BU74" s="113">
        <v>42</v>
      </c>
      <c r="BV74" s="2"/>
      <c r="BW74" s="3"/>
      <c r="BX74" s="3"/>
      <c r="BY74" s="3"/>
      <c r="BZ74" s="3"/>
    </row>
    <row r="75" spans="1:78" ht="41.45" customHeight="1">
      <c r="A75" s="66" t="s">
        <v>429</v>
      </c>
      <c r="C75" s="67"/>
      <c r="D75" s="67" t="s">
        <v>64</v>
      </c>
      <c r="E75" s="68">
        <v>258.2809080156795</v>
      </c>
      <c r="F75" s="70">
        <v>99.79236220528458</v>
      </c>
      <c r="G75" s="106" t="str">
        <f>HYPERLINK("https://pbs.twimg.com/profile_images/1460556691087544333/9oq1gn0D_normal.jpg")</f>
        <v>https://pbs.twimg.com/profile_images/1460556691087544333/9oq1gn0D_normal.jpg</v>
      </c>
      <c r="H75" s="67"/>
      <c r="I75" s="71" t="s">
        <v>429</v>
      </c>
      <c r="J75" s="72"/>
      <c r="K75" s="72"/>
      <c r="L75" s="71" t="s">
        <v>2955</v>
      </c>
      <c r="M75" s="75">
        <v>70.19875571882666</v>
      </c>
      <c r="N75" s="76">
        <v>7869.8251953125</v>
      </c>
      <c r="O75" s="76">
        <v>8542.708984375</v>
      </c>
      <c r="P75" s="77"/>
      <c r="Q75" s="78"/>
      <c r="R75" s="78"/>
      <c r="S75" s="92"/>
      <c r="T75" s="49">
        <v>6</v>
      </c>
      <c r="U75" s="49">
        <v>1</v>
      </c>
      <c r="V75" s="50">
        <v>682</v>
      </c>
      <c r="W75" s="50">
        <v>0.007092</v>
      </c>
      <c r="X75" s="50">
        <v>0.074162</v>
      </c>
      <c r="Y75" s="50">
        <v>1.996779</v>
      </c>
      <c r="Z75" s="50">
        <v>0.1</v>
      </c>
      <c r="AA75" s="50">
        <v>0</v>
      </c>
      <c r="AB75" s="73">
        <v>75</v>
      </c>
      <c r="AC75" s="73"/>
      <c r="AD75" s="74"/>
      <c r="AE75" s="81" t="s">
        <v>1988</v>
      </c>
      <c r="AF75" s="86" t="s">
        <v>2261</v>
      </c>
      <c r="AG75" s="81">
        <v>680</v>
      </c>
      <c r="AH75" s="81">
        <v>510770</v>
      </c>
      <c r="AI75" s="81">
        <v>22390</v>
      </c>
      <c r="AJ75" s="81">
        <v>1020</v>
      </c>
      <c r="AK75" s="81"/>
      <c r="AL75" s="81" t="s">
        <v>2527</v>
      </c>
      <c r="AM75" s="81" t="s">
        <v>2767</v>
      </c>
      <c r="AN75" s="88" t="str">
        <f>HYPERLINK("https://t.co/Fj7gKqcDu9")</f>
        <v>https://t.co/Fj7gKqcDu9</v>
      </c>
      <c r="AO75" s="81"/>
      <c r="AP75" s="83">
        <v>39955.60755787037</v>
      </c>
      <c r="AQ75" s="88" t="str">
        <f>HYPERLINK("https://pbs.twimg.com/profile_banners/41822696/1638182981")</f>
        <v>https://pbs.twimg.com/profile_banners/41822696/1638182981</v>
      </c>
      <c r="AR75" s="81" t="b">
        <v>0</v>
      </c>
      <c r="AS75" s="81" t="b">
        <v>0</v>
      </c>
      <c r="AT75" s="81" t="b">
        <v>1</v>
      </c>
      <c r="AU75" s="81"/>
      <c r="AV75" s="81">
        <v>3018</v>
      </c>
      <c r="AW75" s="88" t="str">
        <f>HYPERLINK("https://abs.twimg.com/images/themes/theme1/bg.png")</f>
        <v>https://abs.twimg.com/images/themes/theme1/bg.png</v>
      </c>
      <c r="AX75" s="81" t="b">
        <v>1</v>
      </c>
      <c r="AY75" s="81" t="s">
        <v>2883</v>
      </c>
      <c r="AZ75" s="88" t="str">
        <f>HYPERLINK("https://twitter.com/ukhsa")</f>
        <v>https://twitter.com/ukhsa</v>
      </c>
      <c r="BA75" s="81" t="s">
        <v>66</v>
      </c>
      <c r="BB75" s="81" t="str">
        <f>REPLACE(INDEX(GroupVertices[Group],MATCH(Vertices[[#This Row],[Vertex]],GroupVertices[Vertex],0)),1,1,"")</f>
        <v>2</v>
      </c>
      <c r="BC75" s="49" t="s">
        <v>890</v>
      </c>
      <c r="BD75" s="49" t="s">
        <v>890</v>
      </c>
      <c r="BE75" s="49" t="s">
        <v>904</v>
      </c>
      <c r="BF75" s="49" t="s">
        <v>904</v>
      </c>
      <c r="BG75" s="49" t="s">
        <v>1124</v>
      </c>
      <c r="BH75" s="49" t="s">
        <v>1124</v>
      </c>
      <c r="BI75" s="113" t="s">
        <v>3719</v>
      </c>
      <c r="BJ75" s="113" t="s">
        <v>3719</v>
      </c>
      <c r="BK75" s="113" t="s">
        <v>3896</v>
      </c>
      <c r="BL75" s="113" t="s">
        <v>3896</v>
      </c>
      <c r="BM75" s="113">
        <v>0</v>
      </c>
      <c r="BN75" s="116">
        <v>0</v>
      </c>
      <c r="BO75" s="113">
        <v>2</v>
      </c>
      <c r="BP75" s="116">
        <v>5.882352941176471</v>
      </c>
      <c r="BQ75" s="113">
        <v>0</v>
      </c>
      <c r="BR75" s="116">
        <v>0</v>
      </c>
      <c r="BS75" s="113">
        <v>32</v>
      </c>
      <c r="BT75" s="116">
        <v>94.11764705882354</v>
      </c>
      <c r="BU75" s="113">
        <v>34</v>
      </c>
      <c r="BV75" s="2"/>
      <c r="BW75" s="3"/>
      <c r="BX75" s="3"/>
      <c r="BY75" s="3"/>
      <c r="BZ75" s="3"/>
    </row>
    <row r="76" spans="1:78" ht="41.45" customHeight="1">
      <c r="A76" s="66" t="s">
        <v>365</v>
      </c>
      <c r="C76" s="67"/>
      <c r="D76" s="67" t="s">
        <v>64</v>
      </c>
      <c r="E76" s="68">
        <v>163.43620131717879</v>
      </c>
      <c r="F76" s="70">
        <v>99.99690271227793</v>
      </c>
      <c r="G76" s="106" t="str">
        <f>HYPERLINK("https://pbs.twimg.com/profile_images/927244129905541120/juxV2mki_normal.jpg")</f>
        <v>https://pbs.twimg.com/profile_images/927244129905541120/juxV2mki_normal.jpg</v>
      </c>
      <c r="H76" s="67"/>
      <c r="I76" s="71" t="s">
        <v>365</v>
      </c>
      <c r="J76" s="72"/>
      <c r="K76" s="72"/>
      <c r="L76" s="71" t="s">
        <v>2956</v>
      </c>
      <c r="M76" s="75">
        <v>2.03222275484074</v>
      </c>
      <c r="N76" s="76">
        <v>8304.384765625</v>
      </c>
      <c r="O76" s="76">
        <v>8890.4169921875</v>
      </c>
      <c r="P76" s="77"/>
      <c r="Q76" s="78"/>
      <c r="R76" s="78"/>
      <c r="S76" s="92"/>
      <c r="T76" s="49">
        <v>1</v>
      </c>
      <c r="U76" s="49">
        <v>1</v>
      </c>
      <c r="V76" s="50">
        <v>0</v>
      </c>
      <c r="W76" s="50">
        <v>0.004405</v>
      </c>
      <c r="X76" s="50">
        <v>0.00823</v>
      </c>
      <c r="Y76" s="50">
        <v>0.791781</v>
      </c>
      <c r="Z76" s="50">
        <v>0.5</v>
      </c>
      <c r="AA76" s="50">
        <v>0</v>
      </c>
      <c r="AB76" s="73">
        <v>76</v>
      </c>
      <c r="AC76" s="73"/>
      <c r="AD76" s="74"/>
      <c r="AE76" s="81" t="s">
        <v>1989</v>
      </c>
      <c r="AF76" s="86" t="s">
        <v>2262</v>
      </c>
      <c r="AG76" s="81">
        <v>1122</v>
      </c>
      <c r="AH76" s="81">
        <v>7622</v>
      </c>
      <c r="AI76" s="81">
        <v>4461</v>
      </c>
      <c r="AJ76" s="81">
        <v>4037</v>
      </c>
      <c r="AK76" s="81"/>
      <c r="AL76" s="81" t="s">
        <v>2528</v>
      </c>
      <c r="AM76" s="81" t="s">
        <v>2736</v>
      </c>
      <c r="AN76" s="81"/>
      <c r="AO76" s="81"/>
      <c r="AP76" s="83">
        <v>40335.67613425926</v>
      </c>
      <c r="AQ76" s="88" t="str">
        <f>HYPERLINK("https://pbs.twimg.com/profile_banners/152684452/1586970663")</f>
        <v>https://pbs.twimg.com/profile_banners/152684452/1586970663</v>
      </c>
      <c r="AR76" s="81" t="b">
        <v>1</v>
      </c>
      <c r="AS76" s="81" t="b">
        <v>0</v>
      </c>
      <c r="AT76" s="81" t="b">
        <v>0</v>
      </c>
      <c r="AU76" s="81"/>
      <c r="AV76" s="81">
        <v>68</v>
      </c>
      <c r="AW76" s="88" t="str">
        <f>HYPERLINK("https://abs.twimg.com/images/themes/theme1/bg.png")</f>
        <v>https://abs.twimg.com/images/themes/theme1/bg.png</v>
      </c>
      <c r="AX76" s="81" t="b">
        <v>1</v>
      </c>
      <c r="AY76" s="81" t="s">
        <v>2883</v>
      </c>
      <c r="AZ76" s="88" t="str">
        <f>HYPERLINK("https://twitter.com/keithridge1")</f>
        <v>https://twitter.com/keithridge1</v>
      </c>
      <c r="BA76" s="81" t="s">
        <v>66</v>
      </c>
      <c r="BB76" s="81" t="str">
        <f>REPLACE(INDEX(GroupVertices[Group],MATCH(Vertices[[#This Row],[Vertex]],GroupVertices[Vertex],0)),1,1,"")</f>
        <v>2</v>
      </c>
      <c r="BC76" s="49" t="s">
        <v>3223</v>
      </c>
      <c r="BD76" s="49" t="s">
        <v>3223</v>
      </c>
      <c r="BE76" s="49" t="s">
        <v>914</v>
      </c>
      <c r="BF76" s="49" t="s">
        <v>914</v>
      </c>
      <c r="BG76" s="49" t="s">
        <v>1036</v>
      </c>
      <c r="BH76" s="49" t="s">
        <v>1036</v>
      </c>
      <c r="BI76" s="113" t="s">
        <v>3720</v>
      </c>
      <c r="BJ76" s="113" t="s">
        <v>3720</v>
      </c>
      <c r="BK76" s="113" t="s">
        <v>3897</v>
      </c>
      <c r="BL76" s="113" t="s">
        <v>3897</v>
      </c>
      <c r="BM76" s="113">
        <v>2</v>
      </c>
      <c r="BN76" s="116">
        <v>4.651162790697675</v>
      </c>
      <c r="BO76" s="113">
        <v>0</v>
      </c>
      <c r="BP76" s="116">
        <v>0</v>
      </c>
      <c r="BQ76" s="113">
        <v>0</v>
      </c>
      <c r="BR76" s="116">
        <v>0</v>
      </c>
      <c r="BS76" s="113">
        <v>41</v>
      </c>
      <c r="BT76" s="116">
        <v>95.34883720930233</v>
      </c>
      <c r="BU76" s="113">
        <v>43</v>
      </c>
      <c r="BV76" s="2"/>
      <c r="BW76" s="3"/>
      <c r="BX76" s="3"/>
      <c r="BY76" s="3"/>
      <c r="BZ76" s="3"/>
    </row>
    <row r="77" spans="1:78" ht="41.45" customHeight="1">
      <c r="A77" s="66" t="s">
        <v>301</v>
      </c>
      <c r="C77" s="67"/>
      <c r="D77" s="67" t="s">
        <v>64</v>
      </c>
      <c r="E77" s="68">
        <v>162.41300919883696</v>
      </c>
      <c r="F77" s="70">
        <v>99.99910931127457</v>
      </c>
      <c r="G77" s="106" t="str">
        <f>HYPERLINK("https://pbs.twimg.com/profile_images/1278953373459525632/rTf_kLy1_normal.jpg")</f>
        <v>https://pbs.twimg.com/profile_images/1278953373459525632/rTf_kLy1_normal.jpg</v>
      </c>
      <c r="H77" s="67"/>
      <c r="I77" s="71" t="s">
        <v>301</v>
      </c>
      <c r="J77" s="72"/>
      <c r="K77" s="72"/>
      <c r="L77" s="71" t="s">
        <v>2957</v>
      </c>
      <c r="M77" s="75">
        <v>1.296836862561499</v>
      </c>
      <c r="N77" s="76">
        <v>2310.1279296875</v>
      </c>
      <c r="O77" s="76">
        <v>4610.28466796875</v>
      </c>
      <c r="P77" s="77"/>
      <c r="Q77" s="78"/>
      <c r="R77" s="78"/>
      <c r="S77" s="92"/>
      <c r="T77" s="49">
        <v>1</v>
      </c>
      <c r="U77" s="49">
        <v>1</v>
      </c>
      <c r="V77" s="50">
        <v>0</v>
      </c>
      <c r="W77" s="50">
        <v>0</v>
      </c>
      <c r="X77" s="50">
        <v>0</v>
      </c>
      <c r="Y77" s="50">
        <v>0.999998</v>
      </c>
      <c r="Z77" s="50">
        <v>0</v>
      </c>
      <c r="AA77" s="50">
        <v>0</v>
      </c>
      <c r="AB77" s="73">
        <v>77</v>
      </c>
      <c r="AC77" s="73"/>
      <c r="AD77" s="74"/>
      <c r="AE77" s="81" t="s">
        <v>1990</v>
      </c>
      <c r="AF77" s="86" t="s">
        <v>2263</v>
      </c>
      <c r="AG77" s="81">
        <v>967</v>
      </c>
      <c r="AH77" s="81">
        <v>2194</v>
      </c>
      <c r="AI77" s="81">
        <v>4087</v>
      </c>
      <c r="AJ77" s="81">
        <v>1297</v>
      </c>
      <c r="AK77" s="81"/>
      <c r="AL77" s="81" t="s">
        <v>2529</v>
      </c>
      <c r="AM77" s="81" t="s">
        <v>2771</v>
      </c>
      <c r="AN77" s="88" t="str">
        <f>HYPERLINK("https://t.co/7vJNEhwZ41")</f>
        <v>https://t.co/7vJNEhwZ41</v>
      </c>
      <c r="AO77" s="81"/>
      <c r="AP77" s="83">
        <v>43908.482465277775</v>
      </c>
      <c r="AQ77" s="88" t="str">
        <f>HYPERLINK("https://pbs.twimg.com/profile_banners/1240239979332239361/1621327578")</f>
        <v>https://pbs.twimg.com/profile_banners/1240239979332239361/1621327578</v>
      </c>
      <c r="AR77" s="81" t="b">
        <v>1</v>
      </c>
      <c r="AS77" s="81" t="b">
        <v>0</v>
      </c>
      <c r="AT77" s="81" t="b">
        <v>0</v>
      </c>
      <c r="AU77" s="81"/>
      <c r="AV77" s="81">
        <v>13</v>
      </c>
      <c r="AW77" s="81"/>
      <c r="AX77" s="81" t="b">
        <v>1</v>
      </c>
      <c r="AY77" s="81" t="s">
        <v>2883</v>
      </c>
      <c r="AZ77" s="88" t="str">
        <f>HYPERLINK("https://twitter.com/syheartlandsccg")</f>
        <v>https://twitter.com/syheartlandsccg</v>
      </c>
      <c r="BA77" s="81" t="s">
        <v>66</v>
      </c>
      <c r="BB77" s="81" t="str">
        <f>REPLACE(INDEX(GroupVertices[Group],MATCH(Vertices[[#This Row],[Vertex]],GroupVertices[Vertex],0)),1,1,"")</f>
        <v>1</v>
      </c>
      <c r="BC77" s="49" t="s">
        <v>3561</v>
      </c>
      <c r="BD77" s="49" t="s">
        <v>3561</v>
      </c>
      <c r="BE77" s="49" t="s">
        <v>917</v>
      </c>
      <c r="BF77" s="49" t="s">
        <v>917</v>
      </c>
      <c r="BG77" s="49" t="s">
        <v>996</v>
      </c>
      <c r="BH77" s="49" t="s">
        <v>996</v>
      </c>
      <c r="BI77" s="113" t="s">
        <v>3683</v>
      </c>
      <c r="BJ77" s="113" t="s">
        <v>3683</v>
      </c>
      <c r="BK77" s="113" t="s">
        <v>3860</v>
      </c>
      <c r="BL77" s="113" t="s">
        <v>3860</v>
      </c>
      <c r="BM77" s="113">
        <v>0</v>
      </c>
      <c r="BN77" s="116">
        <v>0</v>
      </c>
      <c r="BO77" s="113">
        <v>2</v>
      </c>
      <c r="BP77" s="116">
        <v>6.451612903225806</v>
      </c>
      <c r="BQ77" s="113">
        <v>0</v>
      </c>
      <c r="BR77" s="116">
        <v>0</v>
      </c>
      <c r="BS77" s="113">
        <v>29</v>
      </c>
      <c r="BT77" s="116">
        <v>93.54838709677419</v>
      </c>
      <c r="BU77" s="113">
        <v>31</v>
      </c>
      <c r="BV77" s="2"/>
      <c r="BW77" s="3"/>
      <c r="BX77" s="3"/>
      <c r="BY77" s="3"/>
      <c r="BZ77" s="3"/>
    </row>
    <row r="78" spans="1:78" ht="41.45" customHeight="1">
      <c r="A78" s="66" t="s">
        <v>302</v>
      </c>
      <c r="C78" s="67"/>
      <c r="D78" s="67" t="s">
        <v>64</v>
      </c>
      <c r="E78" s="68">
        <v>162.04976468666953</v>
      </c>
      <c r="F78" s="70">
        <v>99.99989267830966</v>
      </c>
      <c r="G78" s="106" t="str">
        <f>HYPERLINK("https://pbs.twimg.com/profile_images/1336362515480064004/OjJw4902_normal.jpg")</f>
        <v>https://pbs.twimg.com/profile_images/1336362515480064004/OjJw4902_normal.jpg</v>
      </c>
      <c r="H78" s="67"/>
      <c r="I78" s="71" t="s">
        <v>302</v>
      </c>
      <c r="J78" s="72"/>
      <c r="K78" s="72"/>
      <c r="L78" s="71" t="s">
        <v>2958</v>
      </c>
      <c r="M78" s="75">
        <v>1.035766741997369</v>
      </c>
      <c r="N78" s="76">
        <v>1919.192626953125</v>
      </c>
      <c r="O78" s="76">
        <v>6945.5771484375</v>
      </c>
      <c r="P78" s="77"/>
      <c r="Q78" s="78"/>
      <c r="R78" s="78"/>
      <c r="S78" s="92"/>
      <c r="T78" s="49">
        <v>1</v>
      </c>
      <c r="U78" s="49">
        <v>1</v>
      </c>
      <c r="V78" s="50">
        <v>0</v>
      </c>
      <c r="W78" s="50">
        <v>0</v>
      </c>
      <c r="X78" s="50">
        <v>0</v>
      </c>
      <c r="Y78" s="50">
        <v>0.999998</v>
      </c>
      <c r="Z78" s="50">
        <v>0</v>
      </c>
      <c r="AA78" s="50">
        <v>0</v>
      </c>
      <c r="AB78" s="73">
        <v>78</v>
      </c>
      <c r="AC78" s="73"/>
      <c r="AD78" s="74"/>
      <c r="AE78" s="81" t="s">
        <v>1991</v>
      </c>
      <c r="AF78" s="86" t="s">
        <v>2264</v>
      </c>
      <c r="AG78" s="81">
        <v>104</v>
      </c>
      <c r="AH78" s="81">
        <v>267</v>
      </c>
      <c r="AI78" s="81">
        <v>223</v>
      </c>
      <c r="AJ78" s="81">
        <v>236</v>
      </c>
      <c r="AK78" s="81"/>
      <c r="AL78" s="86" t="s">
        <v>2530</v>
      </c>
      <c r="AM78" s="81" t="s">
        <v>2772</v>
      </c>
      <c r="AN78" s="88" t="str">
        <f>HYPERLINK("https://t.co/P3rXcpJ0Kq")</f>
        <v>https://t.co/P3rXcpJ0Kq</v>
      </c>
      <c r="AO78" s="81"/>
      <c r="AP78" s="83">
        <v>44166.7266087963</v>
      </c>
      <c r="AQ78" s="88" t="str">
        <f>HYPERLINK("https://pbs.twimg.com/profile_banners/1333824489432477698/1607448628")</f>
        <v>https://pbs.twimg.com/profile_banners/1333824489432477698/1607448628</v>
      </c>
      <c r="AR78" s="81" t="b">
        <v>1</v>
      </c>
      <c r="AS78" s="81" t="b">
        <v>0</v>
      </c>
      <c r="AT78" s="81" t="b">
        <v>0</v>
      </c>
      <c r="AU78" s="81"/>
      <c r="AV78" s="81">
        <v>1</v>
      </c>
      <c r="AW78" s="81"/>
      <c r="AX78" s="81" t="b">
        <v>0</v>
      </c>
      <c r="AY78" s="81" t="s">
        <v>2883</v>
      </c>
      <c r="AZ78" s="88" t="str">
        <f>HYPERLINK("https://twitter.com/osuvetprevmed")</f>
        <v>https://twitter.com/osuvetprevmed</v>
      </c>
      <c r="BA78" s="81" t="s">
        <v>66</v>
      </c>
      <c r="BB78" s="81" t="str">
        <f>REPLACE(INDEX(GroupVertices[Group],MATCH(Vertices[[#This Row],[Vertex]],GroupVertices[Vertex],0)),1,1,"")</f>
        <v>1</v>
      </c>
      <c r="BC78" s="49" t="s">
        <v>893</v>
      </c>
      <c r="BD78" s="49" t="s">
        <v>893</v>
      </c>
      <c r="BE78" s="49" t="s">
        <v>918</v>
      </c>
      <c r="BF78" s="49" t="s">
        <v>918</v>
      </c>
      <c r="BG78" s="49" t="s">
        <v>997</v>
      </c>
      <c r="BH78" s="49" t="s">
        <v>997</v>
      </c>
      <c r="BI78" s="113" t="s">
        <v>3721</v>
      </c>
      <c r="BJ78" s="113" t="s">
        <v>3721</v>
      </c>
      <c r="BK78" s="113" t="s">
        <v>3898</v>
      </c>
      <c r="BL78" s="113" t="s">
        <v>3898</v>
      </c>
      <c r="BM78" s="113">
        <v>2</v>
      </c>
      <c r="BN78" s="116">
        <v>8.695652173913043</v>
      </c>
      <c r="BO78" s="113">
        <v>0</v>
      </c>
      <c r="BP78" s="116">
        <v>0</v>
      </c>
      <c r="BQ78" s="113">
        <v>0</v>
      </c>
      <c r="BR78" s="116">
        <v>0</v>
      </c>
      <c r="BS78" s="113">
        <v>21</v>
      </c>
      <c r="BT78" s="116">
        <v>91.30434782608695</v>
      </c>
      <c r="BU78" s="113">
        <v>23</v>
      </c>
      <c r="BV78" s="2"/>
      <c r="BW78" s="3"/>
      <c r="BX78" s="3"/>
      <c r="BY78" s="3"/>
      <c r="BZ78" s="3"/>
    </row>
    <row r="79" spans="1:78" ht="41.45" customHeight="1">
      <c r="A79" s="66" t="s">
        <v>303</v>
      </c>
      <c r="C79" s="67"/>
      <c r="D79" s="67" t="s">
        <v>64</v>
      </c>
      <c r="E79" s="68">
        <v>164.31839348995695</v>
      </c>
      <c r="F79" s="70">
        <v>99.9950001914039</v>
      </c>
      <c r="G79" s="106" t="str">
        <f>HYPERLINK("https://pbs.twimg.com/profile_images/1247420646486925313/A7UqVtmB_normal.jpg")</f>
        <v>https://pbs.twimg.com/profile_images/1247420646486925313/A7UqVtmB_normal.jpg</v>
      </c>
      <c r="H79" s="67"/>
      <c r="I79" s="71" t="s">
        <v>303</v>
      </c>
      <c r="J79" s="72"/>
      <c r="K79" s="72"/>
      <c r="L79" s="71" t="s">
        <v>2959</v>
      </c>
      <c r="M79" s="75">
        <v>2.666269544794102</v>
      </c>
      <c r="N79" s="76">
        <v>2310.1279296875</v>
      </c>
      <c r="O79" s="76">
        <v>2274.99169921875</v>
      </c>
      <c r="P79" s="77"/>
      <c r="Q79" s="78"/>
      <c r="R79" s="78"/>
      <c r="S79" s="92"/>
      <c r="T79" s="49">
        <v>1</v>
      </c>
      <c r="U79" s="49">
        <v>1</v>
      </c>
      <c r="V79" s="50">
        <v>0</v>
      </c>
      <c r="W79" s="50">
        <v>0</v>
      </c>
      <c r="X79" s="50">
        <v>0</v>
      </c>
      <c r="Y79" s="50">
        <v>0.999998</v>
      </c>
      <c r="Z79" s="50">
        <v>0</v>
      </c>
      <c r="AA79" s="50">
        <v>0</v>
      </c>
      <c r="AB79" s="73">
        <v>79</v>
      </c>
      <c r="AC79" s="73"/>
      <c r="AD79" s="74"/>
      <c r="AE79" s="81" t="s">
        <v>1992</v>
      </c>
      <c r="AF79" s="86" t="s">
        <v>2265</v>
      </c>
      <c r="AG79" s="81">
        <v>2064</v>
      </c>
      <c r="AH79" s="81">
        <v>12302</v>
      </c>
      <c r="AI79" s="81">
        <v>11774</v>
      </c>
      <c r="AJ79" s="81">
        <v>1985</v>
      </c>
      <c r="AK79" s="81"/>
      <c r="AL79" s="81" t="s">
        <v>2531</v>
      </c>
      <c r="AM79" s="81" t="s">
        <v>2773</v>
      </c>
      <c r="AN79" s="88" t="str">
        <f>HYPERLINK("https://t.co/8T49xEUvcn")</f>
        <v>https://t.co/8T49xEUvcn</v>
      </c>
      <c r="AO79" s="81"/>
      <c r="AP79" s="83">
        <v>40214.628287037034</v>
      </c>
      <c r="AQ79" s="88" t="str">
        <f>HYPERLINK("https://pbs.twimg.com/profile_banners/111613782/1627463313")</f>
        <v>https://pbs.twimg.com/profile_banners/111613782/1627463313</v>
      </c>
      <c r="AR79" s="81" t="b">
        <v>0</v>
      </c>
      <c r="AS79" s="81" t="b">
        <v>0</v>
      </c>
      <c r="AT79" s="81" t="b">
        <v>1</v>
      </c>
      <c r="AU79" s="81"/>
      <c r="AV79" s="81">
        <v>213</v>
      </c>
      <c r="AW79" s="88" t="str">
        <f>HYPERLINK("https://abs.twimg.com/images/themes/theme18/bg.gif")</f>
        <v>https://abs.twimg.com/images/themes/theme18/bg.gif</v>
      </c>
      <c r="AX79" s="81" t="b">
        <v>1</v>
      </c>
      <c r="AY79" s="81" t="s">
        <v>2883</v>
      </c>
      <c r="AZ79" s="88" t="str">
        <f>HYPERLINK("https://twitter.com/nhsnottsccg")</f>
        <v>https://twitter.com/nhsnottsccg</v>
      </c>
      <c r="BA79" s="81" t="s">
        <v>66</v>
      </c>
      <c r="BB79" s="81" t="str">
        <f>REPLACE(INDEX(GroupVertices[Group],MATCH(Vertices[[#This Row],[Vertex]],GroupVertices[Vertex],0)),1,1,"")</f>
        <v>1</v>
      </c>
      <c r="BC79" s="49"/>
      <c r="BD79" s="49"/>
      <c r="BE79" s="49"/>
      <c r="BF79" s="49"/>
      <c r="BG79" s="49" t="s">
        <v>955</v>
      </c>
      <c r="BH79" s="49" t="s">
        <v>955</v>
      </c>
      <c r="BI79" s="113" t="s">
        <v>3683</v>
      </c>
      <c r="BJ79" s="113" t="s">
        <v>3683</v>
      </c>
      <c r="BK79" s="113" t="s">
        <v>3860</v>
      </c>
      <c r="BL79" s="113" t="s">
        <v>3860</v>
      </c>
      <c r="BM79" s="113">
        <v>0</v>
      </c>
      <c r="BN79" s="116">
        <v>0</v>
      </c>
      <c r="BO79" s="113">
        <v>2</v>
      </c>
      <c r="BP79" s="116">
        <v>6.0606060606060606</v>
      </c>
      <c r="BQ79" s="113">
        <v>0</v>
      </c>
      <c r="BR79" s="116">
        <v>0</v>
      </c>
      <c r="BS79" s="113">
        <v>31</v>
      </c>
      <c r="BT79" s="116">
        <v>93.93939393939394</v>
      </c>
      <c r="BU79" s="113">
        <v>33</v>
      </c>
      <c r="BV79" s="2"/>
      <c r="BW79" s="3"/>
      <c r="BX79" s="3"/>
      <c r="BY79" s="3"/>
      <c r="BZ79" s="3"/>
    </row>
    <row r="80" spans="1:78" ht="41.45" customHeight="1">
      <c r="A80" s="66" t="s">
        <v>304</v>
      </c>
      <c r="C80" s="67"/>
      <c r="D80" s="67" t="s">
        <v>64</v>
      </c>
      <c r="E80" s="68">
        <v>163.12913058011563</v>
      </c>
      <c r="F80" s="70">
        <v>99.99756493588986</v>
      </c>
      <c r="G80" s="106" t="str">
        <f>HYPERLINK("https://pbs.twimg.com/profile_images/1377308032091181056/rsZ7_4-4_normal.jpg")</f>
        <v>https://pbs.twimg.com/profile_images/1377308032091181056/rsZ7_4-4_normal.jpg</v>
      </c>
      <c r="H80" s="67"/>
      <c r="I80" s="71" t="s">
        <v>304</v>
      </c>
      <c r="J80" s="72"/>
      <c r="K80" s="72"/>
      <c r="L80" s="71" t="s">
        <v>2960</v>
      </c>
      <c r="M80" s="75">
        <v>1.8115256991069737</v>
      </c>
      <c r="N80" s="76">
        <v>1919.192626953125</v>
      </c>
      <c r="O80" s="76">
        <v>3053.422607421875</v>
      </c>
      <c r="P80" s="77"/>
      <c r="Q80" s="78"/>
      <c r="R80" s="78"/>
      <c r="S80" s="92"/>
      <c r="T80" s="49">
        <v>1</v>
      </c>
      <c r="U80" s="49">
        <v>1</v>
      </c>
      <c r="V80" s="50">
        <v>0</v>
      </c>
      <c r="W80" s="50">
        <v>0</v>
      </c>
      <c r="X80" s="50">
        <v>0</v>
      </c>
      <c r="Y80" s="50">
        <v>0.999998</v>
      </c>
      <c r="Z80" s="50">
        <v>0</v>
      </c>
      <c r="AA80" s="50">
        <v>0</v>
      </c>
      <c r="AB80" s="73">
        <v>80</v>
      </c>
      <c r="AC80" s="73"/>
      <c r="AD80" s="74"/>
      <c r="AE80" s="81" t="s">
        <v>1993</v>
      </c>
      <c r="AF80" s="86" t="s">
        <v>2266</v>
      </c>
      <c r="AG80" s="81">
        <v>755</v>
      </c>
      <c r="AH80" s="81">
        <v>5993</v>
      </c>
      <c r="AI80" s="81">
        <v>3195</v>
      </c>
      <c r="AJ80" s="81">
        <v>1124</v>
      </c>
      <c r="AK80" s="81"/>
      <c r="AL80" s="81" t="s">
        <v>2532</v>
      </c>
      <c r="AM80" s="81" t="s">
        <v>2764</v>
      </c>
      <c r="AN80" s="88" t="str">
        <f>HYPERLINK("https://t.co/sUcEy8jxW7")</f>
        <v>https://t.co/sUcEy8jxW7</v>
      </c>
      <c r="AO80" s="81"/>
      <c r="AP80" s="83">
        <v>40883.54846064815</v>
      </c>
      <c r="AQ80" s="88" t="str">
        <f>HYPERLINK("https://pbs.twimg.com/profile_banners/429842803/1617210801")</f>
        <v>https://pbs.twimg.com/profile_banners/429842803/1617210801</v>
      </c>
      <c r="AR80" s="81" t="b">
        <v>1</v>
      </c>
      <c r="AS80" s="81" t="b">
        <v>0</v>
      </c>
      <c r="AT80" s="81" t="b">
        <v>1</v>
      </c>
      <c r="AU80" s="81"/>
      <c r="AV80" s="81">
        <v>136</v>
      </c>
      <c r="AW80" s="88" t="str">
        <f>HYPERLINK("https://abs.twimg.com/images/themes/theme1/bg.png")</f>
        <v>https://abs.twimg.com/images/themes/theme1/bg.png</v>
      </c>
      <c r="AX80" s="81" t="b">
        <v>0</v>
      </c>
      <c r="AY80" s="81" t="s">
        <v>2883</v>
      </c>
      <c r="AZ80" s="88" t="str">
        <f>HYPERLINK("https://twitter.com/nhs_cityhackney")</f>
        <v>https://twitter.com/nhs_cityhackney</v>
      </c>
      <c r="BA80" s="81" t="s">
        <v>66</v>
      </c>
      <c r="BB80" s="81" t="str">
        <f>REPLACE(INDEX(GroupVertices[Group],MATCH(Vertices[[#This Row],[Vertex]],GroupVertices[Vertex],0)),1,1,"")</f>
        <v>1</v>
      </c>
      <c r="BC80" s="49" t="s">
        <v>3205</v>
      </c>
      <c r="BD80" s="49" t="s">
        <v>3205</v>
      </c>
      <c r="BE80" s="49" t="s">
        <v>902</v>
      </c>
      <c r="BF80" s="49" t="s">
        <v>902</v>
      </c>
      <c r="BG80" s="49" t="s">
        <v>955</v>
      </c>
      <c r="BH80" s="49" t="s">
        <v>955</v>
      </c>
      <c r="BI80" s="113" t="s">
        <v>3711</v>
      </c>
      <c r="BJ80" s="113" t="s">
        <v>3711</v>
      </c>
      <c r="BK80" s="113" t="s">
        <v>3888</v>
      </c>
      <c r="BL80" s="113" t="s">
        <v>3888</v>
      </c>
      <c r="BM80" s="113">
        <v>0</v>
      </c>
      <c r="BN80" s="116">
        <v>0</v>
      </c>
      <c r="BO80" s="113">
        <v>2</v>
      </c>
      <c r="BP80" s="116">
        <v>11.11111111111111</v>
      </c>
      <c r="BQ80" s="113">
        <v>0</v>
      </c>
      <c r="BR80" s="116">
        <v>0</v>
      </c>
      <c r="BS80" s="113">
        <v>16</v>
      </c>
      <c r="BT80" s="116">
        <v>88.88888888888889</v>
      </c>
      <c r="BU80" s="113">
        <v>18</v>
      </c>
      <c r="BV80" s="2"/>
      <c r="BW80" s="3"/>
      <c r="BX80" s="3"/>
      <c r="BY80" s="3"/>
      <c r="BZ80" s="3"/>
    </row>
    <row r="81" spans="1:78" ht="41.45" customHeight="1">
      <c r="A81" s="66" t="s">
        <v>305</v>
      </c>
      <c r="C81" s="67"/>
      <c r="D81" s="67" t="s">
        <v>64</v>
      </c>
      <c r="E81" s="68">
        <v>162.03977404881542</v>
      </c>
      <c r="F81" s="70">
        <v>99.99991422395205</v>
      </c>
      <c r="G81" s="106" t="str">
        <f>HYPERLINK("https://pbs.twimg.com/profile_images/1333240739678056449/qNis9JbI_normal.jpg")</f>
        <v>https://pbs.twimg.com/profile_images/1333240739678056449/qNis9JbI_normal.jpg</v>
      </c>
      <c r="H81" s="67"/>
      <c r="I81" s="71" t="s">
        <v>305</v>
      </c>
      <c r="J81" s="72"/>
      <c r="K81" s="72"/>
      <c r="L81" s="71" t="s">
        <v>2961</v>
      </c>
      <c r="M81" s="75">
        <v>1.0285862975812305</v>
      </c>
      <c r="N81" s="76">
        <v>8975.1015625</v>
      </c>
      <c r="O81" s="76">
        <v>4193.65966796875</v>
      </c>
      <c r="P81" s="77"/>
      <c r="Q81" s="78"/>
      <c r="R81" s="78"/>
      <c r="S81" s="92"/>
      <c r="T81" s="49">
        <v>0</v>
      </c>
      <c r="U81" s="49">
        <v>1</v>
      </c>
      <c r="V81" s="50">
        <v>0</v>
      </c>
      <c r="W81" s="50">
        <v>1</v>
      </c>
      <c r="X81" s="50">
        <v>0</v>
      </c>
      <c r="Y81" s="50">
        <v>0.999998</v>
      </c>
      <c r="Z81" s="50">
        <v>0</v>
      </c>
      <c r="AA81" s="50">
        <v>0</v>
      </c>
      <c r="AB81" s="73">
        <v>81</v>
      </c>
      <c r="AC81" s="73"/>
      <c r="AD81" s="74"/>
      <c r="AE81" s="81" t="s">
        <v>1994</v>
      </c>
      <c r="AF81" s="86" t="s">
        <v>2267</v>
      </c>
      <c r="AG81" s="81">
        <v>499</v>
      </c>
      <c r="AH81" s="81">
        <v>214</v>
      </c>
      <c r="AI81" s="81">
        <v>161</v>
      </c>
      <c r="AJ81" s="81">
        <v>201</v>
      </c>
      <c r="AK81" s="81"/>
      <c r="AL81" s="81" t="s">
        <v>2533</v>
      </c>
      <c r="AM81" s="81" t="s">
        <v>2774</v>
      </c>
      <c r="AN81" s="88" t="str">
        <f>HYPERLINK("https://t.co/NE7B8X2GG6")</f>
        <v>https://t.co/NE7B8X2GG6</v>
      </c>
      <c r="AO81" s="81"/>
      <c r="AP81" s="83">
        <v>42316.60527777778</v>
      </c>
      <c r="AQ81" s="88" t="str">
        <f>HYPERLINK("https://pbs.twimg.com/profile_banners/4142265737/1606704338")</f>
        <v>https://pbs.twimg.com/profile_banners/4142265737/1606704338</v>
      </c>
      <c r="AR81" s="81" t="b">
        <v>1</v>
      </c>
      <c r="AS81" s="81" t="b">
        <v>0</v>
      </c>
      <c r="AT81" s="81" t="b">
        <v>0</v>
      </c>
      <c r="AU81" s="81"/>
      <c r="AV81" s="81">
        <v>1</v>
      </c>
      <c r="AW81" s="88" t="str">
        <f>HYPERLINK("https://abs.twimg.com/images/themes/theme1/bg.png")</f>
        <v>https://abs.twimg.com/images/themes/theme1/bg.png</v>
      </c>
      <c r="AX81" s="81" t="b">
        <v>0</v>
      </c>
      <c r="AY81" s="81" t="s">
        <v>2883</v>
      </c>
      <c r="AZ81" s="88" t="str">
        <f>HYPERLINK("https://twitter.com/ncscientist")</f>
        <v>https://twitter.com/ncscientist</v>
      </c>
      <c r="BA81" s="81" t="s">
        <v>66</v>
      </c>
      <c r="BB81" s="81" t="str">
        <f>REPLACE(INDEX(GroupVertices[Group],MATCH(Vertices[[#This Row],[Vertex]],GroupVertices[Vertex],0)),1,1,"")</f>
        <v>22</v>
      </c>
      <c r="BC81" s="49" t="s">
        <v>3278</v>
      </c>
      <c r="BD81" s="49" t="s">
        <v>3278</v>
      </c>
      <c r="BE81" s="49" t="s">
        <v>912</v>
      </c>
      <c r="BF81" s="49" t="s">
        <v>912</v>
      </c>
      <c r="BG81" s="49" t="s">
        <v>998</v>
      </c>
      <c r="BH81" s="49" t="s">
        <v>998</v>
      </c>
      <c r="BI81" s="113" t="s">
        <v>3722</v>
      </c>
      <c r="BJ81" s="113" t="s">
        <v>3722</v>
      </c>
      <c r="BK81" s="113" t="s">
        <v>3899</v>
      </c>
      <c r="BL81" s="113" t="s">
        <v>3899</v>
      </c>
      <c r="BM81" s="113">
        <v>0</v>
      </c>
      <c r="BN81" s="116">
        <v>0</v>
      </c>
      <c r="BO81" s="113">
        <v>0</v>
      </c>
      <c r="BP81" s="116">
        <v>0</v>
      </c>
      <c r="BQ81" s="113">
        <v>0</v>
      </c>
      <c r="BR81" s="116">
        <v>0</v>
      </c>
      <c r="BS81" s="113">
        <v>25</v>
      </c>
      <c r="BT81" s="116">
        <v>100</v>
      </c>
      <c r="BU81" s="113">
        <v>25</v>
      </c>
      <c r="BV81" s="2"/>
      <c r="BW81" s="3"/>
      <c r="BX81" s="3"/>
      <c r="BY81" s="3"/>
      <c r="BZ81" s="3"/>
    </row>
    <row r="82" spans="1:78" ht="41.45" customHeight="1">
      <c r="A82" s="66" t="s">
        <v>467</v>
      </c>
      <c r="C82" s="67"/>
      <c r="D82" s="67" t="s">
        <v>64</v>
      </c>
      <c r="E82" s="68">
        <v>1000</v>
      </c>
      <c r="F82" s="70">
        <v>70</v>
      </c>
      <c r="G82" s="106" t="str">
        <f>HYPERLINK("https://pbs.twimg.com/profile_images/1427292844612595720/RC1YSvuT_normal.jpg")</f>
        <v>https://pbs.twimg.com/profile_images/1427292844612595720/RC1YSvuT_normal.jpg</v>
      </c>
      <c r="H82" s="67"/>
      <c r="I82" s="71" t="s">
        <v>467</v>
      </c>
      <c r="J82" s="72"/>
      <c r="K82" s="72"/>
      <c r="L82" s="71" t="s">
        <v>2962</v>
      </c>
      <c r="M82" s="75">
        <v>9999</v>
      </c>
      <c r="N82" s="76">
        <v>8975.1015625</v>
      </c>
      <c r="O82" s="76">
        <v>3809.926025390625</v>
      </c>
      <c r="P82" s="77"/>
      <c r="Q82" s="78"/>
      <c r="R82" s="78"/>
      <c r="S82" s="92"/>
      <c r="T82" s="49">
        <v>1</v>
      </c>
      <c r="U82" s="49">
        <v>0</v>
      </c>
      <c r="V82" s="50">
        <v>0</v>
      </c>
      <c r="W82" s="50">
        <v>1</v>
      </c>
      <c r="X82" s="50">
        <v>0</v>
      </c>
      <c r="Y82" s="50">
        <v>0.999998</v>
      </c>
      <c r="Z82" s="50">
        <v>0</v>
      </c>
      <c r="AA82" s="50">
        <v>0</v>
      </c>
      <c r="AB82" s="73">
        <v>82</v>
      </c>
      <c r="AC82" s="73"/>
      <c r="AD82" s="74"/>
      <c r="AE82" s="81" t="s">
        <v>1995</v>
      </c>
      <c r="AF82" s="86" t="s">
        <v>2268</v>
      </c>
      <c r="AG82" s="81">
        <v>1202</v>
      </c>
      <c r="AH82" s="81">
        <v>73796828</v>
      </c>
      <c r="AI82" s="81">
        <v>39425</v>
      </c>
      <c r="AJ82" s="81">
        <v>5844</v>
      </c>
      <c r="AK82" s="81"/>
      <c r="AL82" s="81" t="s">
        <v>2534</v>
      </c>
      <c r="AM82" s="81" t="s">
        <v>2775</v>
      </c>
      <c r="AN82" s="88" t="str">
        <f>HYPERLINK("https://t.co/O2OOS6R6Eg")</f>
        <v>https://t.co/O2OOS6R6Eg</v>
      </c>
      <c r="AO82" s="81"/>
      <c r="AP82" s="83">
        <v>39399.90539351852</v>
      </c>
      <c r="AQ82" s="88" t="str">
        <f>HYPERLINK("https://pbs.twimg.com/profile_banners/10228272/1635870163")</f>
        <v>https://pbs.twimg.com/profile_banners/10228272/1635870163</v>
      </c>
      <c r="AR82" s="81" t="b">
        <v>0</v>
      </c>
      <c r="AS82" s="81" t="b">
        <v>0</v>
      </c>
      <c r="AT82" s="81" t="b">
        <v>0</v>
      </c>
      <c r="AU82" s="81"/>
      <c r="AV82" s="81">
        <v>79695</v>
      </c>
      <c r="AW82" s="88" t="str">
        <f>HYPERLINK("https://abs.twimg.com/images/themes/theme14/bg.gif")</f>
        <v>https://abs.twimg.com/images/themes/theme14/bg.gif</v>
      </c>
      <c r="AX82" s="81" t="b">
        <v>1</v>
      </c>
      <c r="AY82" s="81" t="s">
        <v>2883</v>
      </c>
      <c r="AZ82" s="88" t="str">
        <f>HYPERLINK("https://twitter.com/youtube")</f>
        <v>https://twitter.com/youtube</v>
      </c>
      <c r="BA82" s="81" t="s">
        <v>65</v>
      </c>
      <c r="BB82" s="81" t="str">
        <f>REPLACE(INDEX(GroupVertices[Group],MATCH(Vertices[[#This Row],[Vertex]],GroupVertices[Vertex],0)),1,1,"")</f>
        <v>22</v>
      </c>
      <c r="BC82" s="49"/>
      <c r="BD82" s="49"/>
      <c r="BE82" s="49"/>
      <c r="BF82" s="49"/>
      <c r="BG82" s="49"/>
      <c r="BH82" s="49"/>
      <c r="BI82" s="49"/>
      <c r="BJ82" s="49"/>
      <c r="BK82" s="49"/>
      <c r="BL82" s="49"/>
      <c r="BM82" s="49"/>
      <c r="BN82" s="50"/>
      <c r="BO82" s="49"/>
      <c r="BP82" s="50"/>
      <c r="BQ82" s="49"/>
      <c r="BR82" s="50"/>
      <c r="BS82" s="49"/>
      <c r="BT82" s="50"/>
      <c r="BU82" s="49"/>
      <c r="BV82" s="2"/>
      <c r="BW82" s="3"/>
      <c r="BX82" s="3"/>
      <c r="BY82" s="3"/>
      <c r="BZ82" s="3"/>
    </row>
    <row r="83" spans="1:78" ht="41.45" customHeight="1">
      <c r="A83" s="66" t="s">
        <v>306</v>
      </c>
      <c r="C83" s="67"/>
      <c r="D83" s="67" t="s">
        <v>64</v>
      </c>
      <c r="E83" s="68">
        <v>163.85467709144535</v>
      </c>
      <c r="F83" s="70">
        <v>99.99600023442743</v>
      </c>
      <c r="G83" s="106" t="str">
        <f>HYPERLINK("https://pbs.twimg.com/profile_images/1068142651864727552/LoZLoOSX_normal.jpg")</f>
        <v>https://pbs.twimg.com/profile_images/1068142651864727552/LoZLoOSX_normal.jpg</v>
      </c>
      <c r="H83" s="67"/>
      <c r="I83" s="71" t="s">
        <v>306</v>
      </c>
      <c r="J83" s="72"/>
      <c r="K83" s="72"/>
      <c r="L83" s="71" t="s">
        <v>2963</v>
      </c>
      <c r="M83" s="75">
        <v>2.3329885398186168</v>
      </c>
      <c r="N83" s="76">
        <v>1528.2574462890625</v>
      </c>
      <c r="O83" s="76">
        <v>2274.99169921875</v>
      </c>
      <c r="P83" s="77"/>
      <c r="Q83" s="78"/>
      <c r="R83" s="78"/>
      <c r="S83" s="92"/>
      <c r="T83" s="49">
        <v>1</v>
      </c>
      <c r="U83" s="49">
        <v>1</v>
      </c>
      <c r="V83" s="50">
        <v>0</v>
      </c>
      <c r="W83" s="50">
        <v>0</v>
      </c>
      <c r="X83" s="50">
        <v>0</v>
      </c>
      <c r="Y83" s="50">
        <v>0.999998</v>
      </c>
      <c r="Z83" s="50">
        <v>0</v>
      </c>
      <c r="AA83" s="50">
        <v>0</v>
      </c>
      <c r="AB83" s="73">
        <v>83</v>
      </c>
      <c r="AC83" s="73"/>
      <c r="AD83" s="74"/>
      <c r="AE83" s="81" t="s">
        <v>1996</v>
      </c>
      <c r="AF83" s="86" t="s">
        <v>2269</v>
      </c>
      <c r="AG83" s="81">
        <v>1722</v>
      </c>
      <c r="AH83" s="81">
        <v>9842</v>
      </c>
      <c r="AI83" s="81">
        <v>20623</v>
      </c>
      <c r="AJ83" s="81">
        <v>13918</v>
      </c>
      <c r="AK83" s="81"/>
      <c r="AL83" s="81" t="s">
        <v>2535</v>
      </c>
      <c r="AM83" s="81" t="s">
        <v>2776</v>
      </c>
      <c r="AN83" s="88" t="str">
        <f>HYPERLINK("https://t.co/CKENSYfe1i")</f>
        <v>https://t.co/CKENSYfe1i</v>
      </c>
      <c r="AO83" s="81"/>
      <c r="AP83" s="83">
        <v>41220.71855324074</v>
      </c>
      <c r="AQ83" s="88" t="str">
        <f>HYPERLINK("https://pbs.twimg.com/profile_banners/932516509/1634227556")</f>
        <v>https://pbs.twimg.com/profile_banners/932516509/1634227556</v>
      </c>
      <c r="AR83" s="81" t="b">
        <v>0</v>
      </c>
      <c r="AS83" s="81" t="b">
        <v>0</v>
      </c>
      <c r="AT83" s="81" t="b">
        <v>0</v>
      </c>
      <c r="AU83" s="81"/>
      <c r="AV83" s="81">
        <v>38</v>
      </c>
      <c r="AW83" s="88" t="str">
        <f>HYPERLINK("https://abs.twimg.com/images/themes/theme13/bg.gif")</f>
        <v>https://abs.twimg.com/images/themes/theme13/bg.gif</v>
      </c>
      <c r="AX83" s="81" t="b">
        <v>0</v>
      </c>
      <c r="AY83" s="81" t="s">
        <v>2883</v>
      </c>
      <c r="AZ83" s="88" t="str">
        <f>HYPERLINK("https://twitter.com/teamnuh")</f>
        <v>https://twitter.com/teamnuh</v>
      </c>
      <c r="BA83" s="81" t="s">
        <v>66</v>
      </c>
      <c r="BB83" s="81" t="str">
        <f>REPLACE(INDEX(GroupVertices[Group],MATCH(Vertices[[#This Row],[Vertex]],GroupVertices[Vertex],0)),1,1,"")</f>
        <v>1</v>
      </c>
      <c r="BC83" s="49"/>
      <c r="BD83" s="49"/>
      <c r="BE83" s="49"/>
      <c r="BF83" s="49"/>
      <c r="BG83" s="49" t="s">
        <v>955</v>
      </c>
      <c r="BH83" s="49" t="s">
        <v>955</v>
      </c>
      <c r="BI83" s="113" t="s">
        <v>3683</v>
      </c>
      <c r="BJ83" s="113" t="s">
        <v>3683</v>
      </c>
      <c r="BK83" s="113" t="s">
        <v>3860</v>
      </c>
      <c r="BL83" s="113" t="s">
        <v>3860</v>
      </c>
      <c r="BM83" s="113">
        <v>0</v>
      </c>
      <c r="BN83" s="116">
        <v>0</v>
      </c>
      <c r="BO83" s="113">
        <v>2</v>
      </c>
      <c r="BP83" s="116">
        <v>6.0606060606060606</v>
      </c>
      <c r="BQ83" s="113">
        <v>0</v>
      </c>
      <c r="BR83" s="116">
        <v>0</v>
      </c>
      <c r="BS83" s="113">
        <v>31</v>
      </c>
      <c r="BT83" s="116">
        <v>93.93939393939394</v>
      </c>
      <c r="BU83" s="113">
        <v>33</v>
      </c>
      <c r="BV83" s="2"/>
      <c r="BW83" s="3"/>
      <c r="BX83" s="3"/>
      <c r="BY83" s="3"/>
      <c r="BZ83" s="3"/>
    </row>
    <row r="84" spans="1:78" ht="41.45" customHeight="1">
      <c r="A84" s="66" t="s">
        <v>307</v>
      </c>
      <c r="C84" s="67"/>
      <c r="D84" s="67" t="s">
        <v>64</v>
      </c>
      <c r="E84" s="68">
        <v>162.92535926841197</v>
      </c>
      <c r="F84" s="70">
        <v>99.99800438569004</v>
      </c>
      <c r="G84" s="106" t="str">
        <f>HYPERLINK("https://pbs.twimg.com/profile_images/1460163474064039936/pYMylQqc_normal.jpg")</f>
        <v>https://pbs.twimg.com/profile_images/1460163474064039936/pYMylQqc_normal.jpg</v>
      </c>
      <c r="H84" s="67"/>
      <c r="I84" s="71" t="s">
        <v>307</v>
      </c>
      <c r="J84" s="72"/>
      <c r="K84" s="72"/>
      <c r="L84" s="71" t="s">
        <v>2964</v>
      </c>
      <c r="M84" s="75">
        <v>1.665071729034413</v>
      </c>
      <c r="N84" s="76">
        <v>746.3868408203125</v>
      </c>
      <c r="O84" s="76">
        <v>3053.422607421875</v>
      </c>
      <c r="P84" s="77"/>
      <c r="Q84" s="78"/>
      <c r="R84" s="78"/>
      <c r="S84" s="92"/>
      <c r="T84" s="49">
        <v>1</v>
      </c>
      <c r="U84" s="49">
        <v>1</v>
      </c>
      <c r="V84" s="50">
        <v>0</v>
      </c>
      <c r="W84" s="50">
        <v>0</v>
      </c>
      <c r="X84" s="50">
        <v>0</v>
      </c>
      <c r="Y84" s="50">
        <v>0.999998</v>
      </c>
      <c r="Z84" s="50">
        <v>0</v>
      </c>
      <c r="AA84" s="50">
        <v>0</v>
      </c>
      <c r="AB84" s="73">
        <v>84</v>
      </c>
      <c r="AC84" s="73"/>
      <c r="AD84" s="74"/>
      <c r="AE84" s="81" t="s">
        <v>1997</v>
      </c>
      <c r="AF84" s="86" t="s">
        <v>2270</v>
      </c>
      <c r="AG84" s="81">
        <v>277</v>
      </c>
      <c r="AH84" s="81">
        <v>4912</v>
      </c>
      <c r="AI84" s="81">
        <v>13400</v>
      </c>
      <c r="AJ84" s="81">
        <v>2129</v>
      </c>
      <c r="AK84" s="81"/>
      <c r="AL84" s="81" t="s">
        <v>2536</v>
      </c>
      <c r="AM84" s="81" t="s">
        <v>2777</v>
      </c>
      <c r="AN84" s="88" t="str">
        <f>HYPERLINK("https://t.co/ZhxAruPDDG")</f>
        <v>https://t.co/ZhxAruPDDG</v>
      </c>
      <c r="AO84" s="81"/>
      <c r="AP84" s="83">
        <v>41220.558645833335</v>
      </c>
      <c r="AQ84" s="88" t="str">
        <f>HYPERLINK("https://pbs.twimg.com/profile_banners/932055271/1634029976")</f>
        <v>https://pbs.twimg.com/profile_banners/932055271/1634029976</v>
      </c>
      <c r="AR84" s="81" t="b">
        <v>0</v>
      </c>
      <c r="AS84" s="81" t="b">
        <v>0</v>
      </c>
      <c r="AT84" s="81" t="b">
        <v>1</v>
      </c>
      <c r="AU84" s="81"/>
      <c r="AV84" s="81">
        <v>70</v>
      </c>
      <c r="AW84" s="88" t="str">
        <f>HYPERLINK("https://abs.twimg.com/images/themes/theme16/bg.gif")</f>
        <v>https://abs.twimg.com/images/themes/theme16/bg.gif</v>
      </c>
      <c r="AX84" s="81" t="b">
        <v>1</v>
      </c>
      <c r="AY84" s="81" t="s">
        <v>2883</v>
      </c>
      <c r="AZ84" s="88" t="str">
        <f>HYPERLINK("https://twitter.com/nhsnlag")</f>
        <v>https://twitter.com/nhsnlag</v>
      </c>
      <c r="BA84" s="81" t="s">
        <v>66</v>
      </c>
      <c r="BB84" s="81" t="str">
        <f>REPLACE(INDEX(GroupVertices[Group],MATCH(Vertices[[#This Row],[Vertex]],GroupVertices[Vertex],0)),1,1,"")</f>
        <v>1</v>
      </c>
      <c r="BC84" s="49"/>
      <c r="BD84" s="49"/>
      <c r="BE84" s="49"/>
      <c r="BF84" s="49"/>
      <c r="BG84" s="49" t="s">
        <v>961</v>
      </c>
      <c r="BH84" s="49" t="s">
        <v>961</v>
      </c>
      <c r="BI84" s="113" t="s">
        <v>3689</v>
      </c>
      <c r="BJ84" s="113" t="s">
        <v>3689</v>
      </c>
      <c r="BK84" s="113" t="s">
        <v>3866</v>
      </c>
      <c r="BL84" s="113" t="s">
        <v>3866</v>
      </c>
      <c r="BM84" s="113">
        <v>0</v>
      </c>
      <c r="BN84" s="116">
        <v>0</v>
      </c>
      <c r="BO84" s="113">
        <v>2</v>
      </c>
      <c r="BP84" s="116">
        <v>6.0606060606060606</v>
      </c>
      <c r="BQ84" s="113">
        <v>0</v>
      </c>
      <c r="BR84" s="116">
        <v>0</v>
      </c>
      <c r="BS84" s="113">
        <v>31</v>
      </c>
      <c r="BT84" s="116">
        <v>93.93939393939394</v>
      </c>
      <c r="BU84" s="113">
        <v>33</v>
      </c>
      <c r="BV84" s="2"/>
      <c r="BW84" s="3"/>
      <c r="BX84" s="3"/>
      <c r="BY84" s="3"/>
      <c r="BZ84" s="3"/>
    </row>
    <row r="85" spans="1:78" ht="41.45" customHeight="1">
      <c r="A85" s="66" t="s">
        <v>308</v>
      </c>
      <c r="C85" s="67"/>
      <c r="D85" s="67" t="s">
        <v>64</v>
      </c>
      <c r="E85" s="68">
        <v>162.1547606354382</v>
      </c>
      <c r="F85" s="70">
        <v>99.99966624580394</v>
      </c>
      <c r="G85" s="106" t="str">
        <f>HYPERLINK("https://pbs.twimg.com/profile_images/1036577102232002560/j-Yt8MN4_normal.jpg")</f>
        <v>https://pbs.twimg.com/profile_images/1036577102232002560/j-Yt8MN4_normal.jpg</v>
      </c>
      <c r="H85" s="67"/>
      <c r="I85" s="71" t="s">
        <v>308</v>
      </c>
      <c r="J85" s="72"/>
      <c r="K85" s="72"/>
      <c r="L85" s="71" t="s">
        <v>2965</v>
      </c>
      <c r="M85" s="75">
        <v>1.111229148408485</v>
      </c>
      <c r="N85" s="76">
        <v>4264.80419921875</v>
      </c>
      <c r="O85" s="76">
        <v>6167.146484375</v>
      </c>
      <c r="P85" s="77"/>
      <c r="Q85" s="78"/>
      <c r="R85" s="78"/>
      <c r="S85" s="92"/>
      <c r="T85" s="49">
        <v>1</v>
      </c>
      <c r="U85" s="49">
        <v>1</v>
      </c>
      <c r="V85" s="50">
        <v>0</v>
      </c>
      <c r="W85" s="50">
        <v>0</v>
      </c>
      <c r="X85" s="50">
        <v>0</v>
      </c>
      <c r="Y85" s="50">
        <v>0.999998</v>
      </c>
      <c r="Z85" s="50">
        <v>0</v>
      </c>
      <c r="AA85" s="50">
        <v>0</v>
      </c>
      <c r="AB85" s="73">
        <v>85</v>
      </c>
      <c r="AC85" s="73"/>
      <c r="AD85" s="74"/>
      <c r="AE85" s="81" t="s">
        <v>1998</v>
      </c>
      <c r="AF85" s="86" t="s">
        <v>2271</v>
      </c>
      <c r="AG85" s="81">
        <v>2024</v>
      </c>
      <c r="AH85" s="81">
        <v>824</v>
      </c>
      <c r="AI85" s="81">
        <v>2278</v>
      </c>
      <c r="AJ85" s="81">
        <v>471</v>
      </c>
      <c r="AK85" s="81"/>
      <c r="AL85" s="81" t="s">
        <v>2537</v>
      </c>
      <c r="AM85" s="81" t="s">
        <v>2778</v>
      </c>
      <c r="AN85" s="88" t="str">
        <f>HYPERLINK("https://t.co/kbDN5wo9x8")</f>
        <v>https://t.co/kbDN5wo9x8</v>
      </c>
      <c r="AO85" s="81"/>
      <c r="AP85" s="83">
        <v>39987.5477662037</v>
      </c>
      <c r="AQ85" s="88" t="str">
        <f>HYPERLINK("https://pbs.twimg.com/profile_banners/49969897/1525200483")</f>
        <v>https://pbs.twimg.com/profile_banners/49969897/1525200483</v>
      </c>
      <c r="AR85" s="81" t="b">
        <v>0</v>
      </c>
      <c r="AS85" s="81" t="b">
        <v>0</v>
      </c>
      <c r="AT85" s="81" t="b">
        <v>0</v>
      </c>
      <c r="AU85" s="81"/>
      <c r="AV85" s="81">
        <v>13</v>
      </c>
      <c r="AW85" s="88" t="str">
        <f>HYPERLINK("https://abs.twimg.com/images/themes/theme13/bg.gif")</f>
        <v>https://abs.twimg.com/images/themes/theme13/bg.gif</v>
      </c>
      <c r="AX85" s="81" t="b">
        <v>0</v>
      </c>
      <c r="AY85" s="81" t="s">
        <v>2883</v>
      </c>
      <c r="AZ85" s="88" t="str">
        <f>HYPERLINK("https://twitter.com/pagemedical")</f>
        <v>https://twitter.com/pagemedical</v>
      </c>
      <c r="BA85" s="81" t="s">
        <v>66</v>
      </c>
      <c r="BB85" s="81" t="str">
        <f>REPLACE(INDEX(GroupVertices[Group],MATCH(Vertices[[#This Row],[Vertex]],GroupVertices[Vertex],0)),1,1,"")</f>
        <v>1</v>
      </c>
      <c r="BC85" s="49"/>
      <c r="BD85" s="49"/>
      <c r="BE85" s="49"/>
      <c r="BF85" s="49"/>
      <c r="BG85" s="49" t="s">
        <v>955</v>
      </c>
      <c r="BH85" s="49" t="s">
        <v>955</v>
      </c>
      <c r="BI85" s="113" t="s">
        <v>3684</v>
      </c>
      <c r="BJ85" s="113" t="s">
        <v>3684</v>
      </c>
      <c r="BK85" s="113" t="s">
        <v>3861</v>
      </c>
      <c r="BL85" s="113" t="s">
        <v>3861</v>
      </c>
      <c r="BM85" s="113">
        <v>0</v>
      </c>
      <c r="BN85" s="116">
        <v>0</v>
      </c>
      <c r="BO85" s="113">
        <v>2</v>
      </c>
      <c r="BP85" s="116">
        <v>6.25</v>
      </c>
      <c r="BQ85" s="113">
        <v>0</v>
      </c>
      <c r="BR85" s="116">
        <v>0</v>
      </c>
      <c r="BS85" s="113">
        <v>30</v>
      </c>
      <c r="BT85" s="116">
        <v>93.75</v>
      </c>
      <c r="BU85" s="113">
        <v>32</v>
      </c>
      <c r="BV85" s="2"/>
      <c r="BW85" s="3"/>
      <c r="BX85" s="3"/>
      <c r="BY85" s="3"/>
      <c r="BZ85" s="3"/>
    </row>
    <row r="86" spans="1:78" ht="41.45" customHeight="1">
      <c r="A86" s="66" t="s">
        <v>309</v>
      </c>
      <c r="C86" s="67"/>
      <c r="D86" s="67" t="s">
        <v>64</v>
      </c>
      <c r="E86" s="68">
        <v>162.04712565025525</v>
      </c>
      <c r="F86" s="70">
        <v>99.99989836961143</v>
      </c>
      <c r="G86" s="106" t="str">
        <f>HYPERLINK("https://pbs.twimg.com/profile_images/1140617310320902145/Fbw1Xqzi_normal.png")</f>
        <v>https://pbs.twimg.com/profile_images/1140617310320902145/Fbw1Xqzi_normal.png</v>
      </c>
      <c r="H86" s="67"/>
      <c r="I86" s="71" t="s">
        <v>309</v>
      </c>
      <c r="J86" s="72"/>
      <c r="K86" s="72"/>
      <c r="L86" s="71" t="s">
        <v>2966</v>
      </c>
      <c r="M86" s="75">
        <v>1.033870020830842</v>
      </c>
      <c r="N86" s="76">
        <v>1137.3221435546875</v>
      </c>
      <c r="O86" s="76">
        <v>6945.5771484375</v>
      </c>
      <c r="P86" s="77"/>
      <c r="Q86" s="78"/>
      <c r="R86" s="78"/>
      <c r="S86" s="92"/>
      <c r="T86" s="49">
        <v>1</v>
      </c>
      <c r="U86" s="49">
        <v>1</v>
      </c>
      <c r="V86" s="50">
        <v>0</v>
      </c>
      <c r="W86" s="50">
        <v>0</v>
      </c>
      <c r="X86" s="50">
        <v>0</v>
      </c>
      <c r="Y86" s="50">
        <v>0.999998</v>
      </c>
      <c r="Z86" s="50">
        <v>0</v>
      </c>
      <c r="AA86" s="50">
        <v>0</v>
      </c>
      <c r="AB86" s="73">
        <v>86</v>
      </c>
      <c r="AC86" s="73"/>
      <c r="AD86" s="74"/>
      <c r="AE86" s="81" t="s">
        <v>1999</v>
      </c>
      <c r="AF86" s="86" t="s">
        <v>2272</v>
      </c>
      <c r="AG86" s="81">
        <v>269</v>
      </c>
      <c r="AH86" s="81">
        <v>253</v>
      </c>
      <c r="AI86" s="81">
        <v>198</v>
      </c>
      <c r="AJ86" s="81">
        <v>147</v>
      </c>
      <c r="AK86" s="81"/>
      <c r="AL86" s="81" t="s">
        <v>2538</v>
      </c>
      <c r="AM86" s="81"/>
      <c r="AN86" s="81"/>
      <c r="AO86" s="81"/>
      <c r="AP86" s="83">
        <v>43628.76826388889</v>
      </c>
      <c r="AQ86" s="88" t="str">
        <f>HYPERLINK("https://pbs.twimg.com/profile_banners/1138875185891880960/1560778938")</f>
        <v>https://pbs.twimg.com/profile_banners/1138875185891880960/1560778938</v>
      </c>
      <c r="AR86" s="81" t="b">
        <v>1</v>
      </c>
      <c r="AS86" s="81" t="b">
        <v>0</v>
      </c>
      <c r="AT86" s="81" t="b">
        <v>0</v>
      </c>
      <c r="AU86" s="81"/>
      <c r="AV86" s="81">
        <v>2</v>
      </c>
      <c r="AW86" s="81"/>
      <c r="AX86" s="81" t="b">
        <v>0</v>
      </c>
      <c r="AY86" s="81" t="s">
        <v>2883</v>
      </c>
      <c r="AZ86" s="88" t="str">
        <f>HYPERLINK("https://twitter.com/pharmacyuhdb")</f>
        <v>https://twitter.com/pharmacyuhdb</v>
      </c>
      <c r="BA86" s="81" t="s">
        <v>66</v>
      </c>
      <c r="BB86" s="81" t="str">
        <f>REPLACE(INDEX(GroupVertices[Group],MATCH(Vertices[[#This Row],[Vertex]],GroupVertices[Vertex],0)),1,1,"")</f>
        <v>1</v>
      </c>
      <c r="BC86" s="49"/>
      <c r="BD86" s="49"/>
      <c r="BE86" s="49"/>
      <c r="BF86" s="49"/>
      <c r="BG86" s="49" t="s">
        <v>999</v>
      </c>
      <c r="BH86" s="49" t="s">
        <v>999</v>
      </c>
      <c r="BI86" s="113" t="s">
        <v>3723</v>
      </c>
      <c r="BJ86" s="113" t="s">
        <v>3723</v>
      </c>
      <c r="BK86" s="113" t="s">
        <v>3900</v>
      </c>
      <c r="BL86" s="113" t="s">
        <v>3900</v>
      </c>
      <c r="BM86" s="113">
        <v>0</v>
      </c>
      <c r="BN86" s="116">
        <v>0</v>
      </c>
      <c r="BO86" s="113">
        <v>0</v>
      </c>
      <c r="BP86" s="116">
        <v>0</v>
      </c>
      <c r="BQ86" s="113">
        <v>0</v>
      </c>
      <c r="BR86" s="116">
        <v>0</v>
      </c>
      <c r="BS86" s="113">
        <v>20</v>
      </c>
      <c r="BT86" s="116">
        <v>100</v>
      </c>
      <c r="BU86" s="113">
        <v>20</v>
      </c>
      <c r="BV86" s="2"/>
      <c r="BW86" s="3"/>
      <c r="BX86" s="3"/>
      <c r="BY86" s="3"/>
      <c r="BZ86" s="3"/>
    </row>
    <row r="87" spans="1:78" ht="41.45" customHeight="1">
      <c r="A87" s="66" t="s">
        <v>310</v>
      </c>
      <c r="C87" s="67"/>
      <c r="D87" s="67" t="s">
        <v>64</v>
      </c>
      <c r="E87" s="68">
        <v>162.00263903641428</v>
      </c>
      <c r="F87" s="70">
        <v>99.99999430869823</v>
      </c>
      <c r="G87" s="106" t="str">
        <f>HYPERLINK("https://abs.twimg.com/sticky/default_profile_images/default_profile_normal.png")</f>
        <v>https://abs.twimg.com/sticky/default_profile_images/default_profile_normal.png</v>
      </c>
      <c r="H87" s="67"/>
      <c r="I87" s="71" t="s">
        <v>310</v>
      </c>
      <c r="J87" s="72"/>
      <c r="K87" s="72"/>
      <c r="L87" s="71" t="s">
        <v>2967</v>
      </c>
      <c r="M87" s="75">
        <v>1.001896721166527</v>
      </c>
      <c r="N87" s="76">
        <v>7604.57275390625</v>
      </c>
      <c r="O87" s="76">
        <v>3919.564208984375</v>
      </c>
      <c r="P87" s="77"/>
      <c r="Q87" s="78"/>
      <c r="R87" s="78"/>
      <c r="S87" s="92"/>
      <c r="T87" s="49">
        <v>0</v>
      </c>
      <c r="U87" s="49">
        <v>1</v>
      </c>
      <c r="V87" s="50">
        <v>0</v>
      </c>
      <c r="W87" s="50">
        <v>0.166667</v>
      </c>
      <c r="X87" s="50">
        <v>0</v>
      </c>
      <c r="Y87" s="50">
        <v>0.701753</v>
      </c>
      <c r="Z87" s="50">
        <v>0</v>
      </c>
      <c r="AA87" s="50">
        <v>0</v>
      </c>
      <c r="AB87" s="73">
        <v>87</v>
      </c>
      <c r="AC87" s="73"/>
      <c r="AD87" s="74"/>
      <c r="AE87" s="81" t="s">
        <v>2000</v>
      </c>
      <c r="AF87" s="86" t="s">
        <v>2273</v>
      </c>
      <c r="AG87" s="81">
        <v>26</v>
      </c>
      <c r="AH87" s="81">
        <v>17</v>
      </c>
      <c r="AI87" s="81">
        <v>15</v>
      </c>
      <c r="AJ87" s="81">
        <v>26</v>
      </c>
      <c r="AK87" s="81"/>
      <c r="AL87" s="81"/>
      <c r="AM87" s="81"/>
      <c r="AN87" s="81"/>
      <c r="AO87" s="81"/>
      <c r="AP87" s="83">
        <v>43753.567141203705</v>
      </c>
      <c r="AQ87" s="81"/>
      <c r="AR87" s="81" t="b">
        <v>1</v>
      </c>
      <c r="AS87" s="81" t="b">
        <v>1</v>
      </c>
      <c r="AT87" s="81" t="b">
        <v>0</v>
      </c>
      <c r="AU87" s="81"/>
      <c r="AV87" s="81">
        <v>0</v>
      </c>
      <c r="AW87" s="81"/>
      <c r="AX87" s="81" t="b">
        <v>0</v>
      </c>
      <c r="AY87" s="81" t="s">
        <v>2883</v>
      </c>
      <c r="AZ87" s="88" t="str">
        <f>HYPERLINK("https://twitter.com/pkamranpour")</f>
        <v>https://twitter.com/pkamranpour</v>
      </c>
      <c r="BA87" s="81" t="s">
        <v>66</v>
      </c>
      <c r="BB87" s="81" t="str">
        <f>REPLACE(INDEX(GroupVertices[Group],MATCH(Vertices[[#This Row],[Vertex]],GroupVertices[Vertex],0)),1,1,"")</f>
        <v>13</v>
      </c>
      <c r="BC87" s="49"/>
      <c r="BD87" s="49"/>
      <c r="BE87" s="49"/>
      <c r="BF87" s="49"/>
      <c r="BG87" s="49" t="s">
        <v>1000</v>
      </c>
      <c r="BH87" s="49" t="s">
        <v>1000</v>
      </c>
      <c r="BI87" s="113" t="s">
        <v>3724</v>
      </c>
      <c r="BJ87" s="113" t="s">
        <v>3724</v>
      </c>
      <c r="BK87" s="113" t="s">
        <v>3901</v>
      </c>
      <c r="BL87" s="113" t="s">
        <v>3901</v>
      </c>
      <c r="BM87" s="113">
        <v>1</v>
      </c>
      <c r="BN87" s="116">
        <v>5.882352941176471</v>
      </c>
      <c r="BO87" s="113">
        <v>0</v>
      </c>
      <c r="BP87" s="116">
        <v>0</v>
      </c>
      <c r="BQ87" s="113">
        <v>0</v>
      </c>
      <c r="BR87" s="116">
        <v>0</v>
      </c>
      <c r="BS87" s="113">
        <v>16</v>
      </c>
      <c r="BT87" s="116">
        <v>94.11764705882354</v>
      </c>
      <c r="BU87" s="113">
        <v>17</v>
      </c>
      <c r="BV87" s="2"/>
      <c r="BW87" s="3"/>
      <c r="BX87" s="3"/>
      <c r="BY87" s="3"/>
      <c r="BZ87" s="3"/>
    </row>
    <row r="88" spans="1:78" ht="41.45" customHeight="1">
      <c r="A88" s="66" t="s">
        <v>311</v>
      </c>
      <c r="C88" s="67"/>
      <c r="D88" s="67" t="s">
        <v>64</v>
      </c>
      <c r="E88" s="68">
        <v>162.19830473627405</v>
      </c>
      <c r="F88" s="70">
        <v>99.9995723393249</v>
      </c>
      <c r="G88" s="106" t="str">
        <f>HYPERLINK("https://pbs.twimg.com/profile_images/1224429145230278661/tEp8nm69_normal.jpg")</f>
        <v>https://pbs.twimg.com/profile_images/1224429145230278661/tEp8nm69_normal.jpg</v>
      </c>
      <c r="H88" s="67"/>
      <c r="I88" s="71" t="s">
        <v>311</v>
      </c>
      <c r="J88" s="72"/>
      <c r="K88" s="72"/>
      <c r="L88" s="71" t="s">
        <v>2968</v>
      </c>
      <c r="M88" s="75">
        <v>1.142525047656183</v>
      </c>
      <c r="N88" s="76">
        <v>5660.193359375</v>
      </c>
      <c r="O88" s="76">
        <v>6446.7236328125</v>
      </c>
      <c r="P88" s="77"/>
      <c r="Q88" s="78"/>
      <c r="R88" s="78"/>
      <c r="S88" s="92"/>
      <c r="T88" s="49">
        <v>1</v>
      </c>
      <c r="U88" s="49">
        <v>2</v>
      </c>
      <c r="V88" s="50">
        <v>0</v>
      </c>
      <c r="W88" s="50">
        <v>0.052632</v>
      </c>
      <c r="X88" s="50">
        <v>0</v>
      </c>
      <c r="Y88" s="50">
        <v>0.852959</v>
      </c>
      <c r="Z88" s="50">
        <v>0</v>
      </c>
      <c r="AA88" s="50">
        <v>0</v>
      </c>
      <c r="AB88" s="73">
        <v>88</v>
      </c>
      <c r="AC88" s="73"/>
      <c r="AD88" s="74"/>
      <c r="AE88" s="81" t="s">
        <v>2001</v>
      </c>
      <c r="AF88" s="86" t="s">
        <v>2274</v>
      </c>
      <c r="AG88" s="81">
        <v>347</v>
      </c>
      <c r="AH88" s="81">
        <v>1055</v>
      </c>
      <c r="AI88" s="81">
        <v>798</v>
      </c>
      <c r="AJ88" s="81">
        <v>186</v>
      </c>
      <c r="AK88" s="81"/>
      <c r="AL88" s="81" t="s">
        <v>2539</v>
      </c>
      <c r="AM88" s="81" t="s">
        <v>2779</v>
      </c>
      <c r="AN88" s="88" t="str">
        <f>HYPERLINK("https://t.co/ceKh9ASP20")</f>
        <v>https://t.co/ceKh9ASP20</v>
      </c>
      <c r="AO88" s="81"/>
      <c r="AP88" s="83">
        <v>43774.612650462965</v>
      </c>
      <c r="AQ88" s="88" t="str">
        <f>HYPERLINK("https://pbs.twimg.com/profile_banners/1191727186295738368/1637441975")</f>
        <v>https://pbs.twimg.com/profile_banners/1191727186295738368/1637441975</v>
      </c>
      <c r="AR88" s="81" t="b">
        <v>1</v>
      </c>
      <c r="AS88" s="81" t="b">
        <v>0</v>
      </c>
      <c r="AT88" s="81" t="b">
        <v>0</v>
      </c>
      <c r="AU88" s="81"/>
      <c r="AV88" s="81">
        <v>21</v>
      </c>
      <c r="AW88" s="81"/>
      <c r="AX88" s="81" t="b">
        <v>0</v>
      </c>
      <c r="AY88" s="81" t="s">
        <v>2883</v>
      </c>
      <c r="AZ88" s="88" t="str">
        <f>HYPERLINK("https://twitter.com/ohiostate_id")</f>
        <v>https://twitter.com/ohiostate_id</v>
      </c>
      <c r="BA88" s="81" t="s">
        <v>66</v>
      </c>
      <c r="BB88" s="81" t="str">
        <f>REPLACE(INDEX(GroupVertices[Group],MATCH(Vertices[[#This Row],[Vertex]],GroupVertices[Vertex],0)),1,1,"")</f>
        <v>5</v>
      </c>
      <c r="BC88" s="49" t="s">
        <v>3562</v>
      </c>
      <c r="BD88" s="49" t="s">
        <v>3562</v>
      </c>
      <c r="BE88" s="49" t="s">
        <v>3601</v>
      </c>
      <c r="BF88" s="49" t="s">
        <v>3601</v>
      </c>
      <c r="BG88" s="49" t="s">
        <v>3619</v>
      </c>
      <c r="BH88" s="49" t="s">
        <v>3654</v>
      </c>
      <c r="BI88" s="113" t="s">
        <v>3725</v>
      </c>
      <c r="BJ88" s="113" t="s">
        <v>3823</v>
      </c>
      <c r="BK88" s="113" t="s">
        <v>3902</v>
      </c>
      <c r="BL88" s="113" t="s">
        <v>3993</v>
      </c>
      <c r="BM88" s="113">
        <v>1</v>
      </c>
      <c r="BN88" s="116">
        <v>1.7857142857142858</v>
      </c>
      <c r="BO88" s="113">
        <v>1</v>
      </c>
      <c r="BP88" s="116">
        <v>1.7857142857142858</v>
      </c>
      <c r="BQ88" s="113">
        <v>0</v>
      </c>
      <c r="BR88" s="116">
        <v>0</v>
      </c>
      <c r="BS88" s="113">
        <v>54</v>
      </c>
      <c r="BT88" s="116">
        <v>96.42857142857143</v>
      </c>
      <c r="BU88" s="113">
        <v>56</v>
      </c>
      <c r="BV88" s="2"/>
      <c r="BW88" s="3"/>
      <c r="BX88" s="3"/>
      <c r="BY88" s="3"/>
      <c r="BZ88" s="3"/>
    </row>
    <row r="89" spans="1:78" ht="41.45" customHeight="1">
      <c r="A89" s="66" t="s">
        <v>312</v>
      </c>
      <c r="C89" s="67"/>
      <c r="D89" s="67" t="s">
        <v>64</v>
      </c>
      <c r="E89" s="68">
        <v>162.18925661142507</v>
      </c>
      <c r="F89" s="70">
        <v>99.9995918523595</v>
      </c>
      <c r="G89" s="106" t="str">
        <f>HYPERLINK("https://pbs.twimg.com/profile_images/1448358145575817222/g0OFdmey_normal.jpg")</f>
        <v>https://pbs.twimg.com/profile_images/1448358145575817222/g0OFdmey_normal.jpg</v>
      </c>
      <c r="H89" s="67"/>
      <c r="I89" s="71" t="s">
        <v>312</v>
      </c>
      <c r="J89" s="72"/>
      <c r="K89" s="72"/>
      <c r="L89" s="71" t="s">
        <v>2969</v>
      </c>
      <c r="M89" s="75">
        <v>1.1360220036566613</v>
      </c>
      <c r="N89" s="76">
        <v>6894.3916015625</v>
      </c>
      <c r="O89" s="76">
        <v>1087.4066162109375</v>
      </c>
      <c r="P89" s="77"/>
      <c r="Q89" s="78"/>
      <c r="R89" s="78"/>
      <c r="S89" s="92"/>
      <c r="T89" s="49">
        <v>0</v>
      </c>
      <c r="U89" s="49">
        <v>5</v>
      </c>
      <c r="V89" s="50">
        <v>20</v>
      </c>
      <c r="W89" s="50">
        <v>0.2</v>
      </c>
      <c r="X89" s="50">
        <v>0</v>
      </c>
      <c r="Y89" s="50">
        <v>2.837832</v>
      </c>
      <c r="Z89" s="50">
        <v>0</v>
      </c>
      <c r="AA89" s="50">
        <v>0</v>
      </c>
      <c r="AB89" s="73">
        <v>89</v>
      </c>
      <c r="AC89" s="73"/>
      <c r="AD89" s="74"/>
      <c r="AE89" s="81" t="s">
        <v>2002</v>
      </c>
      <c r="AF89" s="86" t="s">
        <v>2275</v>
      </c>
      <c r="AG89" s="81">
        <v>2296</v>
      </c>
      <c r="AH89" s="81">
        <v>1007</v>
      </c>
      <c r="AI89" s="81">
        <v>13493</v>
      </c>
      <c r="AJ89" s="81">
        <v>30192</v>
      </c>
      <c r="AK89" s="81"/>
      <c r="AL89" s="81" t="s">
        <v>2540</v>
      </c>
      <c r="AM89" s="81"/>
      <c r="AN89" s="88" t="str">
        <f>HYPERLINK("https://t.co/vHzR6RXeva")</f>
        <v>https://t.co/vHzR6RXeva</v>
      </c>
      <c r="AO89" s="81"/>
      <c r="AP89" s="83">
        <v>40208.76181712963</v>
      </c>
      <c r="AQ89" s="88" t="str">
        <f>HYPERLINK("https://pbs.twimg.com/profile_banners/109919567/1634150488")</f>
        <v>https://pbs.twimg.com/profile_banners/109919567/1634150488</v>
      </c>
      <c r="AR89" s="81" t="b">
        <v>0</v>
      </c>
      <c r="AS89" s="81" t="b">
        <v>0</v>
      </c>
      <c r="AT89" s="81" t="b">
        <v>1</v>
      </c>
      <c r="AU89" s="81"/>
      <c r="AV89" s="81">
        <v>21</v>
      </c>
      <c r="AW89" s="88" t="str">
        <f>HYPERLINK("https://abs.twimg.com/images/themes/theme1/bg.png")</f>
        <v>https://abs.twimg.com/images/themes/theme1/bg.png</v>
      </c>
      <c r="AX89" s="81" t="b">
        <v>0</v>
      </c>
      <c r="AY89" s="81" t="s">
        <v>2883</v>
      </c>
      <c r="AZ89" s="88" t="str">
        <f>HYPERLINK("https://twitter.com/smelis73")</f>
        <v>https://twitter.com/smelis73</v>
      </c>
      <c r="BA89" s="81" t="s">
        <v>66</v>
      </c>
      <c r="BB89" s="81" t="str">
        <f>REPLACE(INDEX(GroupVertices[Group],MATCH(Vertices[[#This Row],[Vertex]],GroupVertices[Vertex],0)),1,1,"")</f>
        <v>10</v>
      </c>
      <c r="BC89" s="49" t="s">
        <v>3264</v>
      </c>
      <c r="BD89" s="49" t="s">
        <v>3264</v>
      </c>
      <c r="BE89" s="49" t="s">
        <v>914</v>
      </c>
      <c r="BF89" s="49" t="s">
        <v>914</v>
      </c>
      <c r="BG89" s="49" t="s">
        <v>1002</v>
      </c>
      <c r="BH89" s="49" t="s">
        <v>1002</v>
      </c>
      <c r="BI89" s="113" t="s">
        <v>3726</v>
      </c>
      <c r="BJ89" s="113" t="s">
        <v>3726</v>
      </c>
      <c r="BK89" s="113" t="s">
        <v>3903</v>
      </c>
      <c r="BL89" s="113" t="s">
        <v>3903</v>
      </c>
      <c r="BM89" s="113">
        <v>1</v>
      </c>
      <c r="BN89" s="116">
        <v>3.4482758620689653</v>
      </c>
      <c r="BO89" s="113">
        <v>3</v>
      </c>
      <c r="BP89" s="116">
        <v>10.344827586206897</v>
      </c>
      <c r="BQ89" s="113">
        <v>0</v>
      </c>
      <c r="BR89" s="116">
        <v>0</v>
      </c>
      <c r="BS89" s="113">
        <v>25</v>
      </c>
      <c r="BT89" s="116">
        <v>86.20689655172414</v>
      </c>
      <c r="BU89" s="113">
        <v>29</v>
      </c>
      <c r="BV89" s="2"/>
      <c r="BW89" s="3"/>
      <c r="BX89" s="3"/>
      <c r="BY89" s="3"/>
      <c r="BZ89" s="3"/>
    </row>
    <row r="90" spans="1:78" ht="41.45" customHeight="1">
      <c r="A90" s="66" t="s">
        <v>468</v>
      </c>
      <c r="C90" s="67"/>
      <c r="D90" s="67" t="s">
        <v>64</v>
      </c>
      <c r="E90" s="68">
        <v>162.22167905880067</v>
      </c>
      <c r="F90" s="70">
        <v>99.99952193065216</v>
      </c>
      <c r="G90" s="106" t="str">
        <f>HYPERLINK("https://pbs.twimg.com/profile_images/2449464973/ylam7qg1lu73t0jevegr_normal.jpeg")</f>
        <v>https://pbs.twimg.com/profile_images/2449464973/ylam7qg1lu73t0jevegr_normal.jpeg</v>
      </c>
      <c r="H90" s="67"/>
      <c r="I90" s="71" t="s">
        <v>468</v>
      </c>
      <c r="J90" s="72"/>
      <c r="K90" s="72"/>
      <c r="L90" s="71" t="s">
        <v>2970</v>
      </c>
      <c r="M90" s="75">
        <v>1.1593245779882806</v>
      </c>
      <c r="N90" s="76">
        <v>7327.26708984375</v>
      </c>
      <c r="O90" s="76">
        <v>1472.4476318359375</v>
      </c>
      <c r="P90" s="77"/>
      <c r="Q90" s="78"/>
      <c r="R90" s="78"/>
      <c r="S90" s="92"/>
      <c r="T90" s="49">
        <v>1</v>
      </c>
      <c r="U90" s="49">
        <v>0</v>
      </c>
      <c r="V90" s="50">
        <v>0</v>
      </c>
      <c r="W90" s="50">
        <v>0.111111</v>
      </c>
      <c r="X90" s="50">
        <v>0</v>
      </c>
      <c r="Y90" s="50">
        <v>0.632431</v>
      </c>
      <c r="Z90" s="50">
        <v>0</v>
      </c>
      <c r="AA90" s="50">
        <v>0</v>
      </c>
      <c r="AB90" s="73">
        <v>90</v>
      </c>
      <c r="AC90" s="73"/>
      <c r="AD90" s="74"/>
      <c r="AE90" s="81" t="s">
        <v>2003</v>
      </c>
      <c r="AF90" s="86" t="s">
        <v>2276</v>
      </c>
      <c r="AG90" s="81">
        <v>572</v>
      </c>
      <c r="AH90" s="81">
        <v>1179</v>
      </c>
      <c r="AI90" s="81">
        <v>8651</v>
      </c>
      <c r="AJ90" s="81">
        <v>662</v>
      </c>
      <c r="AK90" s="81"/>
      <c r="AL90" s="81" t="s">
        <v>2541</v>
      </c>
      <c r="AM90" s="81" t="s">
        <v>2780</v>
      </c>
      <c r="AN90" s="88" t="str">
        <f>HYPERLINK("https://t.co/O9ZxSkrB9O")</f>
        <v>https://t.co/O9ZxSkrB9O</v>
      </c>
      <c r="AO90" s="81"/>
      <c r="AP90" s="83">
        <v>40877.89840277778</v>
      </c>
      <c r="AQ90" s="88" t="str">
        <f>HYPERLINK("https://pbs.twimg.com/profile_banners/425330612/1434650444")</f>
        <v>https://pbs.twimg.com/profile_banners/425330612/1434650444</v>
      </c>
      <c r="AR90" s="81" t="b">
        <v>0</v>
      </c>
      <c r="AS90" s="81" t="b">
        <v>0</v>
      </c>
      <c r="AT90" s="81" t="b">
        <v>1</v>
      </c>
      <c r="AU90" s="81"/>
      <c r="AV90" s="81">
        <v>19</v>
      </c>
      <c r="AW90" s="88" t="str">
        <f>HYPERLINK("https://abs.twimg.com/images/themes/theme1/bg.png")</f>
        <v>https://abs.twimg.com/images/themes/theme1/bg.png</v>
      </c>
      <c r="AX90" s="81" t="b">
        <v>0</v>
      </c>
      <c r="AY90" s="81" t="s">
        <v>2883</v>
      </c>
      <c r="AZ90" s="88" t="str">
        <f>HYPERLINK("https://twitter.com/cff_gnyc")</f>
        <v>https://twitter.com/cff_gnyc</v>
      </c>
      <c r="BA90" s="81" t="s">
        <v>65</v>
      </c>
      <c r="BB90" s="81" t="str">
        <f>REPLACE(INDEX(GroupVertices[Group],MATCH(Vertices[[#This Row],[Vertex]],GroupVertices[Vertex],0)),1,1,"")</f>
        <v>10</v>
      </c>
      <c r="BC90" s="49"/>
      <c r="BD90" s="49"/>
      <c r="BE90" s="49"/>
      <c r="BF90" s="49"/>
      <c r="BG90" s="49"/>
      <c r="BH90" s="49"/>
      <c r="BI90" s="49"/>
      <c r="BJ90" s="49"/>
      <c r="BK90" s="49"/>
      <c r="BL90" s="49"/>
      <c r="BM90" s="49"/>
      <c r="BN90" s="50"/>
      <c r="BO90" s="49"/>
      <c r="BP90" s="50"/>
      <c r="BQ90" s="49"/>
      <c r="BR90" s="50"/>
      <c r="BS90" s="49"/>
      <c r="BT90" s="50"/>
      <c r="BU90" s="49"/>
      <c r="BV90" s="2"/>
      <c r="BW90" s="3"/>
      <c r="BX90" s="3"/>
      <c r="BY90" s="3"/>
      <c r="BZ90" s="3"/>
    </row>
    <row r="91" spans="1:78" ht="41.45" customHeight="1">
      <c r="A91" s="66" t="s">
        <v>469</v>
      </c>
      <c r="C91" s="67"/>
      <c r="D91" s="67" t="s">
        <v>64</v>
      </c>
      <c r="E91" s="68">
        <v>167.82567288455317</v>
      </c>
      <c r="F91" s="70">
        <v>99.98743645136494</v>
      </c>
      <c r="G91" s="106" t="str">
        <f>HYPERLINK("https://pbs.twimg.com/profile_images/459019967992582144/Y6g1w4uM_normal.png")</f>
        <v>https://pbs.twimg.com/profile_images/459019967992582144/Y6g1w4uM_normal.png</v>
      </c>
      <c r="H91" s="67"/>
      <c r="I91" s="71" t="s">
        <v>469</v>
      </c>
      <c r="J91" s="72"/>
      <c r="K91" s="72"/>
      <c r="L91" s="71" t="s">
        <v>2971</v>
      </c>
      <c r="M91" s="75">
        <v>5.187011975108685</v>
      </c>
      <c r="N91" s="76">
        <v>6819.70751953125</v>
      </c>
      <c r="O91" s="76">
        <v>1929.631591796875</v>
      </c>
      <c r="P91" s="77"/>
      <c r="Q91" s="78"/>
      <c r="R91" s="78"/>
      <c r="S91" s="92"/>
      <c r="T91" s="49">
        <v>1</v>
      </c>
      <c r="U91" s="49">
        <v>0</v>
      </c>
      <c r="V91" s="50">
        <v>0</v>
      </c>
      <c r="W91" s="50">
        <v>0.111111</v>
      </c>
      <c r="X91" s="50">
        <v>0</v>
      </c>
      <c r="Y91" s="50">
        <v>0.632431</v>
      </c>
      <c r="Z91" s="50">
        <v>0</v>
      </c>
      <c r="AA91" s="50">
        <v>0</v>
      </c>
      <c r="AB91" s="73">
        <v>91</v>
      </c>
      <c r="AC91" s="73"/>
      <c r="AD91" s="74"/>
      <c r="AE91" s="81" t="s">
        <v>2004</v>
      </c>
      <c r="AF91" s="86" t="s">
        <v>2277</v>
      </c>
      <c r="AG91" s="81">
        <v>2783</v>
      </c>
      <c r="AH91" s="81">
        <v>30908</v>
      </c>
      <c r="AI91" s="81">
        <v>19244</v>
      </c>
      <c r="AJ91" s="81">
        <v>6920</v>
      </c>
      <c r="AK91" s="81"/>
      <c r="AL91" s="81" t="s">
        <v>2542</v>
      </c>
      <c r="AM91" s="81" t="s">
        <v>2781</v>
      </c>
      <c r="AN91" s="88" t="str">
        <f>HYPERLINK("https://t.co/Y4TX0QFhc1")</f>
        <v>https://t.co/Y4TX0QFhc1</v>
      </c>
      <c r="AO91" s="81"/>
      <c r="AP91" s="83">
        <v>40017.72037037037</v>
      </c>
      <c r="AQ91" s="88" t="str">
        <f>HYPERLINK("https://pbs.twimg.com/profile_banners/59526518/1592248657")</f>
        <v>https://pbs.twimg.com/profile_banners/59526518/1592248657</v>
      </c>
      <c r="AR91" s="81" t="b">
        <v>0</v>
      </c>
      <c r="AS91" s="81" t="b">
        <v>0</v>
      </c>
      <c r="AT91" s="81" t="b">
        <v>0</v>
      </c>
      <c r="AU91" s="81"/>
      <c r="AV91" s="81">
        <v>492</v>
      </c>
      <c r="AW91" s="88" t="str">
        <f>HYPERLINK("https://abs.twimg.com/images/themes/theme4/bg.gif")</f>
        <v>https://abs.twimg.com/images/themes/theme4/bg.gif</v>
      </c>
      <c r="AX91" s="81" t="b">
        <v>1</v>
      </c>
      <c r="AY91" s="81" t="s">
        <v>2883</v>
      </c>
      <c r="AZ91" s="88" t="str">
        <f>HYPERLINK("https://twitter.com/cf_foundation")</f>
        <v>https://twitter.com/cf_foundation</v>
      </c>
      <c r="BA91" s="81" t="s">
        <v>65</v>
      </c>
      <c r="BB91" s="81" t="str">
        <f>REPLACE(INDEX(GroupVertices[Group],MATCH(Vertices[[#This Row],[Vertex]],GroupVertices[Vertex],0)),1,1,"")</f>
        <v>10</v>
      </c>
      <c r="BC91" s="49"/>
      <c r="BD91" s="49"/>
      <c r="BE91" s="49"/>
      <c r="BF91" s="49"/>
      <c r="BG91" s="49"/>
      <c r="BH91" s="49"/>
      <c r="BI91" s="49"/>
      <c r="BJ91" s="49"/>
      <c r="BK91" s="49"/>
      <c r="BL91" s="49"/>
      <c r="BM91" s="49"/>
      <c r="BN91" s="50"/>
      <c r="BO91" s="49"/>
      <c r="BP91" s="50"/>
      <c r="BQ91" s="49"/>
      <c r="BR91" s="50"/>
      <c r="BS91" s="49"/>
      <c r="BT91" s="50"/>
      <c r="BU91" s="49"/>
      <c r="BV91" s="2"/>
      <c r="BW91" s="3"/>
      <c r="BX91" s="3"/>
      <c r="BY91" s="3"/>
      <c r="BZ91" s="3"/>
    </row>
    <row r="92" spans="1:78" ht="41.45" customHeight="1">
      <c r="A92" s="66" t="s">
        <v>470</v>
      </c>
      <c r="C92" s="67"/>
      <c r="D92" s="67" t="s">
        <v>64</v>
      </c>
      <c r="E92" s="68">
        <v>177.0508016759186</v>
      </c>
      <c r="F92" s="70">
        <v>99.96754169302</v>
      </c>
      <c r="G92" s="106" t="str">
        <f>HYPERLINK("https://pbs.twimg.com/profile_images/1304071523670675457/GzYfUXAa_normal.jpg")</f>
        <v>https://pbs.twimg.com/profile_images/1304071523670675457/GzYfUXAa_normal.jpg</v>
      </c>
      <c r="H92" s="67"/>
      <c r="I92" s="71" t="s">
        <v>470</v>
      </c>
      <c r="J92" s="72"/>
      <c r="K92" s="72"/>
      <c r="L92" s="71" t="s">
        <v>2972</v>
      </c>
      <c r="M92" s="75">
        <v>11.817271772870987</v>
      </c>
      <c r="N92" s="76">
        <v>7236.6064453125</v>
      </c>
      <c r="O92" s="76">
        <v>483.15069580078125</v>
      </c>
      <c r="P92" s="77"/>
      <c r="Q92" s="78"/>
      <c r="R92" s="78"/>
      <c r="S92" s="92"/>
      <c r="T92" s="49">
        <v>1</v>
      </c>
      <c r="U92" s="49">
        <v>0</v>
      </c>
      <c r="V92" s="50">
        <v>0</v>
      </c>
      <c r="W92" s="50">
        <v>0.111111</v>
      </c>
      <c r="X92" s="50">
        <v>0</v>
      </c>
      <c r="Y92" s="50">
        <v>0.632431</v>
      </c>
      <c r="Z92" s="50">
        <v>0</v>
      </c>
      <c r="AA92" s="50">
        <v>0</v>
      </c>
      <c r="AB92" s="73">
        <v>92</v>
      </c>
      <c r="AC92" s="73"/>
      <c r="AD92" s="74"/>
      <c r="AE92" s="81" t="s">
        <v>2005</v>
      </c>
      <c r="AF92" s="86" t="s">
        <v>2278</v>
      </c>
      <c r="AG92" s="81">
        <v>6174</v>
      </c>
      <c r="AH92" s="81">
        <v>79847</v>
      </c>
      <c r="AI92" s="81">
        <v>11085</v>
      </c>
      <c r="AJ92" s="81">
        <v>998</v>
      </c>
      <c r="AK92" s="81"/>
      <c r="AL92" s="81" t="s">
        <v>2543</v>
      </c>
      <c r="AM92" s="81" t="s">
        <v>2782</v>
      </c>
      <c r="AN92" s="88" t="str">
        <f>HYPERLINK("https://t.co/Gahd1XU986")</f>
        <v>https://t.co/Gahd1XU986</v>
      </c>
      <c r="AO92" s="81"/>
      <c r="AP92" s="83">
        <v>40367.76273148148</v>
      </c>
      <c r="AQ92" s="88" t="str">
        <f>HYPERLINK("https://pbs.twimg.com/profile_banners/164369297/1523637643")</f>
        <v>https://pbs.twimg.com/profile_banners/164369297/1523637643</v>
      </c>
      <c r="AR92" s="81" t="b">
        <v>1</v>
      </c>
      <c r="AS92" s="81" t="b">
        <v>0</v>
      </c>
      <c r="AT92" s="81" t="b">
        <v>1</v>
      </c>
      <c r="AU92" s="81"/>
      <c r="AV92" s="81">
        <v>1592</v>
      </c>
      <c r="AW92" s="88" t="str">
        <f>HYPERLINK("https://abs.twimg.com/images/themes/theme1/bg.png")</f>
        <v>https://abs.twimg.com/images/themes/theme1/bg.png</v>
      </c>
      <c r="AX92" s="81" t="b">
        <v>1</v>
      </c>
      <c r="AY92" s="81" t="s">
        <v>2883</v>
      </c>
      <c r="AZ92" s="88" t="str">
        <f>HYPERLINK("https://twitter.com/nydiavelazquez")</f>
        <v>https://twitter.com/nydiavelazquez</v>
      </c>
      <c r="BA92" s="81" t="s">
        <v>65</v>
      </c>
      <c r="BB92" s="81" t="str">
        <f>REPLACE(INDEX(GroupVertices[Group],MATCH(Vertices[[#This Row],[Vertex]],GroupVertices[Vertex],0)),1,1,"")</f>
        <v>10</v>
      </c>
      <c r="BC92" s="49"/>
      <c r="BD92" s="49"/>
      <c r="BE92" s="49"/>
      <c r="BF92" s="49"/>
      <c r="BG92" s="49"/>
      <c r="BH92" s="49"/>
      <c r="BI92" s="49"/>
      <c r="BJ92" s="49"/>
      <c r="BK92" s="49"/>
      <c r="BL92" s="49"/>
      <c r="BM92" s="49"/>
      <c r="BN92" s="50"/>
      <c r="BO92" s="49"/>
      <c r="BP92" s="50"/>
      <c r="BQ92" s="49"/>
      <c r="BR92" s="50"/>
      <c r="BS92" s="49"/>
      <c r="BT92" s="50"/>
      <c r="BU92" s="49"/>
      <c r="BV92" s="2"/>
      <c r="BW92" s="3"/>
      <c r="BX92" s="3"/>
      <c r="BY92" s="3"/>
      <c r="BZ92" s="3"/>
    </row>
    <row r="93" spans="1:78" ht="41.45" customHeight="1">
      <c r="A93" s="66" t="s">
        <v>471</v>
      </c>
      <c r="C93" s="67"/>
      <c r="D93" s="67" t="s">
        <v>64</v>
      </c>
      <c r="E93" s="68">
        <v>464.545355120455</v>
      </c>
      <c r="F93" s="70">
        <v>99.34753575102994</v>
      </c>
      <c r="G93" s="106" t="str">
        <f>HYPERLINK("https://pbs.twimg.com/profile_images/1233393598953086976/dC0fdRs9_normal.jpg")</f>
        <v>https://pbs.twimg.com/profile_images/1233393598953086976/dC0fdRs9_normal.jpg</v>
      </c>
      <c r="H93" s="67"/>
      <c r="I93" s="71" t="s">
        <v>471</v>
      </c>
      <c r="J93" s="72"/>
      <c r="K93" s="72"/>
      <c r="L93" s="71" t="s">
        <v>2973</v>
      </c>
      <c r="M93" s="75">
        <v>218.44458537342223</v>
      </c>
      <c r="N93" s="76">
        <v>6415.3583984375</v>
      </c>
      <c r="O93" s="76">
        <v>1222.88916015625</v>
      </c>
      <c r="P93" s="77"/>
      <c r="Q93" s="78"/>
      <c r="R93" s="78"/>
      <c r="S93" s="92"/>
      <c r="T93" s="49">
        <v>1</v>
      </c>
      <c r="U93" s="49">
        <v>0</v>
      </c>
      <c r="V93" s="50">
        <v>0</v>
      </c>
      <c r="W93" s="50">
        <v>0.111111</v>
      </c>
      <c r="X93" s="50">
        <v>0</v>
      </c>
      <c r="Y93" s="50">
        <v>0.632431</v>
      </c>
      <c r="Z93" s="50">
        <v>0</v>
      </c>
      <c r="AA93" s="50">
        <v>0</v>
      </c>
      <c r="AB93" s="73">
        <v>93</v>
      </c>
      <c r="AC93" s="73"/>
      <c r="AD93" s="74"/>
      <c r="AE93" s="81" t="s">
        <v>2006</v>
      </c>
      <c r="AF93" s="86" t="s">
        <v>2279</v>
      </c>
      <c r="AG93" s="81">
        <v>1084</v>
      </c>
      <c r="AH93" s="81">
        <v>1604996</v>
      </c>
      <c r="AI93" s="81">
        <v>20991</v>
      </c>
      <c r="AJ93" s="81">
        <v>815</v>
      </c>
      <c r="AK93" s="81"/>
      <c r="AL93" s="81" t="s">
        <v>2544</v>
      </c>
      <c r="AM93" s="81" t="s">
        <v>2783</v>
      </c>
      <c r="AN93" s="88" t="str">
        <f>HYPERLINK("https://t.co/qccoyKkdDN")</f>
        <v>https://t.co/qccoyKkdDN</v>
      </c>
      <c r="AO93" s="81"/>
      <c r="AP93" s="83">
        <v>40063.162083333336</v>
      </c>
      <c r="AQ93" s="88" t="str">
        <f>HYPERLINK("https://pbs.twimg.com/profile_banners/72198806/1582898004")</f>
        <v>https://pbs.twimg.com/profile_banners/72198806/1582898004</v>
      </c>
      <c r="AR93" s="81" t="b">
        <v>0</v>
      </c>
      <c r="AS93" s="81" t="b">
        <v>0</v>
      </c>
      <c r="AT93" s="81" t="b">
        <v>1</v>
      </c>
      <c r="AU93" s="81"/>
      <c r="AV93" s="81">
        <v>10035</v>
      </c>
      <c r="AW93" s="88" t="str">
        <f>HYPERLINK("https://abs.twimg.com/images/themes/theme1/bg.png")</f>
        <v>https://abs.twimg.com/images/themes/theme1/bg.png</v>
      </c>
      <c r="AX93" s="81" t="b">
        <v>1</v>
      </c>
      <c r="AY93" s="81" t="s">
        <v>2883</v>
      </c>
      <c r="AZ93" s="88" t="str">
        <f>HYPERLINK("https://twitter.com/sengillibrand")</f>
        <v>https://twitter.com/sengillibrand</v>
      </c>
      <c r="BA93" s="81" t="s">
        <v>65</v>
      </c>
      <c r="BB93" s="81" t="str">
        <f>REPLACE(INDEX(GroupVertices[Group],MATCH(Vertices[[#This Row],[Vertex]],GroupVertices[Vertex],0)),1,1,"")</f>
        <v>10</v>
      </c>
      <c r="BC93" s="49"/>
      <c r="BD93" s="49"/>
      <c r="BE93" s="49"/>
      <c r="BF93" s="49"/>
      <c r="BG93" s="49"/>
      <c r="BH93" s="49"/>
      <c r="BI93" s="49"/>
      <c r="BJ93" s="49"/>
      <c r="BK93" s="49"/>
      <c r="BL93" s="49"/>
      <c r="BM93" s="49"/>
      <c r="BN93" s="50"/>
      <c r="BO93" s="49"/>
      <c r="BP93" s="50"/>
      <c r="BQ93" s="49"/>
      <c r="BR93" s="50"/>
      <c r="BS93" s="49"/>
      <c r="BT93" s="50"/>
      <c r="BU93" s="49"/>
      <c r="BV93" s="2"/>
      <c r="BW93" s="3"/>
      <c r="BX93" s="3"/>
      <c r="BY93" s="3"/>
      <c r="BZ93" s="3"/>
    </row>
    <row r="94" spans="1:78" ht="41.45" customHeight="1">
      <c r="A94" s="66" t="s">
        <v>472</v>
      </c>
      <c r="C94" s="67"/>
      <c r="D94" s="67" t="s">
        <v>64</v>
      </c>
      <c r="E94" s="68">
        <v>791.2887891339723</v>
      </c>
      <c r="F94" s="70">
        <v>98.64288633013683</v>
      </c>
      <c r="G94" s="106" t="str">
        <f>HYPERLINK("https://pbs.twimg.com/profile_images/1409227745670975489/UVBQFdbf_normal.jpg")</f>
        <v>https://pbs.twimg.com/profile_images/1409227745670975489/UVBQFdbf_normal.jpg</v>
      </c>
      <c r="H94" s="67"/>
      <c r="I94" s="71" t="s">
        <v>472</v>
      </c>
      <c r="J94" s="72"/>
      <c r="K94" s="72"/>
      <c r="L94" s="71" t="s">
        <v>2974</v>
      </c>
      <c r="M94" s="75">
        <v>453.2807490430652</v>
      </c>
      <c r="N94" s="76">
        <v>6673.015625</v>
      </c>
      <c r="O94" s="76">
        <v>328.9144592285156</v>
      </c>
      <c r="P94" s="77"/>
      <c r="Q94" s="78"/>
      <c r="R94" s="78"/>
      <c r="S94" s="92"/>
      <c r="T94" s="49">
        <v>1</v>
      </c>
      <c r="U94" s="49">
        <v>0</v>
      </c>
      <c r="V94" s="50">
        <v>0</v>
      </c>
      <c r="W94" s="50">
        <v>0.111111</v>
      </c>
      <c r="X94" s="50">
        <v>0</v>
      </c>
      <c r="Y94" s="50">
        <v>0.632431</v>
      </c>
      <c r="Z94" s="50">
        <v>0</v>
      </c>
      <c r="AA94" s="50">
        <v>0</v>
      </c>
      <c r="AB94" s="73">
        <v>94</v>
      </c>
      <c r="AC94" s="73"/>
      <c r="AD94" s="74"/>
      <c r="AE94" s="81" t="s">
        <v>2007</v>
      </c>
      <c r="AF94" s="86" t="s">
        <v>2280</v>
      </c>
      <c r="AG94" s="81">
        <v>24346</v>
      </c>
      <c r="AH94" s="81">
        <v>3338359</v>
      </c>
      <c r="AI94" s="81">
        <v>21786</v>
      </c>
      <c r="AJ94" s="81">
        <v>894</v>
      </c>
      <c r="AK94" s="81"/>
      <c r="AL94" s="81" t="s">
        <v>2545</v>
      </c>
      <c r="AM94" s="81" t="s">
        <v>2780</v>
      </c>
      <c r="AN94" s="88" t="str">
        <f>HYPERLINK("https://t.co/ABwRtpqnhH")</f>
        <v>https://t.co/ABwRtpqnhH</v>
      </c>
      <c r="AO94" s="81"/>
      <c r="AP94" s="83">
        <v>39771.84050925926</v>
      </c>
      <c r="AQ94" s="88" t="str">
        <f>HYPERLINK("https://pbs.twimg.com/profile_banners/17494010/1611181724")</f>
        <v>https://pbs.twimg.com/profile_banners/17494010/1611181724</v>
      </c>
      <c r="AR94" s="81" t="b">
        <v>0</v>
      </c>
      <c r="AS94" s="81" t="b">
        <v>0</v>
      </c>
      <c r="AT94" s="81" t="b">
        <v>0</v>
      </c>
      <c r="AU94" s="81"/>
      <c r="AV94" s="81">
        <v>14292</v>
      </c>
      <c r="AW94" s="88" t="str">
        <f>HYPERLINK("https://abs.twimg.com/images/themes/theme1/bg.png")</f>
        <v>https://abs.twimg.com/images/themes/theme1/bg.png</v>
      </c>
      <c r="AX94" s="81" t="b">
        <v>1</v>
      </c>
      <c r="AY94" s="81" t="s">
        <v>2883</v>
      </c>
      <c r="AZ94" s="88" t="str">
        <f>HYPERLINK("https://twitter.com/senschumer")</f>
        <v>https://twitter.com/senschumer</v>
      </c>
      <c r="BA94" s="81" t="s">
        <v>65</v>
      </c>
      <c r="BB94" s="81" t="str">
        <f>REPLACE(INDEX(GroupVertices[Group],MATCH(Vertices[[#This Row],[Vertex]],GroupVertices[Vertex],0)),1,1,"")</f>
        <v>10</v>
      </c>
      <c r="BC94" s="49"/>
      <c r="BD94" s="49"/>
      <c r="BE94" s="49"/>
      <c r="BF94" s="49"/>
      <c r="BG94" s="49"/>
      <c r="BH94" s="49"/>
      <c r="BI94" s="49"/>
      <c r="BJ94" s="49"/>
      <c r="BK94" s="49"/>
      <c r="BL94" s="49"/>
      <c r="BM94" s="49"/>
      <c r="BN94" s="50"/>
      <c r="BO94" s="49"/>
      <c r="BP94" s="50"/>
      <c r="BQ94" s="49"/>
      <c r="BR94" s="50"/>
      <c r="BS94" s="49"/>
      <c r="BT94" s="50"/>
      <c r="BU94" s="49"/>
      <c r="BV94" s="2"/>
      <c r="BW94" s="3"/>
      <c r="BX94" s="3"/>
      <c r="BY94" s="3"/>
      <c r="BZ94" s="3"/>
    </row>
    <row r="95" spans="1:78" ht="41.45" customHeight="1">
      <c r="A95" s="66" t="s">
        <v>313</v>
      </c>
      <c r="C95" s="67"/>
      <c r="D95" s="67" t="s">
        <v>64</v>
      </c>
      <c r="E95" s="68">
        <v>162.8869047378037</v>
      </c>
      <c r="F95" s="70">
        <v>99.99808731608711</v>
      </c>
      <c r="G95" s="106" t="str">
        <f>HYPERLINK("https://pbs.twimg.com/profile_images/1247595487303290880/9hbv9EcV_normal.jpg")</f>
        <v>https://pbs.twimg.com/profile_images/1247595487303290880/9hbv9EcV_normal.jpg</v>
      </c>
      <c r="H95" s="67"/>
      <c r="I95" s="71" t="s">
        <v>313</v>
      </c>
      <c r="J95" s="72"/>
      <c r="K95" s="72"/>
      <c r="L95" s="71" t="s">
        <v>2975</v>
      </c>
      <c r="M95" s="75">
        <v>1.637433792036446</v>
      </c>
      <c r="N95" s="76">
        <v>355.4516296386719</v>
      </c>
      <c r="O95" s="76">
        <v>3053.422607421875</v>
      </c>
      <c r="P95" s="77"/>
      <c r="Q95" s="78"/>
      <c r="R95" s="78"/>
      <c r="S95" s="92"/>
      <c r="T95" s="49">
        <v>1</v>
      </c>
      <c r="U95" s="49">
        <v>1</v>
      </c>
      <c r="V95" s="50">
        <v>0</v>
      </c>
      <c r="W95" s="50">
        <v>0</v>
      </c>
      <c r="X95" s="50">
        <v>0</v>
      </c>
      <c r="Y95" s="50">
        <v>0.999998</v>
      </c>
      <c r="Z95" s="50">
        <v>0</v>
      </c>
      <c r="AA95" s="50">
        <v>0</v>
      </c>
      <c r="AB95" s="73">
        <v>95</v>
      </c>
      <c r="AC95" s="73"/>
      <c r="AD95" s="74"/>
      <c r="AE95" s="81" t="s">
        <v>2008</v>
      </c>
      <c r="AF95" s="86" t="s">
        <v>2281</v>
      </c>
      <c r="AG95" s="81">
        <v>667</v>
      </c>
      <c r="AH95" s="81">
        <v>4708</v>
      </c>
      <c r="AI95" s="81">
        <v>1745</v>
      </c>
      <c r="AJ95" s="81">
        <v>282</v>
      </c>
      <c r="AK95" s="81"/>
      <c r="AL95" s="81" t="s">
        <v>2546</v>
      </c>
      <c r="AM95" s="81" t="s">
        <v>2784</v>
      </c>
      <c r="AN95" s="88" t="str">
        <f>HYPERLINK("https://t.co/Ya23g0kfef")</f>
        <v>https://t.co/Ya23g0kfef</v>
      </c>
      <c r="AO95" s="81"/>
      <c r="AP95" s="83">
        <v>41404.57282407407</v>
      </c>
      <c r="AQ95" s="88" t="str">
        <f>HYPERLINK("https://pbs.twimg.com/profile_banners/1418173861/1610659974")</f>
        <v>https://pbs.twimg.com/profile_banners/1418173861/1610659974</v>
      </c>
      <c r="AR95" s="81" t="b">
        <v>0</v>
      </c>
      <c r="AS95" s="81" t="b">
        <v>0</v>
      </c>
      <c r="AT95" s="81" t="b">
        <v>1</v>
      </c>
      <c r="AU95" s="81"/>
      <c r="AV95" s="81">
        <v>49</v>
      </c>
      <c r="AW95" s="88" t="str">
        <f>HYPERLINK("https://abs.twimg.com/images/themes/theme14/bg.gif")</f>
        <v>https://abs.twimg.com/images/themes/theme14/bg.gif</v>
      </c>
      <c r="AX95" s="81" t="b">
        <v>0</v>
      </c>
      <c r="AY95" s="81" t="s">
        <v>2883</v>
      </c>
      <c r="AZ95" s="88" t="str">
        <f>HYPERLINK("https://twitter.com/t2bio")</f>
        <v>https://twitter.com/t2bio</v>
      </c>
      <c r="BA95" s="81" t="s">
        <v>66</v>
      </c>
      <c r="BB95" s="81" t="str">
        <f>REPLACE(INDEX(GroupVertices[Group],MATCH(Vertices[[#This Row],[Vertex]],GroupVertices[Vertex],0)),1,1,"")</f>
        <v>1</v>
      </c>
      <c r="BC95" s="49" t="s">
        <v>3210</v>
      </c>
      <c r="BD95" s="49" t="s">
        <v>3210</v>
      </c>
      <c r="BE95" s="49" t="s">
        <v>903</v>
      </c>
      <c r="BF95" s="49" t="s">
        <v>903</v>
      </c>
      <c r="BG95" s="49" t="s">
        <v>1003</v>
      </c>
      <c r="BH95" s="49" t="s">
        <v>1003</v>
      </c>
      <c r="BI95" s="113" t="s">
        <v>3727</v>
      </c>
      <c r="BJ95" s="113" t="s">
        <v>3727</v>
      </c>
      <c r="BK95" s="113" t="s">
        <v>3904</v>
      </c>
      <c r="BL95" s="113" t="s">
        <v>3904</v>
      </c>
      <c r="BM95" s="113">
        <v>1</v>
      </c>
      <c r="BN95" s="116">
        <v>3.125</v>
      </c>
      <c r="BO95" s="113">
        <v>0</v>
      </c>
      <c r="BP95" s="116">
        <v>0</v>
      </c>
      <c r="BQ95" s="113">
        <v>0</v>
      </c>
      <c r="BR95" s="116">
        <v>0</v>
      </c>
      <c r="BS95" s="113">
        <v>31</v>
      </c>
      <c r="BT95" s="116">
        <v>96.875</v>
      </c>
      <c r="BU95" s="113">
        <v>32</v>
      </c>
      <c r="BV95" s="2"/>
      <c r="BW95" s="3"/>
      <c r="BX95" s="3"/>
      <c r="BY95" s="3"/>
      <c r="BZ95" s="3"/>
    </row>
    <row r="96" spans="1:78" ht="41.45" customHeight="1">
      <c r="A96" s="66" t="s">
        <v>314</v>
      </c>
      <c r="C96" s="67"/>
      <c r="D96" s="67" t="s">
        <v>64</v>
      </c>
      <c r="E96" s="68">
        <v>167.29353004187098</v>
      </c>
      <c r="F96" s="70">
        <v>99.98858406171269</v>
      </c>
      <c r="G96" s="106" t="str">
        <f>HYPERLINK("https://pbs.twimg.com/profile_images/1263068466338312192/Ol19uFie_normal.jpg")</f>
        <v>https://pbs.twimg.com/profile_images/1263068466338312192/Ol19uFie_normal.jpg</v>
      </c>
      <c r="H96" s="67"/>
      <c r="I96" s="71" t="s">
        <v>314</v>
      </c>
      <c r="J96" s="72"/>
      <c r="K96" s="72"/>
      <c r="L96" s="71" t="s">
        <v>2976</v>
      </c>
      <c r="M96" s="75">
        <v>4.804551699886817</v>
      </c>
      <c r="N96" s="76">
        <v>6476.49560546875</v>
      </c>
      <c r="O96" s="76">
        <v>8503.9404296875</v>
      </c>
      <c r="P96" s="77"/>
      <c r="Q96" s="78"/>
      <c r="R96" s="78"/>
      <c r="S96" s="92"/>
      <c r="T96" s="49">
        <v>0</v>
      </c>
      <c r="U96" s="49">
        <v>6</v>
      </c>
      <c r="V96" s="50">
        <v>433</v>
      </c>
      <c r="W96" s="50">
        <v>0.004082</v>
      </c>
      <c r="X96" s="50">
        <v>0.000563</v>
      </c>
      <c r="Y96" s="50">
        <v>2.690622</v>
      </c>
      <c r="Z96" s="50">
        <v>0</v>
      </c>
      <c r="AA96" s="50">
        <v>0</v>
      </c>
      <c r="AB96" s="73">
        <v>96</v>
      </c>
      <c r="AC96" s="73"/>
      <c r="AD96" s="74"/>
      <c r="AE96" s="81" t="s">
        <v>2009</v>
      </c>
      <c r="AF96" s="86" t="s">
        <v>1817</v>
      </c>
      <c r="AG96" s="81">
        <v>4743</v>
      </c>
      <c r="AH96" s="81">
        <v>28085</v>
      </c>
      <c r="AI96" s="81">
        <v>24201</v>
      </c>
      <c r="AJ96" s="81">
        <v>15104</v>
      </c>
      <c r="AK96" s="81"/>
      <c r="AL96" s="81" t="s">
        <v>2547</v>
      </c>
      <c r="AM96" s="81" t="s">
        <v>2785</v>
      </c>
      <c r="AN96" s="88" t="str">
        <f>HYPERLINK("https://t.co/UczCE7fNgw")</f>
        <v>https://t.co/UczCE7fNgw</v>
      </c>
      <c r="AO96" s="81"/>
      <c r="AP96" s="83">
        <v>39972.41502314815</v>
      </c>
      <c r="AQ96" s="88" t="str">
        <f>HYPERLINK("https://pbs.twimg.com/profile_banners/45535365/1622626809")</f>
        <v>https://pbs.twimg.com/profile_banners/45535365/1622626809</v>
      </c>
      <c r="AR96" s="81" t="b">
        <v>0</v>
      </c>
      <c r="AS96" s="81" t="b">
        <v>0</v>
      </c>
      <c r="AT96" s="81" t="b">
        <v>1</v>
      </c>
      <c r="AU96" s="81"/>
      <c r="AV96" s="81">
        <v>235</v>
      </c>
      <c r="AW96" s="88" t="str">
        <f>HYPERLINK("https://abs.twimg.com/images/themes/theme1/bg.png")</f>
        <v>https://abs.twimg.com/images/themes/theme1/bg.png</v>
      </c>
      <c r="AX96" s="81" t="b">
        <v>1</v>
      </c>
      <c r="AY96" s="81" t="s">
        <v>2883</v>
      </c>
      <c r="AZ96" s="88" t="str">
        <f>HYPERLINK("https://twitter.com/rcsi_irl")</f>
        <v>https://twitter.com/rcsi_irl</v>
      </c>
      <c r="BA96" s="81" t="s">
        <v>66</v>
      </c>
      <c r="BB96" s="81" t="str">
        <f>REPLACE(INDEX(GroupVertices[Group],MATCH(Vertices[[#This Row],[Vertex]],GroupVertices[Vertex],0)),1,1,"")</f>
        <v>3</v>
      </c>
      <c r="BC96" s="49" t="s">
        <v>3229</v>
      </c>
      <c r="BD96" s="49" t="s">
        <v>3229</v>
      </c>
      <c r="BE96" s="49" t="s">
        <v>919</v>
      </c>
      <c r="BF96" s="49" t="s">
        <v>919</v>
      </c>
      <c r="BG96" s="49" t="s">
        <v>1004</v>
      </c>
      <c r="BH96" s="49" t="s">
        <v>3655</v>
      </c>
      <c r="BI96" s="113" t="s">
        <v>3728</v>
      </c>
      <c r="BJ96" s="113" t="s">
        <v>3824</v>
      </c>
      <c r="BK96" s="113" t="s">
        <v>3905</v>
      </c>
      <c r="BL96" s="113" t="s">
        <v>3905</v>
      </c>
      <c r="BM96" s="113">
        <v>0</v>
      </c>
      <c r="BN96" s="116">
        <v>0</v>
      </c>
      <c r="BO96" s="113">
        <v>2</v>
      </c>
      <c r="BP96" s="116">
        <v>4.761904761904762</v>
      </c>
      <c r="BQ96" s="113">
        <v>0</v>
      </c>
      <c r="BR96" s="116">
        <v>0</v>
      </c>
      <c r="BS96" s="113">
        <v>40</v>
      </c>
      <c r="BT96" s="116">
        <v>95.23809523809524</v>
      </c>
      <c r="BU96" s="113">
        <v>42</v>
      </c>
      <c r="BV96" s="2"/>
      <c r="BW96" s="3"/>
      <c r="BX96" s="3"/>
      <c r="BY96" s="3"/>
      <c r="BZ96" s="3"/>
    </row>
    <row r="97" spans="1:78" ht="41.45" customHeight="1">
      <c r="A97" s="66" t="s">
        <v>473</v>
      </c>
      <c r="C97" s="67"/>
      <c r="D97" s="67" t="s">
        <v>64</v>
      </c>
      <c r="E97" s="68">
        <v>162.07219649619103</v>
      </c>
      <c r="F97" s="70">
        <v>99.99984430224471</v>
      </c>
      <c r="G97" s="106" t="str">
        <f>HYPERLINK("https://pbs.twimg.com/profile_images/1349105567256748035/7NWGQB9k_normal.jpg")</f>
        <v>https://pbs.twimg.com/profile_images/1349105567256748035/7NWGQB9k_normal.jpg</v>
      </c>
      <c r="H97" s="67"/>
      <c r="I97" s="71" t="s">
        <v>473</v>
      </c>
      <c r="J97" s="72"/>
      <c r="K97" s="72"/>
      <c r="L97" s="71" t="s">
        <v>2977</v>
      </c>
      <c r="M97" s="75">
        <v>1.0518888719128499</v>
      </c>
      <c r="N97" s="76">
        <v>6793.533203125</v>
      </c>
      <c r="O97" s="76">
        <v>9086.0908203125</v>
      </c>
      <c r="P97" s="77"/>
      <c r="Q97" s="78"/>
      <c r="R97" s="78"/>
      <c r="S97" s="92"/>
      <c r="T97" s="49">
        <v>1</v>
      </c>
      <c r="U97" s="49">
        <v>0</v>
      </c>
      <c r="V97" s="50">
        <v>0</v>
      </c>
      <c r="W97" s="50">
        <v>0.00339</v>
      </c>
      <c r="X97" s="50">
        <v>0.00011</v>
      </c>
      <c r="Y97" s="50">
        <v>0.531171</v>
      </c>
      <c r="Z97" s="50">
        <v>0</v>
      </c>
      <c r="AA97" s="50">
        <v>0</v>
      </c>
      <c r="AB97" s="73">
        <v>97</v>
      </c>
      <c r="AC97" s="73"/>
      <c r="AD97" s="74"/>
      <c r="AE97" s="81" t="s">
        <v>2010</v>
      </c>
      <c r="AF97" s="86" t="s">
        <v>2282</v>
      </c>
      <c r="AG97" s="81">
        <v>205</v>
      </c>
      <c r="AH97" s="81">
        <v>386</v>
      </c>
      <c r="AI97" s="81">
        <v>261</v>
      </c>
      <c r="AJ97" s="81">
        <v>290</v>
      </c>
      <c r="AK97" s="81"/>
      <c r="AL97" s="81" t="s">
        <v>2548</v>
      </c>
      <c r="AM97" s="81" t="s">
        <v>2786</v>
      </c>
      <c r="AN97" s="88" t="str">
        <f>HYPERLINK("https://t.co/mjVmXYo6Ua")</f>
        <v>https://t.co/mjVmXYo6Ua</v>
      </c>
      <c r="AO97" s="81"/>
      <c r="AP97" s="83">
        <v>44208.83142361111</v>
      </c>
      <c r="AQ97" s="88" t="str">
        <f>HYPERLINK("https://pbs.twimg.com/profile_banners/1349082826130550787/1610482695")</f>
        <v>https://pbs.twimg.com/profile_banners/1349082826130550787/1610482695</v>
      </c>
      <c r="AR97" s="81" t="b">
        <v>1</v>
      </c>
      <c r="AS97" s="81" t="b">
        <v>0</v>
      </c>
      <c r="AT97" s="81" t="b">
        <v>0</v>
      </c>
      <c r="AU97" s="81"/>
      <c r="AV97" s="81">
        <v>2</v>
      </c>
      <c r="AW97" s="81"/>
      <c r="AX97" s="81" t="b">
        <v>0</v>
      </c>
      <c r="AY97" s="81" t="s">
        <v>2883</v>
      </c>
      <c r="AZ97" s="88" t="str">
        <f>HYPERLINK("https://twitter.com/iscm_micro")</f>
        <v>https://twitter.com/iscm_micro</v>
      </c>
      <c r="BA97" s="81" t="s">
        <v>65</v>
      </c>
      <c r="BB97" s="81" t="str">
        <f>REPLACE(INDEX(GroupVertices[Group],MATCH(Vertices[[#This Row],[Vertex]],GroupVertices[Vertex],0)),1,1,"")</f>
        <v>3</v>
      </c>
      <c r="BC97" s="49"/>
      <c r="BD97" s="49"/>
      <c r="BE97" s="49"/>
      <c r="BF97" s="49"/>
      <c r="BG97" s="49"/>
      <c r="BH97" s="49"/>
      <c r="BI97" s="49"/>
      <c r="BJ97" s="49"/>
      <c r="BK97" s="49"/>
      <c r="BL97" s="49"/>
      <c r="BM97" s="49"/>
      <c r="BN97" s="50"/>
      <c r="BO97" s="49"/>
      <c r="BP97" s="50"/>
      <c r="BQ97" s="49"/>
      <c r="BR97" s="50"/>
      <c r="BS97" s="49"/>
      <c r="BT97" s="50"/>
      <c r="BU97" s="49"/>
      <c r="BV97" s="2"/>
      <c r="BW97" s="3"/>
      <c r="BX97" s="3"/>
      <c r="BY97" s="3"/>
      <c r="BZ97" s="3"/>
    </row>
    <row r="98" spans="1:78" ht="41.45" customHeight="1">
      <c r="A98" s="66" t="s">
        <v>474</v>
      </c>
      <c r="C98" s="67"/>
      <c r="D98" s="67" t="s">
        <v>64</v>
      </c>
      <c r="E98" s="68">
        <v>162.48068163260348</v>
      </c>
      <c r="F98" s="70">
        <v>99.99896337003658</v>
      </c>
      <c r="G98" s="106" t="str">
        <f>HYPERLINK("https://pbs.twimg.com/profile_images/866685028906008577/EEr8HMjt_normal.jpg")</f>
        <v>https://pbs.twimg.com/profile_images/866685028906008577/EEr8HMjt_normal.jpg</v>
      </c>
      <c r="H98" s="67"/>
      <c r="I98" s="71" t="s">
        <v>474</v>
      </c>
      <c r="J98" s="72"/>
      <c r="K98" s="72"/>
      <c r="L98" s="71" t="s">
        <v>2978</v>
      </c>
      <c r="M98" s="75">
        <v>1.3454742124745882</v>
      </c>
      <c r="N98" s="76">
        <v>6731.134765625</v>
      </c>
      <c r="O98" s="76">
        <v>7663.791015625</v>
      </c>
      <c r="P98" s="77"/>
      <c r="Q98" s="78"/>
      <c r="R98" s="78"/>
      <c r="S98" s="92"/>
      <c r="T98" s="49">
        <v>1</v>
      </c>
      <c r="U98" s="49">
        <v>0</v>
      </c>
      <c r="V98" s="50">
        <v>0</v>
      </c>
      <c r="W98" s="50">
        <v>0.00339</v>
      </c>
      <c r="X98" s="50">
        <v>0.00011</v>
      </c>
      <c r="Y98" s="50">
        <v>0.531171</v>
      </c>
      <c r="Z98" s="50">
        <v>0</v>
      </c>
      <c r="AA98" s="50">
        <v>0</v>
      </c>
      <c r="AB98" s="73">
        <v>98</v>
      </c>
      <c r="AC98" s="73"/>
      <c r="AD98" s="74"/>
      <c r="AE98" s="81" t="s">
        <v>2011</v>
      </c>
      <c r="AF98" s="86" t="s">
        <v>2283</v>
      </c>
      <c r="AG98" s="81">
        <v>180</v>
      </c>
      <c r="AH98" s="81">
        <v>2553</v>
      </c>
      <c r="AI98" s="81">
        <v>1814</v>
      </c>
      <c r="AJ98" s="81">
        <v>4845</v>
      </c>
      <c r="AK98" s="81"/>
      <c r="AL98" s="81" t="s">
        <v>2549</v>
      </c>
      <c r="AM98" s="81" t="s">
        <v>2787</v>
      </c>
      <c r="AN98" s="88" t="str">
        <f>HYPERLINK("https://t.co/ZbV4hOshhT")</f>
        <v>https://t.co/ZbV4hOshhT</v>
      </c>
      <c r="AO98" s="81"/>
      <c r="AP98" s="83">
        <v>42877.58630787037</v>
      </c>
      <c r="AQ98" s="88" t="str">
        <f>HYPERLINK("https://pbs.twimg.com/profile_banners/866655960244289541/1495468474")</f>
        <v>https://pbs.twimg.com/profile_banners/866655960244289541/1495468474</v>
      </c>
      <c r="AR98" s="81" t="b">
        <v>1</v>
      </c>
      <c r="AS98" s="81" t="b">
        <v>0</v>
      </c>
      <c r="AT98" s="81" t="b">
        <v>0</v>
      </c>
      <c r="AU98" s="81"/>
      <c r="AV98" s="81">
        <v>8</v>
      </c>
      <c r="AW98" s="81"/>
      <c r="AX98" s="81" t="b">
        <v>0</v>
      </c>
      <c r="AY98" s="81" t="s">
        <v>2883</v>
      </c>
      <c r="AZ98" s="88" t="str">
        <f>HYPERLINK("https://twitter.com/rcsi_research")</f>
        <v>https://twitter.com/rcsi_research</v>
      </c>
      <c r="BA98" s="81" t="s">
        <v>65</v>
      </c>
      <c r="BB98" s="81" t="str">
        <f>REPLACE(INDEX(GroupVertices[Group],MATCH(Vertices[[#This Row],[Vertex]],GroupVertices[Vertex],0)),1,1,"")</f>
        <v>3</v>
      </c>
      <c r="BC98" s="49"/>
      <c r="BD98" s="49"/>
      <c r="BE98" s="49"/>
      <c r="BF98" s="49"/>
      <c r="BG98" s="49"/>
      <c r="BH98" s="49"/>
      <c r="BI98" s="49"/>
      <c r="BJ98" s="49"/>
      <c r="BK98" s="49"/>
      <c r="BL98" s="49"/>
      <c r="BM98" s="49"/>
      <c r="BN98" s="50"/>
      <c r="BO98" s="49"/>
      <c r="BP98" s="50"/>
      <c r="BQ98" s="49"/>
      <c r="BR98" s="50"/>
      <c r="BS98" s="49"/>
      <c r="BT98" s="50"/>
      <c r="BU98" s="49"/>
      <c r="BV98" s="2"/>
      <c r="BW98" s="3"/>
      <c r="BX98" s="3"/>
      <c r="BY98" s="3"/>
      <c r="BZ98" s="3"/>
    </row>
    <row r="99" spans="1:78" ht="41.45" customHeight="1">
      <c r="A99" s="66" t="s">
        <v>475</v>
      </c>
      <c r="C99" s="67"/>
      <c r="D99" s="67" t="s">
        <v>64</v>
      </c>
      <c r="E99" s="68">
        <v>162.05014169187157</v>
      </c>
      <c r="F99" s="70">
        <v>99.99989186526656</v>
      </c>
      <c r="G99" s="106" t="str">
        <f>HYPERLINK("https://pbs.twimg.com/profile_images/1460295672708673542/gdYYwN44_normal.jpg")</f>
        <v>https://pbs.twimg.com/profile_images/1460295672708673542/gdYYwN44_normal.jpg</v>
      </c>
      <c r="H99" s="67"/>
      <c r="I99" s="71" t="s">
        <v>475</v>
      </c>
      <c r="J99" s="72"/>
      <c r="K99" s="72"/>
      <c r="L99" s="71" t="s">
        <v>2979</v>
      </c>
      <c r="M99" s="75">
        <v>1.036037702164016</v>
      </c>
      <c r="N99" s="76">
        <v>6506.60205078125</v>
      </c>
      <c r="O99" s="76">
        <v>9670.0859375</v>
      </c>
      <c r="P99" s="77"/>
      <c r="Q99" s="78"/>
      <c r="R99" s="78"/>
      <c r="S99" s="92"/>
      <c r="T99" s="49">
        <v>1</v>
      </c>
      <c r="U99" s="49">
        <v>0</v>
      </c>
      <c r="V99" s="50">
        <v>0</v>
      </c>
      <c r="W99" s="50">
        <v>0.00339</v>
      </c>
      <c r="X99" s="50">
        <v>0.00011</v>
      </c>
      <c r="Y99" s="50">
        <v>0.531171</v>
      </c>
      <c r="Z99" s="50">
        <v>0</v>
      </c>
      <c r="AA99" s="50">
        <v>0</v>
      </c>
      <c r="AB99" s="73">
        <v>99</v>
      </c>
      <c r="AC99" s="73"/>
      <c r="AD99" s="74"/>
      <c r="AE99" s="81" t="s">
        <v>2012</v>
      </c>
      <c r="AF99" s="86" t="s">
        <v>2284</v>
      </c>
      <c r="AG99" s="81">
        <v>118</v>
      </c>
      <c r="AH99" s="81">
        <v>269</v>
      </c>
      <c r="AI99" s="81">
        <v>67</v>
      </c>
      <c r="AJ99" s="81">
        <v>74</v>
      </c>
      <c r="AK99" s="81"/>
      <c r="AL99" s="81" t="s">
        <v>2550</v>
      </c>
      <c r="AM99" s="81" t="s">
        <v>2788</v>
      </c>
      <c r="AN99" s="88" t="str">
        <f>HYPERLINK("https://t.co/2hah0nvCK6")</f>
        <v>https://t.co/2hah0nvCK6</v>
      </c>
      <c r="AO99" s="81"/>
      <c r="AP99" s="83">
        <v>44475.48017361111</v>
      </c>
      <c r="AQ99" s="88" t="str">
        <f>HYPERLINK("https://pbs.twimg.com/profile_banners/1445712963487219719/1636996509")</f>
        <v>https://pbs.twimg.com/profile_banners/1445712963487219719/1636996509</v>
      </c>
      <c r="AR99" s="81" t="b">
        <v>1</v>
      </c>
      <c r="AS99" s="81" t="b">
        <v>0</v>
      </c>
      <c r="AT99" s="81" t="b">
        <v>0</v>
      </c>
      <c r="AU99" s="81"/>
      <c r="AV99" s="81">
        <v>1</v>
      </c>
      <c r="AW99" s="81"/>
      <c r="AX99" s="81" t="b">
        <v>0</v>
      </c>
      <c r="AY99" s="81" t="s">
        <v>2883</v>
      </c>
      <c r="AZ99" s="88" t="str">
        <f>HYPERLINK("https://twitter.com/rcsi_micro")</f>
        <v>https://twitter.com/rcsi_micro</v>
      </c>
      <c r="BA99" s="81" t="s">
        <v>65</v>
      </c>
      <c r="BB99" s="81" t="str">
        <f>REPLACE(INDEX(GroupVertices[Group],MATCH(Vertices[[#This Row],[Vertex]],GroupVertices[Vertex],0)),1,1,"")</f>
        <v>3</v>
      </c>
      <c r="BC99" s="49"/>
      <c r="BD99" s="49"/>
      <c r="BE99" s="49"/>
      <c r="BF99" s="49"/>
      <c r="BG99" s="49"/>
      <c r="BH99" s="49"/>
      <c r="BI99" s="49"/>
      <c r="BJ99" s="49"/>
      <c r="BK99" s="49"/>
      <c r="BL99" s="49"/>
      <c r="BM99" s="49"/>
      <c r="BN99" s="50"/>
      <c r="BO99" s="49"/>
      <c r="BP99" s="50"/>
      <c r="BQ99" s="49"/>
      <c r="BR99" s="50"/>
      <c r="BS99" s="49"/>
      <c r="BT99" s="50"/>
      <c r="BU99" s="49"/>
      <c r="BV99" s="2"/>
      <c r="BW99" s="3"/>
      <c r="BX99" s="3"/>
      <c r="BY99" s="3"/>
      <c r="BZ99" s="3"/>
    </row>
    <row r="100" spans="1:78" ht="41.45" customHeight="1">
      <c r="A100" s="66" t="s">
        <v>476</v>
      </c>
      <c r="C100" s="67"/>
      <c r="D100" s="67" t="s">
        <v>64</v>
      </c>
      <c r="E100" s="68">
        <v>162.584169560564</v>
      </c>
      <c r="F100" s="70">
        <v>99.99874018970328</v>
      </c>
      <c r="G100" s="106" t="str">
        <f>HYPERLINK("https://pbs.twimg.com/profile_images/560333434384814080/MFutps_G_normal.jpeg")</f>
        <v>https://pbs.twimg.com/profile_images/560333434384814080/MFutps_G_normal.jpeg</v>
      </c>
      <c r="H100" s="67"/>
      <c r="I100" s="71" t="s">
        <v>476</v>
      </c>
      <c r="J100" s="72"/>
      <c r="K100" s="72"/>
      <c r="L100" s="71" t="s">
        <v>2980</v>
      </c>
      <c r="M100" s="75">
        <v>1.4198527782191173</v>
      </c>
      <c r="N100" s="76">
        <v>6841.982421875</v>
      </c>
      <c r="O100" s="76">
        <v>8270.4072265625</v>
      </c>
      <c r="P100" s="77"/>
      <c r="Q100" s="78"/>
      <c r="R100" s="78"/>
      <c r="S100" s="92"/>
      <c r="T100" s="49">
        <v>1</v>
      </c>
      <c r="U100" s="49">
        <v>0</v>
      </c>
      <c r="V100" s="50">
        <v>0</v>
      </c>
      <c r="W100" s="50">
        <v>0.00339</v>
      </c>
      <c r="X100" s="50">
        <v>0.00011</v>
      </c>
      <c r="Y100" s="50">
        <v>0.531171</v>
      </c>
      <c r="Z100" s="50">
        <v>0</v>
      </c>
      <c r="AA100" s="50">
        <v>0</v>
      </c>
      <c r="AB100" s="73">
        <v>100</v>
      </c>
      <c r="AC100" s="73"/>
      <c r="AD100" s="74"/>
      <c r="AE100" s="81" t="s">
        <v>2013</v>
      </c>
      <c r="AF100" s="86" t="s">
        <v>2285</v>
      </c>
      <c r="AG100" s="81">
        <v>1404</v>
      </c>
      <c r="AH100" s="81">
        <v>3102</v>
      </c>
      <c r="AI100" s="81">
        <v>12275</v>
      </c>
      <c r="AJ100" s="81">
        <v>3736</v>
      </c>
      <c r="AK100" s="81"/>
      <c r="AL100" s="81" t="s">
        <v>2551</v>
      </c>
      <c r="AM100" s="81" t="s">
        <v>2789</v>
      </c>
      <c r="AN100" s="88" t="str">
        <f>HYPERLINK("https://t.co/II8SK7qWet")</f>
        <v>https://t.co/II8SK7qWet</v>
      </c>
      <c r="AO100" s="81"/>
      <c r="AP100" s="83">
        <v>40942.88415509259</v>
      </c>
      <c r="AQ100" s="88" t="str">
        <f>HYPERLINK("https://pbs.twimg.com/profile_banners/482389086/1383808955")</f>
        <v>https://pbs.twimg.com/profile_banners/482389086/1383808955</v>
      </c>
      <c r="AR100" s="81" t="b">
        <v>1</v>
      </c>
      <c r="AS100" s="81" t="b">
        <v>0</v>
      </c>
      <c r="AT100" s="81" t="b">
        <v>1</v>
      </c>
      <c r="AU100" s="81"/>
      <c r="AV100" s="81">
        <v>34</v>
      </c>
      <c r="AW100" s="88" t="str">
        <f>HYPERLINK("https://abs.twimg.com/images/themes/theme1/bg.png")</f>
        <v>https://abs.twimg.com/images/themes/theme1/bg.png</v>
      </c>
      <c r="AX100" s="81" t="b">
        <v>0</v>
      </c>
      <c r="AY100" s="81" t="s">
        <v>2883</v>
      </c>
      <c r="AZ100" s="88" t="str">
        <f>HYPERLINK("https://twitter.com/ffitzp")</f>
        <v>https://twitter.com/ffitzp</v>
      </c>
      <c r="BA100" s="81" t="s">
        <v>65</v>
      </c>
      <c r="BB100" s="81" t="str">
        <f>REPLACE(INDEX(GroupVertices[Group],MATCH(Vertices[[#This Row],[Vertex]],GroupVertices[Vertex],0)),1,1,"")</f>
        <v>3</v>
      </c>
      <c r="BC100" s="49"/>
      <c r="BD100" s="49"/>
      <c r="BE100" s="49"/>
      <c r="BF100" s="49"/>
      <c r="BG100" s="49"/>
      <c r="BH100" s="49"/>
      <c r="BI100" s="49"/>
      <c r="BJ100" s="49"/>
      <c r="BK100" s="49"/>
      <c r="BL100" s="49"/>
      <c r="BM100" s="49"/>
      <c r="BN100" s="50"/>
      <c r="BO100" s="49"/>
      <c r="BP100" s="50"/>
      <c r="BQ100" s="49"/>
      <c r="BR100" s="50"/>
      <c r="BS100" s="49"/>
      <c r="BT100" s="50"/>
      <c r="BU100" s="49"/>
      <c r="BV100" s="2"/>
      <c r="BW100" s="3"/>
      <c r="BX100" s="3"/>
      <c r="BY100" s="3"/>
      <c r="BZ100" s="3"/>
    </row>
    <row r="101" spans="1:78" ht="41.45" customHeight="1">
      <c r="A101" s="66" t="s">
        <v>315</v>
      </c>
      <c r="C101" s="67"/>
      <c r="D101" s="67" t="s">
        <v>64</v>
      </c>
      <c r="E101" s="68">
        <v>162.01338368467248</v>
      </c>
      <c r="F101" s="70">
        <v>99.99997113696965</v>
      </c>
      <c r="G101" s="106" t="str">
        <f>HYPERLINK("https://pbs.twimg.com/profile_images/1461084316042211335/TW4N_mM2_normal.jpg")</f>
        <v>https://pbs.twimg.com/profile_images/1461084316042211335/TW4N_mM2_normal.jpg</v>
      </c>
      <c r="H101" s="67"/>
      <c r="I101" s="71" t="s">
        <v>315</v>
      </c>
      <c r="J101" s="72"/>
      <c r="K101" s="72"/>
      <c r="L101" s="71" t="s">
        <v>2981</v>
      </c>
      <c r="M101" s="75">
        <v>1.009619085915959</v>
      </c>
      <c r="N101" s="76">
        <v>3873.869140625</v>
      </c>
      <c r="O101" s="76">
        <v>8502.439453125</v>
      </c>
      <c r="P101" s="77"/>
      <c r="Q101" s="78"/>
      <c r="R101" s="78"/>
      <c r="S101" s="92"/>
      <c r="T101" s="49">
        <v>1</v>
      </c>
      <c r="U101" s="49">
        <v>1</v>
      </c>
      <c r="V101" s="50">
        <v>0</v>
      </c>
      <c r="W101" s="50">
        <v>0</v>
      </c>
      <c r="X101" s="50">
        <v>0</v>
      </c>
      <c r="Y101" s="50">
        <v>0.999998</v>
      </c>
      <c r="Z101" s="50">
        <v>0</v>
      </c>
      <c r="AA101" s="50">
        <v>0</v>
      </c>
      <c r="AB101" s="73">
        <v>101</v>
      </c>
      <c r="AC101" s="73"/>
      <c r="AD101" s="74"/>
      <c r="AE101" s="81" t="s">
        <v>2014</v>
      </c>
      <c r="AF101" s="86" t="s">
        <v>2286</v>
      </c>
      <c r="AG101" s="81">
        <v>59</v>
      </c>
      <c r="AH101" s="81">
        <v>74</v>
      </c>
      <c r="AI101" s="81">
        <v>126</v>
      </c>
      <c r="AJ101" s="81">
        <v>412</v>
      </c>
      <c r="AK101" s="81"/>
      <c r="AL101" s="81" t="s">
        <v>2552</v>
      </c>
      <c r="AM101" s="81"/>
      <c r="AN101" s="81"/>
      <c r="AO101" s="81"/>
      <c r="AP101" s="83">
        <v>43392.3224537037</v>
      </c>
      <c r="AQ101" s="88" t="str">
        <f>HYPERLINK("https://pbs.twimg.com/profile_banners/1053190093106827264/1637185283")</f>
        <v>https://pbs.twimg.com/profile_banners/1053190093106827264/1637185283</v>
      </c>
      <c r="AR101" s="81" t="b">
        <v>1</v>
      </c>
      <c r="AS101" s="81" t="b">
        <v>0</v>
      </c>
      <c r="AT101" s="81" t="b">
        <v>0</v>
      </c>
      <c r="AU101" s="81"/>
      <c r="AV101" s="81">
        <v>0</v>
      </c>
      <c r="AW101" s="81"/>
      <c r="AX101" s="81" t="b">
        <v>0</v>
      </c>
      <c r="AY101" s="81" t="s">
        <v>2883</v>
      </c>
      <c r="AZ101" s="88" t="str">
        <f>HYPERLINK("https://twitter.com/reddy_suganya")</f>
        <v>https://twitter.com/reddy_suganya</v>
      </c>
      <c r="BA101" s="81" t="s">
        <v>66</v>
      </c>
      <c r="BB101" s="81" t="str">
        <f>REPLACE(INDEX(GroupVertices[Group],MATCH(Vertices[[#This Row],[Vertex]],GroupVertices[Vertex],0)),1,1,"")</f>
        <v>1</v>
      </c>
      <c r="BC101" s="49" t="s">
        <v>3563</v>
      </c>
      <c r="BD101" s="49" t="s">
        <v>3563</v>
      </c>
      <c r="BE101" s="49" t="s">
        <v>920</v>
      </c>
      <c r="BF101" s="49" t="s">
        <v>920</v>
      </c>
      <c r="BG101" s="49" t="s">
        <v>1006</v>
      </c>
      <c r="BH101" s="49" t="s">
        <v>1006</v>
      </c>
      <c r="BI101" s="113" t="s">
        <v>3729</v>
      </c>
      <c r="BJ101" s="113" t="s">
        <v>3729</v>
      </c>
      <c r="BK101" s="113" t="s">
        <v>3906</v>
      </c>
      <c r="BL101" s="113" t="s">
        <v>3906</v>
      </c>
      <c r="BM101" s="113">
        <v>0</v>
      </c>
      <c r="BN101" s="116">
        <v>0</v>
      </c>
      <c r="BO101" s="113">
        <v>1</v>
      </c>
      <c r="BP101" s="116">
        <v>3.8461538461538463</v>
      </c>
      <c r="BQ101" s="113">
        <v>0</v>
      </c>
      <c r="BR101" s="116">
        <v>0</v>
      </c>
      <c r="BS101" s="113">
        <v>25</v>
      </c>
      <c r="BT101" s="116">
        <v>96.15384615384616</v>
      </c>
      <c r="BU101" s="113">
        <v>26</v>
      </c>
      <c r="BV101" s="2"/>
      <c r="BW101" s="3"/>
      <c r="BX101" s="3"/>
      <c r="BY101" s="3"/>
      <c r="BZ101" s="3"/>
    </row>
    <row r="102" spans="1:78" ht="41.45" customHeight="1">
      <c r="A102" s="66" t="s">
        <v>316</v>
      </c>
      <c r="C102" s="67"/>
      <c r="D102" s="67" t="s">
        <v>64</v>
      </c>
      <c r="E102" s="68">
        <v>162.36871108759703</v>
      </c>
      <c r="F102" s="70">
        <v>99.99920484383982</v>
      </c>
      <c r="G102" s="106" t="str">
        <f>HYPERLINK("https://pbs.twimg.com/profile_images/1126408902453731328/jHIFGitr_normal.png")</f>
        <v>https://pbs.twimg.com/profile_images/1126408902453731328/jHIFGitr_normal.png</v>
      </c>
      <c r="H102" s="67"/>
      <c r="I102" s="71" t="s">
        <v>316</v>
      </c>
      <c r="J102" s="72"/>
      <c r="K102" s="72"/>
      <c r="L102" s="71" t="s">
        <v>2982</v>
      </c>
      <c r="M102" s="75">
        <v>1.2649990429805076</v>
      </c>
      <c r="N102" s="76">
        <v>1528.2574462890625</v>
      </c>
      <c r="O102" s="76">
        <v>4610.28466796875</v>
      </c>
      <c r="P102" s="77"/>
      <c r="Q102" s="78"/>
      <c r="R102" s="78"/>
      <c r="S102" s="92"/>
      <c r="T102" s="49">
        <v>1</v>
      </c>
      <c r="U102" s="49">
        <v>1</v>
      </c>
      <c r="V102" s="50">
        <v>0</v>
      </c>
      <c r="W102" s="50">
        <v>0</v>
      </c>
      <c r="X102" s="50">
        <v>0</v>
      </c>
      <c r="Y102" s="50">
        <v>0.999998</v>
      </c>
      <c r="Z102" s="50">
        <v>0</v>
      </c>
      <c r="AA102" s="50">
        <v>0</v>
      </c>
      <c r="AB102" s="73">
        <v>102</v>
      </c>
      <c r="AC102" s="73"/>
      <c r="AD102" s="74"/>
      <c r="AE102" s="81" t="s">
        <v>2015</v>
      </c>
      <c r="AF102" s="86" t="s">
        <v>2287</v>
      </c>
      <c r="AG102" s="81">
        <v>1909</v>
      </c>
      <c r="AH102" s="81">
        <v>1959</v>
      </c>
      <c r="AI102" s="81">
        <v>3109</v>
      </c>
      <c r="AJ102" s="81">
        <v>205</v>
      </c>
      <c r="AK102" s="81"/>
      <c r="AL102" s="81" t="s">
        <v>2553</v>
      </c>
      <c r="AM102" s="81" t="s">
        <v>2790</v>
      </c>
      <c r="AN102" s="88" t="str">
        <f>HYPERLINK("https://t.co/vCknELd1r5")</f>
        <v>https://t.co/vCknELd1r5</v>
      </c>
      <c r="AO102" s="81"/>
      <c r="AP102" s="83">
        <v>43164.45334490741</v>
      </c>
      <c r="AQ102" s="88" t="str">
        <f>HYPERLINK("https://pbs.twimg.com/profile_banners/970613094367014912/1592907418")</f>
        <v>https://pbs.twimg.com/profile_banners/970613094367014912/1592907418</v>
      </c>
      <c r="AR102" s="81" t="b">
        <v>0</v>
      </c>
      <c r="AS102" s="81" t="b">
        <v>0</v>
      </c>
      <c r="AT102" s="81" t="b">
        <v>0</v>
      </c>
      <c r="AU102" s="81"/>
      <c r="AV102" s="81">
        <v>19</v>
      </c>
      <c r="AW102" s="88" t="str">
        <f>HYPERLINK("https://abs.twimg.com/images/themes/theme1/bg.png")</f>
        <v>https://abs.twimg.com/images/themes/theme1/bg.png</v>
      </c>
      <c r="AX102" s="81" t="b">
        <v>1</v>
      </c>
      <c r="AY102" s="81" t="s">
        <v>2883</v>
      </c>
      <c r="AZ102" s="88" t="str">
        <f>HYPERLINK("https://twitter.com/nhseastberksccg")</f>
        <v>https://twitter.com/nhseastberksccg</v>
      </c>
      <c r="BA102" s="81" t="s">
        <v>66</v>
      </c>
      <c r="BB102" s="81" t="str">
        <f>REPLACE(INDEX(GroupVertices[Group],MATCH(Vertices[[#This Row],[Vertex]],GroupVertices[Vertex],0)),1,1,"")</f>
        <v>1</v>
      </c>
      <c r="BC102" s="49" t="s">
        <v>3208</v>
      </c>
      <c r="BD102" s="49" t="s">
        <v>3208</v>
      </c>
      <c r="BE102" s="49" t="s">
        <v>921</v>
      </c>
      <c r="BF102" s="49" t="s">
        <v>921</v>
      </c>
      <c r="BG102" s="49" t="s">
        <v>1007</v>
      </c>
      <c r="BH102" s="49" t="s">
        <v>1007</v>
      </c>
      <c r="BI102" s="113" t="s">
        <v>3730</v>
      </c>
      <c r="BJ102" s="113" t="s">
        <v>3730</v>
      </c>
      <c r="BK102" s="113" t="s">
        <v>3907</v>
      </c>
      <c r="BL102" s="113" t="s">
        <v>3907</v>
      </c>
      <c r="BM102" s="113">
        <v>1</v>
      </c>
      <c r="BN102" s="116">
        <v>3.125</v>
      </c>
      <c r="BO102" s="113">
        <v>0</v>
      </c>
      <c r="BP102" s="116">
        <v>0</v>
      </c>
      <c r="BQ102" s="113">
        <v>0</v>
      </c>
      <c r="BR102" s="116">
        <v>0</v>
      </c>
      <c r="BS102" s="113">
        <v>31</v>
      </c>
      <c r="BT102" s="116">
        <v>96.875</v>
      </c>
      <c r="BU102" s="113">
        <v>32</v>
      </c>
      <c r="BV102" s="2"/>
      <c r="BW102" s="3"/>
      <c r="BX102" s="3"/>
      <c r="BY102" s="3"/>
      <c r="BZ102" s="3"/>
    </row>
    <row r="103" spans="1:78" ht="41.45" customHeight="1">
      <c r="A103" s="66" t="s">
        <v>317</v>
      </c>
      <c r="C103" s="67"/>
      <c r="D103" s="67" t="s">
        <v>64</v>
      </c>
      <c r="E103" s="68">
        <v>162.43525250575743</v>
      </c>
      <c r="F103" s="70">
        <v>99.99906134173116</v>
      </c>
      <c r="G103" s="106" t="str">
        <f>HYPERLINK("https://pbs.twimg.com/profile_images/1023912757429772288/6_GabIIh_normal.jpg")</f>
        <v>https://pbs.twimg.com/profile_images/1023912757429772288/6_GabIIh_normal.jpg</v>
      </c>
      <c r="H103" s="67"/>
      <c r="I103" s="71" t="s">
        <v>317</v>
      </c>
      <c r="J103" s="72"/>
      <c r="K103" s="72"/>
      <c r="L103" s="71" t="s">
        <v>2983</v>
      </c>
      <c r="M103" s="75">
        <v>1.3128235123936565</v>
      </c>
      <c r="N103" s="76">
        <v>3091.998291015625</v>
      </c>
      <c r="O103" s="76">
        <v>4610.28466796875</v>
      </c>
      <c r="P103" s="77"/>
      <c r="Q103" s="78"/>
      <c r="R103" s="78"/>
      <c r="S103" s="92"/>
      <c r="T103" s="49">
        <v>1</v>
      </c>
      <c r="U103" s="49">
        <v>1</v>
      </c>
      <c r="V103" s="50">
        <v>0</v>
      </c>
      <c r="W103" s="50">
        <v>0</v>
      </c>
      <c r="X103" s="50">
        <v>0</v>
      </c>
      <c r="Y103" s="50">
        <v>0.999998</v>
      </c>
      <c r="Z103" s="50">
        <v>0</v>
      </c>
      <c r="AA103" s="50">
        <v>0</v>
      </c>
      <c r="AB103" s="73">
        <v>103</v>
      </c>
      <c r="AC103" s="73"/>
      <c r="AD103" s="74"/>
      <c r="AE103" s="81" t="s">
        <v>2016</v>
      </c>
      <c r="AF103" s="86" t="s">
        <v>2288</v>
      </c>
      <c r="AG103" s="81">
        <v>1402</v>
      </c>
      <c r="AH103" s="81">
        <v>2312</v>
      </c>
      <c r="AI103" s="81">
        <v>6137</v>
      </c>
      <c r="AJ103" s="81">
        <v>1701</v>
      </c>
      <c r="AK103" s="81"/>
      <c r="AL103" s="81" t="s">
        <v>2554</v>
      </c>
      <c r="AM103" s="81" t="s">
        <v>2791</v>
      </c>
      <c r="AN103" s="81"/>
      <c r="AO103" s="81"/>
      <c r="AP103" s="83">
        <v>43308.579664351855</v>
      </c>
      <c r="AQ103" s="88" t="str">
        <f>HYPERLINK("https://pbs.twimg.com/profile_banners/1022842723060117504/1617261909")</f>
        <v>https://pbs.twimg.com/profile_banners/1022842723060117504/1617261909</v>
      </c>
      <c r="AR103" s="81" t="b">
        <v>0</v>
      </c>
      <c r="AS103" s="81" t="b">
        <v>0</v>
      </c>
      <c r="AT103" s="81" t="b">
        <v>0</v>
      </c>
      <c r="AU103" s="81"/>
      <c r="AV103" s="81">
        <v>15</v>
      </c>
      <c r="AW103" s="88" t="str">
        <f>HYPERLINK("https://abs.twimg.com/images/themes/theme1/bg.png")</f>
        <v>https://abs.twimg.com/images/themes/theme1/bg.png</v>
      </c>
      <c r="AX103" s="81" t="b">
        <v>1</v>
      </c>
      <c r="AY103" s="81" t="s">
        <v>2883</v>
      </c>
      <c r="AZ103" s="88" t="str">
        <f>HYPERLINK("https://twitter.com/staffsccgs")</f>
        <v>https://twitter.com/staffsccgs</v>
      </c>
      <c r="BA103" s="81" t="s">
        <v>66</v>
      </c>
      <c r="BB103" s="81" t="str">
        <f>REPLACE(INDEX(GroupVertices[Group],MATCH(Vertices[[#This Row],[Vertex]],GroupVertices[Vertex],0)),1,1,"")</f>
        <v>1</v>
      </c>
      <c r="BC103" s="49" t="s">
        <v>3215</v>
      </c>
      <c r="BD103" s="49" t="s">
        <v>3215</v>
      </c>
      <c r="BE103" s="49" t="s">
        <v>901</v>
      </c>
      <c r="BF103" s="49" t="s">
        <v>901</v>
      </c>
      <c r="BG103" s="49" t="s">
        <v>948</v>
      </c>
      <c r="BH103" s="49" t="s">
        <v>948</v>
      </c>
      <c r="BI103" s="113" t="s">
        <v>3680</v>
      </c>
      <c r="BJ103" s="113" t="s">
        <v>3680</v>
      </c>
      <c r="BK103" s="113" t="s">
        <v>3857</v>
      </c>
      <c r="BL103" s="113" t="s">
        <v>3857</v>
      </c>
      <c r="BM103" s="113">
        <v>0</v>
      </c>
      <c r="BN103" s="116">
        <v>0</v>
      </c>
      <c r="BO103" s="113">
        <v>2</v>
      </c>
      <c r="BP103" s="116">
        <v>8.695652173913043</v>
      </c>
      <c r="BQ103" s="113">
        <v>0</v>
      </c>
      <c r="BR103" s="116">
        <v>0</v>
      </c>
      <c r="BS103" s="113">
        <v>21</v>
      </c>
      <c r="BT103" s="116">
        <v>91.30434782608695</v>
      </c>
      <c r="BU103" s="113">
        <v>23</v>
      </c>
      <c r="BV103" s="2"/>
      <c r="BW103" s="3"/>
      <c r="BX103" s="3"/>
      <c r="BY103" s="3"/>
      <c r="BZ103" s="3"/>
    </row>
    <row r="104" spans="1:78" ht="41.45" customHeight="1">
      <c r="A104" s="66" t="s">
        <v>318</v>
      </c>
      <c r="C104" s="67"/>
      <c r="D104" s="67" t="s">
        <v>64</v>
      </c>
      <c r="E104" s="68">
        <v>162.00829411444494</v>
      </c>
      <c r="F104" s="70">
        <v>99.99998211305162</v>
      </c>
      <c r="G104" s="106" t="str">
        <f>HYPERLINK("https://pbs.twimg.com/profile_images/1239261378357202945/CBECkSFd_normal.jpg")</f>
        <v>https://pbs.twimg.com/profile_images/1239261378357202945/CBECkSFd_normal.jpg</v>
      </c>
      <c r="H104" s="67"/>
      <c r="I104" s="71" t="s">
        <v>318</v>
      </c>
      <c r="J104" s="72"/>
      <c r="K104" s="72"/>
      <c r="L104" s="71" t="s">
        <v>2984</v>
      </c>
      <c r="M104" s="75">
        <v>1.0059611236662283</v>
      </c>
      <c r="N104" s="76">
        <v>1137.3221435546875</v>
      </c>
      <c r="O104" s="76">
        <v>8502.439453125</v>
      </c>
      <c r="P104" s="77"/>
      <c r="Q104" s="78"/>
      <c r="R104" s="78"/>
      <c r="S104" s="92"/>
      <c r="T104" s="49">
        <v>1</v>
      </c>
      <c r="U104" s="49">
        <v>1</v>
      </c>
      <c r="V104" s="50">
        <v>0</v>
      </c>
      <c r="W104" s="50">
        <v>0</v>
      </c>
      <c r="X104" s="50">
        <v>0</v>
      </c>
      <c r="Y104" s="50">
        <v>0.999998</v>
      </c>
      <c r="Z104" s="50">
        <v>0</v>
      </c>
      <c r="AA104" s="50">
        <v>0</v>
      </c>
      <c r="AB104" s="73">
        <v>104</v>
      </c>
      <c r="AC104" s="73"/>
      <c r="AD104" s="74"/>
      <c r="AE104" s="81" t="s">
        <v>2017</v>
      </c>
      <c r="AF104" s="86" t="s">
        <v>2289</v>
      </c>
      <c r="AG104" s="81">
        <v>227</v>
      </c>
      <c r="AH104" s="81">
        <v>47</v>
      </c>
      <c r="AI104" s="81">
        <v>194</v>
      </c>
      <c r="AJ104" s="81">
        <v>213</v>
      </c>
      <c r="AK104" s="81"/>
      <c r="AL104" s="81" t="s">
        <v>2555</v>
      </c>
      <c r="AM104" s="81"/>
      <c r="AN104" s="81"/>
      <c r="AO104" s="81"/>
      <c r="AP104" s="83">
        <v>43905.78053240741</v>
      </c>
      <c r="AQ104" s="81"/>
      <c r="AR104" s="81" t="b">
        <v>1</v>
      </c>
      <c r="AS104" s="81" t="b">
        <v>0</v>
      </c>
      <c r="AT104" s="81" t="b">
        <v>0</v>
      </c>
      <c r="AU104" s="81"/>
      <c r="AV104" s="81">
        <v>0</v>
      </c>
      <c r="AW104" s="81"/>
      <c r="AX104" s="81" t="b">
        <v>0</v>
      </c>
      <c r="AY104" s="81" t="s">
        <v>2883</v>
      </c>
      <c r="AZ104" s="88" t="str">
        <f>HYPERLINK("https://twitter.com/tanveer32915182")</f>
        <v>https://twitter.com/tanveer32915182</v>
      </c>
      <c r="BA104" s="81" t="s">
        <v>66</v>
      </c>
      <c r="BB104" s="81" t="str">
        <f>REPLACE(INDEX(GroupVertices[Group],MATCH(Vertices[[#This Row],[Vertex]],GroupVertices[Vertex],0)),1,1,"")</f>
        <v>1</v>
      </c>
      <c r="BC104" s="49"/>
      <c r="BD104" s="49"/>
      <c r="BE104" s="49"/>
      <c r="BF104" s="49"/>
      <c r="BG104" s="49" t="s">
        <v>966</v>
      </c>
      <c r="BH104" s="49" t="s">
        <v>966</v>
      </c>
      <c r="BI104" s="113" t="s">
        <v>3681</v>
      </c>
      <c r="BJ104" s="113" t="s">
        <v>3681</v>
      </c>
      <c r="BK104" s="113" t="s">
        <v>3858</v>
      </c>
      <c r="BL104" s="113" t="s">
        <v>3858</v>
      </c>
      <c r="BM104" s="113">
        <v>0</v>
      </c>
      <c r="BN104" s="116">
        <v>0</v>
      </c>
      <c r="BO104" s="113">
        <v>12</v>
      </c>
      <c r="BP104" s="116">
        <v>14.285714285714286</v>
      </c>
      <c r="BQ104" s="113">
        <v>0</v>
      </c>
      <c r="BR104" s="116">
        <v>0</v>
      </c>
      <c r="BS104" s="113">
        <v>72</v>
      </c>
      <c r="BT104" s="116">
        <v>85.71428571428571</v>
      </c>
      <c r="BU104" s="113">
        <v>84</v>
      </c>
      <c r="BV104" s="2"/>
      <c r="BW104" s="3"/>
      <c r="BX104" s="3"/>
      <c r="BY104" s="3"/>
      <c r="BZ104" s="3"/>
    </row>
    <row r="105" spans="1:78" ht="41.45" customHeight="1">
      <c r="A105" s="66" t="s">
        <v>319</v>
      </c>
      <c r="C105" s="67"/>
      <c r="D105" s="67" t="s">
        <v>64</v>
      </c>
      <c r="E105" s="68">
        <v>163.53290315150255</v>
      </c>
      <c r="F105" s="70">
        <v>99.99669416672059</v>
      </c>
      <c r="G105" s="106" t="str">
        <f>HYPERLINK("https://pbs.twimg.com/profile_images/1258012493827338243/NU2fR-CY_normal.jpg")</f>
        <v>https://pbs.twimg.com/profile_images/1258012493827338243/NU2fR-CY_normal.jpg</v>
      </c>
      <c r="H105" s="67"/>
      <c r="I105" s="71" t="s">
        <v>319</v>
      </c>
      <c r="J105" s="72"/>
      <c r="K105" s="72"/>
      <c r="L105" s="71" t="s">
        <v>2985</v>
      </c>
      <c r="M105" s="75">
        <v>2.101724037585628</v>
      </c>
      <c r="N105" s="76">
        <v>6037.99462890625</v>
      </c>
      <c r="O105" s="76">
        <v>5755.13232421875</v>
      </c>
      <c r="P105" s="77"/>
      <c r="Q105" s="78"/>
      <c r="R105" s="78"/>
      <c r="S105" s="92"/>
      <c r="T105" s="49">
        <v>0</v>
      </c>
      <c r="U105" s="49">
        <v>1</v>
      </c>
      <c r="V105" s="50">
        <v>0</v>
      </c>
      <c r="W105" s="50">
        <v>0.052632</v>
      </c>
      <c r="X105" s="50">
        <v>0</v>
      </c>
      <c r="Y105" s="50">
        <v>0.490452</v>
      </c>
      <c r="Z105" s="50">
        <v>0</v>
      </c>
      <c r="AA105" s="50">
        <v>0</v>
      </c>
      <c r="AB105" s="73">
        <v>105</v>
      </c>
      <c r="AC105" s="73"/>
      <c r="AD105" s="74"/>
      <c r="AE105" s="81" t="s">
        <v>2018</v>
      </c>
      <c r="AF105" s="86" t="s">
        <v>2290</v>
      </c>
      <c r="AG105" s="81">
        <v>4800</v>
      </c>
      <c r="AH105" s="81">
        <v>8135</v>
      </c>
      <c r="AI105" s="81">
        <v>22817</v>
      </c>
      <c r="AJ105" s="81">
        <v>4675</v>
      </c>
      <c r="AK105" s="81"/>
      <c r="AL105" s="81" t="s">
        <v>2556</v>
      </c>
      <c r="AM105" s="81" t="s">
        <v>2792</v>
      </c>
      <c r="AN105" s="88" t="str">
        <f>HYPERLINK("https://t.co/Rk3nJX4xal")</f>
        <v>https://t.co/Rk3nJX4xal</v>
      </c>
      <c r="AO105" s="81"/>
      <c r="AP105" s="83">
        <v>40578.688796296294</v>
      </c>
      <c r="AQ105" s="88" t="str">
        <f>HYPERLINK("https://pbs.twimg.com/profile_banners/247351807/1621541791")</f>
        <v>https://pbs.twimg.com/profile_banners/247351807/1621541791</v>
      </c>
      <c r="AR105" s="81" t="b">
        <v>1</v>
      </c>
      <c r="AS105" s="81" t="b">
        <v>0</v>
      </c>
      <c r="AT105" s="81" t="b">
        <v>1</v>
      </c>
      <c r="AU105" s="81"/>
      <c r="AV105" s="81">
        <v>201</v>
      </c>
      <c r="AW105" s="88" t="str">
        <f>HYPERLINK("https://abs.twimg.com/images/themes/theme1/bg.png")</f>
        <v>https://abs.twimg.com/images/themes/theme1/bg.png</v>
      </c>
      <c r="AX105" s="81" t="b">
        <v>1</v>
      </c>
      <c r="AY105" s="81" t="s">
        <v>2883</v>
      </c>
      <c r="AZ105" s="88" t="str">
        <f>HYPERLINK("https://twitter.com/nfidvaccines")</f>
        <v>https://twitter.com/nfidvaccines</v>
      </c>
      <c r="BA105" s="81" t="s">
        <v>66</v>
      </c>
      <c r="BB105" s="81" t="str">
        <f>REPLACE(INDEX(GroupVertices[Group],MATCH(Vertices[[#This Row],[Vertex]],GroupVertices[Vertex],0)),1,1,"")</f>
        <v>5</v>
      </c>
      <c r="BC105" s="49" t="s">
        <v>3204</v>
      </c>
      <c r="BD105" s="49" t="s">
        <v>3204</v>
      </c>
      <c r="BE105" s="49" t="s">
        <v>903</v>
      </c>
      <c r="BF105" s="49" t="s">
        <v>903</v>
      </c>
      <c r="BG105" s="49" t="s">
        <v>1008</v>
      </c>
      <c r="BH105" s="49" t="s">
        <v>1008</v>
      </c>
      <c r="BI105" s="113" t="s">
        <v>3731</v>
      </c>
      <c r="BJ105" s="113" t="s">
        <v>3731</v>
      </c>
      <c r="BK105" s="113" t="s">
        <v>3908</v>
      </c>
      <c r="BL105" s="113" t="s">
        <v>3908</v>
      </c>
      <c r="BM105" s="113">
        <v>0</v>
      </c>
      <c r="BN105" s="116">
        <v>0</v>
      </c>
      <c r="BO105" s="113">
        <v>1</v>
      </c>
      <c r="BP105" s="116">
        <v>3.3333333333333335</v>
      </c>
      <c r="BQ105" s="113">
        <v>0</v>
      </c>
      <c r="BR105" s="116">
        <v>0</v>
      </c>
      <c r="BS105" s="113">
        <v>29</v>
      </c>
      <c r="BT105" s="116">
        <v>96.66666666666667</v>
      </c>
      <c r="BU105" s="113">
        <v>30</v>
      </c>
      <c r="BV105" s="2"/>
      <c r="BW105" s="3"/>
      <c r="BX105" s="3"/>
      <c r="BY105" s="3"/>
      <c r="BZ105" s="3"/>
    </row>
    <row r="106" spans="1:78" ht="41.45" customHeight="1">
      <c r="A106" s="66" t="s">
        <v>320</v>
      </c>
      <c r="C106" s="67"/>
      <c r="D106" s="67" t="s">
        <v>64</v>
      </c>
      <c r="E106" s="68">
        <v>162.79020290347992</v>
      </c>
      <c r="F106" s="70">
        <v>99.99829586164445</v>
      </c>
      <c r="G106" s="106" t="str">
        <f>HYPERLINK("https://pbs.twimg.com/profile_images/1258390430087098369/PoUyhDtJ_normal.jpg")</f>
        <v>https://pbs.twimg.com/profile_images/1258390430087098369/PoUyhDtJ_normal.jpg</v>
      </c>
      <c r="H106" s="67"/>
      <c r="I106" s="71" t="s">
        <v>320</v>
      </c>
      <c r="J106" s="72"/>
      <c r="K106" s="72"/>
      <c r="L106" s="71" t="s">
        <v>2986</v>
      </c>
      <c r="M106" s="75">
        <v>1.5679325092915581</v>
      </c>
      <c r="N106" s="76">
        <v>3873.869140625</v>
      </c>
      <c r="O106" s="76">
        <v>3831.853515625</v>
      </c>
      <c r="P106" s="77"/>
      <c r="Q106" s="78"/>
      <c r="R106" s="78"/>
      <c r="S106" s="92"/>
      <c r="T106" s="49">
        <v>1</v>
      </c>
      <c r="U106" s="49">
        <v>1</v>
      </c>
      <c r="V106" s="50">
        <v>0</v>
      </c>
      <c r="W106" s="50">
        <v>0</v>
      </c>
      <c r="X106" s="50">
        <v>0</v>
      </c>
      <c r="Y106" s="50">
        <v>0.999998</v>
      </c>
      <c r="Z106" s="50">
        <v>0</v>
      </c>
      <c r="AA106" s="50">
        <v>0</v>
      </c>
      <c r="AB106" s="73">
        <v>106</v>
      </c>
      <c r="AC106" s="73"/>
      <c r="AD106" s="74"/>
      <c r="AE106" s="81" t="s">
        <v>2019</v>
      </c>
      <c r="AF106" s="86" t="s">
        <v>2291</v>
      </c>
      <c r="AG106" s="81">
        <v>117</v>
      </c>
      <c r="AH106" s="81">
        <v>4195</v>
      </c>
      <c r="AI106" s="81">
        <v>6456</v>
      </c>
      <c r="AJ106" s="81">
        <v>583</v>
      </c>
      <c r="AK106" s="81"/>
      <c r="AL106" s="81" t="s">
        <v>2557</v>
      </c>
      <c r="AM106" s="81" t="s">
        <v>2793</v>
      </c>
      <c r="AN106" s="88" t="str">
        <f>HYPERLINK("https://t.co/sqzCXxxfJk")</f>
        <v>https://t.co/sqzCXxxfJk</v>
      </c>
      <c r="AO106" s="81"/>
      <c r="AP106" s="83">
        <v>41677.50115740741</v>
      </c>
      <c r="AQ106" s="88" t="str">
        <f>HYPERLINK("https://pbs.twimg.com/profile_banners/2331761587/1600084769")</f>
        <v>https://pbs.twimg.com/profile_banners/2331761587/1600084769</v>
      </c>
      <c r="AR106" s="81" t="b">
        <v>0</v>
      </c>
      <c r="AS106" s="81" t="b">
        <v>0</v>
      </c>
      <c r="AT106" s="81" t="b">
        <v>0</v>
      </c>
      <c r="AU106" s="81"/>
      <c r="AV106" s="81">
        <v>51</v>
      </c>
      <c r="AW106" s="88" t="str">
        <f>HYPERLINK("https://abs.twimg.com/images/themes/theme1/bg.png")</f>
        <v>https://abs.twimg.com/images/themes/theme1/bg.png</v>
      </c>
      <c r="AX106" s="81" t="b">
        <v>1</v>
      </c>
      <c r="AY106" s="81" t="s">
        <v>2883</v>
      </c>
      <c r="AZ106" s="88" t="str">
        <f>HYPERLINK("https://twitter.com/sunderlandccg")</f>
        <v>https://twitter.com/sunderlandccg</v>
      </c>
      <c r="BA106" s="81" t="s">
        <v>66</v>
      </c>
      <c r="BB106" s="81" t="str">
        <f>REPLACE(INDEX(GroupVertices[Group],MATCH(Vertices[[#This Row],[Vertex]],GroupVertices[Vertex],0)),1,1,"")</f>
        <v>1</v>
      </c>
      <c r="BC106" s="49"/>
      <c r="BD106" s="49"/>
      <c r="BE106" s="49"/>
      <c r="BF106" s="49"/>
      <c r="BG106" s="49" t="s">
        <v>1009</v>
      </c>
      <c r="BH106" s="49" t="s">
        <v>1009</v>
      </c>
      <c r="BI106" s="113" t="s">
        <v>3732</v>
      </c>
      <c r="BJ106" s="113" t="s">
        <v>3732</v>
      </c>
      <c r="BK106" s="113" t="s">
        <v>3909</v>
      </c>
      <c r="BL106" s="113" t="s">
        <v>3909</v>
      </c>
      <c r="BM106" s="113">
        <v>0</v>
      </c>
      <c r="BN106" s="116">
        <v>0</v>
      </c>
      <c r="BO106" s="113">
        <v>0</v>
      </c>
      <c r="BP106" s="116">
        <v>0</v>
      </c>
      <c r="BQ106" s="113">
        <v>0</v>
      </c>
      <c r="BR106" s="116">
        <v>0</v>
      </c>
      <c r="BS106" s="113">
        <v>26</v>
      </c>
      <c r="BT106" s="116">
        <v>100</v>
      </c>
      <c r="BU106" s="113">
        <v>26</v>
      </c>
      <c r="BV106" s="2"/>
      <c r="BW106" s="3"/>
      <c r="BX106" s="3"/>
      <c r="BY106" s="3"/>
      <c r="BZ106" s="3"/>
    </row>
    <row r="107" spans="1:78" ht="41.45" customHeight="1">
      <c r="A107" s="66" t="s">
        <v>321</v>
      </c>
      <c r="C107" s="67"/>
      <c r="D107" s="67" t="s">
        <v>64</v>
      </c>
      <c r="E107" s="68">
        <v>162.00113101560612</v>
      </c>
      <c r="F107" s="70">
        <v>99.99999756087067</v>
      </c>
      <c r="G107" s="106" t="str">
        <f>HYPERLINK("https://pbs.twimg.com/profile_images/1464137331594641411/bDOurxIL_normal.jpg")</f>
        <v>https://pbs.twimg.com/profile_images/1464137331594641411/bDOurxIL_normal.jpg</v>
      </c>
      <c r="H107" s="67"/>
      <c r="I107" s="71" t="s">
        <v>321</v>
      </c>
      <c r="J107" s="72"/>
      <c r="K107" s="72"/>
      <c r="L107" s="71" t="s">
        <v>2987</v>
      </c>
      <c r="M107" s="75">
        <v>1.00081288049994</v>
      </c>
      <c r="N107" s="76">
        <v>1919.192626953125</v>
      </c>
      <c r="O107" s="76">
        <v>9280.87109375</v>
      </c>
      <c r="P107" s="77"/>
      <c r="Q107" s="78"/>
      <c r="R107" s="78"/>
      <c r="S107" s="92"/>
      <c r="T107" s="49">
        <v>1</v>
      </c>
      <c r="U107" s="49">
        <v>1</v>
      </c>
      <c r="V107" s="50">
        <v>0</v>
      </c>
      <c r="W107" s="50">
        <v>0</v>
      </c>
      <c r="X107" s="50">
        <v>0</v>
      </c>
      <c r="Y107" s="50">
        <v>0.999998</v>
      </c>
      <c r="Z107" s="50">
        <v>0</v>
      </c>
      <c r="AA107" s="50">
        <v>0</v>
      </c>
      <c r="AB107" s="73">
        <v>107</v>
      </c>
      <c r="AC107" s="73"/>
      <c r="AD107" s="74"/>
      <c r="AE107" s="81" t="s">
        <v>2020</v>
      </c>
      <c r="AF107" s="86" t="s">
        <v>2292</v>
      </c>
      <c r="AG107" s="81">
        <v>206</v>
      </c>
      <c r="AH107" s="81">
        <v>9</v>
      </c>
      <c r="AI107" s="81">
        <v>30</v>
      </c>
      <c r="AJ107" s="81">
        <v>80</v>
      </c>
      <c r="AK107" s="81"/>
      <c r="AL107" s="81" t="s">
        <v>2558</v>
      </c>
      <c r="AM107" s="81"/>
      <c r="AN107" s="81"/>
      <c r="AO107" s="81"/>
      <c r="AP107" s="83">
        <v>44290.041134259256</v>
      </c>
      <c r="AQ107" s="88" t="str">
        <f>HYPERLINK("https://pbs.twimg.com/profile_banners/1378512255394910211/1637922612")</f>
        <v>https://pbs.twimg.com/profile_banners/1378512255394910211/1637922612</v>
      </c>
      <c r="AR107" s="81" t="b">
        <v>1</v>
      </c>
      <c r="AS107" s="81" t="b">
        <v>0</v>
      </c>
      <c r="AT107" s="81" t="b">
        <v>0</v>
      </c>
      <c r="AU107" s="81"/>
      <c r="AV107" s="81">
        <v>0</v>
      </c>
      <c r="AW107" s="81"/>
      <c r="AX107" s="81" t="b">
        <v>0</v>
      </c>
      <c r="AY107" s="81" t="s">
        <v>2883</v>
      </c>
      <c r="AZ107" s="88" t="str">
        <f>HYPERLINK("https://twitter.com/rph_iram_malik")</f>
        <v>https://twitter.com/rph_iram_malik</v>
      </c>
      <c r="BA107" s="81" t="s">
        <v>66</v>
      </c>
      <c r="BB107" s="81" t="str">
        <f>REPLACE(INDEX(GroupVertices[Group],MATCH(Vertices[[#This Row],[Vertex]],GroupVertices[Vertex],0)),1,1,"")</f>
        <v>1</v>
      </c>
      <c r="BC107" s="49" t="s">
        <v>3564</v>
      </c>
      <c r="BD107" s="49" t="s">
        <v>3564</v>
      </c>
      <c r="BE107" s="49" t="s">
        <v>914</v>
      </c>
      <c r="BF107" s="49" t="s">
        <v>914</v>
      </c>
      <c r="BG107" s="49" t="s">
        <v>1010</v>
      </c>
      <c r="BH107" s="49" t="s">
        <v>1010</v>
      </c>
      <c r="BI107" s="113" t="s">
        <v>3733</v>
      </c>
      <c r="BJ107" s="113" t="s">
        <v>3733</v>
      </c>
      <c r="BK107" s="113" t="s">
        <v>3910</v>
      </c>
      <c r="BL107" s="113" t="s">
        <v>3910</v>
      </c>
      <c r="BM107" s="113">
        <v>0</v>
      </c>
      <c r="BN107" s="116">
        <v>0</v>
      </c>
      <c r="BO107" s="113">
        <v>0</v>
      </c>
      <c r="BP107" s="116">
        <v>0</v>
      </c>
      <c r="BQ107" s="113">
        <v>0</v>
      </c>
      <c r="BR107" s="116">
        <v>0</v>
      </c>
      <c r="BS107" s="113">
        <v>2</v>
      </c>
      <c r="BT107" s="116">
        <v>100</v>
      </c>
      <c r="BU107" s="113">
        <v>2</v>
      </c>
      <c r="BV107" s="2"/>
      <c r="BW107" s="3"/>
      <c r="BX107" s="3"/>
      <c r="BY107" s="3"/>
      <c r="BZ107" s="3"/>
    </row>
    <row r="108" spans="1:78" ht="41.45" customHeight="1">
      <c r="A108" s="66" t="s">
        <v>322</v>
      </c>
      <c r="C108" s="67"/>
      <c r="D108" s="67" t="s">
        <v>64</v>
      </c>
      <c r="E108" s="68">
        <v>162.51084204876685</v>
      </c>
      <c r="F108" s="70">
        <v>99.9988983265879</v>
      </c>
      <c r="G108" s="106" t="str">
        <f>HYPERLINK("https://pbs.twimg.com/profile_images/657174630076174336/bQ5utZuM_normal.png")</f>
        <v>https://pbs.twimg.com/profile_images/657174630076174336/bQ5utZuM_normal.png</v>
      </c>
      <c r="H108" s="67"/>
      <c r="I108" s="71" t="s">
        <v>322</v>
      </c>
      <c r="J108" s="72"/>
      <c r="K108" s="72"/>
      <c r="L108" s="71" t="s">
        <v>2988</v>
      </c>
      <c r="M108" s="75">
        <v>1.367151025806327</v>
      </c>
      <c r="N108" s="76">
        <v>4264.80419921875</v>
      </c>
      <c r="O108" s="76">
        <v>4610.28466796875</v>
      </c>
      <c r="P108" s="77"/>
      <c r="Q108" s="78"/>
      <c r="R108" s="78"/>
      <c r="S108" s="92"/>
      <c r="T108" s="49">
        <v>1</v>
      </c>
      <c r="U108" s="49">
        <v>1</v>
      </c>
      <c r="V108" s="50">
        <v>0</v>
      </c>
      <c r="W108" s="50">
        <v>0</v>
      </c>
      <c r="X108" s="50">
        <v>0</v>
      </c>
      <c r="Y108" s="50">
        <v>0.999998</v>
      </c>
      <c r="Z108" s="50">
        <v>0</v>
      </c>
      <c r="AA108" s="50">
        <v>0</v>
      </c>
      <c r="AB108" s="73">
        <v>108</v>
      </c>
      <c r="AC108" s="73"/>
      <c r="AD108" s="74"/>
      <c r="AE108" s="81" t="s">
        <v>2021</v>
      </c>
      <c r="AF108" s="86" t="s">
        <v>2293</v>
      </c>
      <c r="AG108" s="81">
        <v>1357</v>
      </c>
      <c r="AH108" s="81">
        <v>2713</v>
      </c>
      <c r="AI108" s="81">
        <v>10128</v>
      </c>
      <c r="AJ108" s="81">
        <v>2269</v>
      </c>
      <c r="AK108" s="81"/>
      <c r="AL108" s="81" t="s">
        <v>2559</v>
      </c>
      <c r="AM108" s="81" t="s">
        <v>2794</v>
      </c>
      <c r="AN108" s="88" t="str">
        <f>HYPERLINK("https://t.co/kIQjKyFOA4")</f>
        <v>https://t.co/kIQjKyFOA4</v>
      </c>
      <c r="AO108" s="81"/>
      <c r="AP108" s="83">
        <v>41457.451365740744</v>
      </c>
      <c r="AQ108" s="88" t="str">
        <f>HYPERLINK("https://pbs.twimg.com/profile_banners/1562877217/1636533351")</f>
        <v>https://pbs.twimg.com/profile_banners/1562877217/1636533351</v>
      </c>
      <c r="AR108" s="81" t="b">
        <v>0</v>
      </c>
      <c r="AS108" s="81" t="b">
        <v>0</v>
      </c>
      <c r="AT108" s="81" t="b">
        <v>0</v>
      </c>
      <c r="AU108" s="81"/>
      <c r="AV108" s="81">
        <v>32</v>
      </c>
      <c r="AW108" s="88" t="str">
        <f>HYPERLINK("https://abs.twimg.com/images/themes/theme13/bg.gif")</f>
        <v>https://abs.twimg.com/images/themes/theme13/bg.gif</v>
      </c>
      <c r="AX108" s="81" t="b">
        <v>0</v>
      </c>
      <c r="AY108" s="81" t="s">
        <v>2883</v>
      </c>
      <c r="AZ108" s="88" t="str">
        <f>HYPERLINK("https://twitter.com/phwalsall")</f>
        <v>https://twitter.com/phwalsall</v>
      </c>
      <c r="BA108" s="81" t="s">
        <v>66</v>
      </c>
      <c r="BB108" s="81" t="str">
        <f>REPLACE(INDEX(GroupVertices[Group],MATCH(Vertices[[#This Row],[Vertex]],GroupVertices[Vertex],0)),1,1,"")</f>
        <v>1</v>
      </c>
      <c r="BC108" s="49"/>
      <c r="BD108" s="49"/>
      <c r="BE108" s="49"/>
      <c r="BF108" s="49"/>
      <c r="BG108" s="49" t="s">
        <v>955</v>
      </c>
      <c r="BH108" s="49" t="s">
        <v>955</v>
      </c>
      <c r="BI108" s="113" t="s">
        <v>3683</v>
      </c>
      <c r="BJ108" s="113" t="s">
        <v>3683</v>
      </c>
      <c r="BK108" s="113" t="s">
        <v>3860</v>
      </c>
      <c r="BL108" s="113" t="s">
        <v>3860</v>
      </c>
      <c r="BM108" s="113">
        <v>0</v>
      </c>
      <c r="BN108" s="116">
        <v>0</v>
      </c>
      <c r="BO108" s="113">
        <v>2</v>
      </c>
      <c r="BP108" s="116">
        <v>6.0606060606060606</v>
      </c>
      <c r="BQ108" s="113">
        <v>0</v>
      </c>
      <c r="BR108" s="116">
        <v>0</v>
      </c>
      <c r="BS108" s="113">
        <v>31</v>
      </c>
      <c r="BT108" s="116">
        <v>93.93939393939394</v>
      </c>
      <c r="BU108" s="113">
        <v>33</v>
      </c>
      <c r="BV108" s="2"/>
      <c r="BW108" s="3"/>
      <c r="BX108" s="3"/>
      <c r="BY108" s="3"/>
      <c r="BZ108" s="3"/>
    </row>
    <row r="109" spans="1:78" ht="41.45" customHeight="1">
      <c r="A109" s="66" t="s">
        <v>323</v>
      </c>
      <c r="C109" s="67"/>
      <c r="D109" s="67" t="s">
        <v>64</v>
      </c>
      <c r="E109" s="68">
        <v>162.15645715884742</v>
      </c>
      <c r="F109" s="70">
        <v>99.99966258710995</v>
      </c>
      <c r="G109" s="106" t="str">
        <f>HYPERLINK("https://pbs.twimg.com/profile_images/1410566365140996100/A70rk0xD_normal.jpg")</f>
        <v>https://pbs.twimg.com/profile_images/1410566365140996100/A70rk0xD_normal.jpg</v>
      </c>
      <c r="H109" s="67"/>
      <c r="I109" s="71" t="s">
        <v>323</v>
      </c>
      <c r="J109" s="72"/>
      <c r="K109" s="72"/>
      <c r="L109" s="71" t="s">
        <v>2989</v>
      </c>
      <c r="M109" s="75">
        <v>1.1124484691583953</v>
      </c>
      <c r="N109" s="76">
        <v>4655.7392578125</v>
      </c>
      <c r="O109" s="76">
        <v>6167.146484375</v>
      </c>
      <c r="P109" s="77"/>
      <c r="Q109" s="78"/>
      <c r="R109" s="78"/>
      <c r="S109" s="92"/>
      <c r="T109" s="49">
        <v>1</v>
      </c>
      <c r="U109" s="49">
        <v>1</v>
      </c>
      <c r="V109" s="50">
        <v>0</v>
      </c>
      <c r="W109" s="50">
        <v>0</v>
      </c>
      <c r="X109" s="50">
        <v>0</v>
      </c>
      <c r="Y109" s="50">
        <v>0.999998</v>
      </c>
      <c r="Z109" s="50">
        <v>0</v>
      </c>
      <c r="AA109" s="50">
        <v>0</v>
      </c>
      <c r="AB109" s="73">
        <v>109</v>
      </c>
      <c r="AC109" s="73"/>
      <c r="AD109" s="74"/>
      <c r="AE109" s="81" t="s">
        <v>2022</v>
      </c>
      <c r="AF109" s="86" t="s">
        <v>2294</v>
      </c>
      <c r="AG109" s="81">
        <v>1395</v>
      </c>
      <c r="AH109" s="81">
        <v>833</v>
      </c>
      <c r="AI109" s="81">
        <v>2324</v>
      </c>
      <c r="AJ109" s="81">
        <v>3238</v>
      </c>
      <c r="AK109" s="81"/>
      <c r="AL109" s="81" t="s">
        <v>2560</v>
      </c>
      <c r="AM109" s="81" t="s">
        <v>1882</v>
      </c>
      <c r="AN109" s="88" t="str">
        <f>HYPERLINK("https://t.co/QkjyuaITdy")</f>
        <v>https://t.co/QkjyuaITdy</v>
      </c>
      <c r="AO109" s="81"/>
      <c r="AP109" s="83">
        <v>43593.57488425926</v>
      </c>
      <c r="AQ109" s="88" t="str">
        <f>HYPERLINK("https://pbs.twimg.com/profile_banners/1126121531518660609/1589915100")</f>
        <v>https://pbs.twimg.com/profile_banners/1126121531518660609/1589915100</v>
      </c>
      <c r="AR109" s="81" t="b">
        <v>1</v>
      </c>
      <c r="AS109" s="81" t="b">
        <v>0</v>
      </c>
      <c r="AT109" s="81" t="b">
        <v>1</v>
      </c>
      <c r="AU109" s="81"/>
      <c r="AV109" s="81">
        <v>3</v>
      </c>
      <c r="AW109" s="81"/>
      <c r="AX109" s="81" t="b">
        <v>0</v>
      </c>
      <c r="AY109" s="81" t="s">
        <v>2883</v>
      </c>
      <c r="AZ109" s="88" t="str">
        <f>HYPERLINK("https://twitter.com/sbudeptofmed")</f>
        <v>https://twitter.com/sbudeptofmed</v>
      </c>
      <c r="BA109" s="81" t="s">
        <v>66</v>
      </c>
      <c r="BB109" s="81" t="str">
        <f>REPLACE(INDEX(GroupVertices[Group],MATCH(Vertices[[#This Row],[Vertex]],GroupVertices[Vertex],0)),1,1,"")</f>
        <v>1</v>
      </c>
      <c r="BC109" s="49" t="s">
        <v>3204</v>
      </c>
      <c r="BD109" s="49" t="s">
        <v>3204</v>
      </c>
      <c r="BE109" s="49" t="s">
        <v>903</v>
      </c>
      <c r="BF109" s="49" t="s">
        <v>903</v>
      </c>
      <c r="BG109" s="49" t="s">
        <v>954</v>
      </c>
      <c r="BH109" s="49" t="s">
        <v>954</v>
      </c>
      <c r="BI109" s="113" t="s">
        <v>3685</v>
      </c>
      <c r="BJ109" s="113" t="s">
        <v>3685</v>
      </c>
      <c r="BK109" s="113" t="s">
        <v>3862</v>
      </c>
      <c r="BL109" s="113" t="s">
        <v>3862</v>
      </c>
      <c r="BM109" s="113">
        <v>0</v>
      </c>
      <c r="BN109" s="116">
        <v>0</v>
      </c>
      <c r="BO109" s="113">
        <v>1</v>
      </c>
      <c r="BP109" s="116">
        <v>3.0303030303030303</v>
      </c>
      <c r="BQ109" s="113">
        <v>0</v>
      </c>
      <c r="BR109" s="116">
        <v>0</v>
      </c>
      <c r="BS109" s="113">
        <v>32</v>
      </c>
      <c r="BT109" s="116">
        <v>96.96969696969697</v>
      </c>
      <c r="BU109" s="113">
        <v>33</v>
      </c>
      <c r="BV109" s="2"/>
      <c r="BW109" s="3"/>
      <c r="BX109" s="3"/>
      <c r="BY109" s="3"/>
      <c r="BZ109" s="3"/>
    </row>
    <row r="110" spans="1:78" ht="41.45" customHeight="1">
      <c r="A110" s="66" t="s">
        <v>324</v>
      </c>
      <c r="C110" s="67"/>
      <c r="D110" s="67" t="s">
        <v>64</v>
      </c>
      <c r="E110" s="68">
        <v>166.01887545376715</v>
      </c>
      <c r="F110" s="70">
        <v>99.99133296046273</v>
      </c>
      <c r="G110" s="106" t="str">
        <f>HYPERLINK("https://pbs.twimg.com/profile_images/875695863267557378/wAJmcQOY_normal.jpg")</f>
        <v>https://pbs.twimg.com/profile_images/875695863267557378/wAJmcQOY_normal.jpg</v>
      </c>
      <c r="H110" s="67"/>
      <c r="I110" s="71" t="s">
        <v>324</v>
      </c>
      <c r="J110" s="72"/>
      <c r="K110" s="72"/>
      <c r="L110" s="71" t="s">
        <v>2990</v>
      </c>
      <c r="M110" s="75">
        <v>3.8884353764542037</v>
      </c>
      <c r="N110" s="76">
        <v>5765.0478515625</v>
      </c>
      <c r="O110" s="76">
        <v>7812.62060546875</v>
      </c>
      <c r="P110" s="77"/>
      <c r="Q110" s="78"/>
      <c r="R110" s="78"/>
      <c r="S110" s="92"/>
      <c r="T110" s="49">
        <v>0</v>
      </c>
      <c r="U110" s="49">
        <v>6</v>
      </c>
      <c r="V110" s="50">
        <v>1072</v>
      </c>
      <c r="W110" s="50">
        <v>0.005848</v>
      </c>
      <c r="X110" s="50">
        <v>0.007648</v>
      </c>
      <c r="Y110" s="50">
        <v>2.633434</v>
      </c>
      <c r="Z110" s="50">
        <v>0</v>
      </c>
      <c r="AA110" s="50">
        <v>0</v>
      </c>
      <c r="AB110" s="73">
        <v>110</v>
      </c>
      <c r="AC110" s="73"/>
      <c r="AD110" s="74"/>
      <c r="AE110" s="81" t="s">
        <v>2023</v>
      </c>
      <c r="AF110" s="86" t="s">
        <v>2295</v>
      </c>
      <c r="AG110" s="81">
        <v>534</v>
      </c>
      <c r="AH110" s="81">
        <v>21323</v>
      </c>
      <c r="AI110" s="81">
        <v>24931</v>
      </c>
      <c r="AJ110" s="81">
        <v>14845</v>
      </c>
      <c r="AK110" s="81"/>
      <c r="AL110" s="81" t="s">
        <v>2561</v>
      </c>
      <c r="AM110" s="81" t="s">
        <v>2795</v>
      </c>
      <c r="AN110" s="88" t="str">
        <f>HYPERLINK("http://t.co/AJLNPY7rRm")</f>
        <v>http://t.co/AJLNPY7rRm</v>
      </c>
      <c r="AO110" s="81"/>
      <c r="AP110" s="83">
        <v>41212.48849537037</v>
      </c>
      <c r="AQ110" s="88" t="str">
        <f>HYPERLINK("https://pbs.twimg.com/profile_banners/914462377/1466605662")</f>
        <v>https://pbs.twimg.com/profile_banners/914462377/1466605662</v>
      </c>
      <c r="AR110" s="81" t="b">
        <v>0</v>
      </c>
      <c r="AS110" s="81" t="b">
        <v>0</v>
      </c>
      <c r="AT110" s="81" t="b">
        <v>0</v>
      </c>
      <c r="AU110" s="81"/>
      <c r="AV110" s="81">
        <v>337</v>
      </c>
      <c r="AW110" s="88" t="str">
        <f>HYPERLINK("https://abs.twimg.com/images/themes/theme1/bg.png")</f>
        <v>https://abs.twimg.com/images/themes/theme1/bg.png</v>
      </c>
      <c r="AX110" s="81" t="b">
        <v>0</v>
      </c>
      <c r="AY110" s="81" t="s">
        <v>2883</v>
      </c>
      <c r="AZ110" s="88" t="str">
        <f>HYPERLINK("https://twitter.com/sefh_")</f>
        <v>https://twitter.com/sefh_</v>
      </c>
      <c r="BA110" s="81" t="s">
        <v>66</v>
      </c>
      <c r="BB110" s="81" t="str">
        <f>REPLACE(INDEX(GroupVertices[Group],MATCH(Vertices[[#This Row],[Vertex]],GroupVertices[Vertex],0)),1,1,"")</f>
        <v>3</v>
      </c>
      <c r="BC110" s="49" t="s">
        <v>3228</v>
      </c>
      <c r="BD110" s="49" t="s">
        <v>3228</v>
      </c>
      <c r="BE110" s="49" t="s">
        <v>922</v>
      </c>
      <c r="BF110" s="49" t="s">
        <v>922</v>
      </c>
      <c r="BG110" s="49" t="s">
        <v>1011</v>
      </c>
      <c r="BH110" s="49" t="s">
        <v>1011</v>
      </c>
      <c r="BI110" s="113" t="s">
        <v>3734</v>
      </c>
      <c r="BJ110" s="113" t="s">
        <v>3734</v>
      </c>
      <c r="BK110" s="113" t="s">
        <v>3911</v>
      </c>
      <c r="BL110" s="113" t="s">
        <v>3911</v>
      </c>
      <c r="BM110" s="113">
        <v>0</v>
      </c>
      <c r="BN110" s="116">
        <v>0</v>
      </c>
      <c r="BO110" s="113">
        <v>0</v>
      </c>
      <c r="BP110" s="116">
        <v>0</v>
      </c>
      <c r="BQ110" s="113">
        <v>0</v>
      </c>
      <c r="BR110" s="116">
        <v>0</v>
      </c>
      <c r="BS110" s="113">
        <v>31</v>
      </c>
      <c r="BT110" s="116">
        <v>100</v>
      </c>
      <c r="BU110" s="113">
        <v>31</v>
      </c>
      <c r="BV110" s="2"/>
      <c r="BW110" s="3"/>
      <c r="BX110" s="3"/>
      <c r="BY110" s="3"/>
      <c r="BZ110" s="3"/>
    </row>
    <row r="111" spans="1:78" ht="41.45" customHeight="1">
      <c r="A111" s="66" t="s">
        <v>477</v>
      </c>
      <c r="C111" s="67"/>
      <c r="D111" s="67" t="s">
        <v>64</v>
      </c>
      <c r="E111" s="68">
        <v>165.03489187643768</v>
      </c>
      <c r="F111" s="70">
        <v>99.99345500297608</v>
      </c>
      <c r="G111" s="106" t="str">
        <f>HYPERLINK("https://pbs.twimg.com/profile_images/1631760954/logo_SEIMC_200x162_normal.gif")</f>
        <v>https://pbs.twimg.com/profile_images/1631760954/logo_SEIMC_200x162_normal.gif</v>
      </c>
      <c r="H111" s="67"/>
      <c r="I111" s="71" t="s">
        <v>477</v>
      </c>
      <c r="J111" s="72"/>
      <c r="K111" s="72"/>
      <c r="L111" s="71" t="s">
        <v>2991</v>
      </c>
      <c r="M111" s="75">
        <v>3.1812293415062234</v>
      </c>
      <c r="N111" s="76">
        <v>5645.16845703125</v>
      </c>
      <c r="O111" s="76">
        <v>6925.3447265625</v>
      </c>
      <c r="P111" s="77"/>
      <c r="Q111" s="78"/>
      <c r="R111" s="78"/>
      <c r="S111" s="92"/>
      <c r="T111" s="49">
        <v>1</v>
      </c>
      <c r="U111" s="49">
        <v>0</v>
      </c>
      <c r="V111" s="50">
        <v>0</v>
      </c>
      <c r="W111" s="50">
        <v>0.004525</v>
      </c>
      <c r="X111" s="50">
        <v>0.001499</v>
      </c>
      <c r="Y111" s="50">
        <v>0.52307</v>
      </c>
      <c r="Z111" s="50">
        <v>0</v>
      </c>
      <c r="AA111" s="50">
        <v>0</v>
      </c>
      <c r="AB111" s="73">
        <v>111</v>
      </c>
      <c r="AC111" s="73"/>
      <c r="AD111" s="74"/>
      <c r="AE111" s="81" t="s">
        <v>2024</v>
      </c>
      <c r="AF111" s="86" t="s">
        <v>2296</v>
      </c>
      <c r="AG111" s="81">
        <v>503</v>
      </c>
      <c r="AH111" s="81">
        <v>16103</v>
      </c>
      <c r="AI111" s="81">
        <v>4742</v>
      </c>
      <c r="AJ111" s="81">
        <v>2855</v>
      </c>
      <c r="AK111" s="81"/>
      <c r="AL111" s="81" t="s">
        <v>2562</v>
      </c>
      <c r="AM111" s="81" t="s">
        <v>2796</v>
      </c>
      <c r="AN111" s="88" t="str">
        <f>HYPERLINK("http://t.co/mS8WibQztT")</f>
        <v>http://t.co/mS8WibQztT</v>
      </c>
      <c r="AO111" s="81"/>
      <c r="AP111" s="83">
        <v>40857.38511574074</v>
      </c>
      <c r="AQ111" s="88" t="str">
        <f>HYPERLINK("https://pbs.twimg.com/profile_banners/409115385/1531296265")</f>
        <v>https://pbs.twimg.com/profile_banners/409115385/1531296265</v>
      </c>
      <c r="AR111" s="81" t="b">
        <v>1</v>
      </c>
      <c r="AS111" s="81" t="b">
        <v>0</v>
      </c>
      <c r="AT111" s="81" t="b">
        <v>1</v>
      </c>
      <c r="AU111" s="81"/>
      <c r="AV111" s="81">
        <v>237</v>
      </c>
      <c r="AW111" s="88" t="str">
        <f>HYPERLINK("https://abs.twimg.com/images/themes/theme1/bg.png")</f>
        <v>https://abs.twimg.com/images/themes/theme1/bg.png</v>
      </c>
      <c r="AX111" s="81" t="b">
        <v>0</v>
      </c>
      <c r="AY111" s="81" t="s">
        <v>2883</v>
      </c>
      <c r="AZ111" s="88" t="str">
        <f>HYPERLINK("https://twitter.com/seimc_")</f>
        <v>https://twitter.com/seimc_</v>
      </c>
      <c r="BA111" s="81" t="s">
        <v>65</v>
      </c>
      <c r="BB111" s="81" t="str">
        <f>REPLACE(INDEX(GroupVertices[Group],MATCH(Vertices[[#This Row],[Vertex]],GroupVertices[Vertex],0)),1,1,"")</f>
        <v>3</v>
      </c>
      <c r="BC111" s="49"/>
      <c r="BD111" s="49"/>
      <c r="BE111" s="49"/>
      <c r="BF111" s="49"/>
      <c r="BG111" s="49"/>
      <c r="BH111" s="49"/>
      <c r="BI111" s="49"/>
      <c r="BJ111" s="49"/>
      <c r="BK111" s="49"/>
      <c r="BL111" s="49"/>
      <c r="BM111" s="49"/>
      <c r="BN111" s="50"/>
      <c r="BO111" s="49"/>
      <c r="BP111" s="50"/>
      <c r="BQ111" s="49"/>
      <c r="BR111" s="50"/>
      <c r="BS111" s="49"/>
      <c r="BT111" s="50"/>
      <c r="BU111" s="49"/>
      <c r="BV111" s="2"/>
      <c r="BW111" s="3"/>
      <c r="BX111" s="3"/>
      <c r="BY111" s="3"/>
      <c r="BZ111" s="3"/>
    </row>
    <row r="112" spans="1:78" ht="41.45" customHeight="1">
      <c r="A112" s="66" t="s">
        <v>478</v>
      </c>
      <c r="C112" s="67"/>
      <c r="D112" s="67" t="s">
        <v>64</v>
      </c>
      <c r="E112" s="68">
        <v>163.19831103469033</v>
      </c>
      <c r="F112" s="70">
        <v>99.99741574247943</v>
      </c>
      <c r="G112" s="106" t="str">
        <f>HYPERLINK("https://pbs.twimg.com/profile_images/1269392853031157763/NKV07sKu_normal.jpg")</f>
        <v>https://pbs.twimg.com/profile_images/1269392853031157763/NKV07sKu_normal.jpg</v>
      </c>
      <c r="H112" s="67"/>
      <c r="I112" s="71" t="s">
        <v>478</v>
      </c>
      <c r="J112" s="72"/>
      <c r="K112" s="72"/>
      <c r="L112" s="71" t="s">
        <v>2992</v>
      </c>
      <c r="M112" s="75">
        <v>1.8612468896866496</v>
      </c>
      <c r="N112" s="76">
        <v>5467.0576171875</v>
      </c>
      <c r="O112" s="76">
        <v>7371.59521484375</v>
      </c>
      <c r="P112" s="77"/>
      <c r="Q112" s="78"/>
      <c r="R112" s="78"/>
      <c r="S112" s="92"/>
      <c r="T112" s="49">
        <v>1</v>
      </c>
      <c r="U112" s="49">
        <v>0</v>
      </c>
      <c r="V112" s="50">
        <v>0</v>
      </c>
      <c r="W112" s="50">
        <v>0.004525</v>
      </c>
      <c r="X112" s="50">
        <v>0.001499</v>
      </c>
      <c r="Y112" s="50">
        <v>0.52307</v>
      </c>
      <c r="Z112" s="50">
        <v>0</v>
      </c>
      <c r="AA112" s="50">
        <v>0</v>
      </c>
      <c r="AB112" s="73">
        <v>112</v>
      </c>
      <c r="AC112" s="73"/>
      <c r="AD112" s="74"/>
      <c r="AE112" s="81" t="s">
        <v>2025</v>
      </c>
      <c r="AF112" s="86" t="s">
        <v>2297</v>
      </c>
      <c r="AG112" s="81">
        <v>108</v>
      </c>
      <c r="AH112" s="81">
        <v>6360</v>
      </c>
      <c r="AI112" s="81">
        <v>1670</v>
      </c>
      <c r="AJ112" s="81">
        <v>1882</v>
      </c>
      <c r="AK112" s="81"/>
      <c r="AL112" s="81" t="s">
        <v>2563</v>
      </c>
      <c r="AM112" s="81" t="s">
        <v>2796</v>
      </c>
      <c r="AN112" s="88" t="str">
        <f>HYPERLINK("https://t.co/FV7fVHuyYc")</f>
        <v>https://t.co/FV7fVHuyYc</v>
      </c>
      <c r="AO112" s="81"/>
      <c r="AP112" s="83">
        <v>42717.5075462963</v>
      </c>
      <c r="AQ112" s="88" t="str">
        <f>HYPERLINK("https://pbs.twimg.com/profile_banners/808645358125465601/1636366722")</f>
        <v>https://pbs.twimg.com/profile_banners/808645358125465601/1636366722</v>
      </c>
      <c r="AR112" s="81" t="b">
        <v>1</v>
      </c>
      <c r="AS112" s="81" t="b">
        <v>0</v>
      </c>
      <c r="AT112" s="81" t="b">
        <v>1</v>
      </c>
      <c r="AU112" s="81"/>
      <c r="AV112" s="81">
        <v>75</v>
      </c>
      <c r="AW112" s="81"/>
      <c r="AX112" s="81" t="b">
        <v>1</v>
      </c>
      <c r="AY112" s="81" t="s">
        <v>2883</v>
      </c>
      <c r="AZ112" s="88" t="str">
        <f>HYPERLINK("https://twitter.com/prangob")</f>
        <v>https://twitter.com/prangob</v>
      </c>
      <c r="BA112" s="81" t="s">
        <v>65</v>
      </c>
      <c r="BB112" s="81" t="str">
        <f>REPLACE(INDEX(GroupVertices[Group],MATCH(Vertices[[#This Row],[Vertex]],GroupVertices[Vertex],0)),1,1,"")</f>
        <v>3</v>
      </c>
      <c r="BC112" s="49"/>
      <c r="BD112" s="49"/>
      <c r="BE112" s="49"/>
      <c r="BF112" s="49"/>
      <c r="BG112" s="49"/>
      <c r="BH112" s="49"/>
      <c r="BI112" s="49"/>
      <c r="BJ112" s="49"/>
      <c r="BK112" s="49"/>
      <c r="BL112" s="49"/>
      <c r="BM112" s="49"/>
      <c r="BN112" s="50"/>
      <c r="BO112" s="49"/>
      <c r="BP112" s="50"/>
      <c r="BQ112" s="49"/>
      <c r="BR112" s="50"/>
      <c r="BS112" s="49"/>
      <c r="BT112" s="50"/>
      <c r="BU112" s="49"/>
      <c r="BV112" s="2"/>
      <c r="BW112" s="3"/>
      <c r="BX112" s="3"/>
      <c r="BY112" s="3"/>
      <c r="BZ112" s="3"/>
    </row>
    <row r="113" spans="1:78" ht="41.45" customHeight="1">
      <c r="A113" s="66" t="s">
        <v>479</v>
      </c>
      <c r="C113" s="67"/>
      <c r="D113" s="67" t="s">
        <v>64</v>
      </c>
      <c r="E113" s="68">
        <v>162.54684604556184</v>
      </c>
      <c r="F113" s="70">
        <v>99.99882068097104</v>
      </c>
      <c r="G113" s="106" t="str">
        <f>HYPERLINK("https://pbs.twimg.com/profile_images/965438505437597697/JNCjncLU_normal.jpg")</f>
        <v>https://pbs.twimg.com/profile_images/965438505437597697/JNCjncLU_normal.jpg</v>
      </c>
      <c r="H113" s="67"/>
      <c r="I113" s="71" t="s">
        <v>479</v>
      </c>
      <c r="J113" s="72"/>
      <c r="K113" s="72"/>
      <c r="L113" s="71" t="s">
        <v>2993</v>
      </c>
      <c r="M113" s="75">
        <v>1.3930277217210902</v>
      </c>
      <c r="N113" s="76">
        <v>5402.12646484375</v>
      </c>
      <c r="O113" s="76">
        <v>7989.2421875</v>
      </c>
      <c r="P113" s="77"/>
      <c r="Q113" s="78"/>
      <c r="R113" s="78"/>
      <c r="S113" s="92"/>
      <c r="T113" s="49">
        <v>1</v>
      </c>
      <c r="U113" s="49">
        <v>0</v>
      </c>
      <c r="V113" s="50">
        <v>0</v>
      </c>
      <c r="W113" s="50">
        <v>0.004525</v>
      </c>
      <c r="X113" s="50">
        <v>0.001499</v>
      </c>
      <c r="Y113" s="50">
        <v>0.52307</v>
      </c>
      <c r="Z113" s="50">
        <v>0</v>
      </c>
      <c r="AA113" s="50">
        <v>0</v>
      </c>
      <c r="AB113" s="73">
        <v>113</v>
      </c>
      <c r="AC113" s="73"/>
      <c r="AD113" s="74"/>
      <c r="AE113" s="81" t="s">
        <v>2026</v>
      </c>
      <c r="AF113" s="86" t="s">
        <v>2298</v>
      </c>
      <c r="AG113" s="81">
        <v>135</v>
      </c>
      <c r="AH113" s="81">
        <v>2904</v>
      </c>
      <c r="AI113" s="81">
        <v>931</v>
      </c>
      <c r="AJ113" s="81">
        <v>502</v>
      </c>
      <c r="AK113" s="81"/>
      <c r="AL113" s="81" t="s">
        <v>2564</v>
      </c>
      <c r="AM113" s="81"/>
      <c r="AN113" s="81"/>
      <c r="AO113" s="81"/>
      <c r="AP113" s="83">
        <v>42881.70324074074</v>
      </c>
      <c r="AQ113" s="88" t="str">
        <f>HYPERLINK("https://pbs.twimg.com/profile_banners/868147885531160576/1636188622")</f>
        <v>https://pbs.twimg.com/profile_banners/868147885531160576/1636188622</v>
      </c>
      <c r="AR113" s="81" t="b">
        <v>1</v>
      </c>
      <c r="AS113" s="81" t="b">
        <v>0</v>
      </c>
      <c r="AT113" s="81" t="b">
        <v>0</v>
      </c>
      <c r="AU113" s="81"/>
      <c r="AV113" s="81">
        <v>33</v>
      </c>
      <c r="AW113" s="81"/>
      <c r="AX113" s="81" t="b">
        <v>0</v>
      </c>
      <c r="AY113" s="81" t="s">
        <v>2883</v>
      </c>
      <c r="AZ113" s="88" t="str">
        <f>HYPERLINK("https://twitter.com/geiras_seimc")</f>
        <v>https://twitter.com/geiras_seimc</v>
      </c>
      <c r="BA113" s="81" t="s">
        <v>65</v>
      </c>
      <c r="BB113" s="81" t="str">
        <f>REPLACE(INDEX(GroupVertices[Group],MATCH(Vertices[[#This Row],[Vertex]],GroupVertices[Vertex],0)),1,1,"")</f>
        <v>3</v>
      </c>
      <c r="BC113" s="49"/>
      <c r="BD113" s="49"/>
      <c r="BE113" s="49"/>
      <c r="BF113" s="49"/>
      <c r="BG113" s="49"/>
      <c r="BH113" s="49"/>
      <c r="BI113" s="49"/>
      <c r="BJ113" s="49"/>
      <c r="BK113" s="49"/>
      <c r="BL113" s="49"/>
      <c r="BM113" s="49"/>
      <c r="BN113" s="50"/>
      <c r="BO113" s="49"/>
      <c r="BP113" s="50"/>
      <c r="BQ113" s="49"/>
      <c r="BR113" s="50"/>
      <c r="BS113" s="49"/>
      <c r="BT113" s="50"/>
      <c r="BU113" s="49"/>
      <c r="BV113" s="2"/>
      <c r="BW113" s="3"/>
      <c r="BX113" s="3"/>
      <c r="BY113" s="3"/>
      <c r="BZ113" s="3"/>
    </row>
    <row r="114" spans="1:78" ht="41.45" customHeight="1">
      <c r="A114" s="66" t="s">
        <v>480</v>
      </c>
      <c r="C114" s="67"/>
      <c r="D114" s="67" t="s">
        <v>64</v>
      </c>
      <c r="E114" s="68">
        <v>162.1132900632136</v>
      </c>
      <c r="F114" s="70">
        <v>99.99975568054587</v>
      </c>
      <c r="G114" s="106" t="str">
        <f>HYPERLINK("https://pbs.twimg.com/profile_images/1214639178027274242/pRL5fMBZ_normal.jpg")</f>
        <v>https://pbs.twimg.com/profile_images/1214639178027274242/pRL5fMBZ_normal.jpg</v>
      </c>
      <c r="H114" s="67"/>
      <c r="I114" s="71" t="s">
        <v>480</v>
      </c>
      <c r="J114" s="72"/>
      <c r="K114" s="72"/>
      <c r="L114" s="71" t="s">
        <v>2994</v>
      </c>
      <c r="M114" s="75">
        <v>1.081423530077344</v>
      </c>
      <c r="N114" s="76">
        <v>5868.009765625</v>
      </c>
      <c r="O114" s="76">
        <v>6775.63818359375</v>
      </c>
      <c r="P114" s="77"/>
      <c r="Q114" s="78"/>
      <c r="R114" s="78"/>
      <c r="S114" s="92"/>
      <c r="T114" s="49">
        <v>1</v>
      </c>
      <c r="U114" s="49">
        <v>0</v>
      </c>
      <c r="V114" s="50">
        <v>0</v>
      </c>
      <c r="W114" s="50">
        <v>0.004525</v>
      </c>
      <c r="X114" s="50">
        <v>0.001499</v>
      </c>
      <c r="Y114" s="50">
        <v>0.52307</v>
      </c>
      <c r="Z114" s="50">
        <v>0</v>
      </c>
      <c r="AA114" s="50">
        <v>0</v>
      </c>
      <c r="AB114" s="73">
        <v>114</v>
      </c>
      <c r="AC114" s="73"/>
      <c r="AD114" s="74"/>
      <c r="AE114" s="81" t="s">
        <v>2027</v>
      </c>
      <c r="AF114" s="86" t="s">
        <v>1818</v>
      </c>
      <c r="AG114" s="81">
        <v>110</v>
      </c>
      <c r="AH114" s="81">
        <v>604</v>
      </c>
      <c r="AI114" s="81">
        <v>81</v>
      </c>
      <c r="AJ114" s="81">
        <v>126</v>
      </c>
      <c r="AK114" s="81"/>
      <c r="AL114" s="81" t="s">
        <v>2565</v>
      </c>
      <c r="AM114" s="81" t="s">
        <v>2797</v>
      </c>
      <c r="AN114" s="81"/>
      <c r="AO114" s="81"/>
      <c r="AP114" s="83">
        <v>43837.82760416667</v>
      </c>
      <c r="AQ114" s="88" t="str">
        <f>HYPERLINK("https://pbs.twimg.com/profile_banners/1214635675145973760/1578428392")</f>
        <v>https://pbs.twimg.com/profile_banners/1214635675145973760/1578428392</v>
      </c>
      <c r="AR114" s="81" t="b">
        <v>1</v>
      </c>
      <c r="AS114" s="81" t="b">
        <v>0</v>
      </c>
      <c r="AT114" s="81" t="b">
        <v>0</v>
      </c>
      <c r="AU114" s="81"/>
      <c r="AV114" s="81">
        <v>10</v>
      </c>
      <c r="AW114" s="81"/>
      <c r="AX114" s="81" t="b">
        <v>0</v>
      </c>
      <c r="AY114" s="81" t="s">
        <v>2883</v>
      </c>
      <c r="AZ114" s="88" t="str">
        <f>HYPERLINK("https://twitter.com/proavigo")</f>
        <v>https://twitter.com/proavigo</v>
      </c>
      <c r="BA114" s="81" t="s">
        <v>65</v>
      </c>
      <c r="BB114" s="81" t="str">
        <f>REPLACE(INDEX(GroupVertices[Group],MATCH(Vertices[[#This Row],[Vertex]],GroupVertices[Vertex],0)),1,1,"")</f>
        <v>3</v>
      </c>
      <c r="BC114" s="49"/>
      <c r="BD114" s="49"/>
      <c r="BE114" s="49"/>
      <c r="BF114" s="49"/>
      <c r="BG114" s="49"/>
      <c r="BH114" s="49"/>
      <c r="BI114" s="49"/>
      <c r="BJ114" s="49"/>
      <c r="BK114" s="49"/>
      <c r="BL114" s="49"/>
      <c r="BM114" s="49"/>
      <c r="BN114" s="50"/>
      <c r="BO114" s="49"/>
      <c r="BP114" s="50"/>
      <c r="BQ114" s="49"/>
      <c r="BR114" s="50"/>
      <c r="BS114" s="49"/>
      <c r="BT114" s="50"/>
      <c r="BU114" s="49"/>
      <c r="BV114" s="2"/>
      <c r="BW114" s="3"/>
      <c r="BX114" s="3"/>
      <c r="BY114" s="3"/>
      <c r="BZ114" s="3"/>
    </row>
    <row r="115" spans="1:78" ht="41.45" customHeight="1">
      <c r="A115" s="66" t="s">
        <v>481</v>
      </c>
      <c r="C115" s="67"/>
      <c r="D115" s="67" t="s">
        <v>64</v>
      </c>
      <c r="E115" s="68">
        <v>164.10519704820223</v>
      </c>
      <c r="F115" s="70">
        <v>99.99545996728179</v>
      </c>
      <c r="G115" s="106" t="str">
        <f>HYPERLINK("https://pbs.twimg.com/profile_images/711606608124456961/UQd4bsVg_normal.jpg")</f>
        <v>https://pbs.twimg.com/profile_images/711606608124456961/UQd4bsVg_normal.jpg</v>
      </c>
      <c r="H115" s="67"/>
      <c r="I115" s="71" t="s">
        <v>481</v>
      </c>
      <c r="J115" s="72"/>
      <c r="K115" s="72"/>
      <c r="L115" s="71" t="s">
        <v>2995</v>
      </c>
      <c r="M115" s="75">
        <v>2.513041570555373</v>
      </c>
      <c r="N115" s="76">
        <v>5463.89990234375</v>
      </c>
      <c r="O115" s="76">
        <v>8559.8076171875</v>
      </c>
      <c r="P115" s="77"/>
      <c r="Q115" s="78"/>
      <c r="R115" s="78"/>
      <c r="S115" s="92"/>
      <c r="T115" s="49">
        <v>2</v>
      </c>
      <c r="U115" s="49">
        <v>0</v>
      </c>
      <c r="V115" s="50">
        <v>1036</v>
      </c>
      <c r="W115" s="50">
        <v>0.006803</v>
      </c>
      <c r="X115" s="50">
        <v>0.030791</v>
      </c>
      <c r="Y115" s="50">
        <v>0.837395</v>
      </c>
      <c r="Z115" s="50">
        <v>0</v>
      </c>
      <c r="AA115" s="50">
        <v>0</v>
      </c>
      <c r="AB115" s="73">
        <v>115</v>
      </c>
      <c r="AC115" s="73"/>
      <c r="AD115" s="74"/>
      <c r="AE115" s="81" t="s">
        <v>2028</v>
      </c>
      <c r="AF115" s="86" t="s">
        <v>2299</v>
      </c>
      <c r="AG115" s="81">
        <v>138</v>
      </c>
      <c r="AH115" s="81">
        <v>11171</v>
      </c>
      <c r="AI115" s="81">
        <v>5725</v>
      </c>
      <c r="AJ115" s="81">
        <v>8316</v>
      </c>
      <c r="AK115" s="81"/>
      <c r="AL115" s="81" t="s">
        <v>2566</v>
      </c>
      <c r="AM115" s="81"/>
      <c r="AN115" s="88" t="str">
        <f>HYPERLINK("https://t.co/gVMYUkmvm3")</f>
        <v>https://t.co/gVMYUkmvm3</v>
      </c>
      <c r="AO115" s="81"/>
      <c r="AP115" s="83">
        <v>42449.6084375</v>
      </c>
      <c r="AQ115" s="88" t="str">
        <f>HYPERLINK("https://pbs.twimg.com/profile_banners/711561973138259968/1593742569")</f>
        <v>https://pbs.twimg.com/profile_banners/711561973138259968/1593742569</v>
      </c>
      <c r="AR115" s="81" t="b">
        <v>1</v>
      </c>
      <c r="AS115" s="81" t="b">
        <v>0</v>
      </c>
      <c r="AT115" s="81" t="b">
        <v>0</v>
      </c>
      <c r="AU115" s="81"/>
      <c r="AV115" s="81">
        <v>0</v>
      </c>
      <c r="AW115" s="81"/>
      <c r="AX115" s="81" t="b">
        <v>1</v>
      </c>
      <c r="AY115" s="81" t="s">
        <v>2883</v>
      </c>
      <c r="AZ115" s="88" t="str">
        <f>HYPERLINK("https://twitter.com/bradspellberg")</f>
        <v>https://twitter.com/bradspellberg</v>
      </c>
      <c r="BA115" s="81" t="s">
        <v>65</v>
      </c>
      <c r="BB115" s="81" t="str">
        <f>REPLACE(INDEX(GroupVertices[Group],MATCH(Vertices[[#This Row],[Vertex]],GroupVertices[Vertex],0)),1,1,"")</f>
        <v>3</v>
      </c>
      <c r="BC115" s="49"/>
      <c r="BD115" s="49"/>
      <c r="BE115" s="49"/>
      <c r="BF115" s="49"/>
      <c r="BG115" s="49"/>
      <c r="BH115" s="49"/>
      <c r="BI115" s="49"/>
      <c r="BJ115" s="49"/>
      <c r="BK115" s="49"/>
      <c r="BL115" s="49"/>
      <c r="BM115" s="49"/>
      <c r="BN115" s="50"/>
      <c r="BO115" s="49"/>
      <c r="BP115" s="50"/>
      <c r="BQ115" s="49"/>
      <c r="BR115" s="50"/>
      <c r="BS115" s="49"/>
      <c r="BT115" s="50"/>
      <c r="BU115" s="49"/>
      <c r="BV115" s="2"/>
      <c r="BW115" s="3"/>
      <c r="BX115" s="3"/>
      <c r="BY115" s="3"/>
      <c r="BZ115" s="3"/>
    </row>
    <row r="116" spans="1:78" ht="41.45" customHeight="1">
      <c r="A116" s="66" t="s">
        <v>325</v>
      </c>
      <c r="C116" s="67"/>
      <c r="D116" s="67" t="s">
        <v>64</v>
      </c>
      <c r="E116" s="68">
        <v>164.68012998131618</v>
      </c>
      <c r="F116" s="70">
        <v>99.99422007654124</v>
      </c>
      <c r="G116" s="106" t="str">
        <f>HYPERLINK("https://pbs.twimg.com/profile_images/459039161656152065/and9GDBX_normal.jpeg")</f>
        <v>https://pbs.twimg.com/profile_images/459039161656152065/and9GDBX_normal.jpeg</v>
      </c>
      <c r="H116" s="67"/>
      <c r="I116" s="71" t="s">
        <v>325</v>
      </c>
      <c r="J116" s="72"/>
      <c r="K116" s="72"/>
      <c r="L116" s="71" t="s">
        <v>2996</v>
      </c>
      <c r="M116" s="75">
        <v>2.926255824691645</v>
      </c>
      <c r="N116" s="76">
        <v>5544.5859375</v>
      </c>
      <c r="O116" s="76">
        <v>4554.7373046875</v>
      </c>
      <c r="P116" s="77"/>
      <c r="Q116" s="78"/>
      <c r="R116" s="78"/>
      <c r="S116" s="92"/>
      <c r="T116" s="49">
        <v>1</v>
      </c>
      <c r="U116" s="49">
        <v>2</v>
      </c>
      <c r="V116" s="50">
        <v>0</v>
      </c>
      <c r="W116" s="50">
        <v>0.052632</v>
      </c>
      <c r="X116" s="50">
        <v>0</v>
      </c>
      <c r="Y116" s="50">
        <v>0.852959</v>
      </c>
      <c r="Z116" s="50">
        <v>0</v>
      </c>
      <c r="AA116" s="50">
        <v>0</v>
      </c>
      <c r="AB116" s="73">
        <v>116</v>
      </c>
      <c r="AC116" s="73"/>
      <c r="AD116" s="74"/>
      <c r="AE116" s="81" t="s">
        <v>2029</v>
      </c>
      <c r="AF116" s="86" t="s">
        <v>1819</v>
      </c>
      <c r="AG116" s="81">
        <v>2765</v>
      </c>
      <c r="AH116" s="81">
        <v>14221</v>
      </c>
      <c r="AI116" s="81">
        <v>16891</v>
      </c>
      <c r="AJ116" s="81">
        <v>3232</v>
      </c>
      <c r="AK116" s="81"/>
      <c r="AL116" s="81" t="s">
        <v>2567</v>
      </c>
      <c r="AM116" s="81" t="s">
        <v>2762</v>
      </c>
      <c r="AN116" s="88" t="str">
        <f>HYPERLINK("http://t.co/jEjhfOt76s")</f>
        <v>http://t.co/jEjhfOt76s</v>
      </c>
      <c r="AO116" s="81"/>
      <c r="AP116" s="83">
        <v>40456.65636574074</v>
      </c>
      <c r="AQ116" s="88" t="str">
        <f>HYPERLINK("https://pbs.twimg.com/profile_banners/198919608/1532549328")</f>
        <v>https://pbs.twimg.com/profile_banners/198919608/1532549328</v>
      </c>
      <c r="AR116" s="81" t="b">
        <v>0</v>
      </c>
      <c r="AS116" s="81" t="b">
        <v>0</v>
      </c>
      <c r="AT116" s="81" t="b">
        <v>0</v>
      </c>
      <c r="AU116" s="81"/>
      <c r="AV116" s="81">
        <v>246</v>
      </c>
      <c r="AW116" s="88" t="str">
        <f>HYPERLINK("https://abs.twimg.com/images/themes/theme15/bg.png")</f>
        <v>https://abs.twimg.com/images/themes/theme15/bg.png</v>
      </c>
      <c r="AX116" s="81" t="b">
        <v>0</v>
      </c>
      <c r="AY116" s="81" t="s">
        <v>2883</v>
      </c>
      <c r="AZ116" s="88" t="str">
        <f>HYPERLINK("https://twitter.com/saveantibiotics")</f>
        <v>https://twitter.com/saveantibiotics</v>
      </c>
      <c r="BA116" s="81" t="s">
        <v>66</v>
      </c>
      <c r="BB116" s="81" t="str">
        <f>REPLACE(INDEX(GroupVertices[Group],MATCH(Vertices[[#This Row],[Vertex]],GroupVertices[Vertex],0)),1,1,"")</f>
        <v>5</v>
      </c>
      <c r="BC116" s="49" t="s">
        <v>3565</v>
      </c>
      <c r="BD116" s="49" t="s">
        <v>3565</v>
      </c>
      <c r="BE116" s="49" t="s">
        <v>3602</v>
      </c>
      <c r="BF116" s="49" t="s">
        <v>3596</v>
      </c>
      <c r="BG116" s="49" t="s">
        <v>3620</v>
      </c>
      <c r="BH116" s="49" t="s">
        <v>3656</v>
      </c>
      <c r="BI116" s="113" t="s">
        <v>3735</v>
      </c>
      <c r="BJ116" s="113" t="s">
        <v>3825</v>
      </c>
      <c r="BK116" s="113" t="s">
        <v>3912</v>
      </c>
      <c r="BL116" s="113" t="s">
        <v>3994</v>
      </c>
      <c r="BM116" s="113">
        <v>2</v>
      </c>
      <c r="BN116" s="116">
        <v>2.5974025974025974</v>
      </c>
      <c r="BO116" s="113">
        <v>5</v>
      </c>
      <c r="BP116" s="116">
        <v>6.4935064935064934</v>
      </c>
      <c r="BQ116" s="113">
        <v>0</v>
      </c>
      <c r="BR116" s="116">
        <v>0</v>
      </c>
      <c r="BS116" s="113">
        <v>70</v>
      </c>
      <c r="BT116" s="116">
        <v>90.9090909090909</v>
      </c>
      <c r="BU116" s="113">
        <v>77</v>
      </c>
      <c r="BV116" s="2"/>
      <c r="BW116" s="3"/>
      <c r="BX116" s="3"/>
      <c r="BY116" s="3"/>
      <c r="BZ116" s="3"/>
    </row>
    <row r="117" spans="1:78" ht="41.45" customHeight="1">
      <c r="A117" s="66" t="s">
        <v>326</v>
      </c>
      <c r="C117" s="67"/>
      <c r="D117" s="67" t="s">
        <v>64</v>
      </c>
      <c r="E117" s="68">
        <v>162.66334065299282</v>
      </c>
      <c r="F117" s="70">
        <v>99.99856945065048</v>
      </c>
      <c r="G117" s="106" t="str">
        <f>HYPERLINK("https://pbs.twimg.com/profile_images/1325781953824616448/pa5nbsFa_normal.jpg")</f>
        <v>https://pbs.twimg.com/profile_images/1325781953824616448/pa5nbsFa_normal.jpg</v>
      </c>
      <c r="H117" s="67"/>
      <c r="I117" s="71" t="s">
        <v>326</v>
      </c>
      <c r="J117" s="72"/>
      <c r="K117" s="72"/>
      <c r="L117" s="71" t="s">
        <v>2997</v>
      </c>
      <c r="M117" s="75">
        <v>1.4767544132149317</v>
      </c>
      <c r="N117" s="76">
        <v>2701.063232421875</v>
      </c>
      <c r="O117" s="76">
        <v>3831.853515625</v>
      </c>
      <c r="P117" s="77"/>
      <c r="Q117" s="78"/>
      <c r="R117" s="78"/>
      <c r="S117" s="92"/>
      <c r="T117" s="49">
        <v>1</v>
      </c>
      <c r="U117" s="49">
        <v>1</v>
      </c>
      <c r="V117" s="50">
        <v>0</v>
      </c>
      <c r="W117" s="50">
        <v>0</v>
      </c>
      <c r="X117" s="50">
        <v>0</v>
      </c>
      <c r="Y117" s="50">
        <v>0.999998</v>
      </c>
      <c r="Z117" s="50">
        <v>0</v>
      </c>
      <c r="AA117" s="50">
        <v>0</v>
      </c>
      <c r="AB117" s="73">
        <v>117</v>
      </c>
      <c r="AC117" s="73"/>
      <c r="AD117" s="74"/>
      <c r="AE117" s="81" t="s">
        <v>2030</v>
      </c>
      <c r="AF117" s="86" t="s">
        <v>2300</v>
      </c>
      <c r="AG117" s="81">
        <v>447</v>
      </c>
      <c r="AH117" s="81">
        <v>3522</v>
      </c>
      <c r="AI117" s="81">
        <v>4848</v>
      </c>
      <c r="AJ117" s="81">
        <v>2059</v>
      </c>
      <c r="AK117" s="81"/>
      <c r="AL117" s="81" t="s">
        <v>2568</v>
      </c>
      <c r="AM117" s="81"/>
      <c r="AN117" s="88" t="str">
        <f>HYPERLINK("https://t.co/9zTT4TqQNn")</f>
        <v>https://t.co/9zTT4TqQNn</v>
      </c>
      <c r="AO117" s="81"/>
      <c r="AP117" s="83">
        <v>42978.41071759259</v>
      </c>
      <c r="AQ117" s="88" t="str">
        <f>HYPERLINK("https://pbs.twimg.com/profile_banners/903193501936091136/1626440725")</f>
        <v>https://pbs.twimg.com/profile_banners/903193501936091136/1626440725</v>
      </c>
      <c r="AR117" s="81" t="b">
        <v>1</v>
      </c>
      <c r="AS117" s="81" t="b">
        <v>0</v>
      </c>
      <c r="AT117" s="81" t="b">
        <v>0</v>
      </c>
      <c r="AU117" s="81"/>
      <c r="AV117" s="81">
        <v>21</v>
      </c>
      <c r="AW117" s="81"/>
      <c r="AX117" s="81" t="b">
        <v>1</v>
      </c>
      <c r="AY117" s="81" t="s">
        <v>2883</v>
      </c>
      <c r="AZ117" s="88" t="str">
        <f>HYPERLINK("https://twitter.com/surreyheartland")</f>
        <v>https://twitter.com/surreyheartland</v>
      </c>
      <c r="BA117" s="81" t="s">
        <v>66</v>
      </c>
      <c r="BB117" s="81" t="str">
        <f>REPLACE(INDEX(GroupVertices[Group],MATCH(Vertices[[#This Row],[Vertex]],GroupVertices[Vertex],0)),1,1,"")</f>
        <v>1</v>
      </c>
      <c r="BC117" s="49" t="s">
        <v>3561</v>
      </c>
      <c r="BD117" s="49" t="s">
        <v>3561</v>
      </c>
      <c r="BE117" s="49" t="s">
        <v>917</v>
      </c>
      <c r="BF117" s="49" t="s">
        <v>917</v>
      </c>
      <c r="BG117" s="49" t="s">
        <v>996</v>
      </c>
      <c r="BH117" s="49" t="s">
        <v>996</v>
      </c>
      <c r="BI117" s="113" t="s">
        <v>3683</v>
      </c>
      <c r="BJ117" s="113" t="s">
        <v>3683</v>
      </c>
      <c r="BK117" s="113" t="s">
        <v>3860</v>
      </c>
      <c r="BL117" s="113" t="s">
        <v>3860</v>
      </c>
      <c r="BM117" s="113">
        <v>0</v>
      </c>
      <c r="BN117" s="116">
        <v>0</v>
      </c>
      <c r="BO117" s="113">
        <v>2</v>
      </c>
      <c r="BP117" s="116">
        <v>6.451612903225806</v>
      </c>
      <c r="BQ117" s="113">
        <v>0</v>
      </c>
      <c r="BR117" s="116">
        <v>0</v>
      </c>
      <c r="BS117" s="113">
        <v>29</v>
      </c>
      <c r="BT117" s="116">
        <v>93.54838709677419</v>
      </c>
      <c r="BU117" s="113">
        <v>31</v>
      </c>
      <c r="BV117" s="2"/>
      <c r="BW117" s="3"/>
      <c r="BX117" s="3"/>
      <c r="BY117" s="3"/>
      <c r="BZ117" s="3"/>
    </row>
    <row r="118" spans="1:78" ht="41.45" customHeight="1">
      <c r="A118" s="66" t="s">
        <v>327</v>
      </c>
      <c r="C118" s="67"/>
      <c r="D118" s="67" t="s">
        <v>64</v>
      </c>
      <c r="E118" s="68">
        <v>167.8358520250083</v>
      </c>
      <c r="F118" s="70">
        <v>99.98741449920101</v>
      </c>
      <c r="G118" s="106" t="str">
        <f>HYPERLINK("https://pbs.twimg.com/profile_images/841666978481868802/VvH7b9Be_normal.jpg")</f>
        <v>https://pbs.twimg.com/profile_images/841666978481868802/VvH7b9Be_normal.jpg</v>
      </c>
      <c r="H118" s="67"/>
      <c r="I118" s="71" t="s">
        <v>327</v>
      </c>
      <c r="J118" s="72"/>
      <c r="K118" s="72"/>
      <c r="L118" s="71" t="s">
        <v>2998</v>
      </c>
      <c r="M118" s="75">
        <v>5.1943278996081474</v>
      </c>
      <c r="N118" s="76">
        <v>3873.869140625</v>
      </c>
      <c r="O118" s="76">
        <v>1496.5609130859375</v>
      </c>
      <c r="P118" s="77"/>
      <c r="Q118" s="78"/>
      <c r="R118" s="78"/>
      <c r="S118" s="92"/>
      <c r="T118" s="49">
        <v>1</v>
      </c>
      <c r="U118" s="49">
        <v>1</v>
      </c>
      <c r="V118" s="50">
        <v>0</v>
      </c>
      <c r="W118" s="50">
        <v>0</v>
      </c>
      <c r="X118" s="50">
        <v>0</v>
      </c>
      <c r="Y118" s="50">
        <v>0.999998</v>
      </c>
      <c r="Z118" s="50">
        <v>0</v>
      </c>
      <c r="AA118" s="50">
        <v>0</v>
      </c>
      <c r="AB118" s="73">
        <v>118</v>
      </c>
      <c r="AC118" s="73"/>
      <c r="AD118" s="74"/>
      <c r="AE118" s="81" t="s">
        <v>2031</v>
      </c>
      <c r="AF118" s="86" t="s">
        <v>2301</v>
      </c>
      <c r="AG118" s="81">
        <v>565</v>
      </c>
      <c r="AH118" s="81">
        <v>30962</v>
      </c>
      <c r="AI118" s="81">
        <v>30227</v>
      </c>
      <c r="AJ118" s="81">
        <v>2376</v>
      </c>
      <c r="AK118" s="81"/>
      <c r="AL118" s="81" t="s">
        <v>2569</v>
      </c>
      <c r="AM118" s="81" t="s">
        <v>2798</v>
      </c>
      <c r="AN118" s="88" t="str">
        <f>HYPERLINK("https://t.co/nWmG9SGZLN")</f>
        <v>https://t.co/nWmG9SGZLN</v>
      </c>
      <c r="AO118" s="81"/>
      <c r="AP118" s="83">
        <v>40962.71496527778</v>
      </c>
      <c r="AQ118" s="88" t="str">
        <f>HYPERLINK("https://pbs.twimg.com/profile_banners/500964316/1527601435")</f>
        <v>https://pbs.twimg.com/profile_banners/500964316/1527601435</v>
      </c>
      <c r="AR118" s="81" t="b">
        <v>1</v>
      </c>
      <c r="AS118" s="81" t="b">
        <v>0</v>
      </c>
      <c r="AT118" s="81" t="b">
        <v>1</v>
      </c>
      <c r="AU118" s="81"/>
      <c r="AV118" s="81">
        <v>429</v>
      </c>
      <c r="AW118" s="88" t="str">
        <f>HYPERLINK("https://abs.twimg.com/images/themes/theme1/bg.png")</f>
        <v>https://abs.twimg.com/images/themes/theme1/bg.png</v>
      </c>
      <c r="AX118" s="81" t="b">
        <v>1</v>
      </c>
      <c r="AY118" s="81" t="s">
        <v>2883</v>
      </c>
      <c r="AZ118" s="88" t="str">
        <f>HYPERLINK("https://twitter.com/phlpublichealth")</f>
        <v>https://twitter.com/phlpublichealth</v>
      </c>
      <c r="BA118" s="81" t="s">
        <v>66</v>
      </c>
      <c r="BB118" s="81" t="str">
        <f>REPLACE(INDEX(GroupVertices[Group],MATCH(Vertices[[#This Row],[Vertex]],GroupVertices[Vertex],0)),1,1,"")</f>
        <v>1</v>
      </c>
      <c r="BC118" s="49"/>
      <c r="BD118" s="49"/>
      <c r="BE118" s="49"/>
      <c r="BF118" s="49"/>
      <c r="BG118" s="49" t="s">
        <v>1014</v>
      </c>
      <c r="BH118" s="49" t="s">
        <v>1014</v>
      </c>
      <c r="BI118" s="113" t="s">
        <v>3736</v>
      </c>
      <c r="BJ118" s="113" t="s">
        <v>3736</v>
      </c>
      <c r="BK118" s="113" t="s">
        <v>3913</v>
      </c>
      <c r="BL118" s="113" t="s">
        <v>3913</v>
      </c>
      <c r="BM118" s="113">
        <v>1</v>
      </c>
      <c r="BN118" s="116">
        <v>4.545454545454546</v>
      </c>
      <c r="BO118" s="113">
        <v>0</v>
      </c>
      <c r="BP118" s="116">
        <v>0</v>
      </c>
      <c r="BQ118" s="113">
        <v>0</v>
      </c>
      <c r="BR118" s="116">
        <v>0</v>
      </c>
      <c r="BS118" s="113">
        <v>21</v>
      </c>
      <c r="BT118" s="116">
        <v>95.45454545454545</v>
      </c>
      <c r="BU118" s="113">
        <v>22</v>
      </c>
      <c r="BV118" s="2"/>
      <c r="BW118" s="3"/>
      <c r="BX118" s="3"/>
      <c r="BY118" s="3"/>
      <c r="BZ118" s="3"/>
    </row>
    <row r="119" spans="1:78" ht="41.45" customHeight="1">
      <c r="A119" s="66" t="s">
        <v>328</v>
      </c>
      <c r="C119" s="67"/>
      <c r="D119" s="67" t="s">
        <v>64</v>
      </c>
      <c r="E119" s="68">
        <v>162.02959490836028</v>
      </c>
      <c r="F119" s="70">
        <v>99.99993617611598</v>
      </c>
      <c r="G119" s="106" t="str">
        <f>HYPERLINK("https://pbs.twimg.com/profile_images/1414610349077172224/Ae5KdS7c_normal.jpg")</f>
        <v>https://pbs.twimg.com/profile_images/1414610349077172224/Ae5KdS7c_normal.jpg</v>
      </c>
      <c r="H119" s="67"/>
      <c r="I119" s="71" t="s">
        <v>328</v>
      </c>
      <c r="J119" s="72"/>
      <c r="K119" s="72"/>
      <c r="L119" s="71" t="s">
        <v>2999</v>
      </c>
      <c r="M119" s="75">
        <v>1.0212703730817687</v>
      </c>
      <c r="N119" s="76">
        <v>2310.1279296875</v>
      </c>
      <c r="O119" s="76">
        <v>7724.00830078125</v>
      </c>
      <c r="P119" s="77"/>
      <c r="Q119" s="78"/>
      <c r="R119" s="78"/>
      <c r="S119" s="92"/>
      <c r="T119" s="49">
        <v>1</v>
      </c>
      <c r="U119" s="49">
        <v>1</v>
      </c>
      <c r="V119" s="50">
        <v>0</v>
      </c>
      <c r="W119" s="50">
        <v>0</v>
      </c>
      <c r="X119" s="50">
        <v>0</v>
      </c>
      <c r="Y119" s="50">
        <v>0.999998</v>
      </c>
      <c r="Z119" s="50">
        <v>0</v>
      </c>
      <c r="AA119" s="50">
        <v>0</v>
      </c>
      <c r="AB119" s="73">
        <v>119</v>
      </c>
      <c r="AC119" s="73"/>
      <c r="AD119" s="74"/>
      <c r="AE119" s="81" t="s">
        <v>2032</v>
      </c>
      <c r="AF119" s="86" t="s">
        <v>2302</v>
      </c>
      <c r="AG119" s="81">
        <v>375</v>
      </c>
      <c r="AH119" s="81">
        <v>160</v>
      </c>
      <c r="AI119" s="81">
        <v>1029</v>
      </c>
      <c r="AJ119" s="81">
        <v>776</v>
      </c>
      <c r="AK119" s="81"/>
      <c r="AL119" s="81" t="s">
        <v>2570</v>
      </c>
      <c r="AM119" s="81" t="s">
        <v>2780</v>
      </c>
      <c r="AN119" s="88" t="str">
        <f>HYPERLINK("https://t.co/UFyKw9YoPj")</f>
        <v>https://t.co/UFyKw9YoPj</v>
      </c>
      <c r="AO119" s="81"/>
      <c r="AP119" s="83">
        <v>44265.90324074074</v>
      </c>
      <c r="AQ119" s="88" t="str">
        <f>HYPERLINK("https://pbs.twimg.com/profile_banners/1369764581208363019/1632777344")</f>
        <v>https://pbs.twimg.com/profile_banners/1369764581208363019/1632777344</v>
      </c>
      <c r="AR119" s="81" t="b">
        <v>1</v>
      </c>
      <c r="AS119" s="81" t="b">
        <v>0</v>
      </c>
      <c r="AT119" s="81" t="b">
        <v>0</v>
      </c>
      <c r="AU119" s="81"/>
      <c r="AV119" s="81">
        <v>1</v>
      </c>
      <c r="AW119" s="81"/>
      <c r="AX119" s="81" t="b">
        <v>0</v>
      </c>
      <c r="AY119" s="81" t="s">
        <v>2883</v>
      </c>
      <c r="AZ119" s="88" t="str">
        <f>HYPERLINK("https://twitter.com/mountsinaisci")</f>
        <v>https://twitter.com/mountsinaisci</v>
      </c>
      <c r="BA119" s="81" t="s">
        <v>66</v>
      </c>
      <c r="BB119" s="81" t="str">
        <f>REPLACE(INDEX(GroupVertices[Group],MATCH(Vertices[[#This Row],[Vertex]],GroupVertices[Vertex],0)),1,1,"")</f>
        <v>1</v>
      </c>
      <c r="BC119" s="49"/>
      <c r="BD119" s="49"/>
      <c r="BE119" s="49"/>
      <c r="BF119" s="49"/>
      <c r="BG119" s="49" t="s">
        <v>1015</v>
      </c>
      <c r="BH119" s="49" t="s">
        <v>1015</v>
      </c>
      <c r="BI119" s="113" t="s">
        <v>3737</v>
      </c>
      <c r="BJ119" s="113" t="s">
        <v>3737</v>
      </c>
      <c r="BK119" s="113" t="s">
        <v>3914</v>
      </c>
      <c r="BL119" s="113" t="s">
        <v>3914</v>
      </c>
      <c r="BM119" s="113">
        <v>1</v>
      </c>
      <c r="BN119" s="116">
        <v>2.7777777777777777</v>
      </c>
      <c r="BO119" s="113">
        <v>2</v>
      </c>
      <c r="BP119" s="116">
        <v>5.555555555555555</v>
      </c>
      <c r="BQ119" s="113">
        <v>0</v>
      </c>
      <c r="BR119" s="116">
        <v>0</v>
      </c>
      <c r="BS119" s="113">
        <v>33</v>
      </c>
      <c r="BT119" s="116">
        <v>91.66666666666667</v>
      </c>
      <c r="BU119" s="113">
        <v>36</v>
      </c>
      <c r="BV119" s="2"/>
      <c r="BW119" s="3"/>
      <c r="BX119" s="3"/>
      <c r="BY119" s="3"/>
      <c r="BZ119" s="3"/>
    </row>
    <row r="120" spans="1:78" ht="41.45" customHeight="1">
      <c r="A120" s="66" t="s">
        <v>329</v>
      </c>
      <c r="C120" s="67"/>
      <c r="D120" s="67" t="s">
        <v>64</v>
      </c>
      <c r="E120" s="68">
        <v>162.01489170548066</v>
      </c>
      <c r="F120" s="70">
        <v>99.99996788479721</v>
      </c>
      <c r="G120" s="106" t="str">
        <f>HYPERLINK("https://pbs.twimg.com/profile_images/1102989510659452928/LtmJ9UF3_normal.png")</f>
        <v>https://pbs.twimg.com/profile_images/1102989510659452928/LtmJ9UF3_normal.png</v>
      </c>
      <c r="H120" s="67"/>
      <c r="I120" s="71" t="s">
        <v>329</v>
      </c>
      <c r="J120" s="72"/>
      <c r="K120" s="72"/>
      <c r="L120" s="71" t="s">
        <v>3000</v>
      </c>
      <c r="M120" s="75">
        <v>1.010702926582546</v>
      </c>
      <c r="N120" s="76">
        <v>4264.80419921875</v>
      </c>
      <c r="O120" s="76">
        <v>8502.439453125</v>
      </c>
      <c r="P120" s="77"/>
      <c r="Q120" s="78"/>
      <c r="R120" s="78"/>
      <c r="S120" s="92"/>
      <c r="T120" s="49">
        <v>1</v>
      </c>
      <c r="U120" s="49">
        <v>1</v>
      </c>
      <c r="V120" s="50">
        <v>0</v>
      </c>
      <c r="W120" s="50">
        <v>0</v>
      </c>
      <c r="X120" s="50">
        <v>0</v>
      </c>
      <c r="Y120" s="50">
        <v>0.999998</v>
      </c>
      <c r="Z120" s="50">
        <v>0</v>
      </c>
      <c r="AA120" s="50">
        <v>0</v>
      </c>
      <c r="AB120" s="73">
        <v>120</v>
      </c>
      <c r="AC120" s="73"/>
      <c r="AD120" s="74"/>
      <c r="AE120" s="81" t="s">
        <v>2033</v>
      </c>
      <c r="AF120" s="86" t="s">
        <v>2303</v>
      </c>
      <c r="AG120" s="81">
        <v>19</v>
      </c>
      <c r="AH120" s="81">
        <v>82</v>
      </c>
      <c r="AI120" s="81">
        <v>637</v>
      </c>
      <c r="AJ120" s="81">
        <v>12</v>
      </c>
      <c r="AK120" s="81"/>
      <c r="AL120" s="81"/>
      <c r="AM120" s="81"/>
      <c r="AN120" s="81"/>
      <c r="AO120" s="81"/>
      <c r="AP120" s="83">
        <v>43052.66751157407</v>
      </c>
      <c r="AQ120" s="88" t="str">
        <f>HYPERLINK("https://pbs.twimg.com/profile_banners/930103264917512197/1590174727")</f>
        <v>https://pbs.twimg.com/profile_banners/930103264917512197/1590174727</v>
      </c>
      <c r="AR120" s="81" t="b">
        <v>1</v>
      </c>
      <c r="AS120" s="81" t="b">
        <v>0</v>
      </c>
      <c r="AT120" s="81" t="b">
        <v>0</v>
      </c>
      <c r="AU120" s="81"/>
      <c r="AV120" s="81">
        <v>0</v>
      </c>
      <c r="AW120" s="81"/>
      <c r="AX120" s="81" t="b">
        <v>0</v>
      </c>
      <c r="AY120" s="81" t="s">
        <v>2883</v>
      </c>
      <c r="AZ120" s="88" t="str">
        <f>HYPERLINK("https://twitter.com/rwjbhpharmacy")</f>
        <v>https://twitter.com/rwjbhpharmacy</v>
      </c>
      <c r="BA120" s="81" t="s">
        <v>66</v>
      </c>
      <c r="BB120" s="81" t="str">
        <f>REPLACE(INDEX(GroupVertices[Group],MATCH(Vertices[[#This Row],[Vertex]],GroupVertices[Vertex],0)),1,1,"")</f>
        <v>1</v>
      </c>
      <c r="BC120" s="49" t="s">
        <v>3204</v>
      </c>
      <c r="BD120" s="49" t="s">
        <v>3204</v>
      </c>
      <c r="BE120" s="49" t="s">
        <v>903</v>
      </c>
      <c r="BF120" s="49" t="s">
        <v>903</v>
      </c>
      <c r="BG120" s="49" t="s">
        <v>954</v>
      </c>
      <c r="BH120" s="49" t="s">
        <v>954</v>
      </c>
      <c r="BI120" s="113" t="s">
        <v>3685</v>
      </c>
      <c r="BJ120" s="113" t="s">
        <v>3685</v>
      </c>
      <c r="BK120" s="113" t="s">
        <v>3862</v>
      </c>
      <c r="BL120" s="113" t="s">
        <v>3862</v>
      </c>
      <c r="BM120" s="113">
        <v>0</v>
      </c>
      <c r="BN120" s="116">
        <v>0</v>
      </c>
      <c r="BO120" s="113">
        <v>1</v>
      </c>
      <c r="BP120" s="116">
        <v>3.0303030303030303</v>
      </c>
      <c r="BQ120" s="113">
        <v>0</v>
      </c>
      <c r="BR120" s="116">
        <v>0</v>
      </c>
      <c r="BS120" s="113">
        <v>32</v>
      </c>
      <c r="BT120" s="116">
        <v>96.96969696969697</v>
      </c>
      <c r="BU120" s="113">
        <v>33</v>
      </c>
      <c r="BV120" s="2"/>
      <c r="BW120" s="3"/>
      <c r="BX120" s="3"/>
      <c r="BY120" s="3"/>
      <c r="BZ120" s="3"/>
    </row>
    <row r="121" spans="1:78" ht="41.45" customHeight="1">
      <c r="A121" s="66" t="s">
        <v>330</v>
      </c>
      <c r="C121" s="67"/>
      <c r="D121" s="67" t="s">
        <v>64</v>
      </c>
      <c r="E121" s="68">
        <v>166.11746231410112</v>
      </c>
      <c r="F121" s="70">
        <v>99.99112034968984</v>
      </c>
      <c r="G121" s="106" t="str">
        <f>HYPERLINK("https://pbs.twimg.com/profile_images/1458063018537979914/7Np21l_w_normal.jpg")</f>
        <v>https://pbs.twimg.com/profile_images/1458063018537979914/7Np21l_w_normal.jpg</v>
      </c>
      <c r="H121" s="67"/>
      <c r="I121" s="71" t="s">
        <v>330</v>
      </c>
      <c r="J121" s="72"/>
      <c r="K121" s="72"/>
      <c r="L121" s="71" t="s">
        <v>3001</v>
      </c>
      <c r="M121" s="75">
        <v>3.9592914600323255</v>
      </c>
      <c r="N121" s="76">
        <v>1137.3221435546875</v>
      </c>
      <c r="O121" s="76">
        <v>1496.5609130859375</v>
      </c>
      <c r="P121" s="77"/>
      <c r="Q121" s="78"/>
      <c r="R121" s="78"/>
      <c r="S121" s="92"/>
      <c r="T121" s="49">
        <v>1</v>
      </c>
      <c r="U121" s="49">
        <v>1</v>
      </c>
      <c r="V121" s="50">
        <v>0</v>
      </c>
      <c r="W121" s="50">
        <v>0</v>
      </c>
      <c r="X121" s="50">
        <v>0</v>
      </c>
      <c r="Y121" s="50">
        <v>0.999998</v>
      </c>
      <c r="Z121" s="50">
        <v>0</v>
      </c>
      <c r="AA121" s="50">
        <v>0</v>
      </c>
      <c r="AB121" s="73">
        <v>121</v>
      </c>
      <c r="AC121" s="73"/>
      <c r="AD121" s="74"/>
      <c r="AE121" s="81" t="s">
        <v>2034</v>
      </c>
      <c r="AF121" s="86" t="s">
        <v>2304</v>
      </c>
      <c r="AG121" s="81">
        <v>3215</v>
      </c>
      <c r="AH121" s="81">
        <v>21846</v>
      </c>
      <c r="AI121" s="81">
        <v>36161</v>
      </c>
      <c r="AJ121" s="81">
        <v>23045</v>
      </c>
      <c r="AK121" s="81"/>
      <c r="AL121" s="81" t="s">
        <v>2571</v>
      </c>
      <c r="AM121" s="81" t="s">
        <v>2776</v>
      </c>
      <c r="AN121" s="88" t="str">
        <f>HYPERLINK("https://t.co/wlHrQCNJV8")</f>
        <v>https://t.co/wlHrQCNJV8</v>
      </c>
      <c r="AO121" s="81"/>
      <c r="AP121" s="83">
        <v>39888.62805555556</v>
      </c>
      <c r="AQ121" s="88" t="str">
        <f>HYPERLINK("https://pbs.twimg.com/profile_banners/24703791/1627656691")</f>
        <v>https://pbs.twimg.com/profile_banners/24703791/1627656691</v>
      </c>
      <c r="AR121" s="81" t="b">
        <v>0</v>
      </c>
      <c r="AS121" s="81" t="b">
        <v>0</v>
      </c>
      <c r="AT121" s="81" t="b">
        <v>1</v>
      </c>
      <c r="AU121" s="81"/>
      <c r="AV121" s="81">
        <v>285</v>
      </c>
      <c r="AW121" s="88" t="str">
        <f>HYPERLINK("https://abs.twimg.com/images/themes/theme13/bg.gif")</f>
        <v>https://abs.twimg.com/images/themes/theme13/bg.gif</v>
      </c>
      <c r="AX121" s="81" t="b">
        <v>1</v>
      </c>
      <c r="AY121" s="81" t="s">
        <v>2883</v>
      </c>
      <c r="AZ121" s="88" t="str">
        <f>HYPERLINK("https://twitter.com/nottmhospitals")</f>
        <v>https://twitter.com/nottmhospitals</v>
      </c>
      <c r="BA121" s="81" t="s">
        <v>66</v>
      </c>
      <c r="BB121" s="81" t="str">
        <f>REPLACE(INDEX(GroupVertices[Group],MATCH(Vertices[[#This Row],[Vertex]],GroupVertices[Vertex],0)),1,1,"")</f>
        <v>1</v>
      </c>
      <c r="BC121" s="49"/>
      <c r="BD121" s="49"/>
      <c r="BE121" s="49"/>
      <c r="BF121" s="49"/>
      <c r="BG121" s="49" t="s">
        <v>955</v>
      </c>
      <c r="BH121" s="49" t="s">
        <v>955</v>
      </c>
      <c r="BI121" s="113" t="s">
        <v>3683</v>
      </c>
      <c r="BJ121" s="113" t="s">
        <v>3683</v>
      </c>
      <c r="BK121" s="113" t="s">
        <v>3860</v>
      </c>
      <c r="BL121" s="113" t="s">
        <v>3860</v>
      </c>
      <c r="BM121" s="113">
        <v>0</v>
      </c>
      <c r="BN121" s="116">
        <v>0</v>
      </c>
      <c r="BO121" s="113">
        <v>4</v>
      </c>
      <c r="BP121" s="116">
        <v>6.0606060606060606</v>
      </c>
      <c r="BQ121" s="113">
        <v>0</v>
      </c>
      <c r="BR121" s="116">
        <v>0</v>
      </c>
      <c r="BS121" s="113">
        <v>62</v>
      </c>
      <c r="BT121" s="116">
        <v>93.93939393939394</v>
      </c>
      <c r="BU121" s="113">
        <v>66</v>
      </c>
      <c r="BV121" s="2"/>
      <c r="BW121" s="3"/>
      <c r="BX121" s="3"/>
      <c r="BY121" s="3"/>
      <c r="BZ121" s="3"/>
    </row>
    <row r="122" spans="1:78" ht="41.45" customHeight="1">
      <c r="A122" s="66" t="s">
        <v>331</v>
      </c>
      <c r="C122" s="67"/>
      <c r="D122" s="67" t="s">
        <v>64</v>
      </c>
      <c r="E122" s="68">
        <v>162.02016977830925</v>
      </c>
      <c r="F122" s="70">
        <v>99.9999565021937</v>
      </c>
      <c r="G122" s="106" t="str">
        <f>HYPERLINK("https://pbs.twimg.com/profile_images/1062739609401114624/Pv4W82EN_normal.jpg")</f>
        <v>https://pbs.twimg.com/profile_images/1062739609401114624/Pv4W82EN_normal.jpg</v>
      </c>
      <c r="H122" s="67"/>
      <c r="I122" s="71" t="s">
        <v>331</v>
      </c>
      <c r="J122" s="72"/>
      <c r="K122" s="72"/>
      <c r="L122" s="71" t="s">
        <v>3002</v>
      </c>
      <c r="M122" s="75">
        <v>1.0144963689156004</v>
      </c>
      <c r="N122" s="76">
        <v>1137.3221435546875</v>
      </c>
      <c r="O122" s="76">
        <v>7724.00830078125</v>
      </c>
      <c r="P122" s="77"/>
      <c r="Q122" s="78"/>
      <c r="R122" s="78"/>
      <c r="S122" s="92"/>
      <c r="T122" s="49">
        <v>1</v>
      </c>
      <c r="U122" s="49">
        <v>1</v>
      </c>
      <c r="V122" s="50">
        <v>0</v>
      </c>
      <c r="W122" s="50">
        <v>0</v>
      </c>
      <c r="X122" s="50">
        <v>0</v>
      </c>
      <c r="Y122" s="50">
        <v>0.999998</v>
      </c>
      <c r="Z122" s="50">
        <v>0</v>
      </c>
      <c r="AA122" s="50">
        <v>0</v>
      </c>
      <c r="AB122" s="73">
        <v>122</v>
      </c>
      <c r="AC122" s="73"/>
      <c r="AD122" s="74"/>
      <c r="AE122" s="81" t="s">
        <v>2035</v>
      </c>
      <c r="AF122" s="86" t="s">
        <v>1820</v>
      </c>
      <c r="AG122" s="81">
        <v>139</v>
      </c>
      <c r="AH122" s="81">
        <v>110</v>
      </c>
      <c r="AI122" s="81">
        <v>209</v>
      </c>
      <c r="AJ122" s="81">
        <v>381</v>
      </c>
      <c r="AK122" s="81"/>
      <c r="AL122" s="81" t="s">
        <v>2572</v>
      </c>
      <c r="AM122" s="81" t="s">
        <v>2799</v>
      </c>
      <c r="AN122" s="81"/>
      <c r="AO122" s="81"/>
      <c r="AP122" s="83">
        <v>43418.48993055556</v>
      </c>
      <c r="AQ122" s="88" t="str">
        <f>HYPERLINK("https://pbs.twimg.com/profile_banners/1062672870260781056/1637221840")</f>
        <v>https://pbs.twimg.com/profile_banners/1062672870260781056/1637221840</v>
      </c>
      <c r="AR122" s="81" t="b">
        <v>0</v>
      </c>
      <c r="AS122" s="81" t="b">
        <v>0</v>
      </c>
      <c r="AT122" s="81" t="b">
        <v>0</v>
      </c>
      <c r="AU122" s="81"/>
      <c r="AV122" s="81">
        <v>0</v>
      </c>
      <c r="AW122" s="88" t="str">
        <f>HYPERLINK("https://abs.twimg.com/images/themes/theme1/bg.png")</f>
        <v>https://abs.twimg.com/images/themes/theme1/bg.png</v>
      </c>
      <c r="AX122" s="81" t="b">
        <v>0</v>
      </c>
      <c r="AY122" s="81" t="s">
        <v>2883</v>
      </c>
      <c r="AZ122" s="88" t="str">
        <f>HYPERLINK("https://twitter.com/myhtams")</f>
        <v>https://twitter.com/myhtams</v>
      </c>
      <c r="BA122" s="81" t="s">
        <v>66</v>
      </c>
      <c r="BB122" s="81" t="str">
        <f>REPLACE(INDEX(GroupVertices[Group],MATCH(Vertices[[#This Row],[Vertex]],GroupVertices[Vertex],0)),1,1,"")</f>
        <v>1</v>
      </c>
      <c r="BC122" s="49"/>
      <c r="BD122" s="49"/>
      <c r="BE122" s="49"/>
      <c r="BF122" s="49"/>
      <c r="BG122" s="49" t="s">
        <v>1016</v>
      </c>
      <c r="BH122" s="49" t="s">
        <v>3657</v>
      </c>
      <c r="BI122" s="113" t="s">
        <v>3738</v>
      </c>
      <c r="BJ122" s="113" t="s">
        <v>3826</v>
      </c>
      <c r="BK122" s="113" t="s">
        <v>3915</v>
      </c>
      <c r="BL122" s="113" t="s">
        <v>3995</v>
      </c>
      <c r="BM122" s="113">
        <v>1</v>
      </c>
      <c r="BN122" s="116">
        <v>0.684931506849315</v>
      </c>
      <c r="BO122" s="113">
        <v>2</v>
      </c>
      <c r="BP122" s="116">
        <v>1.36986301369863</v>
      </c>
      <c r="BQ122" s="113">
        <v>0</v>
      </c>
      <c r="BR122" s="116">
        <v>0</v>
      </c>
      <c r="BS122" s="113">
        <v>143</v>
      </c>
      <c r="BT122" s="116">
        <v>97.94520547945206</v>
      </c>
      <c r="BU122" s="113">
        <v>146</v>
      </c>
      <c r="BV122" s="2"/>
      <c r="BW122" s="3"/>
      <c r="BX122" s="3"/>
      <c r="BY122" s="3"/>
      <c r="BZ122" s="3"/>
    </row>
    <row r="123" spans="1:78" ht="41.45" customHeight="1">
      <c r="A123" s="66" t="s">
        <v>332</v>
      </c>
      <c r="C123" s="67"/>
      <c r="D123" s="67" t="s">
        <v>64</v>
      </c>
      <c r="E123" s="68">
        <v>162</v>
      </c>
      <c r="F123" s="70">
        <v>100</v>
      </c>
      <c r="G123" s="106" t="str">
        <f>HYPERLINK("https://pbs.twimg.com/profile_images/1458365707188686853/xle3QBvN_normal.jpg")</f>
        <v>https://pbs.twimg.com/profile_images/1458365707188686853/xle3QBvN_normal.jpg</v>
      </c>
      <c r="H123" s="67"/>
      <c r="I123" s="71" t="s">
        <v>332</v>
      </c>
      <c r="J123" s="72"/>
      <c r="K123" s="72"/>
      <c r="L123" s="71" t="s">
        <v>3003</v>
      </c>
      <c r="M123" s="75">
        <v>1</v>
      </c>
      <c r="N123" s="76">
        <v>355.4516296386719</v>
      </c>
      <c r="O123" s="76">
        <v>9280.87109375</v>
      </c>
      <c r="P123" s="77"/>
      <c r="Q123" s="78"/>
      <c r="R123" s="78"/>
      <c r="S123" s="92"/>
      <c r="T123" s="49">
        <v>1</v>
      </c>
      <c r="U123" s="49">
        <v>1</v>
      </c>
      <c r="V123" s="50">
        <v>0</v>
      </c>
      <c r="W123" s="50">
        <v>0</v>
      </c>
      <c r="X123" s="50">
        <v>0</v>
      </c>
      <c r="Y123" s="50">
        <v>0.999998</v>
      </c>
      <c r="Z123" s="50">
        <v>0</v>
      </c>
      <c r="AA123" s="50">
        <v>0</v>
      </c>
      <c r="AB123" s="73">
        <v>123</v>
      </c>
      <c r="AC123" s="73"/>
      <c r="AD123" s="74"/>
      <c r="AE123" s="81" t="s">
        <v>2036</v>
      </c>
      <c r="AF123" s="86" t="s">
        <v>2305</v>
      </c>
      <c r="AG123" s="81">
        <v>35</v>
      </c>
      <c r="AH123" s="81">
        <v>3</v>
      </c>
      <c r="AI123" s="81">
        <v>9</v>
      </c>
      <c r="AJ123" s="81">
        <v>5</v>
      </c>
      <c r="AK123" s="81"/>
      <c r="AL123" s="81"/>
      <c r="AM123" s="81"/>
      <c r="AN123" s="81"/>
      <c r="AO123" s="81"/>
      <c r="AP123" s="83">
        <v>44510.39150462963</v>
      </c>
      <c r="AQ123" s="81"/>
      <c r="AR123" s="81" t="b">
        <v>1</v>
      </c>
      <c r="AS123" s="81" t="b">
        <v>0</v>
      </c>
      <c r="AT123" s="81" t="b">
        <v>1</v>
      </c>
      <c r="AU123" s="81"/>
      <c r="AV123" s="81">
        <v>0</v>
      </c>
      <c r="AW123" s="81"/>
      <c r="AX123" s="81" t="b">
        <v>0</v>
      </c>
      <c r="AY123" s="81" t="s">
        <v>2883</v>
      </c>
      <c r="AZ123" s="88" t="str">
        <f>HYPERLINK("https://twitter.com/naveidiftikhar")</f>
        <v>https://twitter.com/naveidiftikhar</v>
      </c>
      <c r="BA123" s="81" t="s">
        <v>66</v>
      </c>
      <c r="BB123" s="81" t="str">
        <f>REPLACE(INDEX(GroupVertices[Group],MATCH(Vertices[[#This Row],[Vertex]],GroupVertices[Vertex],0)),1,1,"")</f>
        <v>1</v>
      </c>
      <c r="BC123" s="49"/>
      <c r="BD123" s="49"/>
      <c r="BE123" s="49"/>
      <c r="BF123" s="49"/>
      <c r="BG123" s="49" t="s">
        <v>966</v>
      </c>
      <c r="BH123" s="49" t="s">
        <v>966</v>
      </c>
      <c r="BI123" s="113" t="s">
        <v>3681</v>
      </c>
      <c r="BJ123" s="113" t="s">
        <v>3681</v>
      </c>
      <c r="BK123" s="113" t="s">
        <v>3858</v>
      </c>
      <c r="BL123" s="113" t="s">
        <v>3858</v>
      </c>
      <c r="BM123" s="113">
        <v>0</v>
      </c>
      <c r="BN123" s="116">
        <v>0</v>
      </c>
      <c r="BO123" s="113">
        <v>4</v>
      </c>
      <c r="BP123" s="116">
        <v>14.285714285714286</v>
      </c>
      <c r="BQ123" s="113">
        <v>0</v>
      </c>
      <c r="BR123" s="116">
        <v>0</v>
      </c>
      <c r="BS123" s="113">
        <v>24</v>
      </c>
      <c r="BT123" s="116">
        <v>85.71428571428571</v>
      </c>
      <c r="BU123" s="113">
        <v>28</v>
      </c>
      <c r="BV123" s="2"/>
      <c r="BW123" s="3"/>
      <c r="BX123" s="3"/>
      <c r="BY123" s="3"/>
      <c r="BZ123" s="3"/>
    </row>
    <row r="124" spans="1:78" ht="41.45" customHeight="1">
      <c r="A124" s="66" t="s">
        <v>333</v>
      </c>
      <c r="C124" s="67"/>
      <c r="D124" s="67" t="s">
        <v>64</v>
      </c>
      <c r="E124" s="68">
        <v>162.60754388309059</v>
      </c>
      <c r="F124" s="70">
        <v>99.99868978103055</v>
      </c>
      <c r="G124" s="106" t="str">
        <f>HYPERLINK("https://pbs.twimg.com/profile_images/1138360280524701696/_5XbDhIY_normal.png")</f>
        <v>https://pbs.twimg.com/profile_images/1138360280524701696/_5XbDhIY_normal.png</v>
      </c>
      <c r="H124" s="67"/>
      <c r="I124" s="71" t="s">
        <v>333</v>
      </c>
      <c r="J124" s="72"/>
      <c r="K124" s="72"/>
      <c r="L124" s="71" t="s">
        <v>3004</v>
      </c>
      <c r="M124" s="75">
        <v>1.4366523085512148</v>
      </c>
      <c r="N124" s="76">
        <v>1137.3221435546875</v>
      </c>
      <c r="O124" s="76">
        <v>3831.853515625</v>
      </c>
      <c r="P124" s="77"/>
      <c r="Q124" s="78"/>
      <c r="R124" s="78"/>
      <c r="S124" s="92"/>
      <c r="T124" s="49">
        <v>1</v>
      </c>
      <c r="U124" s="49">
        <v>1</v>
      </c>
      <c r="V124" s="50">
        <v>0</v>
      </c>
      <c r="W124" s="50">
        <v>0</v>
      </c>
      <c r="X124" s="50">
        <v>0</v>
      </c>
      <c r="Y124" s="50">
        <v>0.999998</v>
      </c>
      <c r="Z124" s="50">
        <v>0</v>
      </c>
      <c r="AA124" s="50">
        <v>0</v>
      </c>
      <c r="AB124" s="73">
        <v>124</v>
      </c>
      <c r="AC124" s="73"/>
      <c r="AD124" s="74"/>
      <c r="AE124" s="81" t="s">
        <v>2037</v>
      </c>
      <c r="AF124" s="86" t="s">
        <v>2306</v>
      </c>
      <c r="AG124" s="81">
        <v>387</v>
      </c>
      <c r="AH124" s="81">
        <v>3226</v>
      </c>
      <c r="AI124" s="81">
        <v>8312</v>
      </c>
      <c r="AJ124" s="81">
        <v>3815</v>
      </c>
      <c r="AK124" s="81"/>
      <c r="AL124" s="81" t="s">
        <v>2573</v>
      </c>
      <c r="AM124" s="81"/>
      <c r="AN124" s="88" t="str">
        <f>HYPERLINK("https://t.co/eVqywZVQYZ")</f>
        <v>https://t.co/eVqywZVQYZ</v>
      </c>
      <c r="AO124" s="81"/>
      <c r="AP124" s="83">
        <v>41437.639872685184</v>
      </c>
      <c r="AQ124" s="88" t="str">
        <f>HYPERLINK("https://pbs.twimg.com/profile_banners/1510830871/1539954090")</f>
        <v>https://pbs.twimg.com/profile_banners/1510830871/1539954090</v>
      </c>
      <c r="AR124" s="81" t="b">
        <v>0</v>
      </c>
      <c r="AS124" s="81" t="b">
        <v>0</v>
      </c>
      <c r="AT124" s="81" t="b">
        <v>0</v>
      </c>
      <c r="AU124" s="81"/>
      <c r="AV124" s="81">
        <v>49</v>
      </c>
      <c r="AW124" s="88" t="str">
        <f>HYPERLINK("https://abs.twimg.com/images/themes/theme5/bg.gif")</f>
        <v>https://abs.twimg.com/images/themes/theme5/bg.gif</v>
      </c>
      <c r="AX124" s="81" t="b">
        <v>0</v>
      </c>
      <c r="AY124" s="81" t="s">
        <v>2883</v>
      </c>
      <c r="AZ124" s="88" t="str">
        <f>HYPERLINK("https://twitter.com/nihrspcr")</f>
        <v>https://twitter.com/nihrspcr</v>
      </c>
      <c r="BA124" s="81" t="s">
        <v>66</v>
      </c>
      <c r="BB124" s="81" t="str">
        <f>REPLACE(INDEX(GroupVertices[Group],MATCH(Vertices[[#This Row],[Vertex]],GroupVertices[Vertex],0)),1,1,"")</f>
        <v>1</v>
      </c>
      <c r="BC124" s="49" t="s">
        <v>3566</v>
      </c>
      <c r="BD124" s="49" t="s">
        <v>3566</v>
      </c>
      <c r="BE124" s="49" t="s">
        <v>905</v>
      </c>
      <c r="BF124" s="49" t="s">
        <v>905</v>
      </c>
      <c r="BG124" s="49" t="s">
        <v>1018</v>
      </c>
      <c r="BH124" s="49" t="s">
        <v>1018</v>
      </c>
      <c r="BI124" s="113" t="s">
        <v>3739</v>
      </c>
      <c r="BJ124" s="113" t="s">
        <v>3827</v>
      </c>
      <c r="BK124" s="113" t="s">
        <v>3916</v>
      </c>
      <c r="BL124" s="113" t="s">
        <v>3996</v>
      </c>
      <c r="BM124" s="113">
        <v>8</v>
      </c>
      <c r="BN124" s="116">
        <v>6.837606837606837</v>
      </c>
      <c r="BO124" s="113">
        <v>0</v>
      </c>
      <c r="BP124" s="116">
        <v>0</v>
      </c>
      <c r="BQ124" s="113">
        <v>0</v>
      </c>
      <c r="BR124" s="116">
        <v>0</v>
      </c>
      <c r="BS124" s="113">
        <v>109</v>
      </c>
      <c r="BT124" s="116">
        <v>93.16239316239316</v>
      </c>
      <c r="BU124" s="113">
        <v>117</v>
      </c>
      <c r="BV124" s="2"/>
      <c r="BW124" s="3"/>
      <c r="BX124" s="3"/>
      <c r="BY124" s="3"/>
      <c r="BZ124" s="3"/>
    </row>
    <row r="125" spans="1:78" ht="41.45" customHeight="1">
      <c r="A125" s="66" t="s">
        <v>334</v>
      </c>
      <c r="C125" s="67"/>
      <c r="D125" s="67" t="s">
        <v>64</v>
      </c>
      <c r="E125" s="68">
        <v>164.60604845911496</v>
      </c>
      <c r="F125" s="70">
        <v>99.99437983951206</v>
      </c>
      <c r="G125" s="106" t="str">
        <f>HYPERLINK("https://pbs.twimg.com/profile_images/1460477255797424133/HBM71LxD_normal.png")</f>
        <v>https://pbs.twimg.com/profile_images/1460477255797424133/HBM71LxD_normal.png</v>
      </c>
      <c r="H125" s="67"/>
      <c r="I125" s="71" t="s">
        <v>334</v>
      </c>
      <c r="J125" s="72"/>
      <c r="K125" s="72"/>
      <c r="L125" s="71" t="s">
        <v>3005</v>
      </c>
      <c r="M125" s="75">
        <v>2.873012151945561</v>
      </c>
      <c r="N125" s="76">
        <v>4264.80419921875</v>
      </c>
      <c r="O125" s="76">
        <v>2274.99169921875</v>
      </c>
      <c r="P125" s="77"/>
      <c r="Q125" s="78"/>
      <c r="R125" s="78"/>
      <c r="S125" s="92"/>
      <c r="T125" s="49">
        <v>1</v>
      </c>
      <c r="U125" s="49">
        <v>1</v>
      </c>
      <c r="V125" s="50">
        <v>0</v>
      </c>
      <c r="W125" s="50">
        <v>0</v>
      </c>
      <c r="X125" s="50">
        <v>0</v>
      </c>
      <c r="Y125" s="50">
        <v>0.999998</v>
      </c>
      <c r="Z125" s="50">
        <v>0</v>
      </c>
      <c r="AA125" s="50">
        <v>0</v>
      </c>
      <c r="AB125" s="73">
        <v>125</v>
      </c>
      <c r="AC125" s="73"/>
      <c r="AD125" s="74"/>
      <c r="AE125" s="81" t="s">
        <v>2038</v>
      </c>
      <c r="AF125" s="86" t="s">
        <v>2307</v>
      </c>
      <c r="AG125" s="81">
        <v>589</v>
      </c>
      <c r="AH125" s="81">
        <v>13828</v>
      </c>
      <c r="AI125" s="81">
        <v>7531</v>
      </c>
      <c r="AJ125" s="81">
        <v>4271</v>
      </c>
      <c r="AK125" s="81"/>
      <c r="AL125" s="81" t="s">
        <v>2574</v>
      </c>
      <c r="AM125" s="81" t="s">
        <v>2755</v>
      </c>
      <c r="AN125" s="88" t="str">
        <f>HYPERLINK("https://t.co/drzOk1G7oc")</f>
        <v>https://t.co/drzOk1G7oc</v>
      </c>
      <c r="AO125" s="81"/>
      <c r="AP125" s="83">
        <v>40624.75100694445</v>
      </c>
      <c r="AQ125" s="88" t="str">
        <f>HYPERLINK("https://pbs.twimg.com/profile_banners/270479160/1634663835")</f>
        <v>https://pbs.twimg.com/profile_banners/270479160/1634663835</v>
      </c>
      <c r="AR125" s="81" t="b">
        <v>0</v>
      </c>
      <c r="AS125" s="81" t="b">
        <v>0</v>
      </c>
      <c r="AT125" s="81" t="b">
        <v>0</v>
      </c>
      <c r="AU125" s="81"/>
      <c r="AV125" s="81">
        <v>181</v>
      </c>
      <c r="AW125" s="88" t="str">
        <f>HYPERLINK("https://abs.twimg.com/images/themes/theme1/bg.png")</f>
        <v>https://abs.twimg.com/images/themes/theme1/bg.png</v>
      </c>
      <c r="AX125" s="81" t="b">
        <v>0</v>
      </c>
      <c r="AY125" s="81" t="s">
        <v>2883</v>
      </c>
      <c r="AZ125" s="88" t="str">
        <f>HYPERLINK("https://twitter.com/shea_epi")</f>
        <v>https://twitter.com/shea_epi</v>
      </c>
      <c r="BA125" s="81" t="s">
        <v>66</v>
      </c>
      <c r="BB125" s="81" t="str">
        <f>REPLACE(INDEX(GroupVertices[Group],MATCH(Vertices[[#This Row],[Vertex]],GroupVertices[Vertex],0)),1,1,"")</f>
        <v>1</v>
      </c>
      <c r="BC125" s="49" t="s">
        <v>3567</v>
      </c>
      <c r="BD125" s="49" t="s">
        <v>3567</v>
      </c>
      <c r="BE125" s="49" t="s">
        <v>903</v>
      </c>
      <c r="BF125" s="49" t="s">
        <v>903</v>
      </c>
      <c r="BG125" s="49" t="s">
        <v>3621</v>
      </c>
      <c r="BH125" s="49" t="s">
        <v>3658</v>
      </c>
      <c r="BI125" s="113" t="s">
        <v>3740</v>
      </c>
      <c r="BJ125" s="113" t="s">
        <v>3828</v>
      </c>
      <c r="BK125" s="113" t="s">
        <v>3917</v>
      </c>
      <c r="BL125" s="113" t="s">
        <v>3917</v>
      </c>
      <c r="BM125" s="113">
        <v>1</v>
      </c>
      <c r="BN125" s="116">
        <v>1.7857142857142858</v>
      </c>
      <c r="BO125" s="113">
        <v>1</v>
      </c>
      <c r="BP125" s="116">
        <v>1.7857142857142858</v>
      </c>
      <c r="BQ125" s="113">
        <v>0</v>
      </c>
      <c r="BR125" s="116">
        <v>0</v>
      </c>
      <c r="BS125" s="113">
        <v>54</v>
      </c>
      <c r="BT125" s="116">
        <v>96.42857142857143</v>
      </c>
      <c r="BU125" s="113">
        <v>56</v>
      </c>
      <c r="BV125" s="2"/>
      <c r="BW125" s="3"/>
      <c r="BX125" s="3"/>
      <c r="BY125" s="3"/>
      <c r="BZ125" s="3"/>
    </row>
    <row r="126" spans="1:78" ht="41.45" customHeight="1">
      <c r="A126" s="66" t="s">
        <v>335</v>
      </c>
      <c r="C126" s="67"/>
      <c r="D126" s="67" t="s">
        <v>64</v>
      </c>
      <c r="E126" s="68">
        <v>169.03529407530476</v>
      </c>
      <c r="F126" s="70">
        <v>99.98482780255112</v>
      </c>
      <c r="G126" s="106" t="str">
        <f>HYPERLINK("https://pbs.twimg.com/profile_images/1103377749970952192/PCG_y8t-_normal.png")</f>
        <v>https://pbs.twimg.com/profile_images/1103377749970952192/PCG_y8t-_normal.png</v>
      </c>
      <c r="H126" s="67"/>
      <c r="I126" s="71" t="s">
        <v>335</v>
      </c>
      <c r="J126" s="72"/>
      <c r="K126" s="72"/>
      <c r="L126" s="71" t="s">
        <v>3006</v>
      </c>
      <c r="M126" s="75">
        <v>6.056387669794737</v>
      </c>
      <c r="N126" s="76">
        <v>5046.6748046875</v>
      </c>
      <c r="O126" s="76">
        <v>1496.5609130859375</v>
      </c>
      <c r="P126" s="77"/>
      <c r="Q126" s="78"/>
      <c r="R126" s="78"/>
      <c r="S126" s="92"/>
      <c r="T126" s="49">
        <v>1</v>
      </c>
      <c r="U126" s="49">
        <v>1</v>
      </c>
      <c r="V126" s="50">
        <v>0</v>
      </c>
      <c r="W126" s="50">
        <v>0</v>
      </c>
      <c r="X126" s="50">
        <v>0</v>
      </c>
      <c r="Y126" s="50">
        <v>0.999998</v>
      </c>
      <c r="Z126" s="50">
        <v>0</v>
      </c>
      <c r="AA126" s="50">
        <v>0</v>
      </c>
      <c r="AB126" s="73">
        <v>126</v>
      </c>
      <c r="AC126" s="73"/>
      <c r="AD126" s="74"/>
      <c r="AE126" s="81" t="s">
        <v>335</v>
      </c>
      <c r="AF126" s="86" t="s">
        <v>2308</v>
      </c>
      <c r="AG126" s="81">
        <v>655</v>
      </c>
      <c r="AH126" s="81">
        <v>37325</v>
      </c>
      <c r="AI126" s="81">
        <v>19521</v>
      </c>
      <c r="AJ126" s="81">
        <v>5028</v>
      </c>
      <c r="AK126" s="81"/>
      <c r="AL126" s="81" t="s">
        <v>2575</v>
      </c>
      <c r="AM126" s="81" t="s">
        <v>2800</v>
      </c>
      <c r="AN126" s="88" t="str">
        <f>HYPERLINK("https://t.co/gfpFEMlqp2")</f>
        <v>https://t.co/gfpFEMlqp2</v>
      </c>
      <c r="AO126" s="81"/>
      <c r="AP126" s="83">
        <v>39890.861921296295</v>
      </c>
      <c r="AQ126" s="88" t="str">
        <f>HYPERLINK("https://pbs.twimg.com/profile_banners/25149628/1616190832")</f>
        <v>https://pbs.twimg.com/profile_banners/25149628/1616190832</v>
      </c>
      <c r="AR126" s="81" t="b">
        <v>0</v>
      </c>
      <c r="AS126" s="81" t="b">
        <v>0</v>
      </c>
      <c r="AT126" s="81" t="b">
        <v>1</v>
      </c>
      <c r="AU126" s="81"/>
      <c r="AV126" s="81">
        <v>658</v>
      </c>
      <c r="AW126" s="88" t="str">
        <f>HYPERLINK("https://abs.twimg.com/images/themes/theme1/bg.png")</f>
        <v>https://abs.twimg.com/images/themes/theme1/bg.png</v>
      </c>
      <c r="AX126" s="81" t="b">
        <v>1</v>
      </c>
      <c r="AY126" s="81" t="s">
        <v>2883</v>
      </c>
      <c r="AZ126" s="88" t="str">
        <f>HYPERLINK("https://twitter.com/mnhealth")</f>
        <v>https://twitter.com/mnhealth</v>
      </c>
      <c r="BA126" s="81" t="s">
        <v>66</v>
      </c>
      <c r="BB126" s="81" t="str">
        <f>REPLACE(INDEX(GroupVertices[Group],MATCH(Vertices[[#This Row],[Vertex]],GroupVertices[Vertex],0)),1,1,"")</f>
        <v>1</v>
      </c>
      <c r="BC126" s="49" t="s">
        <v>3204</v>
      </c>
      <c r="BD126" s="49" t="s">
        <v>3204</v>
      </c>
      <c r="BE126" s="49" t="s">
        <v>903</v>
      </c>
      <c r="BF126" s="49" t="s">
        <v>903</v>
      </c>
      <c r="BG126" s="49" t="s">
        <v>956</v>
      </c>
      <c r="BH126" s="49" t="s">
        <v>956</v>
      </c>
      <c r="BI126" s="113" t="s">
        <v>3685</v>
      </c>
      <c r="BJ126" s="113" t="s">
        <v>3685</v>
      </c>
      <c r="BK126" s="113" t="s">
        <v>3862</v>
      </c>
      <c r="BL126" s="113" t="s">
        <v>3862</v>
      </c>
      <c r="BM126" s="113">
        <v>0</v>
      </c>
      <c r="BN126" s="116">
        <v>0</v>
      </c>
      <c r="BO126" s="113">
        <v>1</v>
      </c>
      <c r="BP126" s="116">
        <v>3.0303030303030303</v>
      </c>
      <c r="BQ126" s="113">
        <v>0</v>
      </c>
      <c r="BR126" s="116">
        <v>0</v>
      </c>
      <c r="BS126" s="113">
        <v>32</v>
      </c>
      <c r="BT126" s="116">
        <v>96.96969696969697</v>
      </c>
      <c r="BU126" s="113">
        <v>33</v>
      </c>
      <c r="BV126" s="2"/>
      <c r="BW126" s="3"/>
      <c r="BX126" s="3"/>
      <c r="BY126" s="3"/>
      <c r="BZ126" s="3"/>
    </row>
    <row r="127" spans="1:78" ht="41.45" customHeight="1">
      <c r="A127" s="66" t="s">
        <v>336</v>
      </c>
      <c r="C127" s="67"/>
      <c r="D127" s="67" t="s">
        <v>64</v>
      </c>
      <c r="E127" s="68">
        <v>162.00150802080816</v>
      </c>
      <c r="F127" s="70">
        <v>99.99999674782757</v>
      </c>
      <c r="G127" s="106" t="str">
        <f>HYPERLINK("https://pbs.twimg.com/profile_images/1304066766650384387/fTglEZTq_normal.jpg")</f>
        <v>https://pbs.twimg.com/profile_images/1304066766650384387/fTglEZTq_normal.jpg</v>
      </c>
      <c r="H127" s="67"/>
      <c r="I127" s="71" t="s">
        <v>336</v>
      </c>
      <c r="J127" s="72"/>
      <c r="K127" s="72"/>
      <c r="L127" s="71" t="s">
        <v>3007</v>
      </c>
      <c r="M127" s="75">
        <v>1.001083840666587</v>
      </c>
      <c r="N127" s="76">
        <v>2701.063232421875</v>
      </c>
      <c r="O127" s="76">
        <v>9280.87109375</v>
      </c>
      <c r="P127" s="77"/>
      <c r="Q127" s="78"/>
      <c r="R127" s="78"/>
      <c r="S127" s="92"/>
      <c r="T127" s="49">
        <v>1</v>
      </c>
      <c r="U127" s="49">
        <v>1</v>
      </c>
      <c r="V127" s="50">
        <v>0</v>
      </c>
      <c r="W127" s="50">
        <v>0</v>
      </c>
      <c r="X127" s="50">
        <v>0</v>
      </c>
      <c r="Y127" s="50">
        <v>0.999998</v>
      </c>
      <c r="Z127" s="50">
        <v>0</v>
      </c>
      <c r="AA127" s="50">
        <v>0</v>
      </c>
      <c r="AB127" s="73">
        <v>127</v>
      </c>
      <c r="AC127" s="73"/>
      <c r="AD127" s="74"/>
      <c r="AE127" s="81" t="s">
        <v>2039</v>
      </c>
      <c r="AF127" s="86" t="s">
        <v>2309</v>
      </c>
      <c r="AG127" s="81">
        <v>28</v>
      </c>
      <c r="AH127" s="81">
        <v>11</v>
      </c>
      <c r="AI127" s="81">
        <v>45</v>
      </c>
      <c r="AJ127" s="81">
        <v>68</v>
      </c>
      <c r="AK127" s="81"/>
      <c r="AL127" s="81" t="s">
        <v>2576</v>
      </c>
      <c r="AM127" s="81" t="s">
        <v>2801</v>
      </c>
      <c r="AN127" s="81"/>
      <c r="AO127" s="81"/>
      <c r="AP127" s="83">
        <v>44083.87229166667</v>
      </c>
      <c r="AQ127" s="81"/>
      <c r="AR127" s="81" t="b">
        <v>1</v>
      </c>
      <c r="AS127" s="81" t="b">
        <v>0</v>
      </c>
      <c r="AT127" s="81" t="b">
        <v>0</v>
      </c>
      <c r="AU127" s="81"/>
      <c r="AV127" s="81">
        <v>0</v>
      </c>
      <c r="AW127" s="81"/>
      <c r="AX127" s="81" t="b">
        <v>0</v>
      </c>
      <c r="AY127" s="81" t="s">
        <v>2883</v>
      </c>
      <c r="AZ127" s="88" t="str">
        <f>HYPERLINK("https://twitter.com/muzzamilrao21")</f>
        <v>https://twitter.com/muzzamilrao21</v>
      </c>
      <c r="BA127" s="81" t="s">
        <v>66</v>
      </c>
      <c r="BB127" s="81" t="str">
        <f>REPLACE(INDEX(GroupVertices[Group],MATCH(Vertices[[#This Row],[Vertex]],GroupVertices[Vertex],0)),1,1,"")</f>
        <v>1</v>
      </c>
      <c r="BC127" s="49"/>
      <c r="BD127" s="49"/>
      <c r="BE127" s="49"/>
      <c r="BF127" s="49"/>
      <c r="BG127" s="49" t="s">
        <v>949</v>
      </c>
      <c r="BH127" s="49" t="s">
        <v>949</v>
      </c>
      <c r="BI127" s="113" t="s">
        <v>3681</v>
      </c>
      <c r="BJ127" s="113" t="s">
        <v>3681</v>
      </c>
      <c r="BK127" s="113" t="s">
        <v>3858</v>
      </c>
      <c r="BL127" s="113" t="s">
        <v>3858</v>
      </c>
      <c r="BM127" s="113">
        <v>0</v>
      </c>
      <c r="BN127" s="116">
        <v>0</v>
      </c>
      <c r="BO127" s="113">
        <v>4</v>
      </c>
      <c r="BP127" s="116">
        <v>14.285714285714286</v>
      </c>
      <c r="BQ127" s="113">
        <v>0</v>
      </c>
      <c r="BR127" s="116">
        <v>0</v>
      </c>
      <c r="BS127" s="113">
        <v>24</v>
      </c>
      <c r="BT127" s="116">
        <v>85.71428571428571</v>
      </c>
      <c r="BU127" s="113">
        <v>28</v>
      </c>
      <c r="BV127" s="2"/>
      <c r="BW127" s="3"/>
      <c r="BX127" s="3"/>
      <c r="BY127" s="3"/>
      <c r="BZ127" s="3"/>
    </row>
    <row r="128" spans="1:78" ht="41.45" customHeight="1">
      <c r="A128" s="66" t="s">
        <v>337</v>
      </c>
      <c r="C128" s="67"/>
      <c r="D128" s="67" t="s">
        <v>64</v>
      </c>
      <c r="E128" s="68">
        <v>162.1249772244769</v>
      </c>
      <c r="F128" s="70">
        <v>99.9997304762095</v>
      </c>
      <c r="G128" s="106" t="str">
        <f>HYPERLINK("https://pbs.twimg.com/profile_images/1233330494609272833/ep0S_SGx_normal.jpg")</f>
        <v>https://pbs.twimg.com/profile_images/1233330494609272833/ep0S_SGx_normal.jpg</v>
      </c>
      <c r="H128" s="67"/>
      <c r="I128" s="71" t="s">
        <v>337</v>
      </c>
      <c r="J128" s="72"/>
      <c r="K128" s="72"/>
      <c r="L128" s="71" t="s">
        <v>3008</v>
      </c>
      <c r="M128" s="75">
        <v>1.0898232952433928</v>
      </c>
      <c r="N128" s="76">
        <v>3091.998291015625</v>
      </c>
      <c r="O128" s="76">
        <v>6167.146484375</v>
      </c>
      <c r="P128" s="77"/>
      <c r="Q128" s="78"/>
      <c r="R128" s="78"/>
      <c r="S128" s="92"/>
      <c r="T128" s="49">
        <v>1</v>
      </c>
      <c r="U128" s="49">
        <v>1</v>
      </c>
      <c r="V128" s="50">
        <v>0</v>
      </c>
      <c r="W128" s="50">
        <v>0</v>
      </c>
      <c r="X128" s="50">
        <v>0</v>
      </c>
      <c r="Y128" s="50">
        <v>0.999998</v>
      </c>
      <c r="Z128" s="50">
        <v>0</v>
      </c>
      <c r="AA128" s="50">
        <v>0</v>
      </c>
      <c r="AB128" s="73">
        <v>128</v>
      </c>
      <c r="AC128" s="73"/>
      <c r="AD128" s="74"/>
      <c r="AE128" s="81" t="s">
        <v>2040</v>
      </c>
      <c r="AF128" s="86" t="s">
        <v>2310</v>
      </c>
      <c r="AG128" s="81">
        <v>150</v>
      </c>
      <c r="AH128" s="81">
        <v>666</v>
      </c>
      <c r="AI128" s="81">
        <v>553</v>
      </c>
      <c r="AJ128" s="81">
        <v>205</v>
      </c>
      <c r="AK128" s="81"/>
      <c r="AL128" s="81" t="s">
        <v>2577</v>
      </c>
      <c r="AM128" s="81" t="s">
        <v>2802</v>
      </c>
      <c r="AN128" s="88" t="str">
        <f>HYPERLINK("https://t.co/BN79zbc4tt")</f>
        <v>https://t.co/BN79zbc4tt</v>
      </c>
      <c r="AO128" s="81"/>
      <c r="AP128" s="83">
        <v>43889.399513888886</v>
      </c>
      <c r="AQ128" s="88" t="str">
        <f>HYPERLINK("https://pbs.twimg.com/profile_banners/1233324745334099970/1635767510")</f>
        <v>https://pbs.twimg.com/profile_banners/1233324745334099970/1635767510</v>
      </c>
      <c r="AR128" s="81" t="b">
        <v>1</v>
      </c>
      <c r="AS128" s="81" t="b">
        <v>0</v>
      </c>
      <c r="AT128" s="81" t="b">
        <v>0</v>
      </c>
      <c r="AU128" s="81"/>
      <c r="AV128" s="81">
        <v>2</v>
      </c>
      <c r="AW128" s="81"/>
      <c r="AX128" s="81" t="b">
        <v>0</v>
      </c>
      <c r="AY128" s="81" t="s">
        <v>2883</v>
      </c>
      <c r="AZ128" s="88" t="str">
        <f>HYPERLINK("https://twitter.com/notts_ics")</f>
        <v>https://twitter.com/notts_ics</v>
      </c>
      <c r="BA128" s="81" t="s">
        <v>66</v>
      </c>
      <c r="BB128" s="81" t="str">
        <f>REPLACE(INDEX(GroupVertices[Group],MATCH(Vertices[[#This Row],[Vertex]],GroupVertices[Vertex],0)),1,1,"")</f>
        <v>1</v>
      </c>
      <c r="BC128" s="49"/>
      <c r="BD128" s="49"/>
      <c r="BE128" s="49"/>
      <c r="BF128" s="49"/>
      <c r="BG128" s="49" t="s">
        <v>955</v>
      </c>
      <c r="BH128" s="49" t="s">
        <v>955</v>
      </c>
      <c r="BI128" s="113" t="s">
        <v>3683</v>
      </c>
      <c r="BJ128" s="113" t="s">
        <v>3683</v>
      </c>
      <c r="BK128" s="113" t="s">
        <v>3860</v>
      </c>
      <c r="BL128" s="113" t="s">
        <v>3860</v>
      </c>
      <c r="BM128" s="113">
        <v>0</v>
      </c>
      <c r="BN128" s="116">
        <v>0</v>
      </c>
      <c r="BO128" s="113">
        <v>2</v>
      </c>
      <c r="BP128" s="116">
        <v>6.0606060606060606</v>
      </c>
      <c r="BQ128" s="113">
        <v>0</v>
      </c>
      <c r="BR128" s="116">
        <v>0</v>
      </c>
      <c r="BS128" s="113">
        <v>31</v>
      </c>
      <c r="BT128" s="116">
        <v>93.93939393939394</v>
      </c>
      <c r="BU128" s="113">
        <v>33</v>
      </c>
      <c r="BV128" s="2"/>
      <c r="BW128" s="3"/>
      <c r="BX128" s="3"/>
      <c r="BY128" s="3"/>
      <c r="BZ128" s="3"/>
    </row>
    <row r="129" spans="1:78" ht="41.45" customHeight="1">
      <c r="A129" s="66" t="s">
        <v>338</v>
      </c>
      <c r="C129" s="67"/>
      <c r="D129" s="67" t="s">
        <v>64</v>
      </c>
      <c r="E129" s="68">
        <v>163.52913309948212</v>
      </c>
      <c r="F129" s="70">
        <v>99.99670229715167</v>
      </c>
      <c r="G129" s="106" t="str">
        <f>HYPERLINK("https://pbs.twimg.com/profile_images/1366359617899487234/rrQfPpNL_normal.jpg")</f>
        <v>https://pbs.twimg.com/profile_images/1366359617899487234/rrQfPpNL_normal.jpg</v>
      </c>
      <c r="H129" s="67"/>
      <c r="I129" s="71" t="s">
        <v>338</v>
      </c>
      <c r="J129" s="72"/>
      <c r="K129" s="72"/>
      <c r="L129" s="71" t="s">
        <v>3009</v>
      </c>
      <c r="M129" s="75">
        <v>2.0990144359191607</v>
      </c>
      <c r="N129" s="76">
        <v>5046.6748046875</v>
      </c>
      <c r="O129" s="76">
        <v>3053.422607421875</v>
      </c>
      <c r="P129" s="77"/>
      <c r="Q129" s="78"/>
      <c r="R129" s="78"/>
      <c r="S129" s="92"/>
      <c r="T129" s="49">
        <v>1</v>
      </c>
      <c r="U129" s="49">
        <v>1</v>
      </c>
      <c r="V129" s="50">
        <v>0</v>
      </c>
      <c r="W129" s="50">
        <v>0</v>
      </c>
      <c r="X129" s="50">
        <v>0</v>
      </c>
      <c r="Y129" s="50">
        <v>0.999998</v>
      </c>
      <c r="Z129" s="50">
        <v>0</v>
      </c>
      <c r="AA129" s="50">
        <v>0</v>
      </c>
      <c r="AB129" s="73">
        <v>129</v>
      </c>
      <c r="AC129" s="73"/>
      <c r="AD129" s="74"/>
      <c r="AE129" s="81" t="s">
        <v>2041</v>
      </c>
      <c r="AF129" s="86" t="s">
        <v>2311</v>
      </c>
      <c r="AG129" s="81">
        <v>763</v>
      </c>
      <c r="AH129" s="81">
        <v>8115</v>
      </c>
      <c r="AI129" s="81">
        <v>9705</v>
      </c>
      <c r="AJ129" s="81">
        <v>5628</v>
      </c>
      <c r="AK129" s="81"/>
      <c r="AL129" s="81" t="s">
        <v>2578</v>
      </c>
      <c r="AM129" s="81" t="s">
        <v>2803</v>
      </c>
      <c r="AN129" s="88" t="str">
        <f>HYPERLINK("https://t.co/vddQKOL5o0")</f>
        <v>https://t.co/vddQKOL5o0</v>
      </c>
      <c r="AO129" s="81"/>
      <c r="AP129" s="83">
        <v>40332.65136574074</v>
      </c>
      <c r="AQ129" s="88" t="str">
        <f>HYPERLINK("https://pbs.twimg.com/profile_banners/151513624/1635520432")</f>
        <v>https://pbs.twimg.com/profile_banners/151513624/1635520432</v>
      </c>
      <c r="AR129" s="81" t="b">
        <v>0</v>
      </c>
      <c r="AS129" s="81" t="b">
        <v>0</v>
      </c>
      <c r="AT129" s="81" t="b">
        <v>1</v>
      </c>
      <c r="AU129" s="81"/>
      <c r="AV129" s="81">
        <v>175</v>
      </c>
      <c r="AW129" s="88" t="str">
        <f>HYPERLINK("https://abs.twimg.com/images/themes/theme1/bg.png")</f>
        <v>https://abs.twimg.com/images/themes/theme1/bg.png</v>
      </c>
      <c r="AX129" s="81" t="b">
        <v>0</v>
      </c>
      <c r="AY129" s="81" t="s">
        <v>2883</v>
      </c>
      <c r="AZ129" s="88" t="str">
        <f>HYPERLINK("https://twitter.com/nhsinbcwb")</f>
        <v>https://twitter.com/nhsinbcwb</v>
      </c>
      <c r="BA129" s="81" t="s">
        <v>66</v>
      </c>
      <c r="BB129" s="81" t="str">
        <f>REPLACE(INDEX(GroupVertices[Group],MATCH(Vertices[[#This Row],[Vertex]],GroupVertices[Vertex],0)),1,1,"")</f>
        <v>1</v>
      </c>
      <c r="BC129" s="49"/>
      <c r="BD129" s="49"/>
      <c r="BE129" s="49"/>
      <c r="BF129" s="49"/>
      <c r="BG129" s="49" t="s">
        <v>955</v>
      </c>
      <c r="BH129" s="49" t="s">
        <v>955</v>
      </c>
      <c r="BI129" s="113" t="s">
        <v>3683</v>
      </c>
      <c r="BJ129" s="113" t="s">
        <v>3683</v>
      </c>
      <c r="BK129" s="113" t="s">
        <v>3860</v>
      </c>
      <c r="BL129" s="113" t="s">
        <v>3860</v>
      </c>
      <c r="BM129" s="113">
        <v>0</v>
      </c>
      <c r="BN129" s="116">
        <v>0</v>
      </c>
      <c r="BO129" s="113">
        <v>2</v>
      </c>
      <c r="BP129" s="116">
        <v>6.0606060606060606</v>
      </c>
      <c r="BQ129" s="113">
        <v>0</v>
      </c>
      <c r="BR129" s="116">
        <v>0</v>
      </c>
      <c r="BS129" s="113">
        <v>31</v>
      </c>
      <c r="BT129" s="116">
        <v>93.93939393939394</v>
      </c>
      <c r="BU129" s="113">
        <v>33</v>
      </c>
      <c r="BV129" s="2"/>
      <c r="BW129" s="3"/>
      <c r="BX129" s="3"/>
      <c r="BY129" s="3"/>
      <c r="BZ129" s="3"/>
    </row>
    <row r="130" spans="1:78" ht="41.45" customHeight="1">
      <c r="A130" s="66" t="s">
        <v>339</v>
      </c>
      <c r="C130" s="67"/>
      <c r="D130" s="67" t="s">
        <v>64</v>
      </c>
      <c r="E130" s="68">
        <v>162.24825792554464</v>
      </c>
      <c r="F130" s="70">
        <v>99.99946461111301</v>
      </c>
      <c r="G130" s="106" t="str">
        <f>HYPERLINK("https://pbs.twimg.com/profile_images/1242414212149886977/HEmRaYI7_normal.jpg")</f>
        <v>https://pbs.twimg.com/profile_images/1242414212149886977/HEmRaYI7_normal.jpg</v>
      </c>
      <c r="H130" s="67"/>
      <c r="I130" s="71" t="s">
        <v>339</v>
      </c>
      <c r="J130" s="72"/>
      <c r="K130" s="72"/>
      <c r="L130" s="71" t="s">
        <v>3010</v>
      </c>
      <c r="M130" s="75">
        <v>1.1784272697368756</v>
      </c>
      <c r="N130" s="76">
        <v>5046.6748046875</v>
      </c>
      <c r="O130" s="76">
        <v>5388.71533203125</v>
      </c>
      <c r="P130" s="77"/>
      <c r="Q130" s="78"/>
      <c r="R130" s="78"/>
      <c r="S130" s="92"/>
      <c r="T130" s="49">
        <v>1</v>
      </c>
      <c r="U130" s="49">
        <v>1</v>
      </c>
      <c r="V130" s="50">
        <v>0</v>
      </c>
      <c r="W130" s="50">
        <v>0</v>
      </c>
      <c r="X130" s="50">
        <v>0</v>
      </c>
      <c r="Y130" s="50">
        <v>0.999998</v>
      </c>
      <c r="Z130" s="50">
        <v>0</v>
      </c>
      <c r="AA130" s="50">
        <v>0</v>
      </c>
      <c r="AB130" s="73">
        <v>130</v>
      </c>
      <c r="AC130" s="73"/>
      <c r="AD130" s="74"/>
      <c r="AE130" s="81" t="s">
        <v>2042</v>
      </c>
      <c r="AF130" s="86" t="s">
        <v>2312</v>
      </c>
      <c r="AG130" s="81">
        <v>1770</v>
      </c>
      <c r="AH130" s="81">
        <v>1320</v>
      </c>
      <c r="AI130" s="81">
        <v>4990</v>
      </c>
      <c r="AJ130" s="81">
        <v>6927</v>
      </c>
      <c r="AK130" s="81"/>
      <c r="AL130" s="81" t="s">
        <v>2579</v>
      </c>
      <c r="AM130" s="81" t="s">
        <v>2804</v>
      </c>
      <c r="AN130" s="88" t="str">
        <f>HYPERLINK("https://t.co/YY3L4nQTaG")</f>
        <v>https://t.co/YY3L4nQTaG</v>
      </c>
      <c r="AO130" s="81"/>
      <c r="AP130" s="83">
        <v>42474.57488425926</v>
      </c>
      <c r="AQ130" s="88" t="str">
        <f>HYPERLINK("https://pbs.twimg.com/profile_banners/720609511229296640/1585049646")</f>
        <v>https://pbs.twimg.com/profile_banners/720609511229296640/1585049646</v>
      </c>
      <c r="AR130" s="81" t="b">
        <v>0</v>
      </c>
      <c r="AS130" s="81" t="b">
        <v>0</v>
      </c>
      <c r="AT130" s="81" t="b">
        <v>1</v>
      </c>
      <c r="AU130" s="81"/>
      <c r="AV130" s="81">
        <v>13</v>
      </c>
      <c r="AW130" s="88" t="str">
        <f>HYPERLINK("https://abs.twimg.com/images/themes/theme1/bg.png")</f>
        <v>https://abs.twimg.com/images/themes/theme1/bg.png</v>
      </c>
      <c r="AX130" s="81" t="b">
        <v>0</v>
      </c>
      <c r="AY130" s="81" t="s">
        <v>2883</v>
      </c>
      <c r="AZ130" s="88" t="str">
        <f>HYPERLINK("https://twitter.com/nhswyrd")</f>
        <v>https://twitter.com/nhswyrd</v>
      </c>
      <c r="BA130" s="81" t="s">
        <v>66</v>
      </c>
      <c r="BB130" s="81" t="str">
        <f>REPLACE(INDEX(GroupVertices[Group],MATCH(Vertices[[#This Row],[Vertex]],GroupVertices[Vertex],0)),1,1,"")</f>
        <v>1</v>
      </c>
      <c r="BC130" s="49" t="s">
        <v>3568</v>
      </c>
      <c r="BD130" s="49" t="s">
        <v>3568</v>
      </c>
      <c r="BE130" s="49" t="s">
        <v>910</v>
      </c>
      <c r="BF130" s="49" t="s">
        <v>910</v>
      </c>
      <c r="BG130" s="49" t="s">
        <v>3622</v>
      </c>
      <c r="BH130" s="49" t="s">
        <v>3659</v>
      </c>
      <c r="BI130" s="113" t="s">
        <v>3741</v>
      </c>
      <c r="BJ130" s="113" t="s">
        <v>3829</v>
      </c>
      <c r="BK130" s="113" t="s">
        <v>3918</v>
      </c>
      <c r="BL130" s="113" t="s">
        <v>3997</v>
      </c>
      <c r="BM130" s="113">
        <v>0</v>
      </c>
      <c r="BN130" s="116">
        <v>0</v>
      </c>
      <c r="BO130" s="113">
        <v>3</v>
      </c>
      <c r="BP130" s="116">
        <v>6</v>
      </c>
      <c r="BQ130" s="113">
        <v>0</v>
      </c>
      <c r="BR130" s="116">
        <v>0</v>
      </c>
      <c r="BS130" s="113">
        <v>47</v>
      </c>
      <c r="BT130" s="116">
        <v>94</v>
      </c>
      <c r="BU130" s="113">
        <v>50</v>
      </c>
      <c r="BV130" s="2"/>
      <c r="BW130" s="3"/>
      <c r="BX130" s="3"/>
      <c r="BY130" s="3"/>
      <c r="BZ130" s="3"/>
    </row>
    <row r="131" spans="1:78" ht="41.45" customHeight="1">
      <c r="A131" s="66" t="s">
        <v>340</v>
      </c>
      <c r="C131" s="67"/>
      <c r="D131" s="67" t="s">
        <v>64</v>
      </c>
      <c r="E131" s="68">
        <v>162.39642096994712</v>
      </c>
      <c r="F131" s="70">
        <v>99.99914508517135</v>
      </c>
      <c r="G131" s="106" t="str">
        <f>HYPERLINK("https://pbs.twimg.com/profile_images/848252131287207937/0GADZuGt_normal.jpg")</f>
        <v>https://pbs.twimg.com/profile_images/848252131287207937/0GADZuGt_normal.jpg</v>
      </c>
      <c r="H131" s="67"/>
      <c r="I131" s="71" t="s">
        <v>340</v>
      </c>
      <c r="J131" s="72"/>
      <c r="K131" s="72"/>
      <c r="L131" s="71" t="s">
        <v>3011</v>
      </c>
      <c r="M131" s="75">
        <v>1.2849146152290427</v>
      </c>
      <c r="N131" s="76">
        <v>1919.192626953125</v>
      </c>
      <c r="O131" s="76">
        <v>4610.28466796875</v>
      </c>
      <c r="P131" s="77"/>
      <c r="Q131" s="78"/>
      <c r="R131" s="78"/>
      <c r="S131" s="92"/>
      <c r="T131" s="49">
        <v>1</v>
      </c>
      <c r="U131" s="49">
        <v>1</v>
      </c>
      <c r="V131" s="50">
        <v>0</v>
      </c>
      <c r="W131" s="50">
        <v>0</v>
      </c>
      <c r="X131" s="50">
        <v>0</v>
      </c>
      <c r="Y131" s="50">
        <v>0.999998</v>
      </c>
      <c r="Z131" s="50">
        <v>0</v>
      </c>
      <c r="AA131" s="50">
        <v>0</v>
      </c>
      <c r="AB131" s="73">
        <v>131</v>
      </c>
      <c r="AC131" s="73"/>
      <c r="AD131" s="74"/>
      <c r="AE131" s="81" t="s">
        <v>2043</v>
      </c>
      <c r="AF131" s="86" t="s">
        <v>2313</v>
      </c>
      <c r="AG131" s="81">
        <v>433</v>
      </c>
      <c r="AH131" s="81">
        <v>2106</v>
      </c>
      <c r="AI131" s="81">
        <v>3933</v>
      </c>
      <c r="AJ131" s="81">
        <v>2369</v>
      </c>
      <c r="AK131" s="81"/>
      <c r="AL131" s="81" t="s">
        <v>2580</v>
      </c>
      <c r="AM131" s="81" t="s">
        <v>2805</v>
      </c>
      <c r="AN131" s="88" t="str">
        <f>HYPERLINK("https://t.co/mWG1KnqDbn")</f>
        <v>https://t.co/mWG1KnqDbn</v>
      </c>
      <c r="AO131" s="81"/>
      <c r="AP131" s="83">
        <v>42781.56182870371</v>
      </c>
      <c r="AQ131" s="81"/>
      <c r="AR131" s="81" t="b">
        <v>0</v>
      </c>
      <c r="AS131" s="81" t="b">
        <v>0</v>
      </c>
      <c r="AT131" s="81" t="b">
        <v>0</v>
      </c>
      <c r="AU131" s="81"/>
      <c r="AV131" s="81">
        <v>20</v>
      </c>
      <c r="AW131" s="88" t="str">
        <f>HYPERLINK("https://abs.twimg.com/images/themes/theme1/bg.png")</f>
        <v>https://abs.twimg.com/images/themes/theme1/bg.png</v>
      </c>
      <c r="AX131" s="81" t="b">
        <v>0</v>
      </c>
      <c r="AY131" s="81" t="s">
        <v>2883</v>
      </c>
      <c r="AZ131" s="88" t="str">
        <f>HYPERLINK("https://twitter.com/nelhcp")</f>
        <v>https://twitter.com/nelhcp</v>
      </c>
      <c r="BA131" s="81" t="s">
        <v>66</v>
      </c>
      <c r="BB131" s="81" t="str">
        <f>REPLACE(INDEX(GroupVertices[Group],MATCH(Vertices[[#This Row],[Vertex]],GroupVertices[Vertex],0)),1,1,"")</f>
        <v>1</v>
      </c>
      <c r="BC131" s="49" t="s">
        <v>3205</v>
      </c>
      <c r="BD131" s="49" t="s">
        <v>3205</v>
      </c>
      <c r="BE131" s="49" t="s">
        <v>902</v>
      </c>
      <c r="BF131" s="49" t="s">
        <v>902</v>
      </c>
      <c r="BG131" s="49" t="s">
        <v>955</v>
      </c>
      <c r="BH131" s="49" t="s">
        <v>955</v>
      </c>
      <c r="BI131" s="113" t="s">
        <v>3711</v>
      </c>
      <c r="BJ131" s="113" t="s">
        <v>3711</v>
      </c>
      <c r="BK131" s="113" t="s">
        <v>3888</v>
      </c>
      <c r="BL131" s="113" t="s">
        <v>3888</v>
      </c>
      <c r="BM131" s="113">
        <v>0</v>
      </c>
      <c r="BN131" s="116">
        <v>0</v>
      </c>
      <c r="BO131" s="113">
        <v>2</v>
      </c>
      <c r="BP131" s="116">
        <v>11.11111111111111</v>
      </c>
      <c r="BQ131" s="113">
        <v>0</v>
      </c>
      <c r="BR131" s="116">
        <v>0</v>
      </c>
      <c r="BS131" s="113">
        <v>16</v>
      </c>
      <c r="BT131" s="116">
        <v>88.88888888888889</v>
      </c>
      <c r="BU131" s="113">
        <v>18</v>
      </c>
      <c r="BV131" s="2"/>
      <c r="BW131" s="3"/>
      <c r="BX131" s="3"/>
      <c r="BY131" s="3"/>
      <c r="BZ131" s="3"/>
    </row>
    <row r="132" spans="1:78" ht="41.45" customHeight="1">
      <c r="A132" s="66" t="s">
        <v>341</v>
      </c>
      <c r="C132" s="67"/>
      <c r="D132" s="67" t="s">
        <v>64</v>
      </c>
      <c r="E132" s="68">
        <v>162.22488360301801</v>
      </c>
      <c r="F132" s="70">
        <v>99.99951501978575</v>
      </c>
      <c r="G132" s="106" t="str">
        <f>HYPERLINK("https://pbs.twimg.com/profile_images/1184782936/SC_logo_Twitter_normal.jpg")</f>
        <v>https://pbs.twimg.com/profile_images/1184782936/SC_logo_Twitter_normal.jpg</v>
      </c>
      <c r="H132" s="67"/>
      <c r="I132" s="71" t="s">
        <v>341</v>
      </c>
      <c r="J132" s="72"/>
      <c r="K132" s="72"/>
      <c r="L132" s="71" t="s">
        <v>3012</v>
      </c>
      <c r="M132" s="75">
        <v>1.161627739404778</v>
      </c>
      <c r="N132" s="76">
        <v>4655.7392578125</v>
      </c>
      <c r="O132" s="76">
        <v>5388.71533203125</v>
      </c>
      <c r="P132" s="77"/>
      <c r="Q132" s="78"/>
      <c r="R132" s="78"/>
      <c r="S132" s="92"/>
      <c r="T132" s="49">
        <v>1</v>
      </c>
      <c r="U132" s="49">
        <v>1</v>
      </c>
      <c r="V132" s="50">
        <v>0</v>
      </c>
      <c r="W132" s="50">
        <v>0</v>
      </c>
      <c r="X132" s="50">
        <v>0</v>
      </c>
      <c r="Y132" s="50">
        <v>0.999998</v>
      </c>
      <c r="Z132" s="50">
        <v>0</v>
      </c>
      <c r="AA132" s="50">
        <v>0</v>
      </c>
      <c r="AB132" s="73">
        <v>132</v>
      </c>
      <c r="AC132" s="73"/>
      <c r="AD132" s="74"/>
      <c r="AE132" s="81" t="s">
        <v>2044</v>
      </c>
      <c r="AF132" s="86" t="s">
        <v>2314</v>
      </c>
      <c r="AG132" s="81">
        <v>89</v>
      </c>
      <c r="AH132" s="81">
        <v>1196</v>
      </c>
      <c r="AI132" s="81">
        <v>4314</v>
      </c>
      <c r="AJ132" s="81">
        <v>117</v>
      </c>
      <c r="AK132" s="81"/>
      <c r="AL132" s="81" t="s">
        <v>2581</v>
      </c>
      <c r="AM132" s="81" t="s">
        <v>2806</v>
      </c>
      <c r="AN132" s="88" t="str">
        <f>HYPERLINK("https://t.co/1rRNNQOfPu")</f>
        <v>https://t.co/1rRNNQOfPu</v>
      </c>
      <c r="AO132" s="81"/>
      <c r="AP132" s="83">
        <v>40122.68042824074</v>
      </c>
      <c r="AQ132" s="88" t="str">
        <f>HYPERLINK("https://pbs.twimg.com/profile_banners/87722948/1560772848")</f>
        <v>https://pbs.twimg.com/profile_banners/87722948/1560772848</v>
      </c>
      <c r="AR132" s="81" t="b">
        <v>1</v>
      </c>
      <c r="AS132" s="81" t="b">
        <v>0</v>
      </c>
      <c r="AT132" s="81" t="b">
        <v>0</v>
      </c>
      <c r="AU132" s="81"/>
      <c r="AV132" s="81">
        <v>38</v>
      </c>
      <c r="AW132" s="88" t="str">
        <f>HYPERLINK("https://abs.twimg.com/images/themes/theme1/bg.png")</f>
        <v>https://abs.twimg.com/images/themes/theme1/bg.png</v>
      </c>
      <c r="AX132" s="81" t="b">
        <v>0</v>
      </c>
      <c r="AY132" s="81" t="s">
        <v>2883</v>
      </c>
      <c r="AZ132" s="88" t="str">
        <f>HYPERLINK("https://twitter.com/silvercrosshosp")</f>
        <v>https://twitter.com/silvercrosshosp</v>
      </c>
      <c r="BA132" s="81" t="s">
        <v>66</v>
      </c>
      <c r="BB132" s="81" t="str">
        <f>REPLACE(INDEX(GroupVertices[Group],MATCH(Vertices[[#This Row],[Vertex]],GroupVertices[Vertex],0)),1,1,"")</f>
        <v>1</v>
      </c>
      <c r="BC132" s="49" t="s">
        <v>3204</v>
      </c>
      <c r="BD132" s="49" t="s">
        <v>3204</v>
      </c>
      <c r="BE132" s="49" t="s">
        <v>903</v>
      </c>
      <c r="BF132" s="49" t="s">
        <v>903</v>
      </c>
      <c r="BG132" s="49" t="s">
        <v>1021</v>
      </c>
      <c r="BH132" s="49" t="s">
        <v>1021</v>
      </c>
      <c r="BI132" s="113" t="s">
        <v>3685</v>
      </c>
      <c r="BJ132" s="113" t="s">
        <v>3685</v>
      </c>
      <c r="BK132" s="113" t="s">
        <v>3862</v>
      </c>
      <c r="BL132" s="113" t="s">
        <v>3862</v>
      </c>
      <c r="BM132" s="113">
        <v>0</v>
      </c>
      <c r="BN132" s="116">
        <v>0</v>
      </c>
      <c r="BO132" s="113">
        <v>1</v>
      </c>
      <c r="BP132" s="116">
        <v>2.9411764705882355</v>
      </c>
      <c r="BQ132" s="113">
        <v>0</v>
      </c>
      <c r="BR132" s="116">
        <v>0</v>
      </c>
      <c r="BS132" s="113">
        <v>33</v>
      </c>
      <c r="BT132" s="116">
        <v>97.05882352941177</v>
      </c>
      <c r="BU132" s="113">
        <v>34</v>
      </c>
      <c r="BV132" s="2"/>
      <c r="BW132" s="3"/>
      <c r="BX132" s="3"/>
      <c r="BY132" s="3"/>
      <c r="BZ132" s="3"/>
    </row>
    <row r="133" spans="1:78" ht="41.45" customHeight="1">
      <c r="A133" s="66" t="s">
        <v>342</v>
      </c>
      <c r="C133" s="67"/>
      <c r="D133" s="67" t="s">
        <v>64</v>
      </c>
      <c r="E133" s="68">
        <v>162.01885026010208</v>
      </c>
      <c r="F133" s="70">
        <v>99.99995934784457</v>
      </c>
      <c r="G133" s="106" t="str">
        <f>HYPERLINK("https://pbs.twimg.com/profile_images/1404472836069249026/vdKDHbTX_normal.jpg")</f>
        <v>https://pbs.twimg.com/profile_images/1404472836069249026/vdKDHbTX_normal.jpg</v>
      </c>
      <c r="H133" s="67"/>
      <c r="I133" s="71" t="s">
        <v>342</v>
      </c>
      <c r="J133" s="72"/>
      <c r="K133" s="72"/>
      <c r="L133" s="71" t="s">
        <v>3013</v>
      </c>
      <c r="M133" s="75">
        <v>1.0135480083323367</v>
      </c>
      <c r="N133" s="76">
        <v>746.3868408203125</v>
      </c>
      <c r="O133" s="76">
        <v>7724.00830078125</v>
      </c>
      <c r="P133" s="77"/>
      <c r="Q133" s="78"/>
      <c r="R133" s="78"/>
      <c r="S133" s="92"/>
      <c r="T133" s="49">
        <v>1</v>
      </c>
      <c r="U133" s="49">
        <v>1</v>
      </c>
      <c r="V133" s="50">
        <v>0</v>
      </c>
      <c r="W133" s="50">
        <v>0</v>
      </c>
      <c r="X133" s="50">
        <v>0</v>
      </c>
      <c r="Y133" s="50">
        <v>0.999998</v>
      </c>
      <c r="Z133" s="50">
        <v>0</v>
      </c>
      <c r="AA133" s="50">
        <v>0</v>
      </c>
      <c r="AB133" s="73">
        <v>133</v>
      </c>
      <c r="AC133" s="73"/>
      <c r="AD133" s="74"/>
      <c r="AE133" s="81" t="s">
        <v>2045</v>
      </c>
      <c r="AF133" s="86" t="s">
        <v>2315</v>
      </c>
      <c r="AG133" s="81">
        <v>473</v>
      </c>
      <c r="AH133" s="81">
        <v>103</v>
      </c>
      <c r="AI133" s="81">
        <v>844</v>
      </c>
      <c r="AJ133" s="81">
        <v>0</v>
      </c>
      <c r="AK133" s="81"/>
      <c r="AL133" s="81" t="s">
        <v>2582</v>
      </c>
      <c r="AM133" s="81" t="s">
        <v>2807</v>
      </c>
      <c r="AN133" s="88" t="str">
        <f>HYPERLINK("https://t.co/CIDzHZDuZr")</f>
        <v>https://t.co/CIDzHZDuZr</v>
      </c>
      <c r="AO133" s="81"/>
      <c r="AP133" s="83">
        <v>40277.50861111111</v>
      </c>
      <c r="AQ133" s="88" t="str">
        <f>HYPERLINK("https://pbs.twimg.com/profile_banners/131148572/1623687394")</f>
        <v>https://pbs.twimg.com/profile_banners/131148572/1623687394</v>
      </c>
      <c r="AR133" s="81" t="b">
        <v>0</v>
      </c>
      <c r="AS133" s="81" t="b">
        <v>0</v>
      </c>
      <c r="AT133" s="81" t="b">
        <v>0</v>
      </c>
      <c r="AU133" s="81"/>
      <c r="AV133" s="81">
        <v>1</v>
      </c>
      <c r="AW133" s="88" t="str">
        <f>HYPERLINK("https://abs.twimg.com/images/themes/theme1/bg.png")</f>
        <v>https://abs.twimg.com/images/themes/theme1/bg.png</v>
      </c>
      <c r="AX133" s="81" t="b">
        <v>0</v>
      </c>
      <c r="AY133" s="81" t="s">
        <v>2883</v>
      </c>
      <c r="AZ133" s="88" t="str">
        <f>HYPERLINK("https://twitter.com/factconsultancy")</f>
        <v>https://twitter.com/factconsultancy</v>
      </c>
      <c r="BA133" s="81" t="s">
        <v>66</v>
      </c>
      <c r="BB133" s="81" t="str">
        <f>REPLACE(INDEX(GroupVertices[Group],MATCH(Vertices[[#This Row],[Vertex]],GroupVertices[Vertex],0)),1,1,"")</f>
        <v>1</v>
      </c>
      <c r="BC133" s="49"/>
      <c r="BD133" s="49"/>
      <c r="BE133" s="49"/>
      <c r="BF133" s="49"/>
      <c r="BG133" s="49" t="s">
        <v>1022</v>
      </c>
      <c r="BH133" s="49" t="s">
        <v>1022</v>
      </c>
      <c r="BI133" s="113" t="s">
        <v>3683</v>
      </c>
      <c r="BJ133" s="113" t="s">
        <v>3683</v>
      </c>
      <c r="BK133" s="113" t="s">
        <v>3860</v>
      </c>
      <c r="BL133" s="113" t="s">
        <v>3860</v>
      </c>
      <c r="BM133" s="113">
        <v>0</v>
      </c>
      <c r="BN133" s="116">
        <v>0</v>
      </c>
      <c r="BO133" s="113">
        <v>2</v>
      </c>
      <c r="BP133" s="116">
        <v>6.25</v>
      </c>
      <c r="BQ133" s="113">
        <v>0</v>
      </c>
      <c r="BR133" s="116">
        <v>0</v>
      </c>
      <c r="BS133" s="113">
        <v>30</v>
      </c>
      <c r="BT133" s="116">
        <v>93.75</v>
      </c>
      <c r="BU133" s="113">
        <v>32</v>
      </c>
      <c r="BV133" s="2"/>
      <c r="BW133" s="3"/>
      <c r="BX133" s="3"/>
      <c r="BY133" s="3"/>
      <c r="BZ133" s="3"/>
    </row>
    <row r="134" spans="1:78" ht="41.45" customHeight="1">
      <c r="A134" s="66" t="s">
        <v>343</v>
      </c>
      <c r="C134" s="67"/>
      <c r="D134" s="67" t="s">
        <v>64</v>
      </c>
      <c r="E134" s="68">
        <v>162.0620173557359</v>
      </c>
      <c r="F134" s="70">
        <v>99.99986625440864</v>
      </c>
      <c r="G134" s="106" t="str">
        <f>HYPERLINK("https://pbs.twimg.com/profile_images/1009155767922900992/8IEwPL6e_normal.jpg")</f>
        <v>https://pbs.twimg.com/profile_images/1009155767922900992/8IEwPL6e_normal.jpg</v>
      </c>
      <c r="H134" s="67"/>
      <c r="I134" s="71" t="s">
        <v>343</v>
      </c>
      <c r="J134" s="72"/>
      <c r="K134" s="72"/>
      <c r="L134" s="71" t="s">
        <v>3014</v>
      </c>
      <c r="M134" s="75">
        <v>1.044572947413388</v>
      </c>
      <c r="N134" s="76">
        <v>5939.77099609375</v>
      </c>
      <c r="O134" s="76">
        <v>4475.9326171875</v>
      </c>
      <c r="P134" s="77"/>
      <c r="Q134" s="78"/>
      <c r="R134" s="78"/>
      <c r="S134" s="92"/>
      <c r="T134" s="49">
        <v>0</v>
      </c>
      <c r="U134" s="49">
        <v>3</v>
      </c>
      <c r="V134" s="50">
        <v>30</v>
      </c>
      <c r="W134" s="50">
        <v>0.066667</v>
      </c>
      <c r="X134" s="50">
        <v>0</v>
      </c>
      <c r="Y134" s="50">
        <v>1.32574</v>
      </c>
      <c r="Z134" s="50">
        <v>0</v>
      </c>
      <c r="AA134" s="50">
        <v>0</v>
      </c>
      <c r="AB134" s="73">
        <v>134</v>
      </c>
      <c r="AC134" s="73"/>
      <c r="AD134" s="74"/>
      <c r="AE134" s="81" t="s">
        <v>2046</v>
      </c>
      <c r="AF134" s="86" t="s">
        <v>2316</v>
      </c>
      <c r="AG134" s="81">
        <v>506</v>
      </c>
      <c r="AH134" s="81">
        <v>332</v>
      </c>
      <c r="AI134" s="81">
        <v>1334</v>
      </c>
      <c r="AJ134" s="81">
        <v>1528</v>
      </c>
      <c r="AK134" s="81"/>
      <c r="AL134" s="81" t="s">
        <v>2583</v>
      </c>
      <c r="AM134" s="81" t="s">
        <v>2808</v>
      </c>
      <c r="AN134" s="88" t="str">
        <f>HYPERLINK("https://t.co/kMtXIwT6U6")</f>
        <v>https://t.co/kMtXIwT6U6</v>
      </c>
      <c r="AO134" s="81"/>
      <c r="AP134" s="83">
        <v>40772.666238425925</v>
      </c>
      <c r="AQ134" s="88" t="str">
        <f>HYPERLINK("https://pbs.twimg.com/profile_banners/356936094/1558558488")</f>
        <v>https://pbs.twimg.com/profile_banners/356936094/1558558488</v>
      </c>
      <c r="AR134" s="81" t="b">
        <v>1</v>
      </c>
      <c r="AS134" s="81" t="b">
        <v>0</v>
      </c>
      <c r="AT134" s="81" t="b">
        <v>1</v>
      </c>
      <c r="AU134" s="81"/>
      <c r="AV134" s="81">
        <v>2</v>
      </c>
      <c r="AW134" s="88" t="str">
        <f>HYPERLINK("https://abs.twimg.com/images/themes/theme1/bg.png")</f>
        <v>https://abs.twimg.com/images/themes/theme1/bg.png</v>
      </c>
      <c r="AX134" s="81" t="b">
        <v>0</v>
      </c>
      <c r="AY134" s="81" t="s">
        <v>2883</v>
      </c>
      <c r="AZ134" s="88" t="str">
        <f>HYPERLINK("https://twitter.com/khcqi")</f>
        <v>https://twitter.com/khcqi</v>
      </c>
      <c r="BA134" s="81" t="s">
        <v>66</v>
      </c>
      <c r="BB134" s="81" t="str">
        <f>REPLACE(INDEX(GroupVertices[Group],MATCH(Vertices[[#This Row],[Vertex]],GroupVertices[Vertex],0)),1,1,"")</f>
        <v>5</v>
      </c>
      <c r="BC134" s="49" t="s">
        <v>3248</v>
      </c>
      <c r="BD134" s="49" t="s">
        <v>3248</v>
      </c>
      <c r="BE134" s="49" t="s">
        <v>923</v>
      </c>
      <c r="BF134" s="49" t="s">
        <v>923</v>
      </c>
      <c r="BG134" s="49" t="s">
        <v>1023</v>
      </c>
      <c r="BH134" s="49" t="s">
        <v>1023</v>
      </c>
      <c r="BI134" s="113" t="s">
        <v>3742</v>
      </c>
      <c r="BJ134" s="113" t="s">
        <v>3742</v>
      </c>
      <c r="BK134" s="113" t="s">
        <v>3919</v>
      </c>
      <c r="BL134" s="113" t="s">
        <v>3919</v>
      </c>
      <c r="BM134" s="113">
        <v>1</v>
      </c>
      <c r="BN134" s="116">
        <v>2.7027027027027026</v>
      </c>
      <c r="BO134" s="113">
        <v>1</v>
      </c>
      <c r="BP134" s="116">
        <v>2.7027027027027026</v>
      </c>
      <c r="BQ134" s="113">
        <v>0</v>
      </c>
      <c r="BR134" s="116">
        <v>0</v>
      </c>
      <c r="BS134" s="113">
        <v>35</v>
      </c>
      <c r="BT134" s="116">
        <v>94.5945945945946</v>
      </c>
      <c r="BU134" s="113">
        <v>37</v>
      </c>
      <c r="BV134" s="2"/>
      <c r="BW134" s="3"/>
      <c r="BX134" s="3"/>
      <c r="BY134" s="3"/>
      <c r="BZ134" s="3"/>
    </row>
    <row r="135" spans="1:78" ht="41.45" customHeight="1">
      <c r="A135" s="66" t="s">
        <v>482</v>
      </c>
      <c r="C135" s="67"/>
      <c r="D135" s="67" t="s">
        <v>64</v>
      </c>
      <c r="E135" s="68">
        <v>165.40322595883265</v>
      </c>
      <c r="F135" s="70">
        <v>99.99266065985901</v>
      </c>
      <c r="G135" s="106" t="str">
        <f>HYPERLINK("https://pbs.twimg.com/profile_images/1360408776902336512/6D7-vniQ_normal.jpg")</f>
        <v>https://pbs.twimg.com/profile_images/1360408776902336512/6D7-vniQ_normal.jpg</v>
      </c>
      <c r="H135" s="67"/>
      <c r="I135" s="71" t="s">
        <v>482</v>
      </c>
      <c r="J135" s="72"/>
      <c r="K135" s="72"/>
      <c r="L135" s="71" t="s">
        <v>3015</v>
      </c>
      <c r="M135" s="75">
        <v>3.4459574243200843</v>
      </c>
      <c r="N135" s="76">
        <v>5924.51611328125</v>
      </c>
      <c r="O135" s="76">
        <v>3387.819091796875</v>
      </c>
      <c r="P135" s="77"/>
      <c r="Q135" s="78"/>
      <c r="R135" s="78"/>
      <c r="S135" s="92"/>
      <c r="T135" s="49">
        <v>1</v>
      </c>
      <c r="U135" s="49">
        <v>0</v>
      </c>
      <c r="V135" s="50">
        <v>0</v>
      </c>
      <c r="W135" s="50">
        <v>0.043478</v>
      </c>
      <c r="X135" s="50">
        <v>0</v>
      </c>
      <c r="Y135" s="50">
        <v>0.525626</v>
      </c>
      <c r="Z135" s="50">
        <v>0</v>
      </c>
      <c r="AA135" s="50">
        <v>0</v>
      </c>
      <c r="AB135" s="73">
        <v>135</v>
      </c>
      <c r="AC135" s="73"/>
      <c r="AD135" s="74"/>
      <c r="AE135" s="81" t="s">
        <v>2047</v>
      </c>
      <c r="AF135" s="86" t="s">
        <v>2317</v>
      </c>
      <c r="AG135" s="81">
        <v>820</v>
      </c>
      <c r="AH135" s="81">
        <v>18057</v>
      </c>
      <c r="AI135" s="81">
        <v>8729</v>
      </c>
      <c r="AJ135" s="81">
        <v>3525</v>
      </c>
      <c r="AK135" s="81"/>
      <c r="AL135" s="81" t="s">
        <v>2584</v>
      </c>
      <c r="AM135" s="81" t="s">
        <v>2808</v>
      </c>
      <c r="AN135" s="88" t="str">
        <f>HYPERLINK("https://t.co/D0gsyBS14M")</f>
        <v>https://t.co/D0gsyBS14M</v>
      </c>
      <c r="AO135" s="81"/>
      <c r="AP135" s="83">
        <v>40057.84819444444</v>
      </c>
      <c r="AQ135" s="88" t="str">
        <f>HYPERLINK("https://pbs.twimg.com/profile_banners/70775228/1611097413")</f>
        <v>https://pbs.twimg.com/profile_banners/70775228/1611097413</v>
      </c>
      <c r="AR135" s="81" t="b">
        <v>0</v>
      </c>
      <c r="AS135" s="81" t="b">
        <v>0</v>
      </c>
      <c r="AT135" s="81" t="b">
        <v>1</v>
      </c>
      <c r="AU135" s="81"/>
      <c r="AV135" s="81">
        <v>317</v>
      </c>
      <c r="AW135" s="88" t="str">
        <f>HYPERLINK("https://abs.twimg.com/images/themes/theme1/bg.png")</f>
        <v>https://abs.twimg.com/images/themes/theme1/bg.png</v>
      </c>
      <c r="AX135" s="81" t="b">
        <v>1</v>
      </c>
      <c r="AY135" s="81" t="s">
        <v>2883</v>
      </c>
      <c r="AZ135" s="88" t="str">
        <f>HYPERLINK("https://twitter.com/kdhe")</f>
        <v>https://twitter.com/kdhe</v>
      </c>
      <c r="BA135" s="81" t="s">
        <v>65</v>
      </c>
      <c r="BB135" s="81" t="str">
        <f>REPLACE(INDEX(GroupVertices[Group],MATCH(Vertices[[#This Row],[Vertex]],GroupVertices[Vertex],0)),1,1,"")</f>
        <v>5</v>
      </c>
      <c r="BC135" s="49"/>
      <c r="BD135" s="49"/>
      <c r="BE135" s="49"/>
      <c r="BF135" s="49"/>
      <c r="BG135" s="49"/>
      <c r="BH135" s="49"/>
      <c r="BI135" s="49"/>
      <c r="BJ135" s="49"/>
      <c r="BK135" s="49"/>
      <c r="BL135" s="49"/>
      <c r="BM135" s="49"/>
      <c r="BN135" s="50"/>
      <c r="BO135" s="49"/>
      <c r="BP135" s="50"/>
      <c r="BQ135" s="49"/>
      <c r="BR135" s="50"/>
      <c r="BS135" s="49"/>
      <c r="BT135" s="50"/>
      <c r="BU135" s="49"/>
      <c r="BV135" s="2"/>
      <c r="BW135" s="3"/>
      <c r="BX135" s="3"/>
      <c r="BY135" s="3"/>
      <c r="BZ135" s="3"/>
    </row>
    <row r="136" spans="1:78" ht="41.45" customHeight="1">
      <c r="A136" s="66" t="s">
        <v>404</v>
      </c>
      <c r="C136" s="67"/>
      <c r="D136" s="67" t="s">
        <v>64</v>
      </c>
      <c r="E136" s="68">
        <v>162.18982211922813</v>
      </c>
      <c r="F136" s="70">
        <v>99.99959063279483</v>
      </c>
      <c r="G136" s="106" t="str">
        <f>HYPERLINK("https://pbs.twimg.com/profile_images/1414579013507502080/rC6pNKsJ_normal.jpg")</f>
        <v>https://pbs.twimg.com/profile_images/1414579013507502080/rC6pNKsJ_normal.jpg</v>
      </c>
      <c r="H136" s="67"/>
      <c r="I136" s="71" t="s">
        <v>404</v>
      </c>
      <c r="J136" s="72"/>
      <c r="K136" s="72"/>
      <c r="L136" s="71" t="s">
        <v>3016</v>
      </c>
      <c r="M136" s="75">
        <v>1.1364284439066314</v>
      </c>
      <c r="N136" s="76">
        <v>6255.37451171875</v>
      </c>
      <c r="O136" s="76">
        <v>4190.3544921875</v>
      </c>
      <c r="P136" s="77"/>
      <c r="Q136" s="78"/>
      <c r="R136" s="78"/>
      <c r="S136" s="92"/>
      <c r="T136" s="49">
        <v>2</v>
      </c>
      <c r="U136" s="49">
        <v>1</v>
      </c>
      <c r="V136" s="50">
        <v>0</v>
      </c>
      <c r="W136" s="50">
        <v>0.043478</v>
      </c>
      <c r="X136" s="50">
        <v>0</v>
      </c>
      <c r="Y136" s="50">
        <v>0.914132</v>
      </c>
      <c r="Z136" s="50">
        <v>0</v>
      </c>
      <c r="AA136" s="50">
        <v>0</v>
      </c>
      <c r="AB136" s="73">
        <v>136</v>
      </c>
      <c r="AC136" s="73"/>
      <c r="AD136" s="74"/>
      <c r="AE136" s="81" t="s">
        <v>2048</v>
      </c>
      <c r="AF136" s="86" t="s">
        <v>2318</v>
      </c>
      <c r="AG136" s="81">
        <v>447</v>
      </c>
      <c r="AH136" s="81">
        <v>1010</v>
      </c>
      <c r="AI136" s="81">
        <v>226</v>
      </c>
      <c r="AJ136" s="81">
        <v>77</v>
      </c>
      <c r="AK136" s="81"/>
      <c r="AL136" s="81" t="s">
        <v>2585</v>
      </c>
      <c r="AM136" s="81"/>
      <c r="AN136" s="88" t="str">
        <f>HYPERLINK("https://t.co/VwfnEfUMVM")</f>
        <v>https://t.co/VwfnEfUMVM</v>
      </c>
      <c r="AO136" s="81"/>
      <c r="AP136" s="83">
        <v>44389.565405092595</v>
      </c>
      <c r="AQ136" s="88" t="str">
        <f>HYPERLINK("https://pbs.twimg.com/profile_banners/1414577827698159618/1626117407")</f>
        <v>https://pbs.twimg.com/profile_banners/1414577827698159618/1626117407</v>
      </c>
      <c r="AR136" s="81" t="b">
        <v>1</v>
      </c>
      <c r="AS136" s="81" t="b">
        <v>0</v>
      </c>
      <c r="AT136" s="81" t="b">
        <v>0</v>
      </c>
      <c r="AU136" s="81"/>
      <c r="AV136" s="81">
        <v>14</v>
      </c>
      <c r="AW136" s="81"/>
      <c r="AX136" s="81" t="b">
        <v>0</v>
      </c>
      <c r="AY136" s="81" t="s">
        <v>2883</v>
      </c>
      <c r="AZ136" s="88" t="str">
        <f>HYPERLINK("https://twitter.com/cdc_ar")</f>
        <v>https://twitter.com/cdc_ar</v>
      </c>
      <c r="BA136" s="81" t="s">
        <v>66</v>
      </c>
      <c r="BB136" s="81" t="str">
        <f>REPLACE(INDEX(GroupVertices[Group],MATCH(Vertices[[#This Row],[Vertex]],GroupVertices[Vertex],0)),1,1,"")</f>
        <v>5</v>
      </c>
      <c r="BC136" s="49" t="s">
        <v>3569</v>
      </c>
      <c r="BD136" s="49" t="s">
        <v>3569</v>
      </c>
      <c r="BE136" s="49" t="s">
        <v>903</v>
      </c>
      <c r="BF136" s="49" t="s">
        <v>903</v>
      </c>
      <c r="BG136" s="49" t="s">
        <v>3623</v>
      </c>
      <c r="BH136" s="49" t="s">
        <v>3660</v>
      </c>
      <c r="BI136" s="113" t="s">
        <v>3743</v>
      </c>
      <c r="BJ136" s="113" t="s">
        <v>3830</v>
      </c>
      <c r="BK136" s="113" t="s">
        <v>3920</v>
      </c>
      <c r="BL136" s="113" t="s">
        <v>3865</v>
      </c>
      <c r="BM136" s="113">
        <v>2</v>
      </c>
      <c r="BN136" s="116">
        <v>2.7027027027027026</v>
      </c>
      <c r="BO136" s="113">
        <v>6</v>
      </c>
      <c r="BP136" s="116">
        <v>8.108108108108109</v>
      </c>
      <c r="BQ136" s="113">
        <v>0</v>
      </c>
      <c r="BR136" s="116">
        <v>0</v>
      </c>
      <c r="BS136" s="113">
        <v>66</v>
      </c>
      <c r="BT136" s="116">
        <v>89.1891891891892</v>
      </c>
      <c r="BU136" s="113">
        <v>74</v>
      </c>
      <c r="BV136" s="2"/>
      <c r="BW136" s="3"/>
      <c r="BX136" s="3"/>
      <c r="BY136" s="3"/>
      <c r="BZ136" s="3"/>
    </row>
    <row r="137" spans="1:78" ht="41.45" customHeight="1">
      <c r="A137" s="66" t="s">
        <v>344</v>
      </c>
      <c r="C137" s="67"/>
      <c r="D137" s="67" t="s">
        <v>64</v>
      </c>
      <c r="E137" s="68">
        <v>162.01639972628882</v>
      </c>
      <c r="F137" s="70">
        <v>99.99996463262478</v>
      </c>
      <c r="G137" s="106" t="str">
        <f>HYPERLINK("https://pbs.twimg.com/profile_images/1460910350904266754/rpESTPNo_normal.jpg")</f>
        <v>https://pbs.twimg.com/profile_images/1460910350904266754/rpESTPNo_normal.jpg</v>
      </c>
      <c r="H137" s="67"/>
      <c r="I137" s="71" t="s">
        <v>344</v>
      </c>
      <c r="J137" s="72"/>
      <c r="K137" s="72"/>
      <c r="L137" s="71" t="s">
        <v>3017</v>
      </c>
      <c r="M137" s="75">
        <v>1.011786767249133</v>
      </c>
      <c r="N137" s="76">
        <v>5046.6748046875</v>
      </c>
      <c r="O137" s="76">
        <v>8502.439453125</v>
      </c>
      <c r="P137" s="77"/>
      <c r="Q137" s="78"/>
      <c r="R137" s="78"/>
      <c r="S137" s="92"/>
      <c r="T137" s="49">
        <v>1</v>
      </c>
      <c r="U137" s="49">
        <v>1</v>
      </c>
      <c r="V137" s="50">
        <v>0</v>
      </c>
      <c r="W137" s="50">
        <v>0</v>
      </c>
      <c r="X137" s="50">
        <v>0</v>
      </c>
      <c r="Y137" s="50">
        <v>0.999998</v>
      </c>
      <c r="Z137" s="50">
        <v>0</v>
      </c>
      <c r="AA137" s="50">
        <v>0</v>
      </c>
      <c r="AB137" s="73">
        <v>137</v>
      </c>
      <c r="AC137" s="73"/>
      <c r="AD137" s="74"/>
      <c r="AE137" s="81" t="s">
        <v>2049</v>
      </c>
      <c r="AF137" s="86" t="s">
        <v>2319</v>
      </c>
      <c r="AG137" s="81">
        <v>133</v>
      </c>
      <c r="AH137" s="81">
        <v>90</v>
      </c>
      <c r="AI137" s="81">
        <v>32</v>
      </c>
      <c r="AJ137" s="81">
        <v>67</v>
      </c>
      <c r="AK137" s="81"/>
      <c r="AL137" s="81" t="s">
        <v>2586</v>
      </c>
      <c r="AM137" s="81" t="s">
        <v>2809</v>
      </c>
      <c r="AN137" s="81"/>
      <c r="AO137" s="81"/>
      <c r="AP137" s="83">
        <v>40296.280694444446</v>
      </c>
      <c r="AQ137" s="88" t="str">
        <f>HYPERLINK("https://pbs.twimg.com/profile_banners/137954450/1522362390")</f>
        <v>https://pbs.twimg.com/profile_banners/137954450/1522362390</v>
      </c>
      <c r="AR137" s="81" t="b">
        <v>1</v>
      </c>
      <c r="AS137" s="81" t="b">
        <v>0</v>
      </c>
      <c r="AT137" s="81" t="b">
        <v>0</v>
      </c>
      <c r="AU137" s="81"/>
      <c r="AV137" s="81">
        <v>2</v>
      </c>
      <c r="AW137" s="88" t="str">
        <f>HYPERLINK("https://abs.twimg.com/images/themes/theme1/bg.png")</f>
        <v>https://abs.twimg.com/images/themes/theme1/bg.png</v>
      </c>
      <c r="AX137" s="81" t="b">
        <v>0</v>
      </c>
      <c r="AY137" s="81" t="s">
        <v>2883</v>
      </c>
      <c r="AZ137" s="88" t="str">
        <f>HYPERLINK("https://twitter.com/jordanchrlswrth")</f>
        <v>https://twitter.com/jordanchrlswrth</v>
      </c>
      <c r="BA137" s="81" t="s">
        <v>66</v>
      </c>
      <c r="BB137" s="81" t="str">
        <f>REPLACE(INDEX(GroupVertices[Group],MATCH(Vertices[[#This Row],[Vertex]],GroupVertices[Vertex],0)),1,1,"")</f>
        <v>1</v>
      </c>
      <c r="BC137" s="49"/>
      <c r="BD137" s="49"/>
      <c r="BE137" s="49"/>
      <c r="BF137" s="49"/>
      <c r="BG137" s="49" t="s">
        <v>955</v>
      </c>
      <c r="BH137" s="49" t="s">
        <v>955</v>
      </c>
      <c r="BI137" s="113" t="s">
        <v>3683</v>
      </c>
      <c r="BJ137" s="113" t="s">
        <v>3683</v>
      </c>
      <c r="BK137" s="113" t="s">
        <v>3860</v>
      </c>
      <c r="BL137" s="113" t="s">
        <v>3860</v>
      </c>
      <c r="BM137" s="113">
        <v>0</v>
      </c>
      <c r="BN137" s="116">
        <v>0</v>
      </c>
      <c r="BO137" s="113">
        <v>2</v>
      </c>
      <c r="BP137" s="116">
        <v>6.0606060606060606</v>
      </c>
      <c r="BQ137" s="113">
        <v>0</v>
      </c>
      <c r="BR137" s="116">
        <v>0</v>
      </c>
      <c r="BS137" s="113">
        <v>31</v>
      </c>
      <c r="BT137" s="116">
        <v>93.93939393939394</v>
      </c>
      <c r="BU137" s="113">
        <v>33</v>
      </c>
      <c r="BV137" s="2"/>
      <c r="BW137" s="3"/>
      <c r="BX137" s="3"/>
      <c r="BY137" s="3"/>
      <c r="BZ137" s="3"/>
    </row>
    <row r="138" spans="1:78" ht="41.45" customHeight="1">
      <c r="A138" s="66" t="s">
        <v>345</v>
      </c>
      <c r="C138" s="67"/>
      <c r="D138" s="67" t="s">
        <v>64</v>
      </c>
      <c r="E138" s="68">
        <v>162.11800262823914</v>
      </c>
      <c r="F138" s="70">
        <v>99.99974551750702</v>
      </c>
      <c r="G138" s="106" t="str">
        <f>HYPERLINK("https://pbs.twimg.com/profile_images/1205652173054455808/W7JYGj1V_normal.jpg")</f>
        <v>https://pbs.twimg.com/profile_images/1205652173054455808/W7JYGj1V_normal.jpg</v>
      </c>
      <c r="H138" s="67"/>
      <c r="I138" s="71" t="s">
        <v>345</v>
      </c>
      <c r="J138" s="72"/>
      <c r="K138" s="72"/>
      <c r="L138" s="71" t="s">
        <v>3018</v>
      </c>
      <c r="M138" s="75">
        <v>1.0848105321604282</v>
      </c>
      <c r="N138" s="76">
        <v>1919.192626953125</v>
      </c>
      <c r="O138" s="76">
        <v>6167.146484375</v>
      </c>
      <c r="P138" s="77"/>
      <c r="Q138" s="78"/>
      <c r="R138" s="78"/>
      <c r="S138" s="92"/>
      <c r="T138" s="49">
        <v>1</v>
      </c>
      <c r="U138" s="49">
        <v>1</v>
      </c>
      <c r="V138" s="50">
        <v>0</v>
      </c>
      <c r="W138" s="50">
        <v>0</v>
      </c>
      <c r="X138" s="50">
        <v>0</v>
      </c>
      <c r="Y138" s="50">
        <v>0.999998</v>
      </c>
      <c r="Z138" s="50">
        <v>0</v>
      </c>
      <c r="AA138" s="50">
        <v>0</v>
      </c>
      <c r="AB138" s="73">
        <v>138</v>
      </c>
      <c r="AC138" s="73"/>
      <c r="AD138" s="74"/>
      <c r="AE138" s="81" t="s">
        <v>2050</v>
      </c>
      <c r="AF138" s="86" t="s">
        <v>2320</v>
      </c>
      <c r="AG138" s="81">
        <v>284</v>
      </c>
      <c r="AH138" s="81">
        <v>629</v>
      </c>
      <c r="AI138" s="81">
        <v>237</v>
      </c>
      <c r="AJ138" s="81">
        <v>809</v>
      </c>
      <c r="AK138" s="81"/>
      <c r="AL138" s="81" t="s">
        <v>2587</v>
      </c>
      <c r="AM138" s="81" t="s">
        <v>2810</v>
      </c>
      <c r="AN138" s="81"/>
      <c r="AO138" s="81"/>
      <c r="AP138" s="83">
        <v>43673.69097222222</v>
      </c>
      <c r="AQ138" s="88" t="str">
        <f>HYPERLINK("https://pbs.twimg.com/profile_banners/1155154630399156224/1564246571")</f>
        <v>https://pbs.twimg.com/profile_banners/1155154630399156224/1564246571</v>
      </c>
      <c r="AR138" s="81" t="b">
        <v>1</v>
      </c>
      <c r="AS138" s="81" t="b">
        <v>0</v>
      </c>
      <c r="AT138" s="81" t="b">
        <v>1</v>
      </c>
      <c r="AU138" s="81"/>
      <c r="AV138" s="81">
        <v>8</v>
      </c>
      <c r="AW138" s="81"/>
      <c r="AX138" s="81" t="b">
        <v>0</v>
      </c>
      <c r="AY138" s="81" t="s">
        <v>2883</v>
      </c>
      <c r="AZ138" s="88" t="str">
        <f>HYPERLINK("https://twitter.com/mgh_ast")</f>
        <v>https://twitter.com/mgh_ast</v>
      </c>
      <c r="BA138" s="81" t="s">
        <v>66</v>
      </c>
      <c r="BB138" s="81" t="str">
        <f>REPLACE(INDEX(GroupVertices[Group],MATCH(Vertices[[#This Row],[Vertex]],GroupVertices[Vertex],0)),1,1,"")</f>
        <v>1</v>
      </c>
      <c r="BC138" s="49" t="s">
        <v>3204</v>
      </c>
      <c r="BD138" s="49" t="s">
        <v>3204</v>
      </c>
      <c r="BE138" s="49" t="s">
        <v>903</v>
      </c>
      <c r="BF138" s="49" t="s">
        <v>903</v>
      </c>
      <c r="BG138" s="49" t="s">
        <v>954</v>
      </c>
      <c r="BH138" s="49" t="s">
        <v>954</v>
      </c>
      <c r="BI138" s="113" t="s">
        <v>3685</v>
      </c>
      <c r="BJ138" s="113" t="s">
        <v>3685</v>
      </c>
      <c r="BK138" s="113" t="s">
        <v>3862</v>
      </c>
      <c r="BL138" s="113" t="s">
        <v>3862</v>
      </c>
      <c r="BM138" s="113">
        <v>0</v>
      </c>
      <c r="BN138" s="116">
        <v>0</v>
      </c>
      <c r="BO138" s="113">
        <v>1</v>
      </c>
      <c r="BP138" s="116">
        <v>3.0303030303030303</v>
      </c>
      <c r="BQ138" s="113">
        <v>0</v>
      </c>
      <c r="BR138" s="116">
        <v>0</v>
      </c>
      <c r="BS138" s="113">
        <v>32</v>
      </c>
      <c r="BT138" s="116">
        <v>96.96969696969697</v>
      </c>
      <c r="BU138" s="113">
        <v>33</v>
      </c>
      <c r="BV138" s="2"/>
      <c r="BW138" s="3"/>
      <c r="BX138" s="3"/>
      <c r="BY138" s="3"/>
      <c r="BZ138" s="3"/>
    </row>
    <row r="139" spans="1:78" ht="41.45" customHeight="1">
      <c r="A139" s="66" t="s">
        <v>346</v>
      </c>
      <c r="C139" s="67"/>
      <c r="D139" s="67" t="s">
        <v>64</v>
      </c>
      <c r="E139" s="68">
        <v>162.00678609363675</v>
      </c>
      <c r="F139" s="70">
        <v>99.99998536522405</v>
      </c>
      <c r="G139" s="106" t="str">
        <f>HYPERLINK("https://pbs.twimg.com/profile_images/475680549512568834/ZKhNoc7O_normal.jpeg")</f>
        <v>https://pbs.twimg.com/profile_images/475680549512568834/ZKhNoc7O_normal.jpeg</v>
      </c>
      <c r="H139" s="67"/>
      <c r="I139" s="71" t="s">
        <v>346</v>
      </c>
      <c r="J139" s="72"/>
      <c r="K139" s="72"/>
      <c r="L139" s="71" t="s">
        <v>3019</v>
      </c>
      <c r="M139" s="75">
        <v>1.0048772829996413</v>
      </c>
      <c r="N139" s="76">
        <v>4655.7392578125</v>
      </c>
      <c r="O139" s="76">
        <v>9280.87109375</v>
      </c>
      <c r="P139" s="77"/>
      <c r="Q139" s="78"/>
      <c r="R139" s="78"/>
      <c r="S139" s="92"/>
      <c r="T139" s="49">
        <v>1</v>
      </c>
      <c r="U139" s="49">
        <v>1</v>
      </c>
      <c r="V139" s="50">
        <v>0</v>
      </c>
      <c r="W139" s="50">
        <v>0</v>
      </c>
      <c r="X139" s="50">
        <v>0</v>
      </c>
      <c r="Y139" s="50">
        <v>0.999998</v>
      </c>
      <c r="Z139" s="50">
        <v>0</v>
      </c>
      <c r="AA139" s="50">
        <v>0</v>
      </c>
      <c r="AB139" s="73">
        <v>139</v>
      </c>
      <c r="AC139" s="73"/>
      <c r="AD139" s="74"/>
      <c r="AE139" s="81" t="s">
        <v>2051</v>
      </c>
      <c r="AF139" s="86" t="s">
        <v>2321</v>
      </c>
      <c r="AG139" s="81">
        <v>270</v>
      </c>
      <c r="AH139" s="81">
        <v>39</v>
      </c>
      <c r="AI139" s="81">
        <v>231</v>
      </c>
      <c r="AJ139" s="81">
        <v>1363</v>
      </c>
      <c r="AK139" s="81"/>
      <c r="AL139" s="81"/>
      <c r="AM139" s="81"/>
      <c r="AN139" s="81"/>
      <c r="AO139" s="81"/>
      <c r="AP139" s="83">
        <v>41798.69905092593</v>
      </c>
      <c r="AQ139" s="81"/>
      <c r="AR139" s="81" t="b">
        <v>1</v>
      </c>
      <c r="AS139" s="81" t="b">
        <v>0</v>
      </c>
      <c r="AT139" s="81" t="b">
        <v>0</v>
      </c>
      <c r="AU139" s="81"/>
      <c r="AV139" s="81">
        <v>2</v>
      </c>
      <c r="AW139" s="88" t="str">
        <f>HYPERLINK("https://abs.twimg.com/images/themes/theme1/bg.png")</f>
        <v>https://abs.twimg.com/images/themes/theme1/bg.png</v>
      </c>
      <c r="AX139" s="81" t="b">
        <v>0</v>
      </c>
      <c r="AY139" s="81" t="s">
        <v>2883</v>
      </c>
      <c r="AZ139" s="88" t="str">
        <f>HYPERLINK("https://twitter.com/larryttu05")</f>
        <v>https://twitter.com/larryttu05</v>
      </c>
      <c r="BA139" s="81" t="s">
        <v>66</v>
      </c>
      <c r="BB139" s="81" t="str">
        <f>REPLACE(INDEX(GroupVertices[Group],MATCH(Vertices[[#This Row],[Vertex]],GroupVertices[Vertex],0)),1,1,"")</f>
        <v>1</v>
      </c>
      <c r="BC139" s="49" t="s">
        <v>3204</v>
      </c>
      <c r="BD139" s="49" t="s">
        <v>3204</v>
      </c>
      <c r="BE139" s="49" t="s">
        <v>903</v>
      </c>
      <c r="BF139" s="49" t="s">
        <v>903</v>
      </c>
      <c r="BG139" s="49" t="s">
        <v>954</v>
      </c>
      <c r="BH139" s="49" t="s">
        <v>954</v>
      </c>
      <c r="BI139" s="113" t="s">
        <v>3685</v>
      </c>
      <c r="BJ139" s="113" t="s">
        <v>3685</v>
      </c>
      <c r="BK139" s="113" t="s">
        <v>3862</v>
      </c>
      <c r="BL139" s="113" t="s">
        <v>3862</v>
      </c>
      <c r="BM139" s="113">
        <v>0</v>
      </c>
      <c r="BN139" s="116">
        <v>0</v>
      </c>
      <c r="BO139" s="113">
        <v>1</v>
      </c>
      <c r="BP139" s="116">
        <v>3.0303030303030303</v>
      </c>
      <c r="BQ139" s="113">
        <v>0</v>
      </c>
      <c r="BR139" s="116">
        <v>0</v>
      </c>
      <c r="BS139" s="113">
        <v>32</v>
      </c>
      <c r="BT139" s="116">
        <v>96.96969696969697</v>
      </c>
      <c r="BU139" s="113">
        <v>33</v>
      </c>
      <c r="BV139" s="2"/>
      <c r="BW139" s="3"/>
      <c r="BX139" s="3"/>
      <c r="BY139" s="3"/>
      <c r="BZ139" s="3"/>
    </row>
    <row r="140" spans="1:78" ht="41.45" customHeight="1">
      <c r="A140" s="66" t="s">
        <v>347</v>
      </c>
      <c r="C140" s="67"/>
      <c r="D140" s="67" t="s">
        <v>64</v>
      </c>
      <c r="E140" s="68">
        <v>162.0852031756615</v>
      </c>
      <c r="F140" s="70">
        <v>99.99981625225746</v>
      </c>
      <c r="G140" s="106" t="str">
        <f>HYPERLINK("https://pbs.twimg.com/profile_images/1305685064349609986/C8HNA9px_normal.jpg")</f>
        <v>https://pbs.twimg.com/profile_images/1305685064349609986/C8HNA9px_normal.jpg</v>
      </c>
      <c r="H140" s="67"/>
      <c r="I140" s="71" t="s">
        <v>347</v>
      </c>
      <c r="J140" s="72"/>
      <c r="K140" s="72"/>
      <c r="L140" s="71" t="s">
        <v>3020</v>
      </c>
      <c r="M140" s="75">
        <v>1.0612369976621623</v>
      </c>
      <c r="N140" s="76">
        <v>6871.31201171875</v>
      </c>
      <c r="O140" s="76">
        <v>3223.35986328125</v>
      </c>
      <c r="P140" s="77"/>
      <c r="Q140" s="78"/>
      <c r="R140" s="78"/>
      <c r="S140" s="92"/>
      <c r="T140" s="49">
        <v>0</v>
      </c>
      <c r="U140" s="49">
        <v>6</v>
      </c>
      <c r="V140" s="50">
        <v>30</v>
      </c>
      <c r="W140" s="50">
        <v>0.166667</v>
      </c>
      <c r="X140" s="50">
        <v>0</v>
      </c>
      <c r="Y140" s="50">
        <v>3.29729</v>
      </c>
      <c r="Z140" s="50">
        <v>0</v>
      </c>
      <c r="AA140" s="50">
        <v>0</v>
      </c>
      <c r="AB140" s="73">
        <v>140</v>
      </c>
      <c r="AC140" s="73"/>
      <c r="AD140" s="74"/>
      <c r="AE140" s="81" t="s">
        <v>2052</v>
      </c>
      <c r="AF140" s="86" t="s">
        <v>2322</v>
      </c>
      <c r="AG140" s="81">
        <v>400</v>
      </c>
      <c r="AH140" s="81">
        <v>455</v>
      </c>
      <c r="AI140" s="81">
        <v>4566</v>
      </c>
      <c r="AJ140" s="81">
        <v>2932</v>
      </c>
      <c r="AK140" s="81"/>
      <c r="AL140" s="81" t="s">
        <v>2588</v>
      </c>
      <c r="AM140" s="81" t="s">
        <v>2811</v>
      </c>
      <c r="AN140" s="88" t="str">
        <f>HYPERLINK("https://t.co/F8l9qPou0Z")</f>
        <v>https://t.co/F8l9qPou0Z</v>
      </c>
      <c r="AO140" s="81"/>
      <c r="AP140" s="83">
        <v>40945.02322916667</v>
      </c>
      <c r="AQ140" s="88" t="str">
        <f>HYPERLINK("https://pbs.twimg.com/profile_banners/484339022/1573379673")</f>
        <v>https://pbs.twimg.com/profile_banners/484339022/1573379673</v>
      </c>
      <c r="AR140" s="81" t="b">
        <v>1</v>
      </c>
      <c r="AS140" s="81" t="b">
        <v>0</v>
      </c>
      <c r="AT140" s="81" t="b">
        <v>1</v>
      </c>
      <c r="AU140" s="81"/>
      <c r="AV140" s="81">
        <v>1</v>
      </c>
      <c r="AW140" s="88" t="str">
        <f>HYPERLINK("https://abs.twimg.com/images/themes/theme1/bg.png")</f>
        <v>https://abs.twimg.com/images/themes/theme1/bg.png</v>
      </c>
      <c r="AX140" s="81" t="b">
        <v>0</v>
      </c>
      <c r="AY140" s="81" t="s">
        <v>2883</v>
      </c>
      <c r="AZ140" s="88" t="str">
        <f>HYPERLINK("https://twitter.com/kevincuervo_")</f>
        <v>https://twitter.com/kevincuervo_</v>
      </c>
      <c r="BA140" s="81" t="s">
        <v>66</v>
      </c>
      <c r="BB140" s="81" t="str">
        <f>REPLACE(INDEX(GroupVertices[Group],MATCH(Vertices[[#This Row],[Vertex]],GroupVertices[Vertex],0)),1,1,"")</f>
        <v>7</v>
      </c>
      <c r="BC140" s="49"/>
      <c r="BD140" s="49"/>
      <c r="BE140" s="49"/>
      <c r="BF140" s="49"/>
      <c r="BG140" s="49" t="s">
        <v>1024</v>
      </c>
      <c r="BH140" s="49" t="s">
        <v>1024</v>
      </c>
      <c r="BI140" s="113" t="s">
        <v>3744</v>
      </c>
      <c r="BJ140" s="113" t="s">
        <v>3744</v>
      </c>
      <c r="BK140" s="113" t="s">
        <v>3921</v>
      </c>
      <c r="BL140" s="113" t="s">
        <v>3921</v>
      </c>
      <c r="BM140" s="113">
        <v>0</v>
      </c>
      <c r="BN140" s="116">
        <v>0</v>
      </c>
      <c r="BO140" s="113">
        <v>0</v>
      </c>
      <c r="BP140" s="116">
        <v>0</v>
      </c>
      <c r="BQ140" s="113">
        <v>0</v>
      </c>
      <c r="BR140" s="116">
        <v>0</v>
      </c>
      <c r="BS140" s="113">
        <v>28</v>
      </c>
      <c r="BT140" s="116">
        <v>100</v>
      </c>
      <c r="BU140" s="113">
        <v>28</v>
      </c>
      <c r="BV140" s="2"/>
      <c r="BW140" s="3"/>
      <c r="BX140" s="3"/>
      <c r="BY140" s="3"/>
      <c r="BZ140" s="3"/>
    </row>
    <row r="141" spans="1:78" ht="41.45" customHeight="1">
      <c r="A141" s="66" t="s">
        <v>483</v>
      </c>
      <c r="C141" s="67"/>
      <c r="D141" s="67" t="s">
        <v>64</v>
      </c>
      <c r="E141" s="68">
        <v>162.10009488114213</v>
      </c>
      <c r="F141" s="70">
        <v>99.99978413705468</v>
      </c>
      <c r="G141" s="106" t="str">
        <f>HYPERLINK("https://pbs.twimg.com/profile_images/1326543542617927682/2TUkshZT_normal.jpg")</f>
        <v>https://pbs.twimg.com/profile_images/1326543542617927682/2TUkshZT_normal.jpg</v>
      </c>
      <c r="H141" s="67"/>
      <c r="I141" s="71" t="s">
        <v>483</v>
      </c>
      <c r="J141" s="72"/>
      <c r="K141" s="72"/>
      <c r="L141" s="71" t="s">
        <v>3021</v>
      </c>
      <c r="M141" s="75">
        <v>1.0719399242447083</v>
      </c>
      <c r="N141" s="76">
        <v>6684.22607421875</v>
      </c>
      <c r="O141" s="76">
        <v>4188.177734375</v>
      </c>
      <c r="P141" s="77"/>
      <c r="Q141" s="78"/>
      <c r="R141" s="78"/>
      <c r="S141" s="92"/>
      <c r="T141" s="49">
        <v>1</v>
      </c>
      <c r="U141" s="49">
        <v>0</v>
      </c>
      <c r="V141" s="50">
        <v>0</v>
      </c>
      <c r="W141" s="50">
        <v>0.090909</v>
      </c>
      <c r="X141" s="50">
        <v>0</v>
      </c>
      <c r="Y141" s="50">
        <v>0.617116</v>
      </c>
      <c r="Z141" s="50">
        <v>0</v>
      </c>
      <c r="AA141" s="50">
        <v>0</v>
      </c>
      <c r="AB141" s="73">
        <v>141</v>
      </c>
      <c r="AC141" s="73"/>
      <c r="AD141" s="74"/>
      <c r="AE141" s="81" t="s">
        <v>2053</v>
      </c>
      <c r="AF141" s="86" t="s">
        <v>2323</v>
      </c>
      <c r="AG141" s="81">
        <v>189</v>
      </c>
      <c r="AH141" s="81">
        <v>534</v>
      </c>
      <c r="AI141" s="81">
        <v>127</v>
      </c>
      <c r="AJ141" s="81">
        <v>172</v>
      </c>
      <c r="AK141" s="81"/>
      <c r="AL141" s="81" t="s">
        <v>2589</v>
      </c>
      <c r="AM141" s="81"/>
      <c r="AN141" s="81"/>
      <c r="AO141" s="81"/>
      <c r="AP141" s="83">
        <v>44111.28863425926</v>
      </c>
      <c r="AQ141" s="88" t="str">
        <f>HYPERLINK("https://pbs.twimg.com/profile_banners/1313734365734731778/1637227771")</f>
        <v>https://pbs.twimg.com/profile_banners/1313734365734731778/1637227771</v>
      </c>
      <c r="AR141" s="81" t="b">
        <v>1</v>
      </c>
      <c r="AS141" s="81" t="b">
        <v>0</v>
      </c>
      <c r="AT141" s="81" t="b">
        <v>1</v>
      </c>
      <c r="AU141" s="81"/>
      <c r="AV141" s="81">
        <v>8</v>
      </c>
      <c r="AW141" s="81"/>
      <c r="AX141" s="81" t="b">
        <v>0</v>
      </c>
      <c r="AY141" s="81" t="s">
        <v>2883</v>
      </c>
      <c r="AZ141" s="88" t="str">
        <f>HYPERLINK("https://twitter.com/microhuse")</f>
        <v>https://twitter.com/microhuse</v>
      </c>
      <c r="BA141" s="81" t="s">
        <v>65</v>
      </c>
      <c r="BB141" s="81" t="str">
        <f>REPLACE(INDEX(GroupVertices[Group],MATCH(Vertices[[#This Row],[Vertex]],GroupVertices[Vertex],0)),1,1,"")</f>
        <v>7</v>
      </c>
      <c r="BC141" s="49"/>
      <c r="BD141" s="49"/>
      <c r="BE141" s="49"/>
      <c r="BF141" s="49"/>
      <c r="BG141" s="49"/>
      <c r="BH141" s="49"/>
      <c r="BI141" s="49"/>
      <c r="BJ141" s="49"/>
      <c r="BK141" s="49"/>
      <c r="BL141" s="49"/>
      <c r="BM141" s="49"/>
      <c r="BN141" s="50"/>
      <c r="BO141" s="49"/>
      <c r="BP141" s="50"/>
      <c r="BQ141" s="49"/>
      <c r="BR141" s="50"/>
      <c r="BS141" s="49"/>
      <c r="BT141" s="50"/>
      <c r="BU141" s="49"/>
      <c r="BV141" s="2"/>
      <c r="BW141" s="3"/>
      <c r="BX141" s="3"/>
      <c r="BY141" s="3"/>
      <c r="BZ141" s="3"/>
    </row>
    <row r="142" spans="1:78" ht="41.45" customHeight="1">
      <c r="A142" s="66" t="s">
        <v>484</v>
      </c>
      <c r="C142" s="67"/>
      <c r="D142" s="67" t="s">
        <v>64</v>
      </c>
      <c r="E142" s="68">
        <v>162.51706263460053</v>
      </c>
      <c r="F142" s="70">
        <v>99.9988849113766</v>
      </c>
      <c r="G142" s="106" t="str">
        <f>HYPERLINK("https://pbs.twimg.com/profile_images/588395465592479746/N5eycZR3_normal.png")</f>
        <v>https://pbs.twimg.com/profile_images/588395465592479746/N5eycZR3_normal.png</v>
      </c>
      <c r="H142" s="67"/>
      <c r="I142" s="71" t="s">
        <v>484</v>
      </c>
      <c r="J142" s="72"/>
      <c r="K142" s="72"/>
      <c r="L142" s="71" t="s">
        <v>3022</v>
      </c>
      <c r="M142" s="75">
        <v>1.3716218685559982</v>
      </c>
      <c r="N142" s="76">
        <v>6602.443359375</v>
      </c>
      <c r="O142" s="76">
        <v>2367.404541015625</v>
      </c>
      <c r="P142" s="77"/>
      <c r="Q142" s="78"/>
      <c r="R142" s="78"/>
      <c r="S142" s="92"/>
      <c r="T142" s="49">
        <v>1</v>
      </c>
      <c r="U142" s="49">
        <v>0</v>
      </c>
      <c r="V142" s="50">
        <v>0</v>
      </c>
      <c r="W142" s="50">
        <v>0.090909</v>
      </c>
      <c r="X142" s="50">
        <v>0</v>
      </c>
      <c r="Y142" s="50">
        <v>0.617116</v>
      </c>
      <c r="Z142" s="50">
        <v>0</v>
      </c>
      <c r="AA142" s="50">
        <v>0</v>
      </c>
      <c r="AB142" s="73">
        <v>142</v>
      </c>
      <c r="AC142" s="73"/>
      <c r="AD142" s="74"/>
      <c r="AE142" s="81" t="s">
        <v>2054</v>
      </c>
      <c r="AF142" s="86" t="s">
        <v>2324</v>
      </c>
      <c r="AG142" s="81">
        <v>747</v>
      </c>
      <c r="AH142" s="81">
        <v>2746</v>
      </c>
      <c r="AI142" s="81">
        <v>4962</v>
      </c>
      <c r="AJ142" s="81">
        <v>2804</v>
      </c>
      <c r="AK142" s="81"/>
      <c r="AL142" s="81" t="s">
        <v>2590</v>
      </c>
      <c r="AM142" s="81" t="s">
        <v>2812</v>
      </c>
      <c r="AN142" s="88" t="str">
        <f>HYPERLINK("http://t.co/laOyhmAJQ1")</f>
        <v>http://t.co/laOyhmAJQ1</v>
      </c>
      <c r="AO142" s="81"/>
      <c r="AP142" s="83">
        <v>42040.740625</v>
      </c>
      <c r="AQ142" s="88" t="str">
        <f>HYPERLINK("https://pbs.twimg.com/profile_banners/3020154741/1423158925")</f>
        <v>https://pbs.twimg.com/profile_banners/3020154741/1423158925</v>
      </c>
      <c r="AR142" s="81" t="b">
        <v>0</v>
      </c>
      <c r="AS142" s="81" t="b">
        <v>0</v>
      </c>
      <c r="AT142" s="81" t="b">
        <v>0</v>
      </c>
      <c r="AU142" s="81"/>
      <c r="AV142" s="81">
        <v>87</v>
      </c>
      <c r="AW142" s="88" t="str">
        <f>HYPERLINK("https://abs.twimg.com/images/themes/theme14/bg.gif")</f>
        <v>https://abs.twimg.com/images/themes/theme14/bg.gif</v>
      </c>
      <c r="AX142" s="81" t="b">
        <v>0</v>
      </c>
      <c r="AY142" s="81" t="s">
        <v>2883</v>
      </c>
      <c r="AZ142" s="88" t="str">
        <f>HYPERLINK("https://twitter.com/elfarodehuse")</f>
        <v>https://twitter.com/elfarodehuse</v>
      </c>
      <c r="BA142" s="81" t="s">
        <v>65</v>
      </c>
      <c r="BB142" s="81" t="str">
        <f>REPLACE(INDEX(GroupVertices[Group],MATCH(Vertices[[#This Row],[Vertex]],GroupVertices[Vertex],0)),1,1,"")</f>
        <v>7</v>
      </c>
      <c r="BC142" s="49"/>
      <c r="BD142" s="49"/>
      <c r="BE142" s="49"/>
      <c r="BF142" s="49"/>
      <c r="BG142" s="49"/>
      <c r="BH142" s="49"/>
      <c r="BI142" s="49"/>
      <c r="BJ142" s="49"/>
      <c r="BK142" s="49"/>
      <c r="BL142" s="49"/>
      <c r="BM142" s="49"/>
      <c r="BN142" s="50"/>
      <c r="BO142" s="49"/>
      <c r="BP142" s="50"/>
      <c r="BQ142" s="49"/>
      <c r="BR142" s="50"/>
      <c r="BS142" s="49"/>
      <c r="BT142" s="50"/>
      <c r="BU142" s="49"/>
      <c r="BV142" s="2"/>
      <c r="BW142" s="3"/>
      <c r="BX142" s="3"/>
      <c r="BY142" s="3"/>
      <c r="BZ142" s="3"/>
    </row>
    <row r="143" spans="1:78" ht="41.45" customHeight="1">
      <c r="A143" s="66" t="s">
        <v>485</v>
      </c>
      <c r="C143" s="67"/>
      <c r="D143" s="67" t="s">
        <v>64</v>
      </c>
      <c r="E143" s="68">
        <v>162.00942513005106</v>
      </c>
      <c r="F143" s="70">
        <v>99.99997967392228</v>
      </c>
      <c r="G143" s="106" t="str">
        <f>HYPERLINK("https://pbs.twimg.com/profile_images/1460722654835531785/816NSuHk_normal.jpg")</f>
        <v>https://pbs.twimg.com/profile_images/1460722654835531785/816NSuHk_normal.jpg</v>
      </c>
      <c r="H143" s="67"/>
      <c r="I143" s="71" t="s">
        <v>485</v>
      </c>
      <c r="J143" s="72"/>
      <c r="K143" s="72"/>
      <c r="L143" s="71" t="s">
        <v>3023</v>
      </c>
      <c r="M143" s="75">
        <v>1.0067740041661684</v>
      </c>
      <c r="N143" s="76">
        <v>7140.18017578125</v>
      </c>
      <c r="O143" s="76">
        <v>4079.314453125</v>
      </c>
      <c r="P143" s="77"/>
      <c r="Q143" s="78"/>
      <c r="R143" s="78"/>
      <c r="S143" s="92"/>
      <c r="T143" s="49">
        <v>1</v>
      </c>
      <c r="U143" s="49">
        <v>0</v>
      </c>
      <c r="V143" s="50">
        <v>0</v>
      </c>
      <c r="W143" s="50">
        <v>0.090909</v>
      </c>
      <c r="X143" s="50">
        <v>0</v>
      </c>
      <c r="Y143" s="50">
        <v>0.617116</v>
      </c>
      <c r="Z143" s="50">
        <v>0</v>
      </c>
      <c r="AA143" s="50">
        <v>0</v>
      </c>
      <c r="AB143" s="73">
        <v>143</v>
      </c>
      <c r="AC143" s="73"/>
      <c r="AD143" s="74"/>
      <c r="AE143" s="81" t="s">
        <v>2055</v>
      </c>
      <c r="AF143" s="86" t="s">
        <v>2325</v>
      </c>
      <c r="AG143" s="81">
        <v>102</v>
      </c>
      <c r="AH143" s="81">
        <v>53</v>
      </c>
      <c r="AI143" s="81">
        <v>27</v>
      </c>
      <c r="AJ143" s="81">
        <v>39</v>
      </c>
      <c r="AK143" s="81"/>
      <c r="AL143" s="81" t="s">
        <v>2591</v>
      </c>
      <c r="AM143" s="81" t="s">
        <v>2813</v>
      </c>
      <c r="AN143" s="81"/>
      <c r="AO143" s="81"/>
      <c r="AP143" s="83">
        <v>43417.44726851852</v>
      </c>
      <c r="AQ143" s="88" t="str">
        <f>HYPERLINK("https://pbs.twimg.com/profile_banners/1062295023008604160/1637098471")</f>
        <v>https://pbs.twimg.com/profile_banners/1062295023008604160/1637098471</v>
      </c>
      <c r="AR143" s="81" t="b">
        <v>1</v>
      </c>
      <c r="AS143" s="81" t="b">
        <v>0</v>
      </c>
      <c r="AT143" s="81" t="b">
        <v>0</v>
      </c>
      <c r="AU143" s="81"/>
      <c r="AV143" s="81">
        <v>1</v>
      </c>
      <c r="AW143" s="81"/>
      <c r="AX143" s="81" t="b">
        <v>0</v>
      </c>
      <c r="AY143" s="81" t="s">
        <v>2883</v>
      </c>
      <c r="AZ143" s="88" t="str">
        <f>HYPERLINK("https://twitter.com/erojomol")</f>
        <v>https://twitter.com/erojomol</v>
      </c>
      <c r="BA143" s="81" t="s">
        <v>65</v>
      </c>
      <c r="BB143" s="81" t="str">
        <f>REPLACE(INDEX(GroupVertices[Group],MATCH(Vertices[[#This Row],[Vertex]],GroupVertices[Vertex],0)),1,1,"")</f>
        <v>7</v>
      </c>
      <c r="BC143" s="49"/>
      <c r="BD143" s="49"/>
      <c r="BE143" s="49"/>
      <c r="BF143" s="49"/>
      <c r="BG143" s="49"/>
      <c r="BH143" s="49"/>
      <c r="BI143" s="49"/>
      <c r="BJ143" s="49"/>
      <c r="BK143" s="49"/>
      <c r="BL143" s="49"/>
      <c r="BM143" s="49"/>
      <c r="BN143" s="50"/>
      <c r="BO143" s="49"/>
      <c r="BP143" s="50"/>
      <c r="BQ143" s="49"/>
      <c r="BR143" s="50"/>
      <c r="BS143" s="49"/>
      <c r="BT143" s="50"/>
      <c r="BU143" s="49"/>
      <c r="BV143" s="2"/>
      <c r="BW143" s="3"/>
      <c r="BX143" s="3"/>
      <c r="BY143" s="3"/>
      <c r="BZ143" s="3"/>
    </row>
    <row r="144" spans="1:78" ht="41.45" customHeight="1">
      <c r="A144" s="66" t="s">
        <v>486</v>
      </c>
      <c r="C144" s="67"/>
      <c r="D144" s="67" t="s">
        <v>64</v>
      </c>
      <c r="E144" s="68">
        <v>162.26654267784366</v>
      </c>
      <c r="F144" s="70">
        <v>99.99942517852224</v>
      </c>
      <c r="G144" s="106" t="str">
        <f>HYPERLINK("https://pbs.twimg.com/profile_images/822707377141141505/BUY0dGbv_normal.jpg")</f>
        <v>https://pbs.twimg.com/profile_images/822707377141141505/BUY0dGbv_normal.jpg</v>
      </c>
      <c r="H144" s="67"/>
      <c r="I144" s="71" t="s">
        <v>486</v>
      </c>
      <c r="J144" s="72"/>
      <c r="K144" s="72"/>
      <c r="L144" s="71" t="s">
        <v>3024</v>
      </c>
      <c r="M144" s="75">
        <v>1.1915688378192422</v>
      </c>
      <c r="N144" s="76">
        <v>7058.39794921875</v>
      </c>
      <c r="O144" s="76">
        <v>2258.546142578125</v>
      </c>
      <c r="P144" s="77"/>
      <c r="Q144" s="78"/>
      <c r="R144" s="78"/>
      <c r="S144" s="92"/>
      <c r="T144" s="49">
        <v>1</v>
      </c>
      <c r="U144" s="49">
        <v>0</v>
      </c>
      <c r="V144" s="50">
        <v>0</v>
      </c>
      <c r="W144" s="50">
        <v>0.090909</v>
      </c>
      <c r="X144" s="50">
        <v>0</v>
      </c>
      <c r="Y144" s="50">
        <v>0.617116</v>
      </c>
      <c r="Z144" s="50">
        <v>0</v>
      </c>
      <c r="AA144" s="50">
        <v>0</v>
      </c>
      <c r="AB144" s="73">
        <v>144</v>
      </c>
      <c r="AC144" s="73"/>
      <c r="AD144" s="74"/>
      <c r="AE144" s="81" t="s">
        <v>2056</v>
      </c>
      <c r="AF144" s="86" t="s">
        <v>2326</v>
      </c>
      <c r="AG144" s="81">
        <v>2637</v>
      </c>
      <c r="AH144" s="81">
        <v>1417</v>
      </c>
      <c r="AI144" s="81">
        <v>13869</v>
      </c>
      <c r="AJ144" s="81">
        <v>934</v>
      </c>
      <c r="AK144" s="81"/>
      <c r="AL144" s="81" t="s">
        <v>2592</v>
      </c>
      <c r="AM144" s="81" t="s">
        <v>2812</v>
      </c>
      <c r="AN144" s="88" t="str">
        <f>HYPERLINK("https://t.co/kFTXnOOF4M")</f>
        <v>https://t.co/kFTXnOOF4M</v>
      </c>
      <c r="AO144" s="81"/>
      <c r="AP144" s="83">
        <v>41301.607152777775</v>
      </c>
      <c r="AQ144" s="88" t="str">
        <f>HYPERLINK("https://pbs.twimg.com/profile_banners/1125231541/1409930496")</f>
        <v>https://pbs.twimg.com/profile_banners/1125231541/1409930496</v>
      </c>
      <c r="AR144" s="81" t="b">
        <v>1</v>
      </c>
      <c r="AS144" s="81" t="b">
        <v>0</v>
      </c>
      <c r="AT144" s="81" t="b">
        <v>1</v>
      </c>
      <c r="AU144" s="81"/>
      <c r="AV144" s="81">
        <v>75</v>
      </c>
      <c r="AW144" s="88" t="str">
        <f>HYPERLINK("https://abs.twimg.com/images/themes/theme1/bg.png")</f>
        <v>https://abs.twimg.com/images/themes/theme1/bg.png</v>
      </c>
      <c r="AX144" s="81" t="b">
        <v>0</v>
      </c>
      <c r="AY144" s="81" t="s">
        <v>2883</v>
      </c>
      <c r="AZ144" s="88" t="str">
        <f>HYPERLINK("https://twitter.com/leonorperianez")</f>
        <v>https://twitter.com/leonorperianez</v>
      </c>
      <c r="BA144" s="81" t="s">
        <v>65</v>
      </c>
      <c r="BB144" s="81" t="str">
        <f>REPLACE(INDEX(GroupVertices[Group],MATCH(Vertices[[#This Row],[Vertex]],GroupVertices[Vertex],0)),1,1,"")</f>
        <v>7</v>
      </c>
      <c r="BC144" s="49"/>
      <c r="BD144" s="49"/>
      <c r="BE144" s="49"/>
      <c r="BF144" s="49"/>
      <c r="BG144" s="49"/>
      <c r="BH144" s="49"/>
      <c r="BI144" s="49"/>
      <c r="BJ144" s="49"/>
      <c r="BK144" s="49"/>
      <c r="BL144" s="49"/>
      <c r="BM144" s="49"/>
      <c r="BN144" s="50"/>
      <c r="BO144" s="49"/>
      <c r="BP144" s="50"/>
      <c r="BQ144" s="49"/>
      <c r="BR144" s="50"/>
      <c r="BS144" s="49"/>
      <c r="BT144" s="50"/>
      <c r="BU144" s="49"/>
      <c r="BV144" s="2"/>
      <c r="BW144" s="3"/>
      <c r="BX144" s="3"/>
      <c r="BY144" s="3"/>
      <c r="BZ144" s="3"/>
    </row>
    <row r="145" spans="1:78" ht="41.45" customHeight="1">
      <c r="A145" s="66" t="s">
        <v>487</v>
      </c>
      <c r="C145" s="67"/>
      <c r="D145" s="67" t="s">
        <v>64</v>
      </c>
      <c r="E145" s="68">
        <v>162.0043355598235</v>
      </c>
      <c r="F145" s="70">
        <v>99.99999065000425</v>
      </c>
      <c r="G145" s="106" t="str">
        <f>HYPERLINK("https://pbs.twimg.com/profile_images/1383817593803350020/tPzUnJEj_normal.jpg")</f>
        <v>https://pbs.twimg.com/profile_images/1383817593803350020/tPzUnJEj_normal.jpg</v>
      </c>
      <c r="H145" s="67"/>
      <c r="I145" s="71" t="s">
        <v>487</v>
      </c>
      <c r="J145" s="72"/>
      <c r="K145" s="72"/>
      <c r="L145" s="71" t="s">
        <v>3025</v>
      </c>
      <c r="M145" s="75">
        <v>1.0031160419164376</v>
      </c>
      <c r="N145" s="76">
        <v>7327.26708984375</v>
      </c>
      <c r="O145" s="76">
        <v>3114.49853515625</v>
      </c>
      <c r="P145" s="77"/>
      <c r="Q145" s="78"/>
      <c r="R145" s="78"/>
      <c r="S145" s="92"/>
      <c r="T145" s="49">
        <v>1</v>
      </c>
      <c r="U145" s="49">
        <v>0</v>
      </c>
      <c r="V145" s="50">
        <v>0</v>
      </c>
      <c r="W145" s="50">
        <v>0.090909</v>
      </c>
      <c r="X145" s="50">
        <v>0</v>
      </c>
      <c r="Y145" s="50">
        <v>0.617116</v>
      </c>
      <c r="Z145" s="50">
        <v>0</v>
      </c>
      <c r="AA145" s="50">
        <v>0</v>
      </c>
      <c r="AB145" s="73">
        <v>145</v>
      </c>
      <c r="AC145" s="73"/>
      <c r="AD145" s="74"/>
      <c r="AE145" s="81" t="s">
        <v>2057</v>
      </c>
      <c r="AF145" s="86" t="s">
        <v>2327</v>
      </c>
      <c r="AG145" s="81">
        <v>49</v>
      </c>
      <c r="AH145" s="81">
        <v>26</v>
      </c>
      <c r="AI145" s="81">
        <v>60</v>
      </c>
      <c r="AJ145" s="81">
        <v>15</v>
      </c>
      <c r="AK145" s="81"/>
      <c r="AL145" s="81"/>
      <c r="AM145" s="81"/>
      <c r="AN145" s="81"/>
      <c r="AO145" s="81"/>
      <c r="AP145" s="83">
        <v>44299.76568287037</v>
      </c>
      <c r="AQ145" s="88" t="str">
        <f>HYPERLINK("https://pbs.twimg.com/profile_banners/1382036392663003137/1618763031")</f>
        <v>https://pbs.twimg.com/profile_banners/1382036392663003137/1618763031</v>
      </c>
      <c r="AR145" s="81" t="b">
        <v>1</v>
      </c>
      <c r="AS145" s="81" t="b">
        <v>0</v>
      </c>
      <c r="AT145" s="81" t="b">
        <v>0</v>
      </c>
      <c r="AU145" s="81"/>
      <c r="AV145" s="81">
        <v>0</v>
      </c>
      <c r="AW145" s="81"/>
      <c r="AX145" s="81" t="b">
        <v>0</v>
      </c>
      <c r="AY145" s="81" t="s">
        <v>2883</v>
      </c>
      <c r="AZ145" s="88" t="str">
        <f>HYPERLINK("https://twitter.com/luisama01043544")</f>
        <v>https://twitter.com/luisama01043544</v>
      </c>
      <c r="BA145" s="81" t="s">
        <v>65</v>
      </c>
      <c r="BB145" s="81" t="str">
        <f>REPLACE(INDEX(GroupVertices[Group],MATCH(Vertices[[#This Row],[Vertex]],GroupVertices[Vertex],0)),1,1,"")</f>
        <v>7</v>
      </c>
      <c r="BC145" s="49"/>
      <c r="BD145" s="49"/>
      <c r="BE145" s="49"/>
      <c r="BF145" s="49"/>
      <c r="BG145" s="49"/>
      <c r="BH145" s="49"/>
      <c r="BI145" s="49"/>
      <c r="BJ145" s="49"/>
      <c r="BK145" s="49"/>
      <c r="BL145" s="49"/>
      <c r="BM145" s="49"/>
      <c r="BN145" s="50"/>
      <c r="BO145" s="49"/>
      <c r="BP145" s="50"/>
      <c r="BQ145" s="49"/>
      <c r="BR145" s="50"/>
      <c r="BS145" s="49"/>
      <c r="BT145" s="50"/>
      <c r="BU145" s="49"/>
      <c r="BV145" s="2"/>
      <c r="BW145" s="3"/>
      <c r="BX145" s="3"/>
      <c r="BY145" s="3"/>
      <c r="BZ145" s="3"/>
    </row>
    <row r="146" spans="1:78" ht="41.45" customHeight="1">
      <c r="A146" s="66" t="s">
        <v>488</v>
      </c>
      <c r="C146" s="67"/>
      <c r="D146" s="67" t="s">
        <v>64</v>
      </c>
      <c r="E146" s="68">
        <v>163.67597662567746</v>
      </c>
      <c r="F146" s="70">
        <v>99.99638561686089</v>
      </c>
      <c r="G146" s="106" t="str">
        <f>HYPERLINK("https://pbs.twimg.com/profile_images/1317058132565164033/guaPK5YM_normal.jpg")</f>
        <v>https://pbs.twimg.com/profile_images/1317058132565164033/guaPK5YM_normal.jpg</v>
      </c>
      <c r="H146" s="67"/>
      <c r="I146" s="71" t="s">
        <v>488</v>
      </c>
      <c r="J146" s="72"/>
      <c r="K146" s="72"/>
      <c r="L146" s="71" t="s">
        <v>3026</v>
      </c>
      <c r="M146" s="75">
        <v>2.204553420828064</v>
      </c>
      <c r="N146" s="76">
        <v>6415.3583984375</v>
      </c>
      <c r="O146" s="76">
        <v>3332.2216796875</v>
      </c>
      <c r="P146" s="77"/>
      <c r="Q146" s="78"/>
      <c r="R146" s="78"/>
      <c r="S146" s="92"/>
      <c r="T146" s="49">
        <v>1</v>
      </c>
      <c r="U146" s="49">
        <v>0</v>
      </c>
      <c r="V146" s="50">
        <v>0</v>
      </c>
      <c r="W146" s="50">
        <v>0.090909</v>
      </c>
      <c r="X146" s="50">
        <v>0</v>
      </c>
      <c r="Y146" s="50">
        <v>0.617116</v>
      </c>
      <c r="Z146" s="50">
        <v>0</v>
      </c>
      <c r="AA146" s="50">
        <v>0</v>
      </c>
      <c r="AB146" s="73">
        <v>146</v>
      </c>
      <c r="AC146" s="73"/>
      <c r="AD146" s="74"/>
      <c r="AE146" s="81" t="s">
        <v>2058</v>
      </c>
      <c r="AF146" s="86" t="s">
        <v>2328</v>
      </c>
      <c r="AG146" s="81">
        <v>1359</v>
      </c>
      <c r="AH146" s="81">
        <v>8894</v>
      </c>
      <c r="AI146" s="81">
        <v>6792</v>
      </c>
      <c r="AJ146" s="81">
        <v>4304</v>
      </c>
      <c r="AK146" s="81"/>
      <c r="AL146" s="81" t="s">
        <v>2593</v>
      </c>
      <c r="AM146" s="81" t="s">
        <v>1891</v>
      </c>
      <c r="AN146" s="88" t="str">
        <f>HYPERLINK("https://t.co/5EXuSkShDk")</f>
        <v>https://t.co/5EXuSkShDk</v>
      </c>
      <c r="AO146" s="81"/>
      <c r="AP146" s="83">
        <v>40205.747824074075</v>
      </c>
      <c r="AQ146" s="81"/>
      <c r="AR146" s="81" t="b">
        <v>0</v>
      </c>
      <c r="AS146" s="81" t="b">
        <v>0</v>
      </c>
      <c r="AT146" s="81" t="b">
        <v>1</v>
      </c>
      <c r="AU146" s="81"/>
      <c r="AV146" s="81">
        <v>265</v>
      </c>
      <c r="AW146" s="88" t="str">
        <f>HYPERLINK("https://abs.twimg.com/images/themes/theme13/bg.gif")</f>
        <v>https://abs.twimg.com/images/themes/theme13/bg.gif</v>
      </c>
      <c r="AX146" s="81" t="b">
        <v>0</v>
      </c>
      <c r="AY146" s="81" t="s">
        <v>2883</v>
      </c>
      <c r="AZ146" s="88" t="str">
        <f>HYPERLINK("https://twitter.com/sonespases")</f>
        <v>https://twitter.com/sonespases</v>
      </c>
      <c r="BA146" s="81" t="s">
        <v>65</v>
      </c>
      <c r="BB146" s="81" t="str">
        <f>REPLACE(INDEX(GroupVertices[Group],MATCH(Vertices[[#This Row],[Vertex]],GroupVertices[Vertex],0)),1,1,"")</f>
        <v>7</v>
      </c>
      <c r="BC146" s="49"/>
      <c r="BD146" s="49"/>
      <c r="BE146" s="49"/>
      <c r="BF146" s="49"/>
      <c r="BG146" s="49"/>
      <c r="BH146" s="49"/>
      <c r="BI146" s="49"/>
      <c r="BJ146" s="49"/>
      <c r="BK146" s="49"/>
      <c r="BL146" s="49"/>
      <c r="BM146" s="49"/>
      <c r="BN146" s="50"/>
      <c r="BO146" s="49"/>
      <c r="BP146" s="50"/>
      <c r="BQ146" s="49"/>
      <c r="BR146" s="50"/>
      <c r="BS146" s="49"/>
      <c r="BT146" s="50"/>
      <c r="BU146" s="49"/>
      <c r="BV146" s="2"/>
      <c r="BW146" s="3"/>
      <c r="BX146" s="3"/>
      <c r="BY146" s="3"/>
      <c r="BZ146" s="3"/>
    </row>
    <row r="147" spans="1:78" ht="41.45" customHeight="1">
      <c r="A147" s="66" t="s">
        <v>348</v>
      </c>
      <c r="C147" s="67"/>
      <c r="D147" s="67" t="s">
        <v>64</v>
      </c>
      <c r="E147" s="68">
        <v>162.0889732276819</v>
      </c>
      <c r="F147" s="70">
        <v>99.99980812182638</v>
      </c>
      <c r="G147" s="106" t="str">
        <f>HYPERLINK("https://pbs.twimg.com/profile_images/976057877403193344/TG2_MPvF_normal.jpg")</f>
        <v>https://pbs.twimg.com/profile_images/976057877403193344/TG2_MPvF_normal.jpg</v>
      </c>
      <c r="H147" s="67"/>
      <c r="I147" s="71" t="s">
        <v>348</v>
      </c>
      <c r="J147" s="72"/>
      <c r="K147" s="72"/>
      <c r="L147" s="71" t="s">
        <v>3027</v>
      </c>
      <c r="M147" s="75">
        <v>1.0639465993286297</v>
      </c>
      <c r="N147" s="76">
        <v>5046.6748046875</v>
      </c>
      <c r="O147" s="76">
        <v>6945.5771484375</v>
      </c>
      <c r="P147" s="77"/>
      <c r="Q147" s="78"/>
      <c r="R147" s="78"/>
      <c r="S147" s="92"/>
      <c r="T147" s="49">
        <v>1</v>
      </c>
      <c r="U147" s="49">
        <v>1</v>
      </c>
      <c r="V147" s="50">
        <v>0</v>
      </c>
      <c r="W147" s="50">
        <v>0</v>
      </c>
      <c r="X147" s="50">
        <v>0</v>
      </c>
      <c r="Y147" s="50">
        <v>0.999998</v>
      </c>
      <c r="Z147" s="50">
        <v>0</v>
      </c>
      <c r="AA147" s="50">
        <v>0</v>
      </c>
      <c r="AB147" s="73">
        <v>147</v>
      </c>
      <c r="AC147" s="73"/>
      <c r="AD147" s="74"/>
      <c r="AE147" s="81" t="s">
        <v>2059</v>
      </c>
      <c r="AF147" s="86" t="s">
        <v>2329</v>
      </c>
      <c r="AG147" s="81">
        <v>1230</v>
      </c>
      <c r="AH147" s="81">
        <v>475</v>
      </c>
      <c r="AI147" s="81">
        <v>1158</v>
      </c>
      <c r="AJ147" s="81">
        <v>808</v>
      </c>
      <c r="AK147" s="81"/>
      <c r="AL147" s="81" t="s">
        <v>2594</v>
      </c>
      <c r="AM147" s="81"/>
      <c r="AN147" s="88" t="str">
        <f>HYPERLINK("https://t.co/EM8To4WuyG")</f>
        <v>https://t.co/EM8To4WuyG</v>
      </c>
      <c r="AO147" s="81"/>
      <c r="AP147" s="83">
        <v>42126.291608796295</v>
      </c>
      <c r="AQ147" s="88" t="str">
        <f>HYPERLINK("https://pbs.twimg.com/profile_banners/3227670093/1462869223")</f>
        <v>https://pbs.twimg.com/profile_banners/3227670093/1462869223</v>
      </c>
      <c r="AR147" s="81" t="b">
        <v>1</v>
      </c>
      <c r="AS147" s="81" t="b">
        <v>0</v>
      </c>
      <c r="AT147" s="81" t="b">
        <v>0</v>
      </c>
      <c r="AU147" s="81"/>
      <c r="AV147" s="81">
        <v>4</v>
      </c>
      <c r="AW147" s="88" t="str">
        <f>HYPERLINK("https://abs.twimg.com/images/themes/theme1/bg.png")</f>
        <v>https://abs.twimg.com/images/themes/theme1/bg.png</v>
      </c>
      <c r="AX147" s="81" t="b">
        <v>0</v>
      </c>
      <c r="AY147" s="81" t="s">
        <v>2883</v>
      </c>
      <c r="AZ147" s="88" t="str">
        <f>HYPERLINK("https://twitter.com/linzyelton")</f>
        <v>https://twitter.com/linzyelton</v>
      </c>
      <c r="BA147" s="81" t="s">
        <v>66</v>
      </c>
      <c r="BB147" s="81" t="str">
        <f>REPLACE(INDEX(GroupVertices[Group],MATCH(Vertices[[#This Row],[Vertex]],GroupVertices[Vertex],0)),1,1,"")</f>
        <v>1</v>
      </c>
      <c r="BC147" s="49" t="s">
        <v>3570</v>
      </c>
      <c r="BD147" s="49" t="s">
        <v>3570</v>
      </c>
      <c r="BE147" s="49" t="s">
        <v>924</v>
      </c>
      <c r="BF147" s="49" t="s">
        <v>924</v>
      </c>
      <c r="BG147" s="49" t="s">
        <v>3624</v>
      </c>
      <c r="BH147" s="49" t="s">
        <v>3624</v>
      </c>
      <c r="BI147" s="113" t="s">
        <v>3745</v>
      </c>
      <c r="BJ147" s="113" t="s">
        <v>3745</v>
      </c>
      <c r="BK147" s="113" t="s">
        <v>3922</v>
      </c>
      <c r="BL147" s="113" t="s">
        <v>3922</v>
      </c>
      <c r="BM147" s="113">
        <v>2</v>
      </c>
      <c r="BN147" s="116">
        <v>5.2631578947368425</v>
      </c>
      <c r="BO147" s="113">
        <v>0</v>
      </c>
      <c r="BP147" s="116">
        <v>0</v>
      </c>
      <c r="BQ147" s="113">
        <v>0</v>
      </c>
      <c r="BR147" s="116">
        <v>0</v>
      </c>
      <c r="BS147" s="113">
        <v>36</v>
      </c>
      <c r="BT147" s="116">
        <v>94.73684210526316</v>
      </c>
      <c r="BU147" s="113">
        <v>38</v>
      </c>
      <c r="BV147" s="2"/>
      <c r="BW147" s="3"/>
      <c r="BX147" s="3"/>
      <c r="BY147" s="3"/>
      <c r="BZ147" s="3"/>
    </row>
    <row r="148" spans="1:78" ht="41.45" customHeight="1">
      <c r="A148" s="66" t="s">
        <v>349</v>
      </c>
      <c r="C148" s="67"/>
      <c r="D148" s="67" t="s">
        <v>64</v>
      </c>
      <c r="E148" s="68">
        <v>162.22884215763946</v>
      </c>
      <c r="F148" s="70">
        <v>99.9995064828331</v>
      </c>
      <c r="G148" s="106" t="str">
        <f>HYPERLINK("https://pbs.twimg.com/profile_images/1271018699223334912/M5-4Nk5Z_normal.jpg")</f>
        <v>https://pbs.twimg.com/profile_images/1271018699223334912/M5-4Nk5Z_normal.jpg</v>
      </c>
      <c r="H148" s="67"/>
      <c r="I148" s="71" t="s">
        <v>349</v>
      </c>
      <c r="J148" s="72"/>
      <c r="K148" s="72"/>
      <c r="L148" s="71" t="s">
        <v>3028</v>
      </c>
      <c r="M148" s="75">
        <v>1.1644728211545687</v>
      </c>
      <c r="N148" s="76">
        <v>9604.373046875</v>
      </c>
      <c r="O148" s="76">
        <v>4193.65966796875</v>
      </c>
      <c r="P148" s="77"/>
      <c r="Q148" s="78"/>
      <c r="R148" s="78"/>
      <c r="S148" s="92"/>
      <c r="T148" s="49">
        <v>0</v>
      </c>
      <c r="U148" s="49">
        <v>1</v>
      </c>
      <c r="V148" s="50">
        <v>0</v>
      </c>
      <c r="W148" s="50">
        <v>1</v>
      </c>
      <c r="X148" s="50">
        <v>0</v>
      </c>
      <c r="Y148" s="50">
        <v>0.999998</v>
      </c>
      <c r="Z148" s="50">
        <v>0</v>
      </c>
      <c r="AA148" s="50">
        <v>0</v>
      </c>
      <c r="AB148" s="73">
        <v>148</v>
      </c>
      <c r="AC148" s="73"/>
      <c r="AD148" s="74"/>
      <c r="AE148" s="81" t="s">
        <v>2060</v>
      </c>
      <c r="AF148" s="86" t="s">
        <v>2330</v>
      </c>
      <c r="AG148" s="81">
        <v>825</v>
      </c>
      <c r="AH148" s="81">
        <v>1217</v>
      </c>
      <c r="AI148" s="81">
        <v>8835</v>
      </c>
      <c r="AJ148" s="81">
        <v>561</v>
      </c>
      <c r="AK148" s="81"/>
      <c r="AL148" s="81" t="s">
        <v>2595</v>
      </c>
      <c r="AM148" s="81" t="s">
        <v>2814</v>
      </c>
      <c r="AN148" s="88" t="str">
        <f>HYPERLINK("https://t.co/tjrIc1IMft")</f>
        <v>https://t.co/tjrIc1IMft</v>
      </c>
      <c r="AO148" s="81"/>
      <c r="AP148" s="83">
        <v>40912.42502314815</v>
      </c>
      <c r="AQ148" s="88" t="str">
        <f>HYPERLINK("https://pbs.twimg.com/profile_banners/454747154/1398764717")</f>
        <v>https://pbs.twimg.com/profile_banners/454747154/1398764717</v>
      </c>
      <c r="AR148" s="81" t="b">
        <v>1</v>
      </c>
      <c r="AS148" s="81" t="b">
        <v>0</v>
      </c>
      <c r="AT148" s="81" t="b">
        <v>1</v>
      </c>
      <c r="AU148" s="81"/>
      <c r="AV148" s="81">
        <v>38</v>
      </c>
      <c r="AW148" s="88" t="str">
        <f>HYPERLINK("https://abs.twimg.com/images/themes/theme1/bg.png")</f>
        <v>https://abs.twimg.com/images/themes/theme1/bg.png</v>
      </c>
      <c r="AX148" s="81" t="b">
        <v>0</v>
      </c>
      <c r="AY148" s="81" t="s">
        <v>2883</v>
      </c>
      <c r="AZ148" s="88" t="str">
        <f>HYPERLINK("https://twitter.com/james_ciwf")</f>
        <v>https://twitter.com/james_ciwf</v>
      </c>
      <c r="BA148" s="81" t="s">
        <v>66</v>
      </c>
      <c r="BB148" s="81" t="str">
        <f>REPLACE(INDEX(GroupVertices[Group],MATCH(Vertices[[#This Row],[Vertex]],GroupVertices[Vertex],0)),1,1,"")</f>
        <v>21</v>
      </c>
      <c r="BC148" s="49" t="s">
        <v>894</v>
      </c>
      <c r="BD148" s="49" t="s">
        <v>894</v>
      </c>
      <c r="BE148" s="49" t="s">
        <v>925</v>
      </c>
      <c r="BF148" s="49" t="s">
        <v>925</v>
      </c>
      <c r="BG148" s="49" t="s">
        <v>1026</v>
      </c>
      <c r="BH148" s="49" t="s">
        <v>1026</v>
      </c>
      <c r="BI148" s="113" t="s">
        <v>3746</v>
      </c>
      <c r="BJ148" s="113" t="s">
        <v>3746</v>
      </c>
      <c r="BK148" s="113" t="s">
        <v>3923</v>
      </c>
      <c r="BL148" s="113" t="s">
        <v>3923</v>
      </c>
      <c r="BM148" s="113">
        <v>0</v>
      </c>
      <c r="BN148" s="116">
        <v>0</v>
      </c>
      <c r="BO148" s="113">
        <v>2</v>
      </c>
      <c r="BP148" s="116">
        <v>10</v>
      </c>
      <c r="BQ148" s="113">
        <v>0</v>
      </c>
      <c r="BR148" s="116">
        <v>0</v>
      </c>
      <c r="BS148" s="113">
        <v>18</v>
      </c>
      <c r="BT148" s="116">
        <v>90</v>
      </c>
      <c r="BU148" s="113">
        <v>20</v>
      </c>
      <c r="BV148" s="2"/>
      <c r="BW148" s="3"/>
      <c r="BX148" s="3"/>
      <c r="BY148" s="3"/>
      <c r="BZ148" s="3"/>
    </row>
    <row r="149" spans="1:78" ht="41.45" customHeight="1">
      <c r="A149" s="66" t="s">
        <v>489</v>
      </c>
      <c r="C149" s="67"/>
      <c r="D149" s="67" t="s">
        <v>64</v>
      </c>
      <c r="E149" s="68">
        <v>177.7458107658829</v>
      </c>
      <c r="F149" s="70">
        <v>99.96604284804936</v>
      </c>
      <c r="G149" s="106" t="str">
        <f>HYPERLINK("https://pbs.twimg.com/profile_images/1428356892263284740/ln9u1nYB_normal.jpg")</f>
        <v>https://pbs.twimg.com/profile_images/1428356892263284740/ln9u1nYB_normal.jpg</v>
      </c>
      <c r="H149" s="67"/>
      <c r="I149" s="71" t="s">
        <v>489</v>
      </c>
      <c r="J149" s="72"/>
      <c r="K149" s="72"/>
      <c r="L149" s="71" t="s">
        <v>3029</v>
      </c>
      <c r="M149" s="75">
        <v>12.316786840084244</v>
      </c>
      <c r="N149" s="76">
        <v>9604.373046875</v>
      </c>
      <c r="O149" s="76">
        <v>3809.926025390625</v>
      </c>
      <c r="P149" s="77"/>
      <c r="Q149" s="78"/>
      <c r="R149" s="78"/>
      <c r="S149" s="92"/>
      <c r="T149" s="49">
        <v>1</v>
      </c>
      <c r="U149" s="49">
        <v>0</v>
      </c>
      <c r="V149" s="50">
        <v>0</v>
      </c>
      <c r="W149" s="50">
        <v>1</v>
      </c>
      <c r="X149" s="50">
        <v>0</v>
      </c>
      <c r="Y149" s="50">
        <v>0.999998</v>
      </c>
      <c r="Z149" s="50">
        <v>0</v>
      </c>
      <c r="AA149" s="50">
        <v>0</v>
      </c>
      <c r="AB149" s="73">
        <v>149</v>
      </c>
      <c r="AC149" s="73"/>
      <c r="AD149" s="74"/>
      <c r="AE149" s="81" t="s">
        <v>2061</v>
      </c>
      <c r="AF149" s="86" t="s">
        <v>2331</v>
      </c>
      <c r="AG149" s="81">
        <v>1818</v>
      </c>
      <c r="AH149" s="81">
        <v>83534</v>
      </c>
      <c r="AI149" s="81">
        <v>19225</v>
      </c>
      <c r="AJ149" s="81">
        <v>45287</v>
      </c>
      <c r="AK149" s="81"/>
      <c r="AL149" s="81" t="s">
        <v>2596</v>
      </c>
      <c r="AM149" s="81" t="s">
        <v>2815</v>
      </c>
      <c r="AN149" s="81"/>
      <c r="AO149" s="81"/>
      <c r="AP149" s="83">
        <v>40858.65849537037</v>
      </c>
      <c r="AQ149" s="88" t="str">
        <f>HYPERLINK("https://pbs.twimg.com/profile_banners/410059729/1634042237")</f>
        <v>https://pbs.twimg.com/profile_banners/410059729/1634042237</v>
      </c>
      <c r="AR149" s="81" t="b">
        <v>1</v>
      </c>
      <c r="AS149" s="81" t="b">
        <v>0</v>
      </c>
      <c r="AT149" s="81" t="b">
        <v>0</v>
      </c>
      <c r="AU149" s="81"/>
      <c r="AV149" s="81">
        <v>327</v>
      </c>
      <c r="AW149" s="88" t="str">
        <f>HYPERLINK("https://abs.twimg.com/images/themes/theme1/bg.png")</f>
        <v>https://abs.twimg.com/images/themes/theme1/bg.png</v>
      </c>
      <c r="AX149" s="81" t="b">
        <v>1</v>
      </c>
      <c r="AY149" s="81" t="s">
        <v>2883</v>
      </c>
      <c r="AZ149" s="88" t="str">
        <f>HYPERLINK("https://twitter.com/doctorchrisvt")</f>
        <v>https://twitter.com/doctorchrisvt</v>
      </c>
      <c r="BA149" s="81" t="s">
        <v>65</v>
      </c>
      <c r="BB149" s="81" t="str">
        <f>REPLACE(INDEX(GroupVertices[Group],MATCH(Vertices[[#This Row],[Vertex]],GroupVertices[Vertex],0)),1,1,"")</f>
        <v>21</v>
      </c>
      <c r="BC149" s="49"/>
      <c r="BD149" s="49"/>
      <c r="BE149" s="49"/>
      <c r="BF149" s="49"/>
      <c r="BG149" s="49"/>
      <c r="BH149" s="49"/>
      <c r="BI149" s="49"/>
      <c r="BJ149" s="49"/>
      <c r="BK149" s="49"/>
      <c r="BL149" s="49"/>
      <c r="BM149" s="49"/>
      <c r="BN149" s="50"/>
      <c r="BO149" s="49"/>
      <c r="BP149" s="50"/>
      <c r="BQ149" s="49"/>
      <c r="BR149" s="50"/>
      <c r="BS149" s="49"/>
      <c r="BT149" s="50"/>
      <c r="BU149" s="49"/>
      <c r="BV149" s="2"/>
      <c r="BW149" s="3"/>
      <c r="BX149" s="3"/>
      <c r="BY149" s="3"/>
      <c r="BZ149" s="3"/>
    </row>
    <row r="150" spans="1:78" ht="41.45" customHeight="1">
      <c r="A150" s="66" t="s">
        <v>350</v>
      </c>
      <c r="C150" s="67"/>
      <c r="D150" s="67" t="s">
        <v>64</v>
      </c>
      <c r="E150" s="68">
        <v>164.67918746831108</v>
      </c>
      <c r="F150" s="70">
        <v>99.994222109149</v>
      </c>
      <c r="G150" s="106" t="str">
        <f>HYPERLINK("https://pbs.twimg.com/profile_images/1817521307/GETREADYtwitter_normal.gif")</f>
        <v>https://pbs.twimg.com/profile_images/1817521307/GETREADYtwitter_normal.gif</v>
      </c>
      <c r="H150" s="67"/>
      <c r="I150" s="71" t="s">
        <v>350</v>
      </c>
      <c r="J150" s="72"/>
      <c r="K150" s="72"/>
      <c r="L150" s="71" t="s">
        <v>3030</v>
      </c>
      <c r="M150" s="75">
        <v>2.9255784242750282</v>
      </c>
      <c r="N150" s="76">
        <v>4655.7392578125</v>
      </c>
      <c r="O150" s="76">
        <v>2274.99169921875</v>
      </c>
      <c r="P150" s="77"/>
      <c r="Q150" s="78"/>
      <c r="R150" s="78"/>
      <c r="S150" s="92"/>
      <c r="T150" s="49">
        <v>1</v>
      </c>
      <c r="U150" s="49">
        <v>1</v>
      </c>
      <c r="V150" s="50">
        <v>0</v>
      </c>
      <c r="W150" s="50">
        <v>0</v>
      </c>
      <c r="X150" s="50">
        <v>0</v>
      </c>
      <c r="Y150" s="50">
        <v>0.999998</v>
      </c>
      <c r="Z150" s="50">
        <v>0</v>
      </c>
      <c r="AA150" s="50">
        <v>0</v>
      </c>
      <c r="AB150" s="73">
        <v>150</v>
      </c>
      <c r="AC150" s="73"/>
      <c r="AD150" s="74"/>
      <c r="AE150" s="81" t="s">
        <v>2062</v>
      </c>
      <c r="AF150" s="86" t="s">
        <v>2332</v>
      </c>
      <c r="AG150" s="81">
        <v>1975</v>
      </c>
      <c r="AH150" s="81">
        <v>14216</v>
      </c>
      <c r="AI150" s="81">
        <v>7483</v>
      </c>
      <c r="AJ150" s="81">
        <v>2341</v>
      </c>
      <c r="AK150" s="81"/>
      <c r="AL150" s="81" t="s">
        <v>2597</v>
      </c>
      <c r="AM150" s="81" t="s">
        <v>2762</v>
      </c>
      <c r="AN150" s="88" t="str">
        <f>HYPERLINK("http://t.co/coRZBECDD9")</f>
        <v>http://t.co/coRZBECDD9</v>
      </c>
      <c r="AO150" s="81"/>
      <c r="AP150" s="83">
        <v>39244.84690972222</v>
      </c>
      <c r="AQ150" s="88" t="str">
        <f>HYPERLINK("https://pbs.twimg.com/profile_banners/6751882/1400787513")</f>
        <v>https://pbs.twimg.com/profile_banners/6751882/1400787513</v>
      </c>
      <c r="AR150" s="81" t="b">
        <v>0</v>
      </c>
      <c r="AS150" s="81" t="b">
        <v>0</v>
      </c>
      <c r="AT150" s="81" t="b">
        <v>1</v>
      </c>
      <c r="AU150" s="81"/>
      <c r="AV150" s="81">
        <v>539</v>
      </c>
      <c r="AW150" s="88" t="str">
        <f>HYPERLINK("https://abs.twimg.com/images/themes/theme1/bg.png")</f>
        <v>https://abs.twimg.com/images/themes/theme1/bg.png</v>
      </c>
      <c r="AX150" s="81" t="b">
        <v>1</v>
      </c>
      <c r="AY150" s="81" t="s">
        <v>2883</v>
      </c>
      <c r="AZ150" s="88" t="str">
        <f>HYPERLINK("https://twitter.com/getready")</f>
        <v>https://twitter.com/getready</v>
      </c>
      <c r="BA150" s="81" t="s">
        <v>66</v>
      </c>
      <c r="BB150" s="81" t="str">
        <f>REPLACE(INDEX(GroupVertices[Group],MATCH(Vertices[[#This Row],[Vertex]],GroupVertices[Vertex],0)),1,1,"")</f>
        <v>1</v>
      </c>
      <c r="BC150" s="49"/>
      <c r="BD150" s="49"/>
      <c r="BE150" s="49"/>
      <c r="BF150" s="49"/>
      <c r="BG150" s="49" t="s">
        <v>993</v>
      </c>
      <c r="BH150" s="49" t="s">
        <v>993</v>
      </c>
      <c r="BI150" s="113" t="s">
        <v>3715</v>
      </c>
      <c r="BJ150" s="113" t="s">
        <v>3715</v>
      </c>
      <c r="BK150" s="113" t="s">
        <v>3892</v>
      </c>
      <c r="BL150" s="113" t="s">
        <v>3892</v>
      </c>
      <c r="BM150" s="113">
        <v>0</v>
      </c>
      <c r="BN150" s="116">
        <v>0</v>
      </c>
      <c r="BO150" s="113">
        <v>3</v>
      </c>
      <c r="BP150" s="116">
        <v>9.090909090909092</v>
      </c>
      <c r="BQ150" s="113">
        <v>0</v>
      </c>
      <c r="BR150" s="116">
        <v>0</v>
      </c>
      <c r="BS150" s="113">
        <v>30</v>
      </c>
      <c r="BT150" s="116">
        <v>90.9090909090909</v>
      </c>
      <c r="BU150" s="113">
        <v>33</v>
      </c>
      <c r="BV150" s="2"/>
      <c r="BW150" s="3"/>
      <c r="BX150" s="3"/>
      <c r="BY150" s="3"/>
      <c r="BZ150" s="3"/>
    </row>
    <row r="151" spans="1:78" ht="41.45" customHeight="1">
      <c r="A151" s="66" t="s">
        <v>351</v>
      </c>
      <c r="C151" s="67"/>
      <c r="D151" s="67" t="s">
        <v>64</v>
      </c>
      <c r="E151" s="68">
        <v>162.22111355099761</v>
      </c>
      <c r="F151" s="70">
        <v>99.99952315021683</v>
      </c>
      <c r="G151" s="106" t="str">
        <f>HYPERLINK("https://pbs.twimg.com/profile_images/1295498307670667264/4YUxHj8f_normal.jpg")</f>
        <v>https://pbs.twimg.com/profile_images/1295498307670667264/4YUxHj8f_normal.jpg</v>
      </c>
      <c r="H151" s="67"/>
      <c r="I151" s="71" t="s">
        <v>351</v>
      </c>
      <c r="J151" s="72"/>
      <c r="K151" s="72"/>
      <c r="L151" s="71" t="s">
        <v>3031</v>
      </c>
      <c r="M151" s="75">
        <v>1.1589181377383106</v>
      </c>
      <c r="N151" s="76">
        <v>3482.93359375</v>
      </c>
      <c r="O151" s="76">
        <v>5388.71533203125</v>
      </c>
      <c r="P151" s="77"/>
      <c r="Q151" s="78"/>
      <c r="R151" s="78"/>
      <c r="S151" s="92"/>
      <c r="T151" s="49">
        <v>1</v>
      </c>
      <c r="U151" s="49">
        <v>1</v>
      </c>
      <c r="V151" s="50">
        <v>0</v>
      </c>
      <c r="W151" s="50">
        <v>0</v>
      </c>
      <c r="X151" s="50">
        <v>0</v>
      </c>
      <c r="Y151" s="50">
        <v>0.999998</v>
      </c>
      <c r="Z151" s="50">
        <v>0</v>
      </c>
      <c r="AA151" s="50">
        <v>0</v>
      </c>
      <c r="AB151" s="73">
        <v>151</v>
      </c>
      <c r="AC151" s="73"/>
      <c r="AD151" s="74"/>
      <c r="AE151" s="81" t="s">
        <v>2063</v>
      </c>
      <c r="AF151" s="86" t="s">
        <v>2333</v>
      </c>
      <c r="AG151" s="81">
        <v>470</v>
      </c>
      <c r="AH151" s="81">
        <v>1176</v>
      </c>
      <c r="AI151" s="81">
        <v>261</v>
      </c>
      <c r="AJ151" s="81">
        <v>120</v>
      </c>
      <c r="AK151" s="81"/>
      <c r="AL151" s="81" t="s">
        <v>2598</v>
      </c>
      <c r="AM151" s="81" t="s">
        <v>2816</v>
      </c>
      <c r="AN151" s="88" t="str">
        <f>HYPERLINK("https://t.co/unG6hFa105")</f>
        <v>https://t.co/unG6hFa105</v>
      </c>
      <c r="AO151" s="81"/>
      <c r="AP151" s="83">
        <v>43804.80980324074</v>
      </c>
      <c r="AQ151" s="88" t="str">
        <f>HYPERLINK("https://pbs.twimg.com/profile_banners/1202670477770022912/1575912129")</f>
        <v>https://pbs.twimg.com/profile_banners/1202670477770022912/1575912129</v>
      </c>
      <c r="AR151" s="81" t="b">
        <v>1</v>
      </c>
      <c r="AS151" s="81" t="b">
        <v>0</v>
      </c>
      <c r="AT151" s="81" t="b">
        <v>1</v>
      </c>
      <c r="AU151" s="81"/>
      <c r="AV151" s="81">
        <v>13</v>
      </c>
      <c r="AW151" s="81"/>
      <c r="AX151" s="81" t="b">
        <v>0</v>
      </c>
      <c r="AY151" s="81" t="s">
        <v>2883</v>
      </c>
      <c r="AZ151" s="88" t="str">
        <f>HYPERLINK("https://twitter.com/genmarkdx")</f>
        <v>https://twitter.com/genmarkdx</v>
      </c>
      <c r="BA151" s="81" t="s">
        <v>66</v>
      </c>
      <c r="BB151" s="81" t="str">
        <f>REPLACE(INDEX(GroupVertices[Group],MATCH(Vertices[[#This Row],[Vertex]],GroupVertices[Vertex],0)),1,1,"")</f>
        <v>1</v>
      </c>
      <c r="BC151" s="49" t="s">
        <v>3204</v>
      </c>
      <c r="BD151" s="49" t="s">
        <v>3204</v>
      </c>
      <c r="BE151" s="49" t="s">
        <v>903</v>
      </c>
      <c r="BF151" s="49" t="s">
        <v>903</v>
      </c>
      <c r="BG151" s="49" t="s">
        <v>954</v>
      </c>
      <c r="BH151" s="49" t="s">
        <v>954</v>
      </c>
      <c r="BI151" s="113" t="s">
        <v>3685</v>
      </c>
      <c r="BJ151" s="113" t="s">
        <v>3685</v>
      </c>
      <c r="BK151" s="113" t="s">
        <v>3862</v>
      </c>
      <c r="BL151" s="113" t="s">
        <v>3862</v>
      </c>
      <c r="BM151" s="113">
        <v>0</v>
      </c>
      <c r="BN151" s="116">
        <v>0</v>
      </c>
      <c r="BO151" s="113">
        <v>1</v>
      </c>
      <c r="BP151" s="116">
        <v>3.0303030303030303</v>
      </c>
      <c r="BQ151" s="113">
        <v>0</v>
      </c>
      <c r="BR151" s="116">
        <v>0</v>
      </c>
      <c r="BS151" s="113">
        <v>32</v>
      </c>
      <c r="BT151" s="116">
        <v>96.96969696969697</v>
      </c>
      <c r="BU151" s="113">
        <v>33</v>
      </c>
      <c r="BV151" s="2"/>
      <c r="BW151" s="3"/>
      <c r="BX151" s="3"/>
      <c r="BY151" s="3"/>
      <c r="BZ151" s="3"/>
    </row>
    <row r="152" spans="1:78" ht="41.45" customHeight="1">
      <c r="A152" s="66" t="s">
        <v>352</v>
      </c>
      <c r="C152" s="67"/>
      <c r="D152" s="67" t="s">
        <v>64</v>
      </c>
      <c r="E152" s="68">
        <v>162.20395981430468</v>
      </c>
      <c r="F152" s="70">
        <v>99.99956014367827</v>
      </c>
      <c r="G152" s="106" t="str">
        <f>HYPERLINK("https://pbs.twimg.com/profile_images/1461279923012882432/tjJSxOnO_normal.jpg")</f>
        <v>https://pbs.twimg.com/profile_images/1461279923012882432/tjJSxOnO_normal.jpg</v>
      </c>
      <c r="H152" s="67"/>
      <c r="I152" s="71" t="s">
        <v>352</v>
      </c>
      <c r="J152" s="72"/>
      <c r="K152" s="72"/>
      <c r="L152" s="71" t="s">
        <v>3032</v>
      </c>
      <c r="M152" s="75">
        <v>1.146589450155884</v>
      </c>
      <c r="N152" s="76">
        <v>6176.63623046875</v>
      </c>
      <c r="O152" s="76">
        <v>876.5947265625</v>
      </c>
      <c r="P152" s="77"/>
      <c r="Q152" s="78"/>
      <c r="R152" s="78"/>
      <c r="S152" s="92"/>
      <c r="T152" s="49">
        <v>1</v>
      </c>
      <c r="U152" s="49">
        <v>2</v>
      </c>
      <c r="V152" s="50">
        <v>0</v>
      </c>
      <c r="W152" s="50">
        <v>0.004444</v>
      </c>
      <c r="X152" s="50">
        <v>0.00724</v>
      </c>
      <c r="Y152" s="50">
        <v>0.866607</v>
      </c>
      <c r="Z152" s="50">
        <v>0</v>
      </c>
      <c r="AA152" s="50">
        <v>0</v>
      </c>
      <c r="AB152" s="73">
        <v>152</v>
      </c>
      <c r="AC152" s="73"/>
      <c r="AD152" s="74"/>
      <c r="AE152" s="81" t="s">
        <v>2064</v>
      </c>
      <c r="AF152" s="86" t="s">
        <v>2334</v>
      </c>
      <c r="AG152" s="81">
        <v>1552</v>
      </c>
      <c r="AH152" s="81">
        <v>1085</v>
      </c>
      <c r="AI152" s="81">
        <v>1047</v>
      </c>
      <c r="AJ152" s="81">
        <v>3011</v>
      </c>
      <c r="AK152" s="81"/>
      <c r="AL152" s="81" t="s">
        <v>2599</v>
      </c>
      <c r="AM152" s="81" t="s">
        <v>2817</v>
      </c>
      <c r="AN152" s="81"/>
      <c r="AO152" s="81"/>
      <c r="AP152" s="83">
        <v>43299.76809027778</v>
      </c>
      <c r="AQ152" s="88" t="str">
        <f>HYPERLINK("https://pbs.twimg.com/profile_banners/1019649513647157251/1600968824")</f>
        <v>https://pbs.twimg.com/profile_banners/1019649513647157251/1600968824</v>
      </c>
      <c r="AR152" s="81" t="b">
        <v>1</v>
      </c>
      <c r="AS152" s="81" t="b">
        <v>0</v>
      </c>
      <c r="AT152" s="81" t="b">
        <v>0</v>
      </c>
      <c r="AU152" s="81"/>
      <c r="AV152" s="81">
        <v>3</v>
      </c>
      <c r="AW152" s="81"/>
      <c r="AX152" s="81" t="b">
        <v>0</v>
      </c>
      <c r="AY152" s="81" t="s">
        <v>2883</v>
      </c>
      <c r="AZ152" s="88" t="str">
        <f>HYPERLINK("https://twitter.com/francesgarragh1")</f>
        <v>https://twitter.com/francesgarragh1</v>
      </c>
      <c r="BA152" s="81" t="s">
        <v>66</v>
      </c>
      <c r="BB152" s="81" t="str">
        <f>REPLACE(INDEX(GroupVertices[Group],MATCH(Vertices[[#This Row],[Vertex]],GroupVertices[Vertex],0)),1,1,"")</f>
        <v>6</v>
      </c>
      <c r="BC152" s="49" t="s">
        <v>3272</v>
      </c>
      <c r="BD152" s="49" t="s">
        <v>3272</v>
      </c>
      <c r="BE152" s="49" t="s">
        <v>914</v>
      </c>
      <c r="BF152" s="49" t="s">
        <v>914</v>
      </c>
      <c r="BG152" s="49" t="s">
        <v>1007</v>
      </c>
      <c r="BH152" s="49" t="s">
        <v>1051</v>
      </c>
      <c r="BI152" s="113" t="s">
        <v>3747</v>
      </c>
      <c r="BJ152" s="113" t="s">
        <v>3831</v>
      </c>
      <c r="BK152" s="113" t="s">
        <v>3924</v>
      </c>
      <c r="BL152" s="113" t="s">
        <v>3924</v>
      </c>
      <c r="BM152" s="113">
        <v>2</v>
      </c>
      <c r="BN152" s="116">
        <v>9.090909090909092</v>
      </c>
      <c r="BO152" s="113">
        <v>0</v>
      </c>
      <c r="BP152" s="116">
        <v>0</v>
      </c>
      <c r="BQ152" s="113">
        <v>0</v>
      </c>
      <c r="BR152" s="116">
        <v>0</v>
      </c>
      <c r="BS152" s="113">
        <v>20</v>
      </c>
      <c r="BT152" s="116">
        <v>90.9090909090909</v>
      </c>
      <c r="BU152" s="113">
        <v>22</v>
      </c>
      <c r="BV152" s="2"/>
      <c r="BW152" s="3"/>
      <c r="BX152" s="3"/>
      <c r="BY152" s="3"/>
      <c r="BZ152" s="3"/>
    </row>
    <row r="153" spans="1:78" ht="41.45" customHeight="1">
      <c r="A153" s="66" t="s">
        <v>408</v>
      </c>
      <c r="C153" s="67"/>
      <c r="D153" s="67" t="s">
        <v>64</v>
      </c>
      <c r="E153" s="68">
        <v>162.40414957658896</v>
      </c>
      <c r="F153" s="70">
        <v>99.99912841778762</v>
      </c>
      <c r="G153" s="106" t="str">
        <f>HYPERLINK("https://pbs.twimg.com/profile_images/1465681717088378880/FqK2DOCO_normal.jpg")</f>
        <v>https://pbs.twimg.com/profile_images/1465681717088378880/FqK2DOCO_normal.jpg</v>
      </c>
      <c r="H153" s="67"/>
      <c r="I153" s="71" t="s">
        <v>408</v>
      </c>
      <c r="J153" s="72"/>
      <c r="K153" s="72"/>
      <c r="L153" s="71" t="s">
        <v>3033</v>
      </c>
      <c r="M153" s="75">
        <v>1.2904692986453008</v>
      </c>
      <c r="N153" s="76">
        <v>5828.75146484375</v>
      </c>
      <c r="O153" s="76">
        <v>1693.9176025390625</v>
      </c>
      <c r="P153" s="77"/>
      <c r="Q153" s="78"/>
      <c r="R153" s="78"/>
      <c r="S153" s="92"/>
      <c r="T153" s="49">
        <v>2</v>
      </c>
      <c r="U153" s="49">
        <v>8</v>
      </c>
      <c r="V153" s="50">
        <v>663.666667</v>
      </c>
      <c r="W153" s="50">
        <v>0.005714</v>
      </c>
      <c r="X153" s="50">
        <v>0.029688</v>
      </c>
      <c r="Y153" s="50">
        <v>3.687876</v>
      </c>
      <c r="Z153" s="50">
        <v>0</v>
      </c>
      <c r="AA153" s="50">
        <v>0.1111111111111111</v>
      </c>
      <c r="AB153" s="73">
        <v>153</v>
      </c>
      <c r="AC153" s="73"/>
      <c r="AD153" s="74"/>
      <c r="AE153" s="81" t="s">
        <v>2065</v>
      </c>
      <c r="AF153" s="86" t="s">
        <v>2335</v>
      </c>
      <c r="AG153" s="81">
        <v>2269</v>
      </c>
      <c r="AH153" s="81">
        <v>2147</v>
      </c>
      <c r="AI153" s="81">
        <v>1988</v>
      </c>
      <c r="AJ153" s="81">
        <v>5556</v>
      </c>
      <c r="AK153" s="81"/>
      <c r="AL153" s="81" t="s">
        <v>2600</v>
      </c>
      <c r="AM153" s="81" t="s">
        <v>2817</v>
      </c>
      <c r="AN153" s="81"/>
      <c r="AO153" s="81"/>
      <c r="AP153" s="83">
        <v>43301.412256944444</v>
      </c>
      <c r="AQ153" s="88" t="str">
        <f>HYPERLINK("https://pbs.twimg.com/profile_banners/1020245343160741888/1601882952")</f>
        <v>https://pbs.twimg.com/profile_banners/1020245343160741888/1601882952</v>
      </c>
      <c r="AR153" s="81" t="b">
        <v>0</v>
      </c>
      <c r="AS153" s="81" t="b">
        <v>0</v>
      </c>
      <c r="AT153" s="81" t="b">
        <v>0</v>
      </c>
      <c r="AU153" s="81"/>
      <c r="AV153" s="81">
        <v>4</v>
      </c>
      <c r="AW153" s="88" t="str">
        <f>HYPERLINK("https://abs.twimg.com/images/themes/theme1/bg.png")</f>
        <v>https://abs.twimg.com/images/themes/theme1/bg.png</v>
      </c>
      <c r="AX153" s="81" t="b">
        <v>0</v>
      </c>
      <c r="AY153" s="81" t="s">
        <v>2883</v>
      </c>
      <c r="AZ153" s="88" t="str">
        <f>HYPERLINK("https://twitter.com/antibioticangel")</f>
        <v>https://twitter.com/antibioticangel</v>
      </c>
      <c r="BA153" s="81" t="s">
        <v>66</v>
      </c>
      <c r="BB153" s="81" t="str">
        <f>REPLACE(INDEX(GroupVertices[Group],MATCH(Vertices[[#This Row],[Vertex]],GroupVertices[Vertex],0)),1,1,"")</f>
        <v>6</v>
      </c>
      <c r="BC153" s="49"/>
      <c r="BD153" s="49"/>
      <c r="BE153" s="49"/>
      <c r="BF153" s="49"/>
      <c r="BG153" s="49" t="s">
        <v>3625</v>
      </c>
      <c r="BH153" s="49" t="s">
        <v>3661</v>
      </c>
      <c r="BI153" s="113" t="s">
        <v>3748</v>
      </c>
      <c r="BJ153" s="113" t="s">
        <v>3832</v>
      </c>
      <c r="BK153" s="113" t="s">
        <v>3925</v>
      </c>
      <c r="BL153" s="113" t="s">
        <v>3998</v>
      </c>
      <c r="BM153" s="113">
        <v>5</v>
      </c>
      <c r="BN153" s="116">
        <v>6.756756756756757</v>
      </c>
      <c r="BO153" s="113">
        <v>1</v>
      </c>
      <c r="BP153" s="116">
        <v>1.3513513513513513</v>
      </c>
      <c r="BQ153" s="113">
        <v>0</v>
      </c>
      <c r="BR153" s="116">
        <v>0</v>
      </c>
      <c r="BS153" s="113">
        <v>68</v>
      </c>
      <c r="BT153" s="116">
        <v>91.89189189189189</v>
      </c>
      <c r="BU153" s="113">
        <v>74</v>
      </c>
      <c r="BV153" s="2"/>
      <c r="BW153" s="3"/>
      <c r="BX153" s="3"/>
      <c r="BY153" s="3"/>
      <c r="BZ153" s="3"/>
    </row>
    <row r="154" spans="1:78" ht="41.45" customHeight="1">
      <c r="A154" s="66" t="s">
        <v>353</v>
      </c>
      <c r="C154" s="67"/>
      <c r="D154" s="67" t="s">
        <v>64</v>
      </c>
      <c r="E154" s="68">
        <v>162.17568442415154</v>
      </c>
      <c r="F154" s="70">
        <v>99.9996211219114</v>
      </c>
      <c r="G154" s="106" t="str">
        <f>HYPERLINK("https://pbs.twimg.com/profile_images/1434560354177228802/FhlLJqg4_normal.jpg")</f>
        <v>https://pbs.twimg.com/profile_images/1434560354177228802/FhlLJqg4_normal.jpg</v>
      </c>
      <c r="H154" s="67"/>
      <c r="I154" s="71" t="s">
        <v>353</v>
      </c>
      <c r="J154" s="72"/>
      <c r="K154" s="72"/>
      <c r="L154" s="71" t="s">
        <v>3034</v>
      </c>
      <c r="M154" s="75">
        <v>1.126267437657379</v>
      </c>
      <c r="N154" s="76">
        <v>1528.2574462890625</v>
      </c>
      <c r="O154" s="76">
        <v>5388.71533203125</v>
      </c>
      <c r="P154" s="77"/>
      <c r="Q154" s="78"/>
      <c r="R154" s="78"/>
      <c r="S154" s="92"/>
      <c r="T154" s="49">
        <v>1</v>
      </c>
      <c r="U154" s="49">
        <v>1</v>
      </c>
      <c r="V154" s="50">
        <v>0</v>
      </c>
      <c r="W154" s="50">
        <v>0</v>
      </c>
      <c r="X154" s="50">
        <v>0</v>
      </c>
      <c r="Y154" s="50">
        <v>0.999998</v>
      </c>
      <c r="Z154" s="50">
        <v>0</v>
      </c>
      <c r="AA154" s="50">
        <v>0</v>
      </c>
      <c r="AB154" s="73">
        <v>154</v>
      </c>
      <c r="AC154" s="73"/>
      <c r="AD154" s="74"/>
      <c r="AE154" s="81" t="s">
        <v>2066</v>
      </c>
      <c r="AF154" s="86" t="s">
        <v>2336</v>
      </c>
      <c r="AG154" s="81">
        <v>784</v>
      </c>
      <c r="AH154" s="81">
        <v>935</v>
      </c>
      <c r="AI154" s="81">
        <v>29630</v>
      </c>
      <c r="AJ154" s="81">
        <v>12165</v>
      </c>
      <c r="AK154" s="81"/>
      <c r="AL154" s="81" t="s">
        <v>2601</v>
      </c>
      <c r="AM154" s="81" t="s">
        <v>2724</v>
      </c>
      <c r="AN154" s="81"/>
      <c r="AO154" s="81"/>
      <c r="AP154" s="83">
        <v>42749.79790509259</v>
      </c>
      <c r="AQ154" s="88" t="str">
        <f>HYPERLINK("https://pbs.twimg.com/profile_banners/820346994342449154/1609429499")</f>
        <v>https://pbs.twimg.com/profile_banners/820346994342449154/1609429499</v>
      </c>
      <c r="AR154" s="81" t="b">
        <v>1</v>
      </c>
      <c r="AS154" s="81" t="b">
        <v>0</v>
      </c>
      <c r="AT154" s="81" t="b">
        <v>1</v>
      </c>
      <c r="AU154" s="81"/>
      <c r="AV154" s="81">
        <v>1</v>
      </c>
      <c r="AW154" s="81"/>
      <c r="AX154" s="81" t="b">
        <v>0</v>
      </c>
      <c r="AY154" s="81" t="s">
        <v>2883</v>
      </c>
      <c r="AZ154" s="88" t="str">
        <f>HYPERLINK("https://twitter.com/hemofelo")</f>
        <v>https://twitter.com/hemofelo</v>
      </c>
      <c r="BA154" s="81" t="s">
        <v>66</v>
      </c>
      <c r="BB154" s="81" t="str">
        <f>REPLACE(INDEX(GroupVertices[Group],MATCH(Vertices[[#This Row],[Vertex]],GroupVertices[Vertex],0)),1,1,"")</f>
        <v>1</v>
      </c>
      <c r="BC154" s="49"/>
      <c r="BD154" s="49"/>
      <c r="BE154" s="49"/>
      <c r="BF154" s="49"/>
      <c r="BG154" s="49" t="s">
        <v>957</v>
      </c>
      <c r="BH154" s="49" t="s">
        <v>957</v>
      </c>
      <c r="BI154" s="113" t="s">
        <v>3749</v>
      </c>
      <c r="BJ154" s="113" t="s">
        <v>3749</v>
      </c>
      <c r="BK154" s="113" t="s">
        <v>3926</v>
      </c>
      <c r="BL154" s="113" t="s">
        <v>3926</v>
      </c>
      <c r="BM154" s="113">
        <v>0</v>
      </c>
      <c r="BN154" s="116">
        <v>0</v>
      </c>
      <c r="BO154" s="113">
        <v>1</v>
      </c>
      <c r="BP154" s="116">
        <v>9.090909090909092</v>
      </c>
      <c r="BQ154" s="113">
        <v>0</v>
      </c>
      <c r="BR154" s="116">
        <v>0</v>
      </c>
      <c r="BS154" s="113">
        <v>10</v>
      </c>
      <c r="BT154" s="116">
        <v>90.9090909090909</v>
      </c>
      <c r="BU154" s="113">
        <v>11</v>
      </c>
      <c r="BV154" s="2"/>
      <c r="BW154" s="3"/>
      <c r="BX154" s="3"/>
      <c r="BY154" s="3"/>
      <c r="BZ154" s="3"/>
    </row>
    <row r="155" spans="1:78" ht="41.45" customHeight="1">
      <c r="A155" s="66" t="s">
        <v>354</v>
      </c>
      <c r="C155" s="67"/>
      <c r="D155" s="67" t="s">
        <v>64</v>
      </c>
      <c r="E155" s="68">
        <v>163.25410780459254</v>
      </c>
      <c r="F155" s="70">
        <v>99.99729541209936</v>
      </c>
      <c r="G155" s="106" t="str">
        <f>HYPERLINK("https://pbs.twimg.com/profile_images/987260359642877952/pqF5Mca7_normal.jpg")</f>
        <v>https://pbs.twimg.com/profile_images/987260359642877952/pqF5Mca7_normal.jpg</v>
      </c>
      <c r="H155" s="67"/>
      <c r="I155" s="71" t="s">
        <v>354</v>
      </c>
      <c r="J155" s="72"/>
      <c r="K155" s="72"/>
      <c r="L155" s="71" t="s">
        <v>3035</v>
      </c>
      <c r="M155" s="75">
        <v>1.9013489943503668</v>
      </c>
      <c r="N155" s="76">
        <v>2701.063232421875</v>
      </c>
      <c r="O155" s="76">
        <v>3053.422607421875</v>
      </c>
      <c r="P155" s="77"/>
      <c r="Q155" s="78"/>
      <c r="R155" s="78"/>
      <c r="S155" s="92"/>
      <c r="T155" s="49">
        <v>1</v>
      </c>
      <c r="U155" s="49">
        <v>1</v>
      </c>
      <c r="V155" s="50">
        <v>0</v>
      </c>
      <c r="W155" s="50">
        <v>0</v>
      </c>
      <c r="X155" s="50">
        <v>0</v>
      </c>
      <c r="Y155" s="50">
        <v>0.999998</v>
      </c>
      <c r="Z155" s="50">
        <v>0</v>
      </c>
      <c r="AA155" s="50">
        <v>0</v>
      </c>
      <c r="AB155" s="73">
        <v>155</v>
      </c>
      <c r="AC155" s="73"/>
      <c r="AD155" s="74"/>
      <c r="AE155" s="81" t="s">
        <v>2067</v>
      </c>
      <c r="AF155" s="86" t="s">
        <v>2337</v>
      </c>
      <c r="AG155" s="81">
        <v>434</v>
      </c>
      <c r="AH155" s="81">
        <v>6656</v>
      </c>
      <c r="AI155" s="81">
        <v>3119</v>
      </c>
      <c r="AJ155" s="81">
        <v>3391</v>
      </c>
      <c r="AK155" s="81"/>
      <c r="AL155" s="81" t="s">
        <v>2602</v>
      </c>
      <c r="AM155" s="81" t="s">
        <v>2736</v>
      </c>
      <c r="AN155" s="88" t="str">
        <f>HYPERLINK("http://t.co/gVveRrhva7")</f>
        <v>http://t.co/gVveRrhva7</v>
      </c>
      <c r="AO155" s="81"/>
      <c r="AP155" s="83">
        <v>41475.752488425926</v>
      </c>
      <c r="AQ155" s="88" t="str">
        <f>HYPERLINK("https://pbs.twimg.com/profile_banners/1608750632/1524216690")</f>
        <v>https://pbs.twimg.com/profile_banners/1608750632/1524216690</v>
      </c>
      <c r="AR155" s="81" t="b">
        <v>0</v>
      </c>
      <c r="AS155" s="81" t="b">
        <v>0</v>
      </c>
      <c r="AT155" s="81" t="b">
        <v>1</v>
      </c>
      <c r="AU155" s="81"/>
      <c r="AV155" s="81">
        <v>59</v>
      </c>
      <c r="AW155" s="88" t="str">
        <f>HYPERLINK("https://abs.twimg.com/images/themes/theme1/bg.png")</f>
        <v>https://abs.twimg.com/images/themes/theme1/bg.png</v>
      </c>
      <c r="AX155" s="81" t="b">
        <v>0</v>
      </c>
      <c r="AY155" s="81" t="s">
        <v>2883</v>
      </c>
      <c r="AZ155" s="88" t="str">
        <f>HYPERLINK("https://twitter.com/his_infection")</f>
        <v>https://twitter.com/his_infection</v>
      </c>
      <c r="BA155" s="81" t="s">
        <v>66</v>
      </c>
      <c r="BB155" s="81" t="str">
        <f>REPLACE(INDEX(GroupVertices[Group],MATCH(Vertices[[#This Row],[Vertex]],GroupVertices[Vertex],0)),1,1,"")</f>
        <v>1</v>
      </c>
      <c r="BC155" s="49"/>
      <c r="BD155" s="49"/>
      <c r="BE155" s="49"/>
      <c r="BF155" s="49"/>
      <c r="BG155" s="49" t="s">
        <v>1029</v>
      </c>
      <c r="BH155" s="49" t="s">
        <v>1029</v>
      </c>
      <c r="BI155" s="113" t="s">
        <v>3750</v>
      </c>
      <c r="BJ155" s="113" t="s">
        <v>3750</v>
      </c>
      <c r="BK155" s="113" t="s">
        <v>3927</v>
      </c>
      <c r="BL155" s="113" t="s">
        <v>3927</v>
      </c>
      <c r="BM155" s="113">
        <v>0</v>
      </c>
      <c r="BN155" s="116">
        <v>0</v>
      </c>
      <c r="BO155" s="113">
        <v>2</v>
      </c>
      <c r="BP155" s="116">
        <v>5.2631578947368425</v>
      </c>
      <c r="BQ155" s="113">
        <v>0</v>
      </c>
      <c r="BR155" s="116">
        <v>0</v>
      </c>
      <c r="BS155" s="113">
        <v>36</v>
      </c>
      <c r="BT155" s="116">
        <v>94.73684210526316</v>
      </c>
      <c r="BU155" s="113">
        <v>38</v>
      </c>
      <c r="BV155" s="2"/>
      <c r="BW155" s="3"/>
      <c r="BX155" s="3"/>
      <c r="BY155" s="3"/>
      <c r="BZ155" s="3"/>
    </row>
    <row r="156" spans="1:78" ht="41.45" customHeight="1">
      <c r="A156" s="66" t="s">
        <v>355</v>
      </c>
      <c r="C156" s="67"/>
      <c r="D156" s="67" t="s">
        <v>64</v>
      </c>
      <c r="E156" s="68">
        <v>162.11932214644628</v>
      </c>
      <c r="F156" s="70">
        <v>99.99974267185614</v>
      </c>
      <c r="G156" s="106" t="str">
        <f>HYPERLINK("https://pbs.twimg.com/profile_images/1196380049148194816/vy5OX85Q_normal.jpg")</f>
        <v>https://pbs.twimg.com/profile_images/1196380049148194816/vy5OX85Q_normal.jpg</v>
      </c>
      <c r="H156" s="67"/>
      <c r="I156" s="71" t="s">
        <v>355</v>
      </c>
      <c r="J156" s="72"/>
      <c r="K156" s="72"/>
      <c r="L156" s="71" t="s">
        <v>3036</v>
      </c>
      <c r="M156" s="75">
        <v>1.0857588927436919</v>
      </c>
      <c r="N156" s="76">
        <v>2310.1279296875</v>
      </c>
      <c r="O156" s="76">
        <v>6167.146484375</v>
      </c>
      <c r="P156" s="77"/>
      <c r="Q156" s="78"/>
      <c r="R156" s="78"/>
      <c r="S156" s="92"/>
      <c r="T156" s="49">
        <v>1</v>
      </c>
      <c r="U156" s="49">
        <v>1</v>
      </c>
      <c r="V156" s="50">
        <v>0</v>
      </c>
      <c r="W156" s="50">
        <v>0</v>
      </c>
      <c r="X156" s="50">
        <v>0</v>
      </c>
      <c r="Y156" s="50">
        <v>0.999998</v>
      </c>
      <c r="Z156" s="50">
        <v>0</v>
      </c>
      <c r="AA156" s="50">
        <v>0</v>
      </c>
      <c r="AB156" s="73">
        <v>156</v>
      </c>
      <c r="AC156" s="73"/>
      <c r="AD156" s="74"/>
      <c r="AE156" s="81" t="s">
        <v>2068</v>
      </c>
      <c r="AF156" s="86" t="s">
        <v>2338</v>
      </c>
      <c r="AG156" s="81">
        <v>180</v>
      </c>
      <c r="AH156" s="81">
        <v>636</v>
      </c>
      <c r="AI156" s="81">
        <v>1778</v>
      </c>
      <c r="AJ156" s="81">
        <v>717</v>
      </c>
      <c r="AK156" s="81"/>
      <c r="AL156" s="81" t="s">
        <v>2603</v>
      </c>
      <c r="AM156" s="81"/>
      <c r="AN156" s="88" t="str">
        <f>HYPERLINK("https://t.co/GuvReDIQjE")</f>
        <v>https://t.co/GuvReDIQjE</v>
      </c>
      <c r="AO156" s="81"/>
      <c r="AP156" s="83">
        <v>43713.49291666667</v>
      </c>
      <c r="AQ156" s="88" t="str">
        <f>HYPERLINK("https://pbs.twimg.com/profile_banners/1169578169646686208/1573549003")</f>
        <v>https://pbs.twimg.com/profile_banners/1169578169646686208/1573549003</v>
      </c>
      <c r="AR156" s="81" t="b">
        <v>1</v>
      </c>
      <c r="AS156" s="81" t="b">
        <v>0</v>
      </c>
      <c r="AT156" s="81" t="b">
        <v>0</v>
      </c>
      <c r="AU156" s="81"/>
      <c r="AV156" s="81">
        <v>2</v>
      </c>
      <c r="AW156" s="81"/>
      <c r="AX156" s="81" t="b">
        <v>0</v>
      </c>
      <c r="AY156" s="81" t="s">
        <v>2883</v>
      </c>
      <c r="AZ156" s="88" t="str">
        <f>HYPERLINK("https://twitter.com/healthierbcwb")</f>
        <v>https://twitter.com/healthierbcwb</v>
      </c>
      <c r="BA156" s="81" t="s">
        <v>66</v>
      </c>
      <c r="BB156" s="81" t="str">
        <f>REPLACE(INDEX(GroupVertices[Group],MATCH(Vertices[[#This Row],[Vertex]],GroupVertices[Vertex],0)),1,1,"")</f>
        <v>1</v>
      </c>
      <c r="BC156" s="49"/>
      <c r="BD156" s="49"/>
      <c r="BE156" s="49"/>
      <c r="BF156" s="49"/>
      <c r="BG156" s="49" t="s">
        <v>955</v>
      </c>
      <c r="BH156" s="49" t="s">
        <v>955</v>
      </c>
      <c r="BI156" s="113" t="s">
        <v>3683</v>
      </c>
      <c r="BJ156" s="113" t="s">
        <v>3683</v>
      </c>
      <c r="BK156" s="113" t="s">
        <v>3860</v>
      </c>
      <c r="BL156" s="113" t="s">
        <v>3860</v>
      </c>
      <c r="BM156" s="113">
        <v>0</v>
      </c>
      <c r="BN156" s="116">
        <v>0</v>
      </c>
      <c r="BO156" s="113">
        <v>2</v>
      </c>
      <c r="BP156" s="116">
        <v>6.0606060606060606</v>
      </c>
      <c r="BQ156" s="113">
        <v>0</v>
      </c>
      <c r="BR156" s="116">
        <v>0</v>
      </c>
      <c r="BS156" s="113">
        <v>31</v>
      </c>
      <c r="BT156" s="116">
        <v>93.93939393939394</v>
      </c>
      <c r="BU156" s="113">
        <v>33</v>
      </c>
      <c r="BV156" s="2"/>
      <c r="BW156" s="3"/>
      <c r="BX156" s="3"/>
      <c r="BY156" s="3"/>
      <c r="BZ156" s="3"/>
    </row>
    <row r="157" spans="1:78" ht="41.45" customHeight="1">
      <c r="A157" s="66" t="s">
        <v>356</v>
      </c>
      <c r="C157" s="67"/>
      <c r="D157" s="67" t="s">
        <v>64</v>
      </c>
      <c r="E157" s="68">
        <v>162.03920854101236</v>
      </c>
      <c r="F157" s="70">
        <v>99.99991544351671</v>
      </c>
      <c r="G157" s="106" t="str">
        <f>HYPERLINK("https://pbs.twimg.com/profile_images/1117200670795472896/syHo--rJ_normal.jpg")</f>
        <v>https://pbs.twimg.com/profile_images/1117200670795472896/syHo--rJ_normal.jpg</v>
      </c>
      <c r="H157" s="67"/>
      <c r="I157" s="71" t="s">
        <v>356</v>
      </c>
      <c r="J157" s="72"/>
      <c r="K157" s="72"/>
      <c r="L157" s="71" t="s">
        <v>3037</v>
      </c>
      <c r="M157" s="75">
        <v>1.0281798573312606</v>
      </c>
      <c r="N157" s="76">
        <v>4655.7392578125</v>
      </c>
      <c r="O157" s="76">
        <v>7724.00830078125</v>
      </c>
      <c r="P157" s="77"/>
      <c r="Q157" s="78"/>
      <c r="R157" s="78"/>
      <c r="S157" s="92"/>
      <c r="T157" s="49">
        <v>1</v>
      </c>
      <c r="U157" s="49">
        <v>1</v>
      </c>
      <c r="V157" s="50">
        <v>0</v>
      </c>
      <c r="W157" s="50">
        <v>0</v>
      </c>
      <c r="X157" s="50">
        <v>0</v>
      </c>
      <c r="Y157" s="50">
        <v>0.999998</v>
      </c>
      <c r="Z157" s="50">
        <v>0</v>
      </c>
      <c r="AA157" s="50">
        <v>0</v>
      </c>
      <c r="AB157" s="73">
        <v>157</v>
      </c>
      <c r="AC157" s="73"/>
      <c r="AD157" s="74"/>
      <c r="AE157" s="81" t="s">
        <v>2069</v>
      </c>
      <c r="AF157" s="86" t="s">
        <v>2339</v>
      </c>
      <c r="AG157" s="81">
        <v>138</v>
      </c>
      <c r="AH157" s="81">
        <v>211</v>
      </c>
      <c r="AI157" s="81">
        <v>549</v>
      </c>
      <c r="AJ157" s="81">
        <v>2654</v>
      </c>
      <c r="AK157" s="81"/>
      <c r="AL157" s="81" t="s">
        <v>2604</v>
      </c>
      <c r="AM157" s="81" t="s">
        <v>2817</v>
      </c>
      <c r="AN157" s="81"/>
      <c r="AO157" s="81"/>
      <c r="AP157" s="83">
        <v>43568.95259259259</v>
      </c>
      <c r="AQ157" s="88" t="str">
        <f>HYPERLINK("https://pbs.twimg.com/profile_banners/1117198713775099907/1615504567")</f>
        <v>https://pbs.twimg.com/profile_banners/1117198713775099907/1615504567</v>
      </c>
      <c r="AR157" s="81" t="b">
        <v>1</v>
      </c>
      <c r="AS157" s="81" t="b">
        <v>0</v>
      </c>
      <c r="AT157" s="81" t="b">
        <v>0</v>
      </c>
      <c r="AU157" s="81"/>
      <c r="AV157" s="81">
        <v>0</v>
      </c>
      <c r="AW157" s="81"/>
      <c r="AX157" s="81" t="b">
        <v>0</v>
      </c>
      <c r="AY157" s="81" t="s">
        <v>2883</v>
      </c>
      <c r="AZ157" s="88" t="str">
        <f>HYPERLINK("https://twitter.com/jayp9298")</f>
        <v>https://twitter.com/jayp9298</v>
      </c>
      <c r="BA157" s="81" t="s">
        <v>66</v>
      </c>
      <c r="BB157" s="81" t="str">
        <f>REPLACE(INDEX(GroupVertices[Group],MATCH(Vertices[[#This Row],[Vertex]],GroupVertices[Vertex],0)),1,1,"")</f>
        <v>1</v>
      </c>
      <c r="BC157" s="49"/>
      <c r="BD157" s="49"/>
      <c r="BE157" s="49"/>
      <c r="BF157" s="49"/>
      <c r="BG157" s="49" t="s">
        <v>1030</v>
      </c>
      <c r="BH157" s="49" t="s">
        <v>1030</v>
      </c>
      <c r="BI157" s="113" t="s">
        <v>3751</v>
      </c>
      <c r="BJ157" s="113" t="s">
        <v>3751</v>
      </c>
      <c r="BK157" s="113" t="s">
        <v>3928</v>
      </c>
      <c r="BL157" s="113" t="s">
        <v>3928</v>
      </c>
      <c r="BM157" s="113">
        <v>0</v>
      </c>
      <c r="BN157" s="116">
        <v>0</v>
      </c>
      <c r="BO157" s="113">
        <v>0</v>
      </c>
      <c r="BP157" s="116">
        <v>0</v>
      </c>
      <c r="BQ157" s="113">
        <v>0</v>
      </c>
      <c r="BR157" s="116">
        <v>0</v>
      </c>
      <c r="BS157" s="113">
        <v>3</v>
      </c>
      <c r="BT157" s="116">
        <v>100</v>
      </c>
      <c r="BU157" s="113">
        <v>3</v>
      </c>
      <c r="BV157" s="2"/>
      <c r="BW157" s="3"/>
      <c r="BX157" s="3"/>
      <c r="BY157" s="3"/>
      <c r="BZ157" s="3"/>
    </row>
    <row r="158" spans="1:78" ht="41.45" customHeight="1">
      <c r="A158" s="66" t="s">
        <v>357</v>
      </c>
      <c r="C158" s="67"/>
      <c r="D158" s="67" t="s">
        <v>64</v>
      </c>
      <c r="E158" s="68">
        <v>177.57106885473647</v>
      </c>
      <c r="F158" s="70">
        <v>99.96641969353017</v>
      </c>
      <c r="G158" s="106" t="str">
        <f>HYPERLINK("https://pbs.twimg.com/profile_images/456335723646312448/nAE3Cwfy_normal.jpeg")</f>
        <v>https://pbs.twimg.com/profile_images/456335723646312448/nAE3Cwfy_normal.jpeg</v>
      </c>
      <c r="H158" s="67"/>
      <c r="I158" s="71" t="s">
        <v>357</v>
      </c>
      <c r="J158" s="72"/>
      <c r="K158" s="72"/>
      <c r="L158" s="71" t="s">
        <v>3038</v>
      </c>
      <c r="M158" s="75">
        <v>12.191196802843482</v>
      </c>
      <c r="N158" s="76">
        <v>1137.3221435546875</v>
      </c>
      <c r="O158" s="76">
        <v>718.1299438476562</v>
      </c>
      <c r="P158" s="77"/>
      <c r="Q158" s="78"/>
      <c r="R158" s="78"/>
      <c r="S158" s="92"/>
      <c r="T158" s="49">
        <v>1</v>
      </c>
      <c r="U158" s="49">
        <v>1</v>
      </c>
      <c r="V158" s="50">
        <v>0</v>
      </c>
      <c r="W158" s="50">
        <v>0</v>
      </c>
      <c r="X158" s="50">
        <v>0</v>
      </c>
      <c r="Y158" s="50">
        <v>0.999998</v>
      </c>
      <c r="Z158" s="50">
        <v>0</v>
      </c>
      <c r="AA158" s="50">
        <v>0</v>
      </c>
      <c r="AB158" s="73">
        <v>158</v>
      </c>
      <c r="AC158" s="73"/>
      <c r="AD158" s="74"/>
      <c r="AE158" s="81" t="s">
        <v>2070</v>
      </c>
      <c r="AF158" s="86" t="s">
        <v>2340</v>
      </c>
      <c r="AG158" s="81">
        <v>279</v>
      </c>
      <c r="AH158" s="81">
        <v>82607</v>
      </c>
      <c r="AI158" s="81">
        <v>2477</v>
      </c>
      <c r="AJ158" s="81">
        <v>212</v>
      </c>
      <c r="AK158" s="81"/>
      <c r="AL158" s="81" t="s">
        <v>2605</v>
      </c>
      <c r="AM158" s="81" t="s">
        <v>2818</v>
      </c>
      <c r="AN158" s="88" t="str">
        <f>HYPERLINK("https://t.co/2DqP3scBoo")</f>
        <v>https://t.co/2DqP3scBoo</v>
      </c>
      <c r="AO158" s="81"/>
      <c r="AP158" s="83">
        <v>41745.313310185185</v>
      </c>
      <c r="AQ158" s="88" t="str">
        <f>HYPERLINK("https://pbs.twimg.com/profile_banners/2446734732/1605016040")</f>
        <v>https://pbs.twimg.com/profile_banners/2446734732/1605016040</v>
      </c>
      <c r="AR158" s="81" t="b">
        <v>1</v>
      </c>
      <c r="AS158" s="81" t="b">
        <v>0</v>
      </c>
      <c r="AT158" s="81" t="b">
        <v>0</v>
      </c>
      <c r="AU158" s="81"/>
      <c r="AV158" s="81">
        <v>507</v>
      </c>
      <c r="AW158" s="88" t="str">
        <f>HYPERLINK("https://abs.twimg.com/images/themes/theme1/bg.png")</f>
        <v>https://abs.twimg.com/images/themes/theme1/bg.png</v>
      </c>
      <c r="AX158" s="81" t="b">
        <v>1</v>
      </c>
      <c r="AY158" s="81" t="s">
        <v>2883</v>
      </c>
      <c r="AZ158" s="88" t="str">
        <f>HYPERLINK("https://twitter.com/istsupsan")</f>
        <v>https://twitter.com/istsupsan</v>
      </c>
      <c r="BA158" s="81" t="s">
        <v>66</v>
      </c>
      <c r="BB158" s="81" t="str">
        <f>REPLACE(INDEX(GroupVertices[Group],MATCH(Vertices[[#This Row],[Vertex]],GroupVertices[Vertex],0)),1,1,"")</f>
        <v>1</v>
      </c>
      <c r="BC158" s="49" t="s">
        <v>3571</v>
      </c>
      <c r="BD158" s="49" t="s">
        <v>3571</v>
      </c>
      <c r="BE158" s="49" t="s">
        <v>926</v>
      </c>
      <c r="BF158" s="49" t="s">
        <v>926</v>
      </c>
      <c r="BG158" s="49" t="s">
        <v>1031</v>
      </c>
      <c r="BH158" s="49" t="s">
        <v>1031</v>
      </c>
      <c r="BI158" s="113" t="s">
        <v>3752</v>
      </c>
      <c r="BJ158" s="113" t="s">
        <v>3752</v>
      </c>
      <c r="BK158" s="113" t="s">
        <v>3929</v>
      </c>
      <c r="BL158" s="113" t="s">
        <v>3929</v>
      </c>
      <c r="BM158" s="113">
        <v>2</v>
      </c>
      <c r="BN158" s="116">
        <v>5.882352941176471</v>
      </c>
      <c r="BO158" s="113">
        <v>0</v>
      </c>
      <c r="BP158" s="116">
        <v>0</v>
      </c>
      <c r="BQ158" s="113">
        <v>0</v>
      </c>
      <c r="BR158" s="116">
        <v>0</v>
      </c>
      <c r="BS158" s="113">
        <v>32</v>
      </c>
      <c r="BT158" s="116">
        <v>94.11764705882354</v>
      </c>
      <c r="BU158" s="113">
        <v>34</v>
      </c>
      <c r="BV158" s="2"/>
      <c r="BW158" s="3"/>
      <c r="BX158" s="3"/>
      <c r="BY158" s="3"/>
      <c r="BZ158" s="3"/>
    </row>
    <row r="159" spans="1:78" ht="41.45" customHeight="1">
      <c r="A159" s="66" t="s">
        <v>358</v>
      </c>
      <c r="C159" s="67"/>
      <c r="D159" s="67" t="s">
        <v>64</v>
      </c>
      <c r="E159" s="68">
        <v>162.25127396716096</v>
      </c>
      <c r="F159" s="70">
        <v>99.99945810676815</v>
      </c>
      <c r="G159" s="106" t="str">
        <f>HYPERLINK("https://pbs.twimg.com/profile_images/1199301844197138442/P-3Q7aJt_normal.jpg")</f>
        <v>https://pbs.twimg.com/profile_images/1199301844197138442/P-3Q7aJt_normal.jpg</v>
      </c>
      <c r="H159" s="67"/>
      <c r="I159" s="71" t="s">
        <v>358</v>
      </c>
      <c r="J159" s="72"/>
      <c r="K159" s="72"/>
      <c r="L159" s="71" t="s">
        <v>3039</v>
      </c>
      <c r="M159" s="75">
        <v>1.1805949510700495</v>
      </c>
      <c r="N159" s="76">
        <v>355.4516296386719</v>
      </c>
      <c r="O159" s="76">
        <v>4610.28466796875</v>
      </c>
      <c r="P159" s="77"/>
      <c r="Q159" s="78"/>
      <c r="R159" s="78"/>
      <c r="S159" s="92"/>
      <c r="T159" s="49">
        <v>1</v>
      </c>
      <c r="U159" s="49">
        <v>1</v>
      </c>
      <c r="V159" s="50">
        <v>0</v>
      </c>
      <c r="W159" s="50">
        <v>0</v>
      </c>
      <c r="X159" s="50">
        <v>0</v>
      </c>
      <c r="Y159" s="50">
        <v>0.999998</v>
      </c>
      <c r="Z159" s="50">
        <v>0</v>
      </c>
      <c r="AA159" s="50">
        <v>0</v>
      </c>
      <c r="AB159" s="73">
        <v>159</v>
      </c>
      <c r="AC159" s="73"/>
      <c r="AD159" s="74"/>
      <c r="AE159" s="81" t="s">
        <v>2071</v>
      </c>
      <c r="AF159" s="86" t="s">
        <v>2341</v>
      </c>
      <c r="AG159" s="81">
        <v>290</v>
      </c>
      <c r="AH159" s="81">
        <v>1336</v>
      </c>
      <c r="AI159" s="81">
        <v>1049</v>
      </c>
      <c r="AJ159" s="81">
        <v>1508</v>
      </c>
      <c r="AK159" s="81"/>
      <c r="AL159" s="81" t="s">
        <v>2606</v>
      </c>
      <c r="AM159" s="81" t="s">
        <v>2819</v>
      </c>
      <c r="AN159" s="88" t="str">
        <f>HYPERLINK("https://t.co/IUP6P8OuEA")</f>
        <v>https://t.co/IUP6P8OuEA</v>
      </c>
      <c r="AO159" s="81"/>
      <c r="AP159" s="83">
        <v>43784.60333333333</v>
      </c>
      <c r="AQ159" s="88" t="str">
        <f>HYPERLINK("https://pbs.twimg.com/profile_banners/1195347808271908864/1601368467")</f>
        <v>https://pbs.twimg.com/profile_banners/1195347808271908864/1601368467</v>
      </c>
      <c r="AR159" s="81" t="b">
        <v>1</v>
      </c>
      <c r="AS159" s="81" t="b">
        <v>0</v>
      </c>
      <c r="AT159" s="81" t="b">
        <v>0</v>
      </c>
      <c r="AU159" s="81"/>
      <c r="AV159" s="81">
        <v>3</v>
      </c>
      <c r="AW159" s="81"/>
      <c r="AX159" s="81" t="b">
        <v>0</v>
      </c>
      <c r="AY159" s="81" t="s">
        <v>2883</v>
      </c>
      <c r="AZ159" s="88" t="str">
        <f>HYPERLINK("https://twitter.com/hsecho7")</f>
        <v>https://twitter.com/hsecho7</v>
      </c>
      <c r="BA159" s="81" t="s">
        <v>66</v>
      </c>
      <c r="BB159" s="81" t="str">
        <f>REPLACE(INDEX(GroupVertices[Group],MATCH(Vertices[[#This Row],[Vertex]],GroupVertices[Vertex],0)),1,1,"")</f>
        <v>1</v>
      </c>
      <c r="BC159" s="49" t="s">
        <v>3572</v>
      </c>
      <c r="BD159" s="49" t="s">
        <v>3572</v>
      </c>
      <c r="BE159" s="49" t="s">
        <v>912</v>
      </c>
      <c r="BF159" s="49" t="s">
        <v>912</v>
      </c>
      <c r="BG159" s="49" t="s">
        <v>1005</v>
      </c>
      <c r="BH159" s="49" t="s">
        <v>1005</v>
      </c>
      <c r="BI159" s="113" t="s">
        <v>3753</v>
      </c>
      <c r="BJ159" s="113" t="s">
        <v>3753</v>
      </c>
      <c r="BK159" s="113" t="s">
        <v>3930</v>
      </c>
      <c r="BL159" s="113" t="s">
        <v>3930</v>
      </c>
      <c r="BM159" s="113">
        <v>1</v>
      </c>
      <c r="BN159" s="116">
        <v>3.225806451612903</v>
      </c>
      <c r="BO159" s="113">
        <v>0</v>
      </c>
      <c r="BP159" s="116">
        <v>0</v>
      </c>
      <c r="BQ159" s="113">
        <v>0</v>
      </c>
      <c r="BR159" s="116">
        <v>0</v>
      </c>
      <c r="BS159" s="113">
        <v>30</v>
      </c>
      <c r="BT159" s="116">
        <v>96.7741935483871</v>
      </c>
      <c r="BU159" s="113">
        <v>31</v>
      </c>
      <c r="BV159" s="2"/>
      <c r="BW159" s="3"/>
      <c r="BX159" s="3"/>
      <c r="BY159" s="3"/>
      <c r="BZ159" s="3"/>
    </row>
    <row r="160" spans="1:78" ht="41.45" customHeight="1">
      <c r="A160" s="66" t="s">
        <v>359</v>
      </c>
      <c r="C160" s="67"/>
      <c r="D160" s="67" t="s">
        <v>64</v>
      </c>
      <c r="E160" s="68">
        <v>162.19849323887507</v>
      </c>
      <c r="F160" s="70">
        <v>99.99957193280335</v>
      </c>
      <c r="G160" s="106" t="str">
        <f>HYPERLINK("https://pbs.twimg.com/profile_images/894974555529158656/NuMviUgh_normal.jpg")</f>
        <v>https://pbs.twimg.com/profile_images/894974555529158656/NuMviUgh_normal.jpg</v>
      </c>
      <c r="H160" s="67"/>
      <c r="I160" s="71" t="s">
        <v>359</v>
      </c>
      <c r="J160" s="72"/>
      <c r="K160" s="72"/>
      <c r="L160" s="71" t="s">
        <v>3040</v>
      </c>
      <c r="M160" s="75">
        <v>1.1426605277395063</v>
      </c>
      <c r="N160" s="76">
        <v>3091.998291015625</v>
      </c>
      <c r="O160" s="76">
        <v>5388.71533203125</v>
      </c>
      <c r="P160" s="77"/>
      <c r="Q160" s="78"/>
      <c r="R160" s="78"/>
      <c r="S160" s="92"/>
      <c r="T160" s="49">
        <v>1</v>
      </c>
      <c r="U160" s="49">
        <v>1</v>
      </c>
      <c r="V160" s="50">
        <v>0</v>
      </c>
      <c r="W160" s="50">
        <v>0</v>
      </c>
      <c r="X160" s="50">
        <v>0</v>
      </c>
      <c r="Y160" s="50">
        <v>0.999998</v>
      </c>
      <c r="Z160" s="50">
        <v>0</v>
      </c>
      <c r="AA160" s="50">
        <v>0</v>
      </c>
      <c r="AB160" s="73">
        <v>160</v>
      </c>
      <c r="AC160" s="73"/>
      <c r="AD160" s="74"/>
      <c r="AE160" s="81" t="s">
        <v>2072</v>
      </c>
      <c r="AF160" s="86" t="s">
        <v>2342</v>
      </c>
      <c r="AG160" s="81">
        <v>97</v>
      </c>
      <c r="AH160" s="81">
        <v>1056</v>
      </c>
      <c r="AI160" s="81">
        <v>654</v>
      </c>
      <c r="AJ160" s="81">
        <v>637</v>
      </c>
      <c r="AK160" s="81"/>
      <c r="AL160" s="81" t="s">
        <v>2607</v>
      </c>
      <c r="AM160" s="81" t="s">
        <v>2820</v>
      </c>
      <c r="AN160" s="88" t="str">
        <f>HYPERLINK("https://t.co/8a8sRf1rXu")</f>
        <v>https://t.co/8a8sRf1rXu</v>
      </c>
      <c r="AO160" s="81"/>
      <c r="AP160" s="83">
        <v>42937.68466435185</v>
      </c>
      <c r="AQ160" s="88" t="str">
        <f>HYPERLINK("https://pbs.twimg.com/profile_banners/888434877477138432/1588848238")</f>
        <v>https://pbs.twimg.com/profile_banners/888434877477138432/1588848238</v>
      </c>
      <c r="AR160" s="81" t="b">
        <v>1</v>
      </c>
      <c r="AS160" s="81" t="b">
        <v>0</v>
      </c>
      <c r="AT160" s="81" t="b">
        <v>0</v>
      </c>
      <c r="AU160" s="81"/>
      <c r="AV160" s="81">
        <v>1</v>
      </c>
      <c r="AW160" s="81"/>
      <c r="AX160" s="81" t="b">
        <v>0</v>
      </c>
      <c r="AY160" s="81" t="s">
        <v>2883</v>
      </c>
      <c r="AZ160" s="88" t="str">
        <f>HYPERLINK("https://twitter.com/gujarattfgp")</f>
        <v>https://twitter.com/gujarattfgp</v>
      </c>
      <c r="BA160" s="81" t="s">
        <v>66</v>
      </c>
      <c r="BB160" s="81" t="str">
        <f>REPLACE(INDEX(GroupVertices[Group],MATCH(Vertices[[#This Row],[Vertex]],GroupVertices[Vertex],0)),1,1,"")</f>
        <v>1</v>
      </c>
      <c r="BC160" s="49"/>
      <c r="BD160" s="49"/>
      <c r="BE160" s="49"/>
      <c r="BF160" s="49"/>
      <c r="BG160" s="49" t="s">
        <v>1032</v>
      </c>
      <c r="BH160" s="49" t="s">
        <v>1032</v>
      </c>
      <c r="BI160" s="113" t="s">
        <v>3754</v>
      </c>
      <c r="BJ160" s="113" t="s">
        <v>3754</v>
      </c>
      <c r="BK160" s="113" t="s">
        <v>3931</v>
      </c>
      <c r="BL160" s="113" t="s">
        <v>3931</v>
      </c>
      <c r="BM160" s="113">
        <v>0</v>
      </c>
      <c r="BN160" s="116">
        <v>0</v>
      </c>
      <c r="BO160" s="113">
        <v>0</v>
      </c>
      <c r="BP160" s="116">
        <v>0</v>
      </c>
      <c r="BQ160" s="113">
        <v>0</v>
      </c>
      <c r="BR160" s="116">
        <v>0</v>
      </c>
      <c r="BS160" s="113">
        <v>3</v>
      </c>
      <c r="BT160" s="116">
        <v>100</v>
      </c>
      <c r="BU160" s="113">
        <v>3</v>
      </c>
      <c r="BV160" s="2"/>
      <c r="BW160" s="3"/>
      <c r="BX160" s="3"/>
      <c r="BY160" s="3"/>
      <c r="BZ160" s="3"/>
    </row>
    <row r="161" spans="1:78" ht="41.45" customHeight="1">
      <c r="A161" s="66" t="s">
        <v>360</v>
      </c>
      <c r="C161" s="67"/>
      <c r="D161" s="67" t="s">
        <v>64</v>
      </c>
      <c r="E161" s="68">
        <v>168.3921232006212</v>
      </c>
      <c r="F161" s="70">
        <v>99.98621485409433</v>
      </c>
      <c r="G161" s="106" t="str">
        <f>HYPERLINK("https://pbs.twimg.com/profile_images/1410352589854724096/3qzSjS2P_normal.jpg")</f>
        <v>https://pbs.twimg.com/profile_images/1410352589854724096/3qzSjS2P_normal.jpg</v>
      </c>
      <c r="H161" s="67"/>
      <c r="I161" s="71" t="s">
        <v>360</v>
      </c>
      <c r="J161" s="72"/>
      <c r="K161" s="72"/>
      <c r="L161" s="71" t="s">
        <v>3041</v>
      </c>
      <c r="M161" s="75">
        <v>5.594129625495405</v>
      </c>
      <c r="N161" s="76">
        <v>4264.80419921875</v>
      </c>
      <c r="O161" s="76">
        <v>1496.5609130859375</v>
      </c>
      <c r="P161" s="77"/>
      <c r="Q161" s="78"/>
      <c r="R161" s="78"/>
      <c r="S161" s="92"/>
      <c r="T161" s="49">
        <v>1</v>
      </c>
      <c r="U161" s="49">
        <v>1</v>
      </c>
      <c r="V161" s="50">
        <v>0</v>
      </c>
      <c r="W161" s="50">
        <v>0</v>
      </c>
      <c r="X161" s="50">
        <v>0</v>
      </c>
      <c r="Y161" s="50">
        <v>0.999998</v>
      </c>
      <c r="Z161" s="50">
        <v>0</v>
      </c>
      <c r="AA161" s="50">
        <v>0</v>
      </c>
      <c r="AB161" s="73">
        <v>161</v>
      </c>
      <c r="AC161" s="73"/>
      <c r="AD161" s="74"/>
      <c r="AE161" s="81" t="s">
        <v>2073</v>
      </c>
      <c r="AF161" s="86" t="s">
        <v>2343</v>
      </c>
      <c r="AG161" s="81">
        <v>2126</v>
      </c>
      <c r="AH161" s="81">
        <v>33913</v>
      </c>
      <c r="AI161" s="81">
        <v>9725</v>
      </c>
      <c r="AJ161" s="81">
        <v>2784</v>
      </c>
      <c r="AK161" s="81"/>
      <c r="AL161" s="81" t="s">
        <v>2608</v>
      </c>
      <c r="AM161" s="81" t="s">
        <v>2821</v>
      </c>
      <c r="AN161" s="88" t="str">
        <f>HYPERLINK("http://t.co/lOItIfcqtH")</f>
        <v>http://t.co/lOItIfcqtH</v>
      </c>
      <c r="AO161" s="81"/>
      <c r="AP161" s="83">
        <v>40010.5753125</v>
      </c>
      <c r="AQ161" s="88" t="str">
        <f>HYPERLINK("https://pbs.twimg.com/profile_banners/57338289/1625089240")</f>
        <v>https://pbs.twimg.com/profile_banners/57338289/1625089240</v>
      </c>
      <c r="AR161" s="81" t="b">
        <v>0</v>
      </c>
      <c r="AS161" s="81" t="b">
        <v>0</v>
      </c>
      <c r="AT161" s="81" t="b">
        <v>1</v>
      </c>
      <c r="AU161" s="81"/>
      <c r="AV161" s="81">
        <v>561</v>
      </c>
      <c r="AW161" s="88" t="str">
        <f>HYPERLINK("https://abs.twimg.com/images/themes/theme15/bg.png")</f>
        <v>https://abs.twimg.com/images/themes/theme15/bg.png</v>
      </c>
      <c r="AX161" s="81" t="b">
        <v>1</v>
      </c>
      <c r="AY161" s="81" t="s">
        <v>2883</v>
      </c>
      <c r="AZ161" s="88" t="str">
        <f>HYPERLINK("https://twitter.com/michiganhhs")</f>
        <v>https://twitter.com/michiganhhs</v>
      </c>
      <c r="BA161" s="81" t="s">
        <v>66</v>
      </c>
      <c r="BB161" s="81" t="str">
        <f>REPLACE(INDEX(GroupVertices[Group],MATCH(Vertices[[#This Row],[Vertex]],GroupVertices[Vertex],0)),1,1,"")</f>
        <v>1</v>
      </c>
      <c r="BC161" s="49"/>
      <c r="BD161" s="49"/>
      <c r="BE161" s="49"/>
      <c r="BF161" s="49"/>
      <c r="BG161" s="49" t="s">
        <v>1033</v>
      </c>
      <c r="BH161" s="49" t="s">
        <v>1033</v>
      </c>
      <c r="BI161" s="113" t="s">
        <v>3688</v>
      </c>
      <c r="BJ161" s="113" t="s">
        <v>3688</v>
      </c>
      <c r="BK161" s="113" t="s">
        <v>3865</v>
      </c>
      <c r="BL161" s="113" t="s">
        <v>3865</v>
      </c>
      <c r="BM161" s="113">
        <v>0</v>
      </c>
      <c r="BN161" s="116">
        <v>0</v>
      </c>
      <c r="BO161" s="113">
        <v>3</v>
      </c>
      <c r="BP161" s="116">
        <v>9.090909090909092</v>
      </c>
      <c r="BQ161" s="113">
        <v>0</v>
      </c>
      <c r="BR161" s="116">
        <v>0</v>
      </c>
      <c r="BS161" s="113">
        <v>30</v>
      </c>
      <c r="BT161" s="116">
        <v>90.9090909090909</v>
      </c>
      <c r="BU161" s="113">
        <v>33</v>
      </c>
      <c r="BV161" s="2"/>
      <c r="BW161" s="3"/>
      <c r="BX161" s="3"/>
      <c r="BY161" s="3"/>
      <c r="BZ161" s="3"/>
    </row>
    <row r="162" spans="1:78" ht="41.45" customHeight="1">
      <c r="A162" s="66" t="s">
        <v>361</v>
      </c>
      <c r="C162" s="67"/>
      <c r="D162" s="67" t="s">
        <v>64</v>
      </c>
      <c r="E162" s="68">
        <v>163.8352613235402</v>
      </c>
      <c r="F162" s="70">
        <v>99.99604210614753</v>
      </c>
      <c r="G162" s="106" t="str">
        <f>HYPERLINK("https://pbs.twimg.com/profile_images/1162374892676878337/WpN0uVn7_normal.jpg")</f>
        <v>https://pbs.twimg.com/profile_images/1162374892676878337/WpN0uVn7_normal.jpg</v>
      </c>
      <c r="H162" s="67"/>
      <c r="I162" s="71" t="s">
        <v>361</v>
      </c>
      <c r="J162" s="72"/>
      <c r="K162" s="72"/>
      <c r="L162" s="71" t="s">
        <v>3042</v>
      </c>
      <c r="M162" s="75">
        <v>2.31903409123631</v>
      </c>
      <c r="N162" s="76">
        <v>1137.3221435546875</v>
      </c>
      <c r="O162" s="76">
        <v>2274.99169921875</v>
      </c>
      <c r="P162" s="77"/>
      <c r="Q162" s="78"/>
      <c r="R162" s="78"/>
      <c r="S162" s="92"/>
      <c r="T162" s="49">
        <v>1</v>
      </c>
      <c r="U162" s="49">
        <v>1</v>
      </c>
      <c r="V162" s="50">
        <v>0</v>
      </c>
      <c r="W162" s="50">
        <v>0</v>
      </c>
      <c r="X162" s="50">
        <v>0</v>
      </c>
      <c r="Y162" s="50">
        <v>0.999998</v>
      </c>
      <c r="Z162" s="50">
        <v>0</v>
      </c>
      <c r="AA162" s="50">
        <v>0</v>
      </c>
      <c r="AB162" s="73">
        <v>162</v>
      </c>
      <c r="AC162" s="73"/>
      <c r="AD162" s="74"/>
      <c r="AE162" s="81" t="s">
        <v>2074</v>
      </c>
      <c r="AF162" s="86" t="s">
        <v>2344</v>
      </c>
      <c r="AG162" s="81">
        <v>1899</v>
      </c>
      <c r="AH162" s="81">
        <v>9739</v>
      </c>
      <c r="AI162" s="81">
        <v>10128</v>
      </c>
      <c r="AJ162" s="81">
        <v>2447</v>
      </c>
      <c r="AK162" s="81"/>
      <c r="AL162" s="81" t="s">
        <v>2609</v>
      </c>
      <c r="AM162" s="81" t="s">
        <v>2822</v>
      </c>
      <c r="AN162" s="88" t="str">
        <f>HYPERLINK("https://t.co/3alRdCfjES")</f>
        <v>https://t.co/3alRdCfjES</v>
      </c>
      <c r="AO162" s="81"/>
      <c r="AP162" s="83">
        <v>41326.440625</v>
      </c>
      <c r="AQ162" s="88" t="str">
        <f>HYPERLINK("https://pbs.twimg.com/profile_banners/1203955226/1591086461")</f>
        <v>https://pbs.twimg.com/profile_banners/1203955226/1591086461</v>
      </c>
      <c r="AR162" s="81" t="b">
        <v>1</v>
      </c>
      <c r="AS162" s="81" t="b">
        <v>0</v>
      </c>
      <c r="AT162" s="81" t="b">
        <v>1</v>
      </c>
      <c r="AU162" s="81"/>
      <c r="AV162" s="81">
        <v>107</v>
      </c>
      <c r="AW162" s="88" t="str">
        <f>HYPERLINK("https://abs.twimg.com/images/themes/theme1/bg.png")</f>
        <v>https://abs.twimg.com/images/themes/theme1/bg.png</v>
      </c>
      <c r="AX162" s="81" t="b">
        <v>1</v>
      </c>
      <c r="AY162" s="81" t="s">
        <v>2883</v>
      </c>
      <c r="AZ162" s="88" t="str">
        <f>HYPERLINK("https://twitter.com/liverpoolccg")</f>
        <v>https://twitter.com/liverpoolccg</v>
      </c>
      <c r="BA162" s="81" t="s">
        <v>66</v>
      </c>
      <c r="BB162" s="81" t="str">
        <f>REPLACE(INDEX(GroupVertices[Group],MATCH(Vertices[[#This Row],[Vertex]],GroupVertices[Vertex],0)),1,1,"")</f>
        <v>1</v>
      </c>
      <c r="BC162" s="49" t="s">
        <v>3205</v>
      </c>
      <c r="BD162" s="49" t="s">
        <v>3205</v>
      </c>
      <c r="BE162" s="49" t="s">
        <v>902</v>
      </c>
      <c r="BF162" s="49" t="s">
        <v>902</v>
      </c>
      <c r="BG162" s="49" t="s">
        <v>1034</v>
      </c>
      <c r="BH162" s="49" t="s">
        <v>1034</v>
      </c>
      <c r="BI162" s="113" t="s">
        <v>3755</v>
      </c>
      <c r="BJ162" s="113" t="s">
        <v>3755</v>
      </c>
      <c r="BK162" s="113" t="s">
        <v>3932</v>
      </c>
      <c r="BL162" s="113" t="s">
        <v>3932</v>
      </c>
      <c r="BM162" s="113">
        <v>0</v>
      </c>
      <c r="BN162" s="116">
        <v>0</v>
      </c>
      <c r="BO162" s="113">
        <v>2</v>
      </c>
      <c r="BP162" s="116">
        <v>6.451612903225806</v>
      </c>
      <c r="BQ162" s="113">
        <v>0</v>
      </c>
      <c r="BR162" s="116">
        <v>0</v>
      </c>
      <c r="BS162" s="113">
        <v>29</v>
      </c>
      <c r="BT162" s="116">
        <v>93.54838709677419</v>
      </c>
      <c r="BU162" s="113">
        <v>31</v>
      </c>
      <c r="BV162" s="2"/>
      <c r="BW162" s="3"/>
      <c r="BX162" s="3"/>
      <c r="BY162" s="3"/>
      <c r="BZ162" s="3"/>
    </row>
    <row r="163" spans="1:78" ht="41.45" customHeight="1">
      <c r="A163" s="66" t="s">
        <v>362</v>
      </c>
      <c r="C163" s="67"/>
      <c r="D163" s="67" t="s">
        <v>64</v>
      </c>
      <c r="E163" s="68">
        <v>164.5202797756504</v>
      </c>
      <c r="F163" s="70">
        <v>99.99456480681927</v>
      </c>
      <c r="G163" s="106" t="str">
        <f>HYPERLINK("https://pbs.twimg.com/profile_images/1214959433517817856/cyFfVYbK_normal.jpg")</f>
        <v>https://pbs.twimg.com/profile_images/1214959433517817856/cyFfVYbK_normal.jpg</v>
      </c>
      <c r="H163" s="67"/>
      <c r="I163" s="71" t="s">
        <v>362</v>
      </c>
      <c r="J163" s="72"/>
      <c r="K163" s="72"/>
      <c r="L163" s="71" t="s">
        <v>3043</v>
      </c>
      <c r="M163" s="75">
        <v>2.8113687140334287</v>
      </c>
      <c r="N163" s="76">
        <v>3873.869140625</v>
      </c>
      <c r="O163" s="76">
        <v>2274.99169921875</v>
      </c>
      <c r="P163" s="77"/>
      <c r="Q163" s="78"/>
      <c r="R163" s="78"/>
      <c r="S163" s="92"/>
      <c r="T163" s="49">
        <v>1</v>
      </c>
      <c r="U163" s="49">
        <v>1</v>
      </c>
      <c r="V163" s="50">
        <v>0</v>
      </c>
      <c r="W163" s="50">
        <v>0</v>
      </c>
      <c r="X163" s="50">
        <v>0</v>
      </c>
      <c r="Y163" s="50">
        <v>0.999998</v>
      </c>
      <c r="Z163" s="50">
        <v>0</v>
      </c>
      <c r="AA163" s="50">
        <v>0</v>
      </c>
      <c r="AB163" s="73">
        <v>163</v>
      </c>
      <c r="AC163" s="73"/>
      <c r="AD163" s="74"/>
      <c r="AE163" s="81" t="s">
        <v>2075</v>
      </c>
      <c r="AF163" s="86" t="s">
        <v>2345</v>
      </c>
      <c r="AG163" s="81">
        <v>181</v>
      </c>
      <c r="AH163" s="81">
        <v>13373</v>
      </c>
      <c r="AI163" s="81">
        <v>7515</v>
      </c>
      <c r="AJ163" s="81">
        <v>1904</v>
      </c>
      <c r="AK163" s="81"/>
      <c r="AL163" s="81" t="s">
        <v>2610</v>
      </c>
      <c r="AM163" s="81" t="s">
        <v>2823</v>
      </c>
      <c r="AN163" s="88" t="str">
        <f>HYPERLINK("https://t.co/3PPbnqmecp")</f>
        <v>https://t.co/3PPbnqmecp</v>
      </c>
      <c r="AO163" s="81"/>
      <c r="AP163" s="83">
        <v>39933.92873842592</v>
      </c>
      <c r="AQ163" s="88" t="str">
        <f>HYPERLINK("https://pbs.twimg.com/profile_banners/36790269/1581693816")</f>
        <v>https://pbs.twimg.com/profile_banners/36790269/1581693816</v>
      </c>
      <c r="AR163" s="81" t="b">
        <v>0</v>
      </c>
      <c r="AS163" s="81" t="b">
        <v>0</v>
      </c>
      <c r="AT163" s="81" t="b">
        <v>1</v>
      </c>
      <c r="AU163" s="81"/>
      <c r="AV163" s="81">
        <v>351</v>
      </c>
      <c r="AW163" s="88" t="str">
        <f>HYPERLINK("https://abs.twimg.com/images/themes/theme1/bg.png")</f>
        <v>https://abs.twimg.com/images/themes/theme1/bg.png</v>
      </c>
      <c r="AX163" s="81" t="b">
        <v>1</v>
      </c>
      <c r="AY163" s="81" t="s">
        <v>2883</v>
      </c>
      <c r="AZ163" s="88" t="str">
        <f>HYPERLINK("https://twitter.com/iapublichealth")</f>
        <v>https://twitter.com/iapublichealth</v>
      </c>
      <c r="BA163" s="81" t="s">
        <v>66</v>
      </c>
      <c r="BB163" s="81" t="str">
        <f>REPLACE(INDEX(GroupVertices[Group],MATCH(Vertices[[#This Row],[Vertex]],GroupVertices[Vertex],0)),1,1,"")</f>
        <v>1</v>
      </c>
      <c r="BC163" s="49" t="s">
        <v>3204</v>
      </c>
      <c r="BD163" s="49" t="s">
        <v>3204</v>
      </c>
      <c r="BE163" s="49" t="s">
        <v>903</v>
      </c>
      <c r="BF163" s="49" t="s">
        <v>903</v>
      </c>
      <c r="BG163" s="49" t="s">
        <v>954</v>
      </c>
      <c r="BH163" s="49" t="s">
        <v>954</v>
      </c>
      <c r="BI163" s="113" t="s">
        <v>3685</v>
      </c>
      <c r="BJ163" s="113" t="s">
        <v>3685</v>
      </c>
      <c r="BK163" s="113" t="s">
        <v>3862</v>
      </c>
      <c r="BL163" s="113" t="s">
        <v>3862</v>
      </c>
      <c r="BM163" s="113">
        <v>0</v>
      </c>
      <c r="BN163" s="116">
        <v>0</v>
      </c>
      <c r="BO163" s="113">
        <v>1</v>
      </c>
      <c r="BP163" s="116">
        <v>3.0303030303030303</v>
      </c>
      <c r="BQ163" s="113">
        <v>0</v>
      </c>
      <c r="BR163" s="116">
        <v>0</v>
      </c>
      <c r="BS163" s="113">
        <v>32</v>
      </c>
      <c r="BT163" s="116">
        <v>96.96969696969697</v>
      </c>
      <c r="BU163" s="113">
        <v>33</v>
      </c>
      <c r="BV163" s="2"/>
      <c r="BW163" s="3"/>
      <c r="BX163" s="3"/>
      <c r="BY163" s="3"/>
      <c r="BZ163" s="3"/>
    </row>
    <row r="164" spans="1:78" ht="41.45" customHeight="1">
      <c r="A164" s="66" t="s">
        <v>363</v>
      </c>
      <c r="C164" s="67"/>
      <c r="D164" s="67" t="s">
        <v>64</v>
      </c>
      <c r="E164" s="68">
        <v>162.22318707960883</v>
      </c>
      <c r="F164" s="70">
        <v>99.99951867847973</v>
      </c>
      <c r="G164" s="106" t="str">
        <f>HYPERLINK("https://pbs.twimg.com/profile_images/1128249842034192384/BVdmTZkx_normal.png")</f>
        <v>https://pbs.twimg.com/profile_images/1128249842034192384/BVdmTZkx_normal.png</v>
      </c>
      <c r="H164" s="67"/>
      <c r="I164" s="71" t="s">
        <v>363</v>
      </c>
      <c r="J164" s="72"/>
      <c r="K164" s="72"/>
      <c r="L164" s="71" t="s">
        <v>3044</v>
      </c>
      <c r="M164" s="75">
        <v>1.1604084186548675</v>
      </c>
      <c r="N164" s="76">
        <v>4264.80419921875</v>
      </c>
      <c r="O164" s="76">
        <v>5388.71533203125</v>
      </c>
      <c r="P164" s="77"/>
      <c r="Q164" s="78"/>
      <c r="R164" s="78"/>
      <c r="S164" s="92"/>
      <c r="T164" s="49">
        <v>1</v>
      </c>
      <c r="U164" s="49">
        <v>1</v>
      </c>
      <c r="V164" s="50">
        <v>0</v>
      </c>
      <c r="W164" s="50">
        <v>0</v>
      </c>
      <c r="X164" s="50">
        <v>0</v>
      </c>
      <c r="Y164" s="50">
        <v>0.999998</v>
      </c>
      <c r="Z164" s="50">
        <v>0</v>
      </c>
      <c r="AA164" s="50">
        <v>0</v>
      </c>
      <c r="AB164" s="73">
        <v>164</v>
      </c>
      <c r="AC164" s="73"/>
      <c r="AD164" s="74"/>
      <c r="AE164" s="81" t="s">
        <v>2076</v>
      </c>
      <c r="AF164" s="86" t="s">
        <v>2346</v>
      </c>
      <c r="AG164" s="81">
        <v>233</v>
      </c>
      <c r="AH164" s="81">
        <v>1187</v>
      </c>
      <c r="AI164" s="81">
        <v>816</v>
      </c>
      <c r="AJ164" s="81">
        <v>1484</v>
      </c>
      <c r="AK164" s="81"/>
      <c r="AL164" s="81" t="s">
        <v>2611</v>
      </c>
      <c r="AM164" s="81" t="s">
        <v>2824</v>
      </c>
      <c r="AN164" s="88" t="str">
        <f>HYPERLINK("https://t.co/4uIUeduiMB")</f>
        <v>https://t.co/4uIUeduiMB</v>
      </c>
      <c r="AO164" s="81"/>
      <c r="AP164" s="83">
        <v>41781.45483796296</v>
      </c>
      <c r="AQ164" s="81"/>
      <c r="AR164" s="81" t="b">
        <v>1</v>
      </c>
      <c r="AS164" s="81" t="b">
        <v>0</v>
      </c>
      <c r="AT164" s="81" t="b">
        <v>1</v>
      </c>
      <c r="AU164" s="81"/>
      <c r="AV164" s="81">
        <v>25</v>
      </c>
      <c r="AW164" s="88" t="str">
        <f>HYPERLINK("https://abs.twimg.com/images/themes/theme1/bg.png")</f>
        <v>https://abs.twimg.com/images/themes/theme1/bg.png</v>
      </c>
      <c r="AX164" s="81" t="b">
        <v>0</v>
      </c>
      <c r="AY164" s="81" t="s">
        <v>2883</v>
      </c>
      <c r="AZ164" s="88" t="str">
        <f>HYPERLINK("https://twitter.com/hpruamr")</f>
        <v>https://twitter.com/hpruamr</v>
      </c>
      <c r="BA164" s="81" t="s">
        <v>66</v>
      </c>
      <c r="BB164" s="81" t="str">
        <f>REPLACE(INDEX(GroupVertices[Group],MATCH(Vertices[[#This Row],[Vertex]],GroupVertices[Vertex],0)),1,1,"")</f>
        <v>1</v>
      </c>
      <c r="BC164" s="49"/>
      <c r="BD164" s="49"/>
      <c r="BE164" s="49"/>
      <c r="BF164" s="49"/>
      <c r="BG164" s="49" t="s">
        <v>991</v>
      </c>
      <c r="BH164" s="49" t="s">
        <v>991</v>
      </c>
      <c r="BI164" s="113" t="s">
        <v>3756</v>
      </c>
      <c r="BJ164" s="113" t="s">
        <v>3756</v>
      </c>
      <c r="BK164" s="113" t="s">
        <v>3933</v>
      </c>
      <c r="BL164" s="113" t="s">
        <v>3933</v>
      </c>
      <c r="BM164" s="113">
        <v>0</v>
      </c>
      <c r="BN164" s="116">
        <v>0</v>
      </c>
      <c r="BO164" s="113">
        <v>1</v>
      </c>
      <c r="BP164" s="116">
        <v>16.666666666666668</v>
      </c>
      <c r="BQ164" s="113">
        <v>0</v>
      </c>
      <c r="BR164" s="116">
        <v>0</v>
      </c>
      <c r="BS164" s="113">
        <v>5</v>
      </c>
      <c r="BT164" s="116">
        <v>83.33333333333333</v>
      </c>
      <c r="BU164" s="113">
        <v>6</v>
      </c>
      <c r="BV164" s="2"/>
      <c r="BW164" s="3"/>
      <c r="BX164" s="3"/>
      <c r="BY164" s="3"/>
      <c r="BZ164" s="3"/>
    </row>
    <row r="165" spans="1:78" ht="41.45" customHeight="1">
      <c r="A165" s="66" t="s">
        <v>364</v>
      </c>
      <c r="C165" s="67"/>
      <c r="D165" s="67" t="s">
        <v>64</v>
      </c>
      <c r="E165" s="68">
        <v>162.4305399407319</v>
      </c>
      <c r="F165" s="70">
        <v>99.99907150477003</v>
      </c>
      <c r="G165" s="106" t="str">
        <f>HYPERLINK("https://pbs.twimg.com/profile_images/1255996709756338177/2g0ozl3-_normal.jpg")</f>
        <v>https://pbs.twimg.com/profile_images/1255996709756338177/2g0ozl3-_normal.jpg</v>
      </c>
      <c r="H165" s="67"/>
      <c r="I165" s="71" t="s">
        <v>364</v>
      </c>
      <c r="J165" s="72"/>
      <c r="K165" s="72"/>
      <c r="L165" s="71" t="s">
        <v>3045</v>
      </c>
      <c r="M165" s="75">
        <v>1.3094365103105723</v>
      </c>
      <c r="N165" s="76">
        <v>2701.063232421875</v>
      </c>
      <c r="O165" s="76">
        <v>4610.28466796875</v>
      </c>
      <c r="P165" s="77"/>
      <c r="Q165" s="78"/>
      <c r="R165" s="78"/>
      <c r="S165" s="92"/>
      <c r="T165" s="49">
        <v>1</v>
      </c>
      <c r="U165" s="49">
        <v>1</v>
      </c>
      <c r="V165" s="50">
        <v>0</v>
      </c>
      <c r="W165" s="50">
        <v>0</v>
      </c>
      <c r="X165" s="50">
        <v>0</v>
      </c>
      <c r="Y165" s="50">
        <v>0.999998</v>
      </c>
      <c r="Z165" s="50">
        <v>0</v>
      </c>
      <c r="AA165" s="50">
        <v>0</v>
      </c>
      <c r="AB165" s="73">
        <v>165</v>
      </c>
      <c r="AC165" s="73"/>
      <c r="AD165" s="74"/>
      <c r="AE165" s="81" t="s">
        <v>2077</v>
      </c>
      <c r="AF165" s="86" t="s">
        <v>2347</v>
      </c>
      <c r="AG165" s="81">
        <v>2115</v>
      </c>
      <c r="AH165" s="81">
        <v>2287</v>
      </c>
      <c r="AI165" s="81">
        <v>566</v>
      </c>
      <c r="AJ165" s="81">
        <v>915</v>
      </c>
      <c r="AK165" s="81"/>
      <c r="AL165" s="81" t="s">
        <v>2612</v>
      </c>
      <c r="AM165" s="81" t="s">
        <v>2825</v>
      </c>
      <c r="AN165" s="88" t="str">
        <f>HYPERLINK("https://t.co/1nNEay6Hsq")</f>
        <v>https://t.co/1nNEay6Hsq</v>
      </c>
      <c r="AO165" s="81"/>
      <c r="AP165" s="83">
        <v>43265.862291666665</v>
      </c>
      <c r="AQ165" s="88" t="str">
        <f>HYPERLINK("https://pbs.twimg.com/profile_banners/1007362466509131783/1588287926")</f>
        <v>https://pbs.twimg.com/profile_banners/1007362466509131783/1588287926</v>
      </c>
      <c r="AR165" s="81" t="b">
        <v>1</v>
      </c>
      <c r="AS165" s="81" t="b">
        <v>0</v>
      </c>
      <c r="AT165" s="81" t="b">
        <v>1</v>
      </c>
      <c r="AU165" s="81"/>
      <c r="AV165" s="81">
        <v>3</v>
      </c>
      <c r="AW165" s="81"/>
      <c r="AX165" s="81" t="b">
        <v>0</v>
      </c>
      <c r="AY165" s="81" t="s">
        <v>2883</v>
      </c>
      <c r="AZ165" s="88" t="str">
        <f>HYPERLINK("https://twitter.com/irelandsouthwid")</f>
        <v>https://twitter.com/irelandsouthwid</v>
      </c>
      <c r="BA165" s="81" t="s">
        <v>66</v>
      </c>
      <c r="BB165" s="81" t="str">
        <f>REPLACE(INDEX(GroupVertices[Group],MATCH(Vertices[[#This Row],[Vertex]],GroupVertices[Vertex],0)),1,1,"")</f>
        <v>1</v>
      </c>
      <c r="BC165" s="49" t="s">
        <v>3229</v>
      </c>
      <c r="BD165" s="49" t="s">
        <v>3229</v>
      </c>
      <c r="BE165" s="49" t="s">
        <v>919</v>
      </c>
      <c r="BF165" s="49" t="s">
        <v>919</v>
      </c>
      <c r="BG165" s="49" t="s">
        <v>1035</v>
      </c>
      <c r="BH165" s="49" t="s">
        <v>1035</v>
      </c>
      <c r="BI165" s="113" t="s">
        <v>3757</v>
      </c>
      <c r="BJ165" s="113" t="s">
        <v>3757</v>
      </c>
      <c r="BK165" s="113" t="s">
        <v>3934</v>
      </c>
      <c r="BL165" s="113" t="s">
        <v>3934</v>
      </c>
      <c r="BM165" s="113">
        <v>0</v>
      </c>
      <c r="BN165" s="116">
        <v>0</v>
      </c>
      <c r="BO165" s="113">
        <v>0</v>
      </c>
      <c r="BP165" s="116">
        <v>0</v>
      </c>
      <c r="BQ165" s="113">
        <v>0</v>
      </c>
      <c r="BR165" s="116">
        <v>0</v>
      </c>
      <c r="BS165" s="113">
        <v>35</v>
      </c>
      <c r="BT165" s="116">
        <v>100</v>
      </c>
      <c r="BU165" s="113">
        <v>35</v>
      </c>
      <c r="BV165" s="2"/>
      <c r="BW165" s="3"/>
      <c r="BX165" s="3"/>
      <c r="BY165" s="3"/>
      <c r="BZ165" s="3"/>
    </row>
    <row r="166" spans="1:78" ht="41.45" customHeight="1">
      <c r="A166" s="66" t="s">
        <v>366</v>
      </c>
      <c r="C166" s="67"/>
      <c r="D166" s="67" t="s">
        <v>64</v>
      </c>
      <c r="E166" s="68">
        <v>162.07219649619103</v>
      </c>
      <c r="F166" s="70">
        <v>99.99984430224471</v>
      </c>
      <c r="G166" s="106" t="str">
        <f>HYPERLINK("https://pbs.twimg.com/profile_images/1381963039805702145/J9wbG1Q__normal.png")</f>
        <v>https://pbs.twimg.com/profile_images/1381963039805702145/J9wbG1Q__normal.png</v>
      </c>
      <c r="H166" s="67"/>
      <c r="I166" s="71" t="s">
        <v>366</v>
      </c>
      <c r="J166" s="72"/>
      <c r="K166" s="72"/>
      <c r="L166" s="71" t="s">
        <v>3046</v>
      </c>
      <c r="M166" s="75">
        <v>1.0518888719128499</v>
      </c>
      <c r="N166" s="76">
        <v>4264.80419921875</v>
      </c>
      <c r="O166" s="76">
        <v>6945.5771484375</v>
      </c>
      <c r="P166" s="77"/>
      <c r="Q166" s="78"/>
      <c r="R166" s="78"/>
      <c r="S166" s="92"/>
      <c r="T166" s="49">
        <v>1</v>
      </c>
      <c r="U166" s="49">
        <v>1</v>
      </c>
      <c r="V166" s="50">
        <v>0</v>
      </c>
      <c r="W166" s="50">
        <v>0</v>
      </c>
      <c r="X166" s="50">
        <v>0</v>
      </c>
      <c r="Y166" s="50">
        <v>0.999998</v>
      </c>
      <c r="Z166" s="50">
        <v>0</v>
      </c>
      <c r="AA166" s="50">
        <v>0</v>
      </c>
      <c r="AB166" s="73">
        <v>166</v>
      </c>
      <c r="AC166" s="73"/>
      <c r="AD166" s="74"/>
      <c r="AE166" s="81" t="s">
        <v>2078</v>
      </c>
      <c r="AF166" s="86" t="s">
        <v>2348</v>
      </c>
      <c r="AG166" s="81">
        <v>324</v>
      </c>
      <c r="AH166" s="81">
        <v>386</v>
      </c>
      <c r="AI166" s="81">
        <v>189</v>
      </c>
      <c r="AJ166" s="81">
        <v>4</v>
      </c>
      <c r="AK166" s="81"/>
      <c r="AL166" s="81"/>
      <c r="AM166" s="81"/>
      <c r="AN166" s="88" t="str">
        <f>HYPERLINK("https://t.co/786PEBR3GT")</f>
        <v>https://t.co/786PEBR3GT</v>
      </c>
      <c r="AO166" s="81"/>
      <c r="AP166" s="83">
        <v>42165.54773148148</v>
      </c>
      <c r="AQ166" s="88" t="str">
        <f>HYPERLINK("https://pbs.twimg.com/profile_banners/3317357074/1618320640")</f>
        <v>https://pbs.twimg.com/profile_banners/3317357074/1618320640</v>
      </c>
      <c r="AR166" s="81" t="b">
        <v>0</v>
      </c>
      <c r="AS166" s="81" t="b">
        <v>0</v>
      </c>
      <c r="AT166" s="81" t="b">
        <v>0</v>
      </c>
      <c r="AU166" s="81"/>
      <c r="AV166" s="81">
        <v>12</v>
      </c>
      <c r="AW166" s="88" t="str">
        <f>HYPERLINK("https://abs.twimg.com/images/themes/theme6/bg.gif")</f>
        <v>https://abs.twimg.com/images/themes/theme6/bg.gif</v>
      </c>
      <c r="AX166" s="81" t="b">
        <v>0</v>
      </c>
      <c r="AY166" s="81" t="s">
        <v>2883</v>
      </c>
      <c r="AZ166" s="88" t="str">
        <f>HYPERLINK("https://twitter.com/melintatx")</f>
        <v>https://twitter.com/melintatx</v>
      </c>
      <c r="BA166" s="81" t="s">
        <v>66</v>
      </c>
      <c r="BB166" s="81" t="str">
        <f>REPLACE(INDEX(GroupVertices[Group],MATCH(Vertices[[#This Row],[Vertex]],GroupVertices[Vertex],0)),1,1,"")</f>
        <v>1</v>
      </c>
      <c r="BC166" s="49"/>
      <c r="BD166" s="49"/>
      <c r="BE166" s="49"/>
      <c r="BF166" s="49"/>
      <c r="BG166" s="49" t="s">
        <v>1037</v>
      </c>
      <c r="BH166" s="49" t="s">
        <v>1037</v>
      </c>
      <c r="BI166" s="113" t="s">
        <v>3758</v>
      </c>
      <c r="BJ166" s="113" t="s">
        <v>3833</v>
      </c>
      <c r="BK166" s="113" t="s">
        <v>3935</v>
      </c>
      <c r="BL166" s="113" t="s">
        <v>3999</v>
      </c>
      <c r="BM166" s="113">
        <v>2</v>
      </c>
      <c r="BN166" s="116">
        <v>4.878048780487805</v>
      </c>
      <c r="BO166" s="113">
        <v>4</v>
      </c>
      <c r="BP166" s="116">
        <v>9.75609756097561</v>
      </c>
      <c r="BQ166" s="113">
        <v>0</v>
      </c>
      <c r="BR166" s="116">
        <v>0</v>
      </c>
      <c r="BS166" s="113">
        <v>35</v>
      </c>
      <c r="BT166" s="116">
        <v>85.36585365853658</v>
      </c>
      <c r="BU166" s="113">
        <v>41</v>
      </c>
      <c r="BV166" s="2"/>
      <c r="BW166" s="3"/>
      <c r="BX166" s="3"/>
      <c r="BY166" s="3"/>
      <c r="BZ166" s="3"/>
    </row>
    <row r="167" spans="1:78" ht="41.45" customHeight="1">
      <c r="A167" s="66" t="s">
        <v>367</v>
      </c>
      <c r="C167" s="67"/>
      <c r="D167" s="67" t="s">
        <v>64</v>
      </c>
      <c r="E167" s="68">
        <v>162.04882217366443</v>
      </c>
      <c r="F167" s="70">
        <v>99.99989471091745</v>
      </c>
      <c r="G167" s="106" t="str">
        <f>HYPERLINK("https://pbs.twimg.com/profile_images/1339209084814450688/GgvyEuO2_normal.jpg")</f>
        <v>https://pbs.twimg.com/profile_images/1339209084814450688/GgvyEuO2_normal.jpg</v>
      </c>
      <c r="H167" s="67"/>
      <c r="I167" s="71" t="s">
        <v>367</v>
      </c>
      <c r="J167" s="72"/>
      <c r="K167" s="72"/>
      <c r="L167" s="71" t="s">
        <v>3047</v>
      </c>
      <c r="M167" s="75">
        <v>1.0350893415807523</v>
      </c>
      <c r="N167" s="76">
        <v>8975.1015625</v>
      </c>
      <c r="O167" s="76">
        <v>904.5148315429688</v>
      </c>
      <c r="P167" s="77"/>
      <c r="Q167" s="78"/>
      <c r="R167" s="78"/>
      <c r="S167" s="92"/>
      <c r="T167" s="49">
        <v>0</v>
      </c>
      <c r="U167" s="49">
        <v>1</v>
      </c>
      <c r="V167" s="50">
        <v>0</v>
      </c>
      <c r="W167" s="50">
        <v>1</v>
      </c>
      <c r="X167" s="50">
        <v>0</v>
      </c>
      <c r="Y167" s="50">
        <v>0.999998</v>
      </c>
      <c r="Z167" s="50">
        <v>0</v>
      </c>
      <c r="AA167" s="50">
        <v>0</v>
      </c>
      <c r="AB167" s="73">
        <v>167</v>
      </c>
      <c r="AC167" s="73"/>
      <c r="AD167" s="74"/>
      <c r="AE167" s="81" t="s">
        <v>2079</v>
      </c>
      <c r="AF167" s="86" t="s">
        <v>2349</v>
      </c>
      <c r="AG167" s="81">
        <v>299</v>
      </c>
      <c r="AH167" s="81">
        <v>262</v>
      </c>
      <c r="AI167" s="81">
        <v>616</v>
      </c>
      <c r="AJ167" s="81">
        <v>1348</v>
      </c>
      <c r="AK167" s="81"/>
      <c r="AL167" s="81" t="s">
        <v>2613</v>
      </c>
      <c r="AM167" s="81"/>
      <c r="AN167" s="88" t="str">
        <f>HYPERLINK("https://t.co/BJPhZGXCsH")</f>
        <v>https://t.co/BJPhZGXCsH</v>
      </c>
      <c r="AO167" s="81"/>
      <c r="AP167" s="83">
        <v>43334.61456018518</v>
      </c>
      <c r="AQ167" s="88" t="str">
        <f>HYPERLINK("https://pbs.twimg.com/profile_banners/1032277451932618754/1635261697")</f>
        <v>https://pbs.twimg.com/profile_banners/1032277451932618754/1635261697</v>
      </c>
      <c r="AR167" s="81" t="b">
        <v>0</v>
      </c>
      <c r="AS167" s="81" t="b">
        <v>0</v>
      </c>
      <c r="AT167" s="81" t="b">
        <v>1</v>
      </c>
      <c r="AU167" s="81"/>
      <c r="AV167" s="81">
        <v>3</v>
      </c>
      <c r="AW167" s="88" t="str">
        <f>HYPERLINK("https://abs.twimg.com/images/themes/theme1/bg.png")</f>
        <v>https://abs.twimg.com/images/themes/theme1/bg.png</v>
      </c>
      <c r="AX167" s="81" t="b">
        <v>0</v>
      </c>
      <c r="AY167" s="81" t="s">
        <v>2883</v>
      </c>
      <c r="AZ167" s="88" t="str">
        <f>HYPERLINK("https://twitter.com/kyabxawareness")</f>
        <v>https://twitter.com/kyabxawareness</v>
      </c>
      <c r="BA167" s="81" t="s">
        <v>66</v>
      </c>
      <c r="BB167" s="81" t="str">
        <f>REPLACE(INDEX(GroupVertices[Group],MATCH(Vertices[[#This Row],[Vertex]],GroupVertices[Vertex],0)),1,1,"")</f>
        <v>20</v>
      </c>
      <c r="BC167" s="49"/>
      <c r="BD167" s="49"/>
      <c r="BE167" s="49"/>
      <c r="BF167" s="49"/>
      <c r="BG167" s="49" t="s">
        <v>1038</v>
      </c>
      <c r="BH167" s="49" t="s">
        <v>1038</v>
      </c>
      <c r="BI167" s="113" t="s">
        <v>3688</v>
      </c>
      <c r="BJ167" s="113" t="s">
        <v>3688</v>
      </c>
      <c r="BK167" s="113" t="s">
        <v>3865</v>
      </c>
      <c r="BL167" s="113" t="s">
        <v>3865</v>
      </c>
      <c r="BM167" s="113">
        <v>0</v>
      </c>
      <c r="BN167" s="116">
        <v>0</v>
      </c>
      <c r="BO167" s="113">
        <v>3</v>
      </c>
      <c r="BP167" s="116">
        <v>8.108108108108109</v>
      </c>
      <c r="BQ167" s="113">
        <v>0</v>
      </c>
      <c r="BR167" s="116">
        <v>0</v>
      </c>
      <c r="BS167" s="113">
        <v>34</v>
      </c>
      <c r="BT167" s="116">
        <v>91.89189189189189</v>
      </c>
      <c r="BU167" s="113">
        <v>37</v>
      </c>
      <c r="BV167" s="2"/>
      <c r="BW167" s="3"/>
      <c r="BX167" s="3"/>
      <c r="BY167" s="3"/>
      <c r="BZ167" s="3"/>
    </row>
    <row r="168" spans="1:78" ht="41.45" customHeight="1">
      <c r="A168" s="66" t="s">
        <v>490</v>
      </c>
      <c r="C168" s="67"/>
      <c r="D168" s="67" t="s">
        <v>64</v>
      </c>
      <c r="E168" s="68">
        <v>162.2164009859721</v>
      </c>
      <c r="F168" s="70">
        <v>99.99953331325568</v>
      </c>
      <c r="G168" s="106" t="str">
        <f>HYPERLINK("https://pbs.twimg.com/profile_images/1414393288854016001/Y1GPVlJ2_normal.jpg")</f>
        <v>https://pbs.twimg.com/profile_images/1414393288854016001/Y1GPVlJ2_normal.jpg</v>
      </c>
      <c r="H168" s="67"/>
      <c r="I168" s="71" t="s">
        <v>490</v>
      </c>
      <c r="J168" s="72"/>
      <c r="K168" s="72"/>
      <c r="L168" s="71" t="s">
        <v>3048</v>
      </c>
      <c r="M168" s="75">
        <v>1.1555311356552265</v>
      </c>
      <c r="N168" s="76">
        <v>8975.1015625</v>
      </c>
      <c r="O168" s="76">
        <v>520.78125</v>
      </c>
      <c r="P168" s="77"/>
      <c r="Q168" s="78"/>
      <c r="R168" s="78"/>
      <c r="S168" s="92"/>
      <c r="T168" s="49">
        <v>1</v>
      </c>
      <c r="U168" s="49">
        <v>0</v>
      </c>
      <c r="V168" s="50">
        <v>0</v>
      </c>
      <c r="W168" s="50">
        <v>1</v>
      </c>
      <c r="X168" s="50">
        <v>0</v>
      </c>
      <c r="Y168" s="50">
        <v>0.999998</v>
      </c>
      <c r="Z168" s="50">
        <v>0</v>
      </c>
      <c r="AA168" s="50">
        <v>0</v>
      </c>
      <c r="AB168" s="73">
        <v>168</v>
      </c>
      <c r="AC168" s="73"/>
      <c r="AD168" s="74"/>
      <c r="AE168" s="81" t="s">
        <v>2080</v>
      </c>
      <c r="AF168" s="86" t="s">
        <v>2350</v>
      </c>
      <c r="AG168" s="81">
        <v>689</v>
      </c>
      <c r="AH168" s="81">
        <v>1151</v>
      </c>
      <c r="AI168" s="81">
        <v>1719</v>
      </c>
      <c r="AJ168" s="81">
        <v>2656</v>
      </c>
      <c r="AK168" s="81"/>
      <c r="AL168" s="81" t="s">
        <v>2614</v>
      </c>
      <c r="AM168" s="81" t="s">
        <v>2826</v>
      </c>
      <c r="AN168" s="88" t="str">
        <f>HYPERLINK("https://t.co/CPOj30WRDo")</f>
        <v>https://t.co/CPOj30WRDo</v>
      </c>
      <c r="AO168" s="81"/>
      <c r="AP168" s="83">
        <v>41487.576469907406</v>
      </c>
      <c r="AQ168" s="88" t="str">
        <f>HYPERLINK("https://pbs.twimg.com/profile_banners/1638030776/1553301829")</f>
        <v>https://pbs.twimg.com/profile_banners/1638030776/1553301829</v>
      </c>
      <c r="AR168" s="81" t="b">
        <v>1</v>
      </c>
      <c r="AS168" s="81" t="b">
        <v>0</v>
      </c>
      <c r="AT168" s="81" t="b">
        <v>1</v>
      </c>
      <c r="AU168" s="81"/>
      <c r="AV168" s="81">
        <v>21</v>
      </c>
      <c r="AW168" s="88" t="str">
        <f>HYPERLINK("https://abs.twimg.com/images/themes/theme1/bg.png")</f>
        <v>https://abs.twimg.com/images/themes/theme1/bg.png</v>
      </c>
      <c r="AX168" s="81" t="b">
        <v>0</v>
      </c>
      <c r="AY168" s="81" t="s">
        <v>2883</v>
      </c>
      <c r="AZ168" s="88" t="str">
        <f>HYPERLINK("https://twitter.com/uoflpeds")</f>
        <v>https://twitter.com/uoflpeds</v>
      </c>
      <c r="BA168" s="81" t="s">
        <v>65</v>
      </c>
      <c r="BB168" s="81" t="str">
        <f>REPLACE(INDEX(GroupVertices[Group],MATCH(Vertices[[#This Row],[Vertex]],GroupVertices[Vertex],0)),1,1,"")</f>
        <v>20</v>
      </c>
      <c r="BC168" s="49"/>
      <c r="BD168" s="49"/>
      <c r="BE168" s="49"/>
      <c r="BF168" s="49"/>
      <c r="BG168" s="49"/>
      <c r="BH168" s="49"/>
      <c r="BI168" s="49"/>
      <c r="BJ168" s="49"/>
      <c r="BK168" s="49"/>
      <c r="BL168" s="49"/>
      <c r="BM168" s="49"/>
      <c r="BN168" s="50"/>
      <c r="BO168" s="49"/>
      <c r="BP168" s="50"/>
      <c r="BQ168" s="49"/>
      <c r="BR168" s="50"/>
      <c r="BS168" s="49"/>
      <c r="BT168" s="50"/>
      <c r="BU168" s="49"/>
      <c r="BV168" s="2"/>
      <c r="BW168" s="3"/>
      <c r="BX168" s="3"/>
      <c r="BY168" s="3"/>
      <c r="BZ168" s="3"/>
    </row>
    <row r="169" spans="1:78" ht="41.45" customHeight="1">
      <c r="A169" s="66" t="s">
        <v>368</v>
      </c>
      <c r="C169" s="67"/>
      <c r="D169" s="67" t="s">
        <v>64</v>
      </c>
      <c r="E169" s="68">
        <v>163.3956732579593</v>
      </c>
      <c r="F169" s="70">
        <v>99.9969901144121</v>
      </c>
      <c r="G169" s="106" t="str">
        <f>HYPERLINK("https://pbs.twimg.com/profile_images/1463431544039694336/51GKvSev_normal.jpg")</f>
        <v>https://pbs.twimg.com/profile_images/1463431544039694336/51GKvSev_normal.jpg</v>
      </c>
      <c r="H169" s="67"/>
      <c r="I169" s="71" t="s">
        <v>368</v>
      </c>
      <c r="J169" s="72"/>
      <c r="K169" s="72"/>
      <c r="L169" s="71" t="s">
        <v>3049</v>
      </c>
      <c r="M169" s="75">
        <v>2.0030945369262163</v>
      </c>
      <c r="N169" s="76">
        <v>3873.869140625</v>
      </c>
      <c r="O169" s="76">
        <v>3053.422607421875</v>
      </c>
      <c r="P169" s="77"/>
      <c r="Q169" s="78"/>
      <c r="R169" s="78"/>
      <c r="S169" s="92"/>
      <c r="T169" s="49">
        <v>1</v>
      </c>
      <c r="U169" s="49">
        <v>1</v>
      </c>
      <c r="V169" s="50">
        <v>0</v>
      </c>
      <c r="W169" s="50">
        <v>0</v>
      </c>
      <c r="X169" s="50">
        <v>0</v>
      </c>
      <c r="Y169" s="50">
        <v>0.999998</v>
      </c>
      <c r="Z169" s="50">
        <v>0</v>
      </c>
      <c r="AA169" s="50">
        <v>0</v>
      </c>
      <c r="AB169" s="73">
        <v>169</v>
      </c>
      <c r="AC169" s="73"/>
      <c r="AD169" s="74"/>
      <c r="AE169" s="81" t="s">
        <v>2081</v>
      </c>
      <c r="AF169" s="86" t="s">
        <v>2351</v>
      </c>
      <c r="AG169" s="81">
        <v>559</v>
      </c>
      <c r="AH169" s="81">
        <v>7407</v>
      </c>
      <c r="AI169" s="81">
        <v>7601</v>
      </c>
      <c r="AJ169" s="81">
        <v>2872</v>
      </c>
      <c r="AK169" s="81"/>
      <c r="AL169" s="81" t="s">
        <v>2615</v>
      </c>
      <c r="AM169" s="81" t="s">
        <v>2827</v>
      </c>
      <c r="AN169" s="88" t="str">
        <f>HYPERLINK("https://t.co/ccAoSYohIx")</f>
        <v>https://t.co/ccAoSYohIx</v>
      </c>
      <c r="AO169" s="81"/>
      <c r="AP169" s="83">
        <v>41050.43612268518</v>
      </c>
      <c r="AQ169" s="88" t="str">
        <f>HYPERLINK("https://pbs.twimg.com/profile_banners/586436215/1626791130")</f>
        <v>https://pbs.twimg.com/profile_banners/586436215/1626791130</v>
      </c>
      <c r="AR169" s="81" t="b">
        <v>0</v>
      </c>
      <c r="AS169" s="81" t="b">
        <v>0</v>
      </c>
      <c r="AT169" s="81" t="b">
        <v>1</v>
      </c>
      <c r="AU169" s="81"/>
      <c r="AV169" s="81">
        <v>132</v>
      </c>
      <c r="AW169" s="88" t="str">
        <f>HYPERLINK("https://abs.twimg.com/images/themes/theme1/bg.png")</f>
        <v>https://abs.twimg.com/images/themes/theme1/bg.png</v>
      </c>
      <c r="AX169" s="81" t="b">
        <v>1</v>
      </c>
      <c r="AY169" s="81" t="s">
        <v>2883</v>
      </c>
      <c r="AZ169" s="88" t="str">
        <f>HYPERLINK("https://twitter.com/haltonccg")</f>
        <v>https://twitter.com/haltonccg</v>
      </c>
      <c r="BA169" s="81" t="s">
        <v>66</v>
      </c>
      <c r="BB169" s="81" t="str">
        <f>REPLACE(INDEX(GroupVertices[Group],MATCH(Vertices[[#This Row],[Vertex]],GroupVertices[Vertex],0)),1,1,"")</f>
        <v>1</v>
      </c>
      <c r="BC169" s="49"/>
      <c r="BD169" s="49"/>
      <c r="BE169" s="49"/>
      <c r="BF169" s="49"/>
      <c r="BG169" s="49" t="s">
        <v>955</v>
      </c>
      <c r="BH169" s="49" t="s">
        <v>955</v>
      </c>
      <c r="BI169" s="113" t="s">
        <v>3683</v>
      </c>
      <c r="BJ169" s="113" t="s">
        <v>3683</v>
      </c>
      <c r="BK169" s="113" t="s">
        <v>3860</v>
      </c>
      <c r="BL169" s="113" t="s">
        <v>3860</v>
      </c>
      <c r="BM169" s="113">
        <v>0</v>
      </c>
      <c r="BN169" s="116">
        <v>0</v>
      </c>
      <c r="BO169" s="113">
        <v>2</v>
      </c>
      <c r="BP169" s="116">
        <v>6.0606060606060606</v>
      </c>
      <c r="BQ169" s="113">
        <v>0</v>
      </c>
      <c r="BR169" s="116">
        <v>0</v>
      </c>
      <c r="BS169" s="113">
        <v>31</v>
      </c>
      <c r="BT169" s="116">
        <v>93.93939393939394</v>
      </c>
      <c r="BU169" s="113">
        <v>33</v>
      </c>
      <c r="BV169" s="2"/>
      <c r="BW169" s="3"/>
      <c r="BX169" s="3"/>
      <c r="BY169" s="3"/>
      <c r="BZ169" s="3"/>
    </row>
    <row r="170" spans="1:78" ht="41.45" customHeight="1">
      <c r="A170" s="66" t="s">
        <v>369</v>
      </c>
      <c r="C170" s="67"/>
      <c r="D170" s="67" t="s">
        <v>64</v>
      </c>
      <c r="E170" s="68">
        <v>162.0620173557359</v>
      </c>
      <c r="F170" s="70">
        <v>99.99986625440864</v>
      </c>
      <c r="G170" s="106" t="str">
        <f>HYPERLINK("https://pbs.twimg.com/profile_images/1466170448916402190/le0KLkGI_normal.jpg")</f>
        <v>https://pbs.twimg.com/profile_images/1466170448916402190/le0KLkGI_normal.jpg</v>
      </c>
      <c r="H170" s="67"/>
      <c r="I170" s="71" t="s">
        <v>369</v>
      </c>
      <c r="J170" s="72"/>
      <c r="K170" s="72"/>
      <c r="L170" s="71" t="s">
        <v>3050</v>
      </c>
      <c r="M170" s="75">
        <v>1.044572947413388</v>
      </c>
      <c r="N170" s="76">
        <v>3482.93359375</v>
      </c>
      <c r="O170" s="76">
        <v>6945.5771484375</v>
      </c>
      <c r="P170" s="77"/>
      <c r="Q170" s="78"/>
      <c r="R170" s="78"/>
      <c r="S170" s="92"/>
      <c r="T170" s="49">
        <v>1</v>
      </c>
      <c r="U170" s="49">
        <v>1</v>
      </c>
      <c r="V170" s="50">
        <v>0</v>
      </c>
      <c r="W170" s="50">
        <v>0</v>
      </c>
      <c r="X170" s="50">
        <v>0</v>
      </c>
      <c r="Y170" s="50">
        <v>0.999998</v>
      </c>
      <c r="Z170" s="50">
        <v>0</v>
      </c>
      <c r="AA170" s="50">
        <v>0</v>
      </c>
      <c r="AB170" s="73">
        <v>170</v>
      </c>
      <c r="AC170" s="73"/>
      <c r="AD170" s="74"/>
      <c r="AE170" s="81" t="s">
        <v>2082</v>
      </c>
      <c r="AF170" s="86" t="s">
        <v>2352</v>
      </c>
      <c r="AG170" s="81">
        <v>405</v>
      </c>
      <c r="AH170" s="81">
        <v>332</v>
      </c>
      <c r="AI170" s="81">
        <v>2947</v>
      </c>
      <c r="AJ170" s="81">
        <v>10294</v>
      </c>
      <c r="AK170" s="81"/>
      <c r="AL170" s="81" t="s">
        <v>2616</v>
      </c>
      <c r="AM170" s="81" t="s">
        <v>2724</v>
      </c>
      <c r="AN170" s="88" t="str">
        <f>HYPERLINK("https://t.co/iNEsJGyjMB")</f>
        <v>https://t.co/iNEsJGyjMB</v>
      </c>
      <c r="AO170" s="81"/>
      <c r="AP170" s="83">
        <v>42284.332916666666</v>
      </c>
      <c r="AQ170" s="88" t="str">
        <f>HYPERLINK("https://pbs.twimg.com/profile_banners/3888185141/1638397249")</f>
        <v>https://pbs.twimg.com/profile_banners/3888185141/1638397249</v>
      </c>
      <c r="AR170" s="81" t="b">
        <v>1</v>
      </c>
      <c r="AS170" s="81" t="b">
        <v>0</v>
      </c>
      <c r="AT170" s="81" t="b">
        <v>0</v>
      </c>
      <c r="AU170" s="81"/>
      <c r="AV170" s="81">
        <v>0</v>
      </c>
      <c r="AW170" s="88" t="str">
        <f>HYPERLINK("https://abs.twimg.com/images/themes/theme1/bg.png")</f>
        <v>https://abs.twimg.com/images/themes/theme1/bg.png</v>
      </c>
      <c r="AX170" s="81" t="b">
        <v>0</v>
      </c>
      <c r="AY170" s="81" t="s">
        <v>2883</v>
      </c>
      <c r="AZ170" s="88" t="str">
        <f>HYPERLINK("https://twitter.com/i_alfu")</f>
        <v>https://twitter.com/i_alfu</v>
      </c>
      <c r="BA170" s="81" t="s">
        <v>66</v>
      </c>
      <c r="BB170" s="81" t="str">
        <f>REPLACE(INDEX(GroupVertices[Group],MATCH(Vertices[[#This Row],[Vertex]],GroupVertices[Vertex],0)),1,1,"")</f>
        <v>1</v>
      </c>
      <c r="BC170" s="49" t="s">
        <v>3207</v>
      </c>
      <c r="BD170" s="49" t="s">
        <v>3207</v>
      </c>
      <c r="BE170" s="49" t="s">
        <v>914</v>
      </c>
      <c r="BF170" s="49" t="s">
        <v>914</v>
      </c>
      <c r="BG170" s="49" t="s">
        <v>966</v>
      </c>
      <c r="BH170" s="49" t="s">
        <v>966</v>
      </c>
      <c r="BI170" s="113" t="s">
        <v>3759</v>
      </c>
      <c r="BJ170" s="113" t="s">
        <v>3759</v>
      </c>
      <c r="BK170" s="113" t="s">
        <v>3936</v>
      </c>
      <c r="BL170" s="113" t="s">
        <v>3936</v>
      </c>
      <c r="BM170" s="113">
        <v>0</v>
      </c>
      <c r="BN170" s="116">
        <v>0</v>
      </c>
      <c r="BO170" s="113">
        <v>0</v>
      </c>
      <c r="BP170" s="116">
        <v>0</v>
      </c>
      <c r="BQ170" s="113">
        <v>0</v>
      </c>
      <c r="BR170" s="116">
        <v>0</v>
      </c>
      <c r="BS170" s="113">
        <v>5</v>
      </c>
      <c r="BT170" s="116">
        <v>100</v>
      </c>
      <c r="BU170" s="113">
        <v>5</v>
      </c>
      <c r="BV170" s="2"/>
      <c r="BW170" s="3"/>
      <c r="BX170" s="3"/>
      <c r="BY170" s="3"/>
      <c r="BZ170" s="3"/>
    </row>
    <row r="171" spans="1:78" ht="41.45" customHeight="1">
      <c r="A171" s="66" t="s">
        <v>370</v>
      </c>
      <c r="C171" s="67"/>
      <c r="D171" s="67" t="s">
        <v>64</v>
      </c>
      <c r="E171" s="68">
        <v>162.40339556618488</v>
      </c>
      <c r="F171" s="70">
        <v>99.99913004387383</v>
      </c>
      <c r="G171" s="106" t="str">
        <f>HYPERLINK("https://pbs.twimg.com/profile_images/1367746093367365633/lTRt7v-W_normal.jpg")</f>
        <v>https://pbs.twimg.com/profile_images/1367746093367365633/lTRt7v-W_normal.jpg</v>
      </c>
      <c r="H171" s="67"/>
      <c r="I171" s="71" t="s">
        <v>370</v>
      </c>
      <c r="J171" s="72"/>
      <c r="K171" s="72"/>
      <c r="L171" s="71" t="s">
        <v>3051</v>
      </c>
      <c r="M171" s="75">
        <v>1.2899273783120073</v>
      </c>
      <c r="N171" s="76">
        <v>9604.373046875</v>
      </c>
      <c r="O171" s="76">
        <v>1617.162841796875</v>
      </c>
      <c r="P171" s="77"/>
      <c r="Q171" s="78"/>
      <c r="R171" s="78"/>
      <c r="S171" s="92"/>
      <c r="T171" s="49">
        <v>0</v>
      </c>
      <c r="U171" s="49">
        <v>1</v>
      </c>
      <c r="V171" s="50">
        <v>0</v>
      </c>
      <c r="W171" s="50">
        <v>1</v>
      </c>
      <c r="X171" s="50">
        <v>0</v>
      </c>
      <c r="Y171" s="50">
        <v>0.999998</v>
      </c>
      <c r="Z171" s="50">
        <v>0</v>
      </c>
      <c r="AA171" s="50">
        <v>0</v>
      </c>
      <c r="AB171" s="73">
        <v>171</v>
      </c>
      <c r="AC171" s="73"/>
      <c r="AD171" s="74"/>
      <c r="AE171" s="81" t="s">
        <v>2083</v>
      </c>
      <c r="AF171" s="86" t="s">
        <v>2353</v>
      </c>
      <c r="AG171" s="81">
        <v>389</v>
      </c>
      <c r="AH171" s="81">
        <v>2143</v>
      </c>
      <c r="AI171" s="81">
        <v>657</v>
      </c>
      <c r="AJ171" s="81">
        <v>503</v>
      </c>
      <c r="AK171" s="81"/>
      <c r="AL171" s="81" t="s">
        <v>2617</v>
      </c>
      <c r="AM171" s="81" t="s">
        <v>2828</v>
      </c>
      <c r="AN171" s="88" t="str">
        <f>HYPERLINK("https://t.co/VWS7ed7TyN")</f>
        <v>https://t.co/VWS7ed7TyN</v>
      </c>
      <c r="AO171" s="81"/>
      <c r="AP171" s="83">
        <v>42103.51280092593</v>
      </c>
      <c r="AQ171" s="88" t="str">
        <f>HYPERLINK("https://pbs.twimg.com/profile_banners/3151376967/1430295348")</f>
        <v>https://pbs.twimg.com/profile_banners/3151376967/1430295348</v>
      </c>
      <c r="AR171" s="81" t="b">
        <v>0</v>
      </c>
      <c r="AS171" s="81" t="b">
        <v>0</v>
      </c>
      <c r="AT171" s="81" t="b">
        <v>1</v>
      </c>
      <c r="AU171" s="81"/>
      <c r="AV171" s="81">
        <v>0</v>
      </c>
      <c r="AW171" s="88" t="str">
        <f>HYPERLINK("https://abs.twimg.com/images/themes/theme1/bg.png")</f>
        <v>https://abs.twimg.com/images/themes/theme1/bg.png</v>
      </c>
      <c r="AX171" s="81" t="b">
        <v>0</v>
      </c>
      <c r="AY171" s="81" t="s">
        <v>2883</v>
      </c>
      <c r="AZ171" s="88" t="str">
        <f>HYPERLINK("https://twitter.com/farmacia_lapaz")</f>
        <v>https://twitter.com/farmacia_lapaz</v>
      </c>
      <c r="BA171" s="81" t="s">
        <v>66</v>
      </c>
      <c r="BB171" s="81" t="str">
        <f>REPLACE(INDEX(GroupVertices[Group],MATCH(Vertices[[#This Row],[Vertex]],GroupVertices[Vertex],0)),1,1,"")</f>
        <v>19</v>
      </c>
      <c r="BC171" s="49" t="s">
        <v>3277</v>
      </c>
      <c r="BD171" s="49" t="s">
        <v>3277</v>
      </c>
      <c r="BE171" s="49" t="s">
        <v>914</v>
      </c>
      <c r="BF171" s="49" t="s">
        <v>914</v>
      </c>
      <c r="BG171" s="49" t="s">
        <v>1039</v>
      </c>
      <c r="BH171" s="49" t="s">
        <v>1039</v>
      </c>
      <c r="BI171" s="113" t="s">
        <v>3760</v>
      </c>
      <c r="BJ171" s="113" t="s">
        <v>3760</v>
      </c>
      <c r="BK171" s="113" t="s">
        <v>3937</v>
      </c>
      <c r="BL171" s="113" t="s">
        <v>3937</v>
      </c>
      <c r="BM171" s="113">
        <v>0</v>
      </c>
      <c r="BN171" s="116">
        <v>0</v>
      </c>
      <c r="BO171" s="113">
        <v>0</v>
      </c>
      <c r="BP171" s="116">
        <v>0</v>
      </c>
      <c r="BQ171" s="113">
        <v>0</v>
      </c>
      <c r="BR171" s="116">
        <v>0</v>
      </c>
      <c r="BS171" s="113">
        <v>9</v>
      </c>
      <c r="BT171" s="116">
        <v>100</v>
      </c>
      <c r="BU171" s="113">
        <v>9</v>
      </c>
      <c r="BV171" s="2"/>
      <c r="BW171" s="3"/>
      <c r="BX171" s="3"/>
      <c r="BY171" s="3"/>
      <c r="BZ171" s="3"/>
    </row>
    <row r="172" spans="1:78" ht="41.45" customHeight="1">
      <c r="A172" s="66" t="s">
        <v>491</v>
      </c>
      <c r="C172" s="67"/>
      <c r="D172" s="67" t="s">
        <v>64</v>
      </c>
      <c r="E172" s="68">
        <v>162.3442057494643</v>
      </c>
      <c r="F172" s="70">
        <v>99.99925769164189</v>
      </c>
      <c r="G172" s="106" t="str">
        <f>HYPERLINK("https://pbs.twimg.com/profile_images/2134211823/PROA_normal.jpg")</f>
        <v>https://pbs.twimg.com/profile_images/2134211823/PROA_normal.jpg</v>
      </c>
      <c r="H172" s="67"/>
      <c r="I172" s="71" t="s">
        <v>491</v>
      </c>
      <c r="J172" s="72"/>
      <c r="K172" s="72"/>
      <c r="L172" s="71" t="s">
        <v>3052</v>
      </c>
      <c r="M172" s="75">
        <v>1.24738663214847</v>
      </c>
      <c r="N172" s="76">
        <v>9604.373046875</v>
      </c>
      <c r="O172" s="76">
        <v>2000.8963623046875</v>
      </c>
      <c r="P172" s="77"/>
      <c r="Q172" s="78"/>
      <c r="R172" s="78"/>
      <c r="S172" s="92"/>
      <c r="T172" s="49">
        <v>1</v>
      </c>
      <c r="U172" s="49">
        <v>0</v>
      </c>
      <c r="V172" s="50">
        <v>0</v>
      </c>
      <c r="W172" s="50">
        <v>1</v>
      </c>
      <c r="X172" s="50">
        <v>0</v>
      </c>
      <c r="Y172" s="50">
        <v>0.999998</v>
      </c>
      <c r="Z172" s="50">
        <v>0</v>
      </c>
      <c r="AA172" s="50">
        <v>0</v>
      </c>
      <c r="AB172" s="73">
        <v>172</v>
      </c>
      <c r="AC172" s="73"/>
      <c r="AD172" s="74"/>
      <c r="AE172" s="81" t="s">
        <v>2084</v>
      </c>
      <c r="AF172" s="86" t="s">
        <v>2354</v>
      </c>
      <c r="AG172" s="81">
        <v>147</v>
      </c>
      <c r="AH172" s="81">
        <v>1829</v>
      </c>
      <c r="AI172" s="81">
        <v>3098</v>
      </c>
      <c r="AJ172" s="81">
        <v>496</v>
      </c>
      <c r="AK172" s="81"/>
      <c r="AL172" s="81" t="s">
        <v>2618</v>
      </c>
      <c r="AM172" s="81" t="s">
        <v>2829</v>
      </c>
      <c r="AN172" s="88" t="str">
        <f>HYPERLINK("http://t.co/1fe1IHRiZu")</f>
        <v>http://t.co/1fe1IHRiZu</v>
      </c>
      <c r="AO172" s="81"/>
      <c r="AP172" s="83">
        <v>40614.65677083333</v>
      </c>
      <c r="AQ172" s="81"/>
      <c r="AR172" s="81" t="b">
        <v>0</v>
      </c>
      <c r="AS172" s="81" t="b">
        <v>0</v>
      </c>
      <c r="AT172" s="81" t="b">
        <v>1</v>
      </c>
      <c r="AU172" s="81"/>
      <c r="AV172" s="81">
        <v>58</v>
      </c>
      <c r="AW172" s="88" t="str">
        <f>HYPERLINK("https://abs.twimg.com/images/themes/theme1/bg.png")</f>
        <v>https://abs.twimg.com/images/themes/theme1/bg.png</v>
      </c>
      <c r="AX172" s="81" t="b">
        <v>0</v>
      </c>
      <c r="AY172" s="81" t="s">
        <v>2883</v>
      </c>
      <c r="AZ172" s="88" t="str">
        <f>HYPERLINK("https://twitter.com/proa_hulp")</f>
        <v>https://twitter.com/proa_hulp</v>
      </c>
      <c r="BA172" s="81" t="s">
        <v>65</v>
      </c>
      <c r="BB172" s="81" t="str">
        <f>REPLACE(INDEX(GroupVertices[Group],MATCH(Vertices[[#This Row],[Vertex]],GroupVertices[Vertex],0)),1,1,"")</f>
        <v>19</v>
      </c>
      <c r="BC172" s="49"/>
      <c r="BD172" s="49"/>
      <c r="BE172" s="49"/>
      <c r="BF172" s="49"/>
      <c r="BG172" s="49"/>
      <c r="BH172" s="49"/>
      <c r="BI172" s="49"/>
      <c r="BJ172" s="49"/>
      <c r="BK172" s="49"/>
      <c r="BL172" s="49"/>
      <c r="BM172" s="49"/>
      <c r="BN172" s="50"/>
      <c r="BO172" s="49"/>
      <c r="BP172" s="50"/>
      <c r="BQ172" s="49"/>
      <c r="BR172" s="50"/>
      <c r="BS172" s="49"/>
      <c r="BT172" s="50"/>
      <c r="BU172" s="49"/>
      <c r="BV172" s="2"/>
      <c r="BW172" s="3"/>
      <c r="BX172" s="3"/>
      <c r="BY172" s="3"/>
      <c r="BZ172" s="3"/>
    </row>
    <row r="173" spans="1:78" ht="41.45" customHeight="1">
      <c r="A173" s="66" t="s">
        <v>371</v>
      </c>
      <c r="C173" s="67"/>
      <c r="D173" s="67" t="s">
        <v>64</v>
      </c>
      <c r="E173" s="68">
        <v>177.279078325755</v>
      </c>
      <c r="F173" s="70">
        <v>99.96704939541776</v>
      </c>
      <c r="G173" s="106" t="str">
        <f>HYPERLINK("https://pbs.twimg.com/profile_images/907604041215201280/IuRPoVdN_normal.jpg")</f>
        <v>https://pbs.twimg.com/profile_images/907604041215201280/IuRPoVdN_normal.jpg</v>
      </c>
      <c r="H173" s="67"/>
      <c r="I173" s="71" t="s">
        <v>371</v>
      </c>
      <c r="J173" s="72"/>
      <c r="K173" s="72"/>
      <c r="L173" s="71" t="s">
        <v>3053</v>
      </c>
      <c r="M173" s="75">
        <v>11.981338153775585</v>
      </c>
      <c r="N173" s="76">
        <v>746.3868408203125</v>
      </c>
      <c r="O173" s="76">
        <v>718.1299438476562</v>
      </c>
      <c r="P173" s="77"/>
      <c r="Q173" s="78"/>
      <c r="R173" s="78"/>
      <c r="S173" s="92"/>
      <c r="T173" s="49">
        <v>1</v>
      </c>
      <c r="U173" s="49">
        <v>1</v>
      </c>
      <c r="V173" s="50">
        <v>0</v>
      </c>
      <c r="W173" s="50">
        <v>0</v>
      </c>
      <c r="X173" s="50">
        <v>0</v>
      </c>
      <c r="Y173" s="50">
        <v>0.999998</v>
      </c>
      <c r="Z173" s="50">
        <v>0</v>
      </c>
      <c r="AA173" s="50">
        <v>0</v>
      </c>
      <c r="AB173" s="73">
        <v>173</v>
      </c>
      <c r="AC173" s="73"/>
      <c r="AD173" s="74"/>
      <c r="AE173" s="81" t="s">
        <v>2085</v>
      </c>
      <c r="AF173" s="86" t="s">
        <v>2355</v>
      </c>
      <c r="AG173" s="81">
        <v>3213</v>
      </c>
      <c r="AH173" s="81">
        <v>81058</v>
      </c>
      <c r="AI173" s="81">
        <v>24238</v>
      </c>
      <c r="AJ173" s="81">
        <v>14171</v>
      </c>
      <c r="AK173" s="81"/>
      <c r="AL173" s="81" t="s">
        <v>2619</v>
      </c>
      <c r="AM173" s="81" t="s">
        <v>2830</v>
      </c>
      <c r="AN173" s="88" t="str">
        <f>HYPERLINK("https://t.co/4klKLWIm7l")</f>
        <v>https://t.co/4klKLWIm7l</v>
      </c>
      <c r="AO173" s="81"/>
      <c r="AP173" s="83">
        <v>41072.570231481484</v>
      </c>
      <c r="AQ173" s="88" t="str">
        <f>HYPERLINK("https://pbs.twimg.com/profile_banners/606325697/1632141538")</f>
        <v>https://pbs.twimg.com/profile_banners/606325697/1632141538</v>
      </c>
      <c r="AR173" s="81" t="b">
        <v>0</v>
      </c>
      <c r="AS173" s="81" t="b">
        <v>0</v>
      </c>
      <c r="AT173" s="81" t="b">
        <v>0</v>
      </c>
      <c r="AU173" s="81"/>
      <c r="AV173" s="81">
        <v>1848</v>
      </c>
      <c r="AW173" s="88" t="str">
        <f>HYPERLINK("https://abs.twimg.com/images/themes/theme1/bg.png")</f>
        <v>https://abs.twimg.com/images/themes/theme1/bg.png</v>
      </c>
      <c r="AX173" s="81" t="b">
        <v>1</v>
      </c>
      <c r="AY173" s="81" t="s">
        <v>2883</v>
      </c>
      <c r="AZ173" s="88" t="str">
        <f>HYPERLINK("https://twitter.com/eu_health")</f>
        <v>https://twitter.com/eu_health</v>
      </c>
      <c r="BA173" s="81" t="s">
        <v>66</v>
      </c>
      <c r="BB173" s="81" t="str">
        <f>REPLACE(INDEX(GroupVertices[Group],MATCH(Vertices[[#This Row],[Vertex]],GroupVertices[Vertex],0)),1,1,"")</f>
        <v>1</v>
      </c>
      <c r="BC173" s="49" t="s">
        <v>3573</v>
      </c>
      <c r="BD173" s="49" t="s">
        <v>3573</v>
      </c>
      <c r="BE173" s="49" t="s">
        <v>914</v>
      </c>
      <c r="BF173" s="49" t="s">
        <v>914</v>
      </c>
      <c r="BG173" s="49" t="s">
        <v>3626</v>
      </c>
      <c r="BH173" s="49" t="s">
        <v>3662</v>
      </c>
      <c r="BI173" s="113" t="s">
        <v>3761</v>
      </c>
      <c r="BJ173" s="113" t="s">
        <v>3834</v>
      </c>
      <c r="BK173" s="113" t="s">
        <v>3938</v>
      </c>
      <c r="BL173" s="113" t="s">
        <v>3938</v>
      </c>
      <c r="BM173" s="113">
        <v>4</v>
      </c>
      <c r="BN173" s="116">
        <v>5.633802816901408</v>
      </c>
      <c r="BO173" s="113">
        <v>0</v>
      </c>
      <c r="BP173" s="116">
        <v>0</v>
      </c>
      <c r="BQ173" s="113">
        <v>0</v>
      </c>
      <c r="BR173" s="116">
        <v>0</v>
      </c>
      <c r="BS173" s="113">
        <v>67</v>
      </c>
      <c r="BT173" s="116">
        <v>94.36619718309859</v>
      </c>
      <c r="BU173" s="113">
        <v>71</v>
      </c>
      <c r="BV173" s="2"/>
      <c r="BW173" s="3"/>
      <c r="BX173" s="3"/>
      <c r="BY173" s="3"/>
      <c r="BZ173" s="3"/>
    </row>
    <row r="174" spans="1:78" ht="41.45" customHeight="1">
      <c r="A174" s="66" t="s">
        <v>372</v>
      </c>
      <c r="C174" s="67"/>
      <c r="D174" s="67" t="s">
        <v>64</v>
      </c>
      <c r="E174" s="68">
        <v>162.01677673149086</v>
      </c>
      <c r="F174" s="70">
        <v>99.99996381958167</v>
      </c>
      <c r="G174" s="106" t="str">
        <f>HYPERLINK("https://pbs.twimg.com/profile_images/1425093924855730186/CUMmmu6C_normal.jpg")</f>
        <v>https://pbs.twimg.com/profile_images/1425093924855730186/CUMmmu6C_normal.jpg</v>
      </c>
      <c r="H174" s="67"/>
      <c r="I174" s="71" t="s">
        <v>372</v>
      </c>
      <c r="J174" s="72"/>
      <c r="K174" s="72"/>
      <c r="L174" s="71" t="s">
        <v>3054</v>
      </c>
      <c r="M174" s="75">
        <v>1.0120577274157798</v>
      </c>
      <c r="N174" s="76">
        <v>9604.373046875</v>
      </c>
      <c r="O174" s="76">
        <v>904.5148315429688</v>
      </c>
      <c r="P174" s="77"/>
      <c r="Q174" s="78"/>
      <c r="R174" s="78"/>
      <c r="S174" s="92"/>
      <c r="T174" s="49">
        <v>0</v>
      </c>
      <c r="U174" s="49">
        <v>1</v>
      </c>
      <c r="V174" s="50">
        <v>0</v>
      </c>
      <c r="W174" s="50">
        <v>1</v>
      </c>
      <c r="X174" s="50">
        <v>0</v>
      </c>
      <c r="Y174" s="50">
        <v>0.999998</v>
      </c>
      <c r="Z174" s="50">
        <v>0</v>
      </c>
      <c r="AA174" s="50">
        <v>0</v>
      </c>
      <c r="AB174" s="73">
        <v>174</v>
      </c>
      <c r="AC174" s="73"/>
      <c r="AD174" s="74"/>
      <c r="AE174" s="81" t="s">
        <v>2086</v>
      </c>
      <c r="AF174" s="86" t="s">
        <v>2356</v>
      </c>
      <c r="AG174" s="81">
        <v>145</v>
      </c>
      <c r="AH174" s="81">
        <v>92</v>
      </c>
      <c r="AI174" s="81">
        <v>31</v>
      </c>
      <c r="AJ174" s="81">
        <v>64</v>
      </c>
      <c r="AK174" s="81"/>
      <c r="AL174" s="81" t="s">
        <v>2620</v>
      </c>
      <c r="AM174" s="81"/>
      <c r="AN174" s="81"/>
      <c r="AO174" s="81"/>
      <c r="AP174" s="83">
        <v>43795.82907407408</v>
      </c>
      <c r="AQ174" s="88" t="str">
        <f>HYPERLINK("https://pbs.twimg.com/profile_banners/1199415970202292224/1628604099")</f>
        <v>https://pbs.twimg.com/profile_banners/1199415970202292224/1628604099</v>
      </c>
      <c r="AR174" s="81" t="b">
        <v>1</v>
      </c>
      <c r="AS174" s="81" t="b">
        <v>0</v>
      </c>
      <c r="AT174" s="81" t="b">
        <v>0</v>
      </c>
      <c r="AU174" s="81"/>
      <c r="AV174" s="81">
        <v>1</v>
      </c>
      <c r="AW174" s="81"/>
      <c r="AX174" s="81" t="b">
        <v>0</v>
      </c>
      <c r="AY174" s="81" t="s">
        <v>2883</v>
      </c>
      <c r="AZ174" s="88" t="str">
        <f>HYPERLINK("https://twitter.com/lydiapalumbo_")</f>
        <v>https://twitter.com/lydiapalumbo_</v>
      </c>
      <c r="BA174" s="81" t="s">
        <v>66</v>
      </c>
      <c r="BB174" s="81" t="str">
        <f>REPLACE(INDEX(GroupVertices[Group],MATCH(Vertices[[#This Row],[Vertex]],GroupVertices[Vertex],0)),1,1,"")</f>
        <v>18</v>
      </c>
      <c r="BC174" s="49"/>
      <c r="BD174" s="49"/>
      <c r="BE174" s="49"/>
      <c r="BF174" s="49"/>
      <c r="BG174" s="49" t="s">
        <v>1042</v>
      </c>
      <c r="BH174" s="49" t="s">
        <v>1042</v>
      </c>
      <c r="BI174" s="113" t="s">
        <v>3762</v>
      </c>
      <c r="BJ174" s="113" t="s">
        <v>3762</v>
      </c>
      <c r="BK174" s="113" t="s">
        <v>3939</v>
      </c>
      <c r="BL174" s="113" t="s">
        <v>3939</v>
      </c>
      <c r="BM174" s="113">
        <v>1</v>
      </c>
      <c r="BN174" s="116">
        <v>4.3478260869565215</v>
      </c>
      <c r="BO174" s="113">
        <v>1</v>
      </c>
      <c r="BP174" s="116">
        <v>4.3478260869565215</v>
      </c>
      <c r="BQ174" s="113">
        <v>0</v>
      </c>
      <c r="BR174" s="116">
        <v>0</v>
      </c>
      <c r="BS174" s="113">
        <v>21</v>
      </c>
      <c r="BT174" s="116">
        <v>91.30434782608695</v>
      </c>
      <c r="BU174" s="113">
        <v>23</v>
      </c>
      <c r="BV174" s="2"/>
      <c r="BW174" s="3"/>
      <c r="BX174" s="3"/>
      <c r="BY174" s="3"/>
      <c r="BZ174" s="3"/>
    </row>
    <row r="175" spans="1:78" ht="41.45" customHeight="1">
      <c r="A175" s="66" t="s">
        <v>492</v>
      </c>
      <c r="C175" s="67"/>
      <c r="D175" s="67" t="s">
        <v>64</v>
      </c>
      <c r="E175" s="68">
        <v>988.540361376132</v>
      </c>
      <c r="F175" s="70">
        <v>98.21749689095702</v>
      </c>
      <c r="G175" s="106" t="str">
        <f>HYPERLINK("https://pbs.twimg.com/profile_images/1461340048608145408/R5YTzeUS_normal.png")</f>
        <v>https://pbs.twimg.com/profile_images/1461340048608145408/R5YTzeUS_normal.png</v>
      </c>
      <c r="H175" s="67"/>
      <c r="I175" s="71" t="s">
        <v>492</v>
      </c>
      <c r="J175" s="72"/>
      <c r="K175" s="72"/>
      <c r="L175" s="71" t="s">
        <v>3055</v>
      </c>
      <c r="M175" s="75">
        <v>595.0488694737206</v>
      </c>
      <c r="N175" s="76">
        <v>9604.373046875</v>
      </c>
      <c r="O175" s="76">
        <v>520.78125</v>
      </c>
      <c r="P175" s="77"/>
      <c r="Q175" s="78"/>
      <c r="R175" s="78"/>
      <c r="S175" s="92"/>
      <c r="T175" s="49">
        <v>1</v>
      </c>
      <c r="U175" s="49">
        <v>0</v>
      </c>
      <c r="V175" s="50">
        <v>0</v>
      </c>
      <c r="W175" s="50">
        <v>1</v>
      </c>
      <c r="X175" s="50">
        <v>0</v>
      </c>
      <c r="Y175" s="50">
        <v>0.999998</v>
      </c>
      <c r="Z175" s="50">
        <v>0</v>
      </c>
      <c r="AA175" s="50">
        <v>0</v>
      </c>
      <c r="AB175" s="73">
        <v>175</v>
      </c>
      <c r="AC175" s="73"/>
      <c r="AD175" s="74"/>
      <c r="AE175" s="81" t="s">
        <v>2087</v>
      </c>
      <c r="AF175" s="86" t="s">
        <v>2357</v>
      </c>
      <c r="AG175" s="81">
        <v>13520</v>
      </c>
      <c r="AH175" s="81">
        <v>4384772</v>
      </c>
      <c r="AI175" s="81">
        <v>775877</v>
      </c>
      <c r="AJ175" s="81">
        <v>16429</v>
      </c>
      <c r="AK175" s="81"/>
      <c r="AL175" s="81" t="s">
        <v>2621</v>
      </c>
      <c r="AM175" s="81"/>
      <c r="AN175" s="81"/>
      <c r="AO175" s="81"/>
      <c r="AP175" s="83">
        <v>40058.74077546296</v>
      </c>
      <c r="AQ175" s="88" t="str">
        <f>HYPERLINK("https://pbs.twimg.com/profile_banners/71026122/1633532627")</f>
        <v>https://pbs.twimg.com/profile_banners/71026122/1633532627</v>
      </c>
      <c r="AR175" s="81" t="b">
        <v>0</v>
      </c>
      <c r="AS175" s="81" t="b">
        <v>0</v>
      </c>
      <c r="AT175" s="81" t="b">
        <v>1</v>
      </c>
      <c r="AU175" s="81"/>
      <c r="AV175" s="81">
        <v>9051</v>
      </c>
      <c r="AW175" s="88" t="str">
        <f>HYPERLINK("https://abs.twimg.com/images/themes/theme14/bg.gif")</f>
        <v>https://abs.twimg.com/images/themes/theme14/bg.gif</v>
      </c>
      <c r="AX175" s="81" t="b">
        <v>1</v>
      </c>
      <c r="AY175" s="81" t="s">
        <v>2883</v>
      </c>
      <c r="AZ175" s="88" t="str">
        <f>HYPERLINK("https://twitter.com/mcdonalds")</f>
        <v>https://twitter.com/mcdonalds</v>
      </c>
      <c r="BA175" s="81" t="s">
        <v>65</v>
      </c>
      <c r="BB175" s="81" t="str">
        <f>REPLACE(INDEX(GroupVertices[Group],MATCH(Vertices[[#This Row],[Vertex]],GroupVertices[Vertex],0)),1,1,"")</f>
        <v>18</v>
      </c>
      <c r="BC175" s="49"/>
      <c r="BD175" s="49"/>
      <c r="BE175" s="49"/>
      <c r="BF175" s="49"/>
      <c r="BG175" s="49"/>
      <c r="BH175" s="49"/>
      <c r="BI175" s="49"/>
      <c r="BJ175" s="49"/>
      <c r="BK175" s="49"/>
      <c r="BL175" s="49"/>
      <c r="BM175" s="49"/>
      <c r="BN175" s="50"/>
      <c r="BO175" s="49"/>
      <c r="BP175" s="50"/>
      <c r="BQ175" s="49"/>
      <c r="BR175" s="50"/>
      <c r="BS175" s="49"/>
      <c r="BT175" s="50"/>
      <c r="BU175" s="49"/>
      <c r="BV175" s="2"/>
      <c r="BW175" s="3"/>
      <c r="BX175" s="3"/>
      <c r="BY175" s="3"/>
      <c r="BZ175" s="3"/>
    </row>
    <row r="176" spans="1:78" ht="41.45" customHeight="1">
      <c r="A176" s="66" t="s">
        <v>373</v>
      </c>
      <c r="C176" s="67"/>
      <c r="D176" s="67" t="s">
        <v>64</v>
      </c>
      <c r="E176" s="68">
        <v>162.3074477422652</v>
      </c>
      <c r="F176" s="70">
        <v>99.99933696334497</v>
      </c>
      <c r="G176" s="106" t="str">
        <f>HYPERLINK("https://pbs.twimg.com/profile_images/1112780959563300865/pdF98K04_normal.png")</f>
        <v>https://pbs.twimg.com/profile_images/1112780959563300865/pdF98K04_normal.png</v>
      </c>
      <c r="H176" s="67"/>
      <c r="I176" s="71" t="s">
        <v>373</v>
      </c>
      <c r="J176" s="72"/>
      <c r="K176" s="72"/>
      <c r="L176" s="71" t="s">
        <v>3056</v>
      </c>
      <c r="M176" s="75">
        <v>1.220968015900413</v>
      </c>
      <c r="N176" s="76">
        <v>1137.3221435546875</v>
      </c>
      <c r="O176" s="76">
        <v>4610.28466796875</v>
      </c>
      <c r="P176" s="77"/>
      <c r="Q176" s="78"/>
      <c r="R176" s="78"/>
      <c r="S176" s="92"/>
      <c r="T176" s="49">
        <v>1</v>
      </c>
      <c r="U176" s="49">
        <v>1</v>
      </c>
      <c r="V176" s="50">
        <v>0</v>
      </c>
      <c r="W176" s="50">
        <v>0</v>
      </c>
      <c r="X176" s="50">
        <v>0</v>
      </c>
      <c r="Y176" s="50">
        <v>0.999998</v>
      </c>
      <c r="Z176" s="50">
        <v>0</v>
      </c>
      <c r="AA176" s="50">
        <v>0</v>
      </c>
      <c r="AB176" s="73">
        <v>176</v>
      </c>
      <c r="AC176" s="73"/>
      <c r="AD176" s="74"/>
      <c r="AE176" s="81" t="s">
        <v>2088</v>
      </c>
      <c r="AF176" s="86" t="s">
        <v>2358</v>
      </c>
      <c r="AG176" s="81">
        <v>1826</v>
      </c>
      <c r="AH176" s="81">
        <v>1634</v>
      </c>
      <c r="AI176" s="81">
        <v>10994</v>
      </c>
      <c r="AJ176" s="81">
        <v>1905</v>
      </c>
      <c r="AK176" s="81"/>
      <c r="AL176" s="81" t="s">
        <v>2622</v>
      </c>
      <c r="AM176" s="81" t="s">
        <v>2780</v>
      </c>
      <c r="AN176" s="88" t="str">
        <f>HYPERLINK("http://t.co/OVNXDVSoj0")</f>
        <v>http://t.co/OVNXDVSoj0</v>
      </c>
      <c r="AO176" s="81"/>
      <c r="AP176" s="83">
        <v>41050.86483796296</v>
      </c>
      <c r="AQ176" s="88" t="str">
        <f>HYPERLINK("https://pbs.twimg.com/profile_banners/586943826/1542314099")</f>
        <v>https://pbs.twimg.com/profile_banners/586943826/1542314099</v>
      </c>
      <c r="AR176" s="81" t="b">
        <v>0</v>
      </c>
      <c r="AS176" s="81" t="b">
        <v>0</v>
      </c>
      <c r="AT176" s="81" t="b">
        <v>0</v>
      </c>
      <c r="AU176" s="81"/>
      <c r="AV176" s="81">
        <v>50</v>
      </c>
      <c r="AW176" s="88" t="str">
        <f>HYPERLINK("https://abs.twimg.com/images/themes/theme1/bg.png")</f>
        <v>https://abs.twimg.com/images/themes/theme1/bg.png</v>
      </c>
      <c r="AX176" s="81" t="b">
        <v>0</v>
      </c>
      <c r="AY176" s="81" t="s">
        <v>2883</v>
      </c>
      <c r="AZ176" s="88" t="str">
        <f>HYPERLINK("https://twitter.com/med_shadow")</f>
        <v>https://twitter.com/med_shadow</v>
      </c>
      <c r="BA176" s="81" t="s">
        <v>66</v>
      </c>
      <c r="BB176" s="81" t="str">
        <f>REPLACE(INDEX(GroupVertices[Group],MATCH(Vertices[[#This Row],[Vertex]],GroupVertices[Vertex],0)),1,1,"")</f>
        <v>1</v>
      </c>
      <c r="BC176" s="49" t="s">
        <v>3574</v>
      </c>
      <c r="BD176" s="49" t="s">
        <v>3574</v>
      </c>
      <c r="BE176" s="49" t="s">
        <v>928</v>
      </c>
      <c r="BF176" s="49" t="s">
        <v>928</v>
      </c>
      <c r="BG176" s="49" t="s">
        <v>990</v>
      </c>
      <c r="BH176" s="49" t="s">
        <v>1043</v>
      </c>
      <c r="BI176" s="113" t="s">
        <v>3763</v>
      </c>
      <c r="BJ176" s="113" t="s">
        <v>3835</v>
      </c>
      <c r="BK176" s="113" t="s">
        <v>3940</v>
      </c>
      <c r="BL176" s="113" t="s">
        <v>3940</v>
      </c>
      <c r="BM176" s="113">
        <v>0</v>
      </c>
      <c r="BN176" s="116">
        <v>0</v>
      </c>
      <c r="BO176" s="113">
        <v>1</v>
      </c>
      <c r="BP176" s="116">
        <v>2.7027027027027026</v>
      </c>
      <c r="BQ176" s="113">
        <v>1</v>
      </c>
      <c r="BR176" s="116">
        <v>2.7027027027027026</v>
      </c>
      <c r="BS176" s="113">
        <v>36</v>
      </c>
      <c r="BT176" s="116">
        <v>97.29729729729729</v>
      </c>
      <c r="BU176" s="113">
        <v>37</v>
      </c>
      <c r="BV176" s="2"/>
      <c r="BW176" s="3"/>
      <c r="BX176" s="3"/>
      <c r="BY176" s="3"/>
      <c r="BZ176" s="3"/>
    </row>
    <row r="177" spans="1:78" ht="41.45" customHeight="1">
      <c r="A177" s="66" t="s">
        <v>374</v>
      </c>
      <c r="C177" s="67"/>
      <c r="D177" s="67" t="s">
        <v>64</v>
      </c>
      <c r="E177" s="68">
        <v>162.1400574325586</v>
      </c>
      <c r="F177" s="70">
        <v>99.99969795448517</v>
      </c>
      <c r="G177" s="106" t="str">
        <f>HYPERLINK("https://pbs.twimg.com/profile_images/1301745980417683456/VbQKoXfn_normal.jpg")</f>
        <v>https://pbs.twimg.com/profile_images/1301745980417683456/VbQKoXfn_normal.jpg</v>
      </c>
      <c r="H177" s="67"/>
      <c r="I177" s="71" t="s">
        <v>374</v>
      </c>
      <c r="J177" s="72"/>
      <c r="K177" s="72"/>
      <c r="L177" s="71" t="s">
        <v>3057</v>
      </c>
      <c r="M177" s="75">
        <v>1.1006617019092624</v>
      </c>
      <c r="N177" s="76">
        <v>3482.93359375</v>
      </c>
      <c r="O177" s="76">
        <v>6167.146484375</v>
      </c>
      <c r="P177" s="77"/>
      <c r="Q177" s="78"/>
      <c r="R177" s="78"/>
      <c r="S177" s="92"/>
      <c r="T177" s="49">
        <v>1</v>
      </c>
      <c r="U177" s="49">
        <v>1</v>
      </c>
      <c r="V177" s="50">
        <v>0</v>
      </c>
      <c r="W177" s="50">
        <v>0</v>
      </c>
      <c r="X177" s="50">
        <v>0</v>
      </c>
      <c r="Y177" s="50">
        <v>0.999998</v>
      </c>
      <c r="Z177" s="50">
        <v>0</v>
      </c>
      <c r="AA177" s="50">
        <v>0</v>
      </c>
      <c r="AB177" s="73">
        <v>177</v>
      </c>
      <c r="AC177" s="73"/>
      <c r="AD177" s="74"/>
      <c r="AE177" s="81" t="s">
        <v>2089</v>
      </c>
      <c r="AF177" s="86" t="s">
        <v>2359</v>
      </c>
      <c r="AG177" s="81">
        <v>407</v>
      </c>
      <c r="AH177" s="81">
        <v>746</v>
      </c>
      <c r="AI177" s="81">
        <v>28572</v>
      </c>
      <c r="AJ177" s="81">
        <v>47181</v>
      </c>
      <c r="AK177" s="81"/>
      <c r="AL177" s="81" t="s">
        <v>2623</v>
      </c>
      <c r="AM177" s="81" t="s">
        <v>1875</v>
      </c>
      <c r="AN177" s="88" t="str">
        <f>HYPERLINK("https://t.co/jbSC4XuAHD")</f>
        <v>https://t.co/jbSC4XuAHD</v>
      </c>
      <c r="AO177" s="81"/>
      <c r="AP177" s="83">
        <v>40966.00289351852</v>
      </c>
      <c r="AQ177" s="88" t="str">
        <f>HYPERLINK("https://pbs.twimg.com/profile_banners/505158929/1579027255")</f>
        <v>https://pbs.twimg.com/profile_banners/505158929/1579027255</v>
      </c>
      <c r="AR177" s="81" t="b">
        <v>1</v>
      </c>
      <c r="AS177" s="81" t="b">
        <v>0</v>
      </c>
      <c r="AT177" s="81" t="b">
        <v>1</v>
      </c>
      <c r="AU177" s="81"/>
      <c r="AV177" s="81">
        <v>1</v>
      </c>
      <c r="AW177" s="88" t="str">
        <f>HYPERLINK("https://abs.twimg.com/images/themes/theme1/bg.png")</f>
        <v>https://abs.twimg.com/images/themes/theme1/bg.png</v>
      </c>
      <c r="AX177" s="81" t="b">
        <v>0</v>
      </c>
      <c r="AY177" s="81" t="s">
        <v>2883</v>
      </c>
      <c r="AZ177" s="88" t="str">
        <f>HYPERLINK("https://twitter.com/h3a1er")</f>
        <v>https://twitter.com/h3a1er</v>
      </c>
      <c r="BA177" s="81" t="s">
        <v>66</v>
      </c>
      <c r="BB177" s="81" t="str">
        <f>REPLACE(INDEX(GroupVertices[Group],MATCH(Vertices[[#This Row],[Vertex]],GroupVertices[Vertex],0)),1,1,"")</f>
        <v>1</v>
      </c>
      <c r="BC177" s="49" t="s">
        <v>3575</v>
      </c>
      <c r="BD177" s="49" t="s">
        <v>3575</v>
      </c>
      <c r="BE177" s="49" t="s">
        <v>914</v>
      </c>
      <c r="BF177" s="49" t="s">
        <v>914</v>
      </c>
      <c r="BG177" s="49" t="s">
        <v>966</v>
      </c>
      <c r="BH177" s="49" t="s">
        <v>966</v>
      </c>
      <c r="BI177" s="113" t="s">
        <v>3700</v>
      </c>
      <c r="BJ177" s="113" t="s">
        <v>3681</v>
      </c>
      <c r="BK177" s="113" t="s">
        <v>3877</v>
      </c>
      <c r="BL177" s="113" t="s">
        <v>3858</v>
      </c>
      <c r="BM177" s="113">
        <v>0</v>
      </c>
      <c r="BN177" s="116">
        <v>0</v>
      </c>
      <c r="BO177" s="113">
        <v>4</v>
      </c>
      <c r="BP177" s="116">
        <v>10.526315789473685</v>
      </c>
      <c r="BQ177" s="113">
        <v>0</v>
      </c>
      <c r="BR177" s="116">
        <v>0</v>
      </c>
      <c r="BS177" s="113">
        <v>34</v>
      </c>
      <c r="BT177" s="116">
        <v>89.47368421052632</v>
      </c>
      <c r="BU177" s="113">
        <v>38</v>
      </c>
      <c r="BV177" s="2"/>
      <c r="BW177" s="3"/>
      <c r="BX177" s="3"/>
      <c r="BY177" s="3"/>
      <c r="BZ177" s="3"/>
    </row>
    <row r="178" spans="1:78" ht="41.45" customHeight="1">
      <c r="A178" s="66" t="s">
        <v>375</v>
      </c>
      <c r="C178" s="67"/>
      <c r="D178" s="67" t="s">
        <v>64</v>
      </c>
      <c r="E178" s="68">
        <v>162.07917109242882</v>
      </c>
      <c r="F178" s="70">
        <v>99.99982926094721</v>
      </c>
      <c r="G178" s="106" t="str">
        <f>HYPERLINK("https://pbs.twimg.com/profile_images/1062068362249945091/-IRRC5Lb_normal.jpg")</f>
        <v>https://pbs.twimg.com/profile_images/1062068362249945091/-IRRC5Lb_normal.jpg</v>
      </c>
      <c r="H178" s="67"/>
      <c r="I178" s="71" t="s">
        <v>375</v>
      </c>
      <c r="J178" s="72"/>
      <c r="K178" s="72"/>
      <c r="L178" s="71" t="s">
        <v>3058</v>
      </c>
      <c r="M178" s="75">
        <v>1.0569016349958145</v>
      </c>
      <c r="N178" s="76">
        <v>4655.7392578125</v>
      </c>
      <c r="O178" s="76">
        <v>6945.5771484375</v>
      </c>
      <c r="P178" s="77"/>
      <c r="Q178" s="78"/>
      <c r="R178" s="78"/>
      <c r="S178" s="92"/>
      <c r="T178" s="49">
        <v>1</v>
      </c>
      <c r="U178" s="49">
        <v>1</v>
      </c>
      <c r="V178" s="50">
        <v>0</v>
      </c>
      <c r="W178" s="50">
        <v>0</v>
      </c>
      <c r="X178" s="50">
        <v>0</v>
      </c>
      <c r="Y178" s="50">
        <v>0.999998</v>
      </c>
      <c r="Z178" s="50">
        <v>0</v>
      </c>
      <c r="AA178" s="50">
        <v>0</v>
      </c>
      <c r="AB178" s="73">
        <v>178</v>
      </c>
      <c r="AC178" s="73"/>
      <c r="AD178" s="74"/>
      <c r="AE178" s="81" t="s">
        <v>2090</v>
      </c>
      <c r="AF178" s="86" t="s">
        <v>2360</v>
      </c>
      <c r="AG178" s="81">
        <v>195</v>
      </c>
      <c r="AH178" s="81">
        <v>423</v>
      </c>
      <c r="AI178" s="81">
        <v>365</v>
      </c>
      <c r="AJ178" s="81">
        <v>330</v>
      </c>
      <c r="AK178" s="81"/>
      <c r="AL178" s="81" t="s">
        <v>2624</v>
      </c>
      <c r="AM178" s="81" t="s">
        <v>2831</v>
      </c>
      <c r="AN178" s="88" t="str">
        <f>HYPERLINK("https://t.co/z4bJR7NhIS")</f>
        <v>https://t.co/z4bJR7NhIS</v>
      </c>
      <c r="AO178" s="81"/>
      <c r="AP178" s="83">
        <v>41836.43405092593</v>
      </c>
      <c r="AQ178" s="88" t="str">
        <f>HYPERLINK("https://pbs.twimg.com/profile_banners/2650639254/1605647187")</f>
        <v>https://pbs.twimg.com/profile_banners/2650639254/1605647187</v>
      </c>
      <c r="AR178" s="81" t="b">
        <v>1</v>
      </c>
      <c r="AS178" s="81" t="b">
        <v>0</v>
      </c>
      <c r="AT178" s="81" t="b">
        <v>1</v>
      </c>
      <c r="AU178" s="81"/>
      <c r="AV178" s="81">
        <v>5</v>
      </c>
      <c r="AW178" s="88" t="str">
        <f>HYPERLINK("https://abs.twimg.com/images/themes/theme1/bg.png")</f>
        <v>https://abs.twimg.com/images/themes/theme1/bg.png</v>
      </c>
      <c r="AX178" s="81" t="b">
        <v>0</v>
      </c>
      <c r="AY178" s="81" t="s">
        <v>2883</v>
      </c>
      <c r="AZ178" s="88" t="str">
        <f>HYPERLINK("https://twitter.com/lthtantibiotics")</f>
        <v>https://twitter.com/lthtantibiotics</v>
      </c>
      <c r="BA178" s="81" t="s">
        <v>66</v>
      </c>
      <c r="BB178" s="81" t="str">
        <f>REPLACE(INDEX(GroupVertices[Group],MATCH(Vertices[[#This Row],[Vertex]],GroupVertices[Vertex],0)),1,1,"")</f>
        <v>1</v>
      </c>
      <c r="BC178" s="49"/>
      <c r="BD178" s="49"/>
      <c r="BE178" s="49"/>
      <c r="BF178" s="49"/>
      <c r="BG178" s="49" t="s">
        <v>3627</v>
      </c>
      <c r="BH178" s="49" t="s">
        <v>3663</v>
      </c>
      <c r="BI178" s="113" t="s">
        <v>3764</v>
      </c>
      <c r="BJ178" s="113" t="s">
        <v>3836</v>
      </c>
      <c r="BK178" s="113" t="s">
        <v>3941</v>
      </c>
      <c r="BL178" s="113" t="s">
        <v>3941</v>
      </c>
      <c r="BM178" s="113">
        <v>0</v>
      </c>
      <c r="BN178" s="116">
        <v>0</v>
      </c>
      <c r="BO178" s="113">
        <v>2</v>
      </c>
      <c r="BP178" s="116">
        <v>5.555555555555555</v>
      </c>
      <c r="BQ178" s="113">
        <v>0</v>
      </c>
      <c r="BR178" s="116">
        <v>0</v>
      </c>
      <c r="BS178" s="113">
        <v>34</v>
      </c>
      <c r="BT178" s="116">
        <v>94.44444444444444</v>
      </c>
      <c r="BU178" s="113">
        <v>36</v>
      </c>
      <c r="BV178" s="2"/>
      <c r="BW178" s="3"/>
      <c r="BX178" s="3"/>
      <c r="BY178" s="3"/>
      <c r="BZ178" s="3"/>
    </row>
    <row r="179" spans="1:78" ht="41.45" customHeight="1">
      <c r="A179" s="66" t="s">
        <v>376</v>
      </c>
      <c r="C179" s="67"/>
      <c r="D179" s="67" t="s">
        <v>64</v>
      </c>
      <c r="E179" s="68">
        <v>162.00697459623777</v>
      </c>
      <c r="F179" s="70">
        <v>99.9999849587025</v>
      </c>
      <c r="G179" s="106" t="str">
        <f>HYPERLINK("https://pbs.twimg.com/profile_images/1464587812603236352/Bnb1B63s_normal.jpg")</f>
        <v>https://pbs.twimg.com/profile_images/1464587812603236352/Bnb1B63s_normal.jpg</v>
      </c>
      <c r="H179" s="67"/>
      <c r="I179" s="71" t="s">
        <v>376</v>
      </c>
      <c r="J179" s="72"/>
      <c r="K179" s="72"/>
      <c r="L179" s="71" t="s">
        <v>3059</v>
      </c>
      <c r="M179" s="75">
        <v>1.0050127630829646</v>
      </c>
      <c r="N179" s="76">
        <v>5046.6748046875</v>
      </c>
      <c r="O179" s="76">
        <v>9280.87109375</v>
      </c>
      <c r="P179" s="77"/>
      <c r="Q179" s="78"/>
      <c r="R179" s="78"/>
      <c r="S179" s="92"/>
      <c r="T179" s="49">
        <v>1</v>
      </c>
      <c r="U179" s="49">
        <v>1</v>
      </c>
      <c r="V179" s="50">
        <v>0</v>
      </c>
      <c r="W179" s="50">
        <v>0</v>
      </c>
      <c r="X179" s="50">
        <v>0</v>
      </c>
      <c r="Y179" s="50">
        <v>0.999998</v>
      </c>
      <c r="Z179" s="50">
        <v>0</v>
      </c>
      <c r="AA179" s="50">
        <v>0</v>
      </c>
      <c r="AB179" s="73">
        <v>179</v>
      </c>
      <c r="AC179" s="73"/>
      <c r="AD179" s="74"/>
      <c r="AE179" s="81" t="s">
        <v>2091</v>
      </c>
      <c r="AF179" s="86" t="s">
        <v>2361</v>
      </c>
      <c r="AG179" s="81">
        <v>147</v>
      </c>
      <c r="AH179" s="81">
        <v>40</v>
      </c>
      <c r="AI179" s="81">
        <v>64</v>
      </c>
      <c r="AJ179" s="81">
        <v>64</v>
      </c>
      <c r="AK179" s="81"/>
      <c r="AL179" s="81" t="s">
        <v>2625</v>
      </c>
      <c r="AM179" s="81" t="s">
        <v>2724</v>
      </c>
      <c r="AN179" s="81"/>
      <c r="AO179" s="81"/>
      <c r="AP179" s="83">
        <v>44511.75357638889</v>
      </c>
      <c r="AQ179" s="81"/>
      <c r="AR179" s="81" t="b">
        <v>1</v>
      </c>
      <c r="AS179" s="81" t="b">
        <v>0</v>
      </c>
      <c r="AT179" s="81" t="b">
        <v>0</v>
      </c>
      <c r="AU179" s="81"/>
      <c r="AV179" s="81">
        <v>0</v>
      </c>
      <c r="AW179" s="81"/>
      <c r="AX179" s="81" t="b">
        <v>0</v>
      </c>
      <c r="AY179" s="81" t="s">
        <v>2883</v>
      </c>
      <c r="AZ179" s="88" t="str">
        <f>HYPERLINK("https://twitter.com/imtiaza66426320")</f>
        <v>https://twitter.com/imtiaza66426320</v>
      </c>
      <c r="BA179" s="81" t="s">
        <v>66</v>
      </c>
      <c r="BB179" s="81" t="str">
        <f>REPLACE(INDEX(GroupVertices[Group],MATCH(Vertices[[#This Row],[Vertex]],GroupVertices[Vertex],0)),1,1,"")</f>
        <v>1</v>
      </c>
      <c r="BC179" s="49"/>
      <c r="BD179" s="49"/>
      <c r="BE179" s="49"/>
      <c r="BF179" s="49"/>
      <c r="BG179" s="49" t="s">
        <v>966</v>
      </c>
      <c r="BH179" s="49" t="s">
        <v>3664</v>
      </c>
      <c r="BI179" s="113" t="s">
        <v>3765</v>
      </c>
      <c r="BJ179" s="113" t="s">
        <v>3837</v>
      </c>
      <c r="BK179" s="113" t="s">
        <v>3942</v>
      </c>
      <c r="BL179" s="113" t="s">
        <v>4000</v>
      </c>
      <c r="BM179" s="113">
        <v>2</v>
      </c>
      <c r="BN179" s="116">
        <v>3.278688524590164</v>
      </c>
      <c r="BO179" s="113">
        <v>2</v>
      </c>
      <c r="BP179" s="116">
        <v>3.278688524590164</v>
      </c>
      <c r="BQ179" s="113">
        <v>0</v>
      </c>
      <c r="BR179" s="116">
        <v>0</v>
      </c>
      <c r="BS179" s="113">
        <v>57</v>
      </c>
      <c r="BT179" s="116">
        <v>93.44262295081967</v>
      </c>
      <c r="BU179" s="113">
        <v>61</v>
      </c>
      <c r="BV179" s="2"/>
      <c r="BW179" s="3"/>
      <c r="BX179" s="3"/>
      <c r="BY179" s="3"/>
      <c r="BZ179" s="3"/>
    </row>
    <row r="180" spans="1:78" ht="41.45" customHeight="1">
      <c r="A180" s="66" t="s">
        <v>377</v>
      </c>
      <c r="C180" s="67"/>
      <c r="D180" s="67" t="s">
        <v>64</v>
      </c>
      <c r="E180" s="68">
        <v>162.01508020808168</v>
      </c>
      <c r="F180" s="70">
        <v>99.99996747827566</v>
      </c>
      <c r="G180" s="106" t="str">
        <f>HYPERLINK("https://pbs.twimg.com/profile_images/1197501220589453313/AFd85lc-_normal.jpg")</f>
        <v>https://pbs.twimg.com/profile_images/1197501220589453313/AFd85lc-_normal.jpg</v>
      </c>
      <c r="H180" s="67"/>
      <c r="I180" s="71" t="s">
        <v>377</v>
      </c>
      <c r="J180" s="72"/>
      <c r="K180" s="72"/>
      <c r="L180" s="71" t="s">
        <v>3060</v>
      </c>
      <c r="M180" s="75">
        <v>1.0108384066658693</v>
      </c>
      <c r="N180" s="76">
        <v>4655.7392578125</v>
      </c>
      <c r="O180" s="76">
        <v>8502.439453125</v>
      </c>
      <c r="P180" s="77"/>
      <c r="Q180" s="78"/>
      <c r="R180" s="78"/>
      <c r="S180" s="92"/>
      <c r="T180" s="49">
        <v>1</v>
      </c>
      <c r="U180" s="49">
        <v>1</v>
      </c>
      <c r="V180" s="50">
        <v>0</v>
      </c>
      <c r="W180" s="50">
        <v>0</v>
      </c>
      <c r="X180" s="50">
        <v>0</v>
      </c>
      <c r="Y180" s="50">
        <v>0.999998</v>
      </c>
      <c r="Z180" s="50">
        <v>0</v>
      </c>
      <c r="AA180" s="50">
        <v>0</v>
      </c>
      <c r="AB180" s="73">
        <v>180</v>
      </c>
      <c r="AC180" s="73"/>
      <c r="AD180" s="74"/>
      <c r="AE180" s="81" t="s">
        <v>2092</v>
      </c>
      <c r="AF180" s="86" t="s">
        <v>2362</v>
      </c>
      <c r="AG180" s="81">
        <v>156</v>
      </c>
      <c r="AH180" s="81">
        <v>83</v>
      </c>
      <c r="AI180" s="81">
        <v>908</v>
      </c>
      <c r="AJ180" s="81">
        <v>1939</v>
      </c>
      <c r="AK180" s="81"/>
      <c r="AL180" s="81" t="s">
        <v>2626</v>
      </c>
      <c r="AM180" s="81"/>
      <c r="AN180" s="81"/>
      <c r="AO180" s="81"/>
      <c r="AP180" s="83">
        <v>43725.00850694445</v>
      </c>
      <c r="AQ180" s="88" t="str">
        <f>HYPERLINK("https://pbs.twimg.com/profile_banners/1173751434870833152/1593827160")</f>
        <v>https://pbs.twimg.com/profile_banners/1173751434870833152/1593827160</v>
      </c>
      <c r="AR180" s="81" t="b">
        <v>1</v>
      </c>
      <c r="AS180" s="81" t="b">
        <v>0</v>
      </c>
      <c r="AT180" s="81" t="b">
        <v>0</v>
      </c>
      <c r="AU180" s="81"/>
      <c r="AV180" s="81">
        <v>1</v>
      </c>
      <c r="AW180" s="81"/>
      <c r="AX180" s="81" t="b">
        <v>0</v>
      </c>
      <c r="AY180" s="81" t="s">
        <v>2883</v>
      </c>
      <c r="AZ180" s="88" t="str">
        <f>HYPERLINK("https://twitter.com/ltepod")</f>
        <v>https://twitter.com/ltepod</v>
      </c>
      <c r="BA180" s="81" t="s">
        <v>66</v>
      </c>
      <c r="BB180" s="81" t="str">
        <f>REPLACE(INDEX(GroupVertices[Group],MATCH(Vertices[[#This Row],[Vertex]],GroupVertices[Vertex],0)),1,1,"")</f>
        <v>1</v>
      </c>
      <c r="BC180" s="49"/>
      <c r="BD180" s="49"/>
      <c r="BE180" s="49"/>
      <c r="BF180" s="49"/>
      <c r="BG180" s="49" t="s">
        <v>3628</v>
      </c>
      <c r="BH180" s="49" t="s">
        <v>3628</v>
      </c>
      <c r="BI180" s="113" t="s">
        <v>3766</v>
      </c>
      <c r="BJ180" s="113" t="s">
        <v>3766</v>
      </c>
      <c r="BK180" s="113" t="s">
        <v>3943</v>
      </c>
      <c r="BL180" s="113" t="s">
        <v>3943</v>
      </c>
      <c r="BM180" s="113">
        <v>1</v>
      </c>
      <c r="BN180" s="116">
        <v>4.545454545454546</v>
      </c>
      <c r="BO180" s="113">
        <v>4</v>
      </c>
      <c r="BP180" s="116">
        <v>18.181818181818183</v>
      </c>
      <c r="BQ180" s="113">
        <v>0</v>
      </c>
      <c r="BR180" s="116">
        <v>0</v>
      </c>
      <c r="BS180" s="113">
        <v>17</v>
      </c>
      <c r="BT180" s="116">
        <v>77.27272727272727</v>
      </c>
      <c r="BU180" s="113">
        <v>22</v>
      </c>
      <c r="BV180" s="2"/>
      <c r="BW180" s="3"/>
      <c r="BX180" s="3"/>
      <c r="BY180" s="3"/>
      <c r="BZ180" s="3"/>
    </row>
    <row r="181" spans="1:78" ht="41.45" customHeight="1">
      <c r="A181" s="66" t="s">
        <v>378</v>
      </c>
      <c r="C181" s="67"/>
      <c r="D181" s="67" t="s">
        <v>64</v>
      </c>
      <c r="E181" s="68">
        <v>162.03788902280522</v>
      </c>
      <c r="F181" s="70">
        <v>99.9999182891676</v>
      </c>
      <c r="G181" s="106" t="str">
        <f>HYPERLINK("https://pbs.twimg.com/profile_images/1415591110257299458/dgXx0z39_normal.png")</f>
        <v>https://pbs.twimg.com/profile_images/1415591110257299458/dgXx0z39_normal.png</v>
      </c>
      <c r="H181" s="67"/>
      <c r="I181" s="71" t="s">
        <v>378</v>
      </c>
      <c r="J181" s="72"/>
      <c r="K181" s="72"/>
      <c r="L181" s="71" t="s">
        <v>3061</v>
      </c>
      <c r="M181" s="75">
        <v>1.027231496747997</v>
      </c>
      <c r="N181" s="76">
        <v>4264.80419921875</v>
      </c>
      <c r="O181" s="76">
        <v>7724.00830078125</v>
      </c>
      <c r="P181" s="77"/>
      <c r="Q181" s="78"/>
      <c r="R181" s="78"/>
      <c r="S181" s="92"/>
      <c r="T181" s="49">
        <v>1</v>
      </c>
      <c r="U181" s="49">
        <v>1</v>
      </c>
      <c r="V181" s="50">
        <v>0</v>
      </c>
      <c r="W181" s="50">
        <v>0</v>
      </c>
      <c r="X181" s="50">
        <v>0</v>
      </c>
      <c r="Y181" s="50">
        <v>0.999998</v>
      </c>
      <c r="Z181" s="50">
        <v>0</v>
      </c>
      <c r="AA181" s="50">
        <v>0</v>
      </c>
      <c r="AB181" s="73">
        <v>181</v>
      </c>
      <c r="AC181" s="73"/>
      <c r="AD181" s="74"/>
      <c r="AE181" s="81" t="s">
        <v>2093</v>
      </c>
      <c r="AF181" s="86" t="s">
        <v>2363</v>
      </c>
      <c r="AG181" s="81">
        <v>224</v>
      </c>
      <c r="AH181" s="81">
        <v>204</v>
      </c>
      <c r="AI181" s="81">
        <v>70</v>
      </c>
      <c r="AJ181" s="81">
        <v>0</v>
      </c>
      <c r="AK181" s="81"/>
      <c r="AL181" s="81" t="s">
        <v>2627</v>
      </c>
      <c r="AM181" s="81" t="s">
        <v>2832</v>
      </c>
      <c r="AN181" s="88" t="str">
        <f>HYPERLINK("https://t.co/0OImRg3XrL")</f>
        <v>https://t.co/0OImRg3XrL</v>
      </c>
      <c r="AO181" s="81"/>
      <c r="AP181" s="83">
        <v>44392.35744212963</v>
      </c>
      <c r="AQ181" s="88" t="str">
        <f>HYPERLINK("https://pbs.twimg.com/profile_banners/1415590609080004608/1626338379")</f>
        <v>https://pbs.twimg.com/profile_banners/1415590609080004608/1626338379</v>
      </c>
      <c r="AR181" s="81" t="b">
        <v>1</v>
      </c>
      <c r="AS181" s="81" t="b">
        <v>0</v>
      </c>
      <c r="AT181" s="81" t="b">
        <v>0</v>
      </c>
      <c r="AU181" s="81"/>
      <c r="AV181" s="81">
        <v>0</v>
      </c>
      <c r="AW181" s="81"/>
      <c r="AX181" s="81" t="b">
        <v>0</v>
      </c>
      <c r="AY181" s="81" t="s">
        <v>2883</v>
      </c>
      <c r="AZ181" s="88" t="str">
        <f>HYPERLINK("https://twitter.com/healthsacademy")</f>
        <v>https://twitter.com/healthsacademy</v>
      </c>
      <c r="BA181" s="81" t="s">
        <v>66</v>
      </c>
      <c r="BB181" s="81" t="str">
        <f>REPLACE(INDEX(GroupVertices[Group],MATCH(Vertices[[#This Row],[Vertex]],GroupVertices[Vertex],0)),1,1,"")</f>
        <v>1</v>
      </c>
      <c r="BC181" s="49"/>
      <c r="BD181" s="49"/>
      <c r="BE181" s="49"/>
      <c r="BF181" s="49"/>
      <c r="BG181" s="49" t="s">
        <v>966</v>
      </c>
      <c r="BH181" s="49" t="s">
        <v>966</v>
      </c>
      <c r="BI181" s="113" t="s">
        <v>3767</v>
      </c>
      <c r="BJ181" s="113" t="s">
        <v>3767</v>
      </c>
      <c r="BK181" s="113" t="s">
        <v>3944</v>
      </c>
      <c r="BL181" s="113" t="s">
        <v>3944</v>
      </c>
      <c r="BM181" s="113">
        <v>0</v>
      </c>
      <c r="BN181" s="116">
        <v>0</v>
      </c>
      <c r="BO181" s="113">
        <v>4</v>
      </c>
      <c r="BP181" s="116">
        <v>12.5</v>
      </c>
      <c r="BQ181" s="113">
        <v>0</v>
      </c>
      <c r="BR181" s="116">
        <v>0</v>
      </c>
      <c r="BS181" s="113">
        <v>28</v>
      </c>
      <c r="BT181" s="116">
        <v>87.5</v>
      </c>
      <c r="BU181" s="113">
        <v>32</v>
      </c>
      <c r="BV181" s="2"/>
      <c r="BW181" s="3"/>
      <c r="BX181" s="3"/>
      <c r="BY181" s="3"/>
      <c r="BZ181" s="3"/>
    </row>
    <row r="182" spans="1:78" ht="41.45" customHeight="1">
      <c r="A182" s="66" t="s">
        <v>379</v>
      </c>
      <c r="C182" s="67"/>
      <c r="D182" s="67" t="s">
        <v>64</v>
      </c>
      <c r="E182" s="68">
        <v>162.04731415285627</v>
      </c>
      <c r="F182" s="70">
        <v>99.99989796308988</v>
      </c>
      <c r="G182" s="106" t="str">
        <f>HYPERLINK("https://pbs.twimg.com/profile_images/1780505162/ResistanceRanger_sm_normal.jpg")</f>
        <v>https://pbs.twimg.com/profile_images/1780505162/ResistanceRanger_sm_normal.jpg</v>
      </c>
      <c r="H182" s="67"/>
      <c r="I182" s="71" t="s">
        <v>379</v>
      </c>
      <c r="J182" s="72"/>
      <c r="K182" s="72"/>
      <c r="L182" s="71" t="s">
        <v>3062</v>
      </c>
      <c r="M182" s="75">
        <v>1.0340055009141653</v>
      </c>
      <c r="N182" s="76">
        <v>1528.2574462890625</v>
      </c>
      <c r="O182" s="76">
        <v>6945.5771484375</v>
      </c>
      <c r="P182" s="77"/>
      <c r="Q182" s="78"/>
      <c r="R182" s="78"/>
      <c r="S182" s="92"/>
      <c r="T182" s="49">
        <v>1</v>
      </c>
      <c r="U182" s="49">
        <v>1</v>
      </c>
      <c r="V182" s="50">
        <v>0</v>
      </c>
      <c r="W182" s="50">
        <v>0</v>
      </c>
      <c r="X182" s="50">
        <v>0</v>
      </c>
      <c r="Y182" s="50">
        <v>0.999998</v>
      </c>
      <c r="Z182" s="50">
        <v>0</v>
      </c>
      <c r="AA182" s="50">
        <v>0</v>
      </c>
      <c r="AB182" s="73">
        <v>182</v>
      </c>
      <c r="AC182" s="73"/>
      <c r="AD182" s="74"/>
      <c r="AE182" s="81" t="s">
        <v>2094</v>
      </c>
      <c r="AF182" s="86" t="s">
        <v>2364</v>
      </c>
      <c r="AG182" s="81">
        <v>286</v>
      </c>
      <c r="AH182" s="81">
        <v>254</v>
      </c>
      <c r="AI182" s="81">
        <v>2627</v>
      </c>
      <c r="AJ182" s="81">
        <v>866</v>
      </c>
      <c r="AK182" s="81"/>
      <c r="AL182" s="81" t="s">
        <v>2628</v>
      </c>
      <c r="AM182" s="81" t="s">
        <v>2833</v>
      </c>
      <c r="AN182" s="88" t="str">
        <f>HYPERLINK("http://t.co/tFM6A3JVy3")</f>
        <v>http://t.co/tFM6A3JVy3</v>
      </c>
      <c r="AO182" s="81"/>
      <c r="AP182" s="83">
        <v>40931.545902777776</v>
      </c>
      <c r="AQ182" s="88" t="str">
        <f>HYPERLINK("https://pbs.twimg.com/profile_banners/471965376/1614009006")</f>
        <v>https://pbs.twimg.com/profile_banners/471965376/1614009006</v>
      </c>
      <c r="AR182" s="81" t="b">
        <v>0</v>
      </c>
      <c r="AS182" s="81" t="b">
        <v>0</v>
      </c>
      <c r="AT182" s="81" t="b">
        <v>0</v>
      </c>
      <c r="AU182" s="81"/>
      <c r="AV182" s="81">
        <v>6</v>
      </c>
      <c r="AW182" s="88" t="str">
        <f>HYPERLINK("https://abs.twimg.com/images/themes/theme1/bg.png")</f>
        <v>https://abs.twimg.com/images/themes/theme1/bg.png</v>
      </c>
      <c r="AX182" s="81" t="b">
        <v>0</v>
      </c>
      <c r="AY182" s="81" t="s">
        <v>2883</v>
      </c>
      <c r="AZ182" s="88" t="str">
        <f>HYPERLINK("https://twitter.com/marrcoalition")</f>
        <v>https://twitter.com/marrcoalition</v>
      </c>
      <c r="BA182" s="81" t="s">
        <v>66</v>
      </c>
      <c r="BB182" s="81" t="str">
        <f>REPLACE(INDEX(GroupVertices[Group],MATCH(Vertices[[#This Row],[Vertex]],GroupVertices[Vertex],0)),1,1,"")</f>
        <v>1</v>
      </c>
      <c r="BC182" s="49" t="s">
        <v>3576</v>
      </c>
      <c r="BD182" s="49" t="s">
        <v>3576</v>
      </c>
      <c r="BE182" s="49" t="s">
        <v>903</v>
      </c>
      <c r="BF182" s="49" t="s">
        <v>903</v>
      </c>
      <c r="BG182" s="49" t="s">
        <v>3629</v>
      </c>
      <c r="BH182" s="49" t="s">
        <v>3665</v>
      </c>
      <c r="BI182" s="113" t="s">
        <v>3768</v>
      </c>
      <c r="BJ182" s="113" t="s">
        <v>3838</v>
      </c>
      <c r="BK182" s="113" t="s">
        <v>3945</v>
      </c>
      <c r="BL182" s="113" t="s">
        <v>3945</v>
      </c>
      <c r="BM182" s="113">
        <v>1</v>
      </c>
      <c r="BN182" s="116">
        <v>1.098901098901099</v>
      </c>
      <c r="BO182" s="113">
        <v>3</v>
      </c>
      <c r="BP182" s="116">
        <v>3.2967032967032965</v>
      </c>
      <c r="BQ182" s="113">
        <v>0</v>
      </c>
      <c r="BR182" s="116">
        <v>0</v>
      </c>
      <c r="BS182" s="113">
        <v>87</v>
      </c>
      <c r="BT182" s="116">
        <v>95.6043956043956</v>
      </c>
      <c r="BU182" s="113">
        <v>91</v>
      </c>
      <c r="BV182" s="2"/>
      <c r="BW182" s="3"/>
      <c r="BX182" s="3"/>
      <c r="BY182" s="3"/>
      <c r="BZ182" s="3"/>
    </row>
    <row r="183" spans="1:78" ht="41.45" customHeight="1">
      <c r="A183" s="66" t="s">
        <v>380</v>
      </c>
      <c r="C183" s="67"/>
      <c r="D183" s="67" t="s">
        <v>64</v>
      </c>
      <c r="E183" s="68">
        <v>162.00018850260102</v>
      </c>
      <c r="F183" s="70">
        <v>99.99999959347845</v>
      </c>
      <c r="G183" s="106" t="str">
        <f>HYPERLINK("https://pbs.twimg.com/profile_images/1452563613512781827/sJAkfm7z_normal.jpg")</f>
        <v>https://pbs.twimg.com/profile_images/1452563613512781827/sJAkfm7z_normal.jpg</v>
      </c>
      <c r="H183" s="67"/>
      <c r="I183" s="71" t="s">
        <v>380</v>
      </c>
      <c r="J183" s="72"/>
      <c r="K183" s="72"/>
      <c r="L183" s="71" t="s">
        <v>3063</v>
      </c>
      <c r="M183" s="75">
        <v>1.0001354800833233</v>
      </c>
      <c r="N183" s="76">
        <v>7619.96435546875</v>
      </c>
      <c r="O183" s="76">
        <v>7487.111328125</v>
      </c>
      <c r="P183" s="77"/>
      <c r="Q183" s="78"/>
      <c r="R183" s="78"/>
      <c r="S183" s="92"/>
      <c r="T183" s="49">
        <v>1</v>
      </c>
      <c r="U183" s="49">
        <v>5</v>
      </c>
      <c r="V183" s="50">
        <v>214.666667</v>
      </c>
      <c r="W183" s="50">
        <v>0.005291</v>
      </c>
      <c r="X183" s="50">
        <v>0.022739</v>
      </c>
      <c r="Y183" s="50">
        <v>1.707469</v>
      </c>
      <c r="Z183" s="50">
        <v>0</v>
      </c>
      <c r="AA183" s="50">
        <v>0</v>
      </c>
      <c r="AB183" s="73">
        <v>183</v>
      </c>
      <c r="AC183" s="73"/>
      <c r="AD183" s="74"/>
      <c r="AE183" s="81" t="s">
        <v>2095</v>
      </c>
      <c r="AF183" s="86" t="s">
        <v>2365</v>
      </c>
      <c r="AG183" s="81">
        <v>16</v>
      </c>
      <c r="AH183" s="81">
        <v>4</v>
      </c>
      <c r="AI183" s="81">
        <v>17</v>
      </c>
      <c r="AJ183" s="81">
        <v>10</v>
      </c>
      <c r="AK183" s="81"/>
      <c r="AL183" s="81" t="s">
        <v>2629</v>
      </c>
      <c r="AM183" s="81"/>
      <c r="AN183" s="81"/>
      <c r="AO183" s="81"/>
      <c r="AP183" s="83">
        <v>44494.37900462963</v>
      </c>
      <c r="AQ183" s="81"/>
      <c r="AR183" s="81" t="b">
        <v>1</v>
      </c>
      <c r="AS183" s="81" t="b">
        <v>0</v>
      </c>
      <c r="AT183" s="81" t="b">
        <v>0</v>
      </c>
      <c r="AU183" s="81"/>
      <c r="AV183" s="81">
        <v>0</v>
      </c>
      <c r="AW183" s="81"/>
      <c r="AX183" s="81" t="b">
        <v>0</v>
      </c>
      <c r="AY183" s="81" t="s">
        <v>2883</v>
      </c>
      <c r="AZ183" s="88" t="str">
        <f>HYPERLINK("https://twitter.com/evbuomwanefe")</f>
        <v>https://twitter.com/evbuomwanefe</v>
      </c>
      <c r="BA183" s="81" t="s">
        <v>66</v>
      </c>
      <c r="BB183" s="81" t="str">
        <f>REPLACE(INDEX(GroupVertices[Group],MATCH(Vertices[[#This Row],[Vertex]],GroupVertices[Vertex],0)),1,1,"")</f>
        <v>2</v>
      </c>
      <c r="BC183" s="49"/>
      <c r="BD183" s="49"/>
      <c r="BE183" s="49"/>
      <c r="BF183" s="49"/>
      <c r="BG183" s="49" t="s">
        <v>3630</v>
      </c>
      <c r="BH183" s="49" t="s">
        <v>3666</v>
      </c>
      <c r="BI183" s="113" t="s">
        <v>3769</v>
      </c>
      <c r="BJ183" s="113" t="s">
        <v>3839</v>
      </c>
      <c r="BK183" s="113" t="s">
        <v>3946</v>
      </c>
      <c r="BL183" s="113" t="s">
        <v>4001</v>
      </c>
      <c r="BM183" s="113">
        <v>6</v>
      </c>
      <c r="BN183" s="116">
        <v>3.896103896103896</v>
      </c>
      <c r="BO183" s="113">
        <v>5</v>
      </c>
      <c r="BP183" s="116">
        <v>3.2467532467532467</v>
      </c>
      <c r="BQ183" s="113">
        <v>0</v>
      </c>
      <c r="BR183" s="116">
        <v>0</v>
      </c>
      <c r="BS183" s="113">
        <v>143</v>
      </c>
      <c r="BT183" s="116">
        <v>92.85714285714286</v>
      </c>
      <c r="BU183" s="113">
        <v>154</v>
      </c>
      <c r="BV183" s="2"/>
      <c r="BW183" s="3"/>
      <c r="BX183" s="3"/>
      <c r="BY183" s="3"/>
      <c r="BZ183" s="3"/>
    </row>
    <row r="184" spans="1:78" ht="41.45" customHeight="1">
      <c r="A184" s="66" t="s">
        <v>493</v>
      </c>
      <c r="C184" s="67"/>
      <c r="D184" s="67" t="s">
        <v>64</v>
      </c>
      <c r="E184" s="68">
        <v>163.47013178536258</v>
      </c>
      <c r="F184" s="70">
        <v>99.99682953839816</v>
      </c>
      <c r="G184" s="106" t="str">
        <f>HYPERLINK("https://pbs.twimg.com/profile_images/1387774893559853067/KxUQ1Vhl_normal.jpg")</f>
        <v>https://pbs.twimg.com/profile_images/1387774893559853067/KxUQ1Vhl_normal.jpg</v>
      </c>
      <c r="H184" s="67"/>
      <c r="I184" s="71" t="s">
        <v>493</v>
      </c>
      <c r="J184" s="72"/>
      <c r="K184" s="72"/>
      <c r="L184" s="71" t="s">
        <v>3064</v>
      </c>
      <c r="M184" s="75">
        <v>2.0566091698389464</v>
      </c>
      <c r="N184" s="76">
        <v>7417.26025390625</v>
      </c>
      <c r="O184" s="76">
        <v>6957.79443359375</v>
      </c>
      <c r="P184" s="77"/>
      <c r="Q184" s="78"/>
      <c r="R184" s="78"/>
      <c r="S184" s="92"/>
      <c r="T184" s="49">
        <v>1</v>
      </c>
      <c r="U184" s="49">
        <v>0</v>
      </c>
      <c r="V184" s="50">
        <v>0</v>
      </c>
      <c r="W184" s="50">
        <v>0.004184</v>
      </c>
      <c r="X184" s="50">
        <v>0.004458</v>
      </c>
      <c r="Y184" s="50">
        <v>0.44027</v>
      </c>
      <c r="Z184" s="50">
        <v>0</v>
      </c>
      <c r="AA184" s="50">
        <v>0</v>
      </c>
      <c r="AB184" s="73">
        <v>184</v>
      </c>
      <c r="AC184" s="73"/>
      <c r="AD184" s="74"/>
      <c r="AE184" s="81" t="s">
        <v>2096</v>
      </c>
      <c r="AF184" s="86" t="s">
        <v>2366</v>
      </c>
      <c r="AG184" s="81">
        <v>3695</v>
      </c>
      <c r="AH184" s="81">
        <v>7802</v>
      </c>
      <c r="AI184" s="81">
        <v>10020</v>
      </c>
      <c r="AJ184" s="81">
        <v>2389</v>
      </c>
      <c r="AK184" s="81"/>
      <c r="AL184" s="81" t="s">
        <v>2630</v>
      </c>
      <c r="AM184" s="81"/>
      <c r="AN184" s="88" t="str">
        <f>HYPERLINK("https://t.co/67zVvoF2Pa")</f>
        <v>https://t.co/67zVvoF2Pa</v>
      </c>
      <c r="AO184" s="81"/>
      <c r="AP184" s="83">
        <v>41017.639236111114</v>
      </c>
      <c r="AQ184" s="88" t="str">
        <f>HYPERLINK("https://pbs.twimg.com/profile_banners/557036574/1619708549")</f>
        <v>https://pbs.twimg.com/profile_banners/557036574/1619708549</v>
      </c>
      <c r="AR184" s="81" t="b">
        <v>0</v>
      </c>
      <c r="AS184" s="81" t="b">
        <v>0</v>
      </c>
      <c r="AT184" s="81" t="b">
        <v>1</v>
      </c>
      <c r="AU184" s="81"/>
      <c r="AV184" s="81">
        <v>148</v>
      </c>
      <c r="AW184" s="88" t="str">
        <f>HYPERLINK("https://abs.twimg.com/images/themes/theme1/bg.png")</f>
        <v>https://abs.twimg.com/images/themes/theme1/bg.png</v>
      </c>
      <c r="AX184" s="81" t="b">
        <v>0</v>
      </c>
      <c r="AY184" s="81" t="s">
        <v>2883</v>
      </c>
      <c r="AZ184" s="88" t="str">
        <f>HYPERLINK("https://twitter.com/hiow_ics")</f>
        <v>https://twitter.com/hiow_ics</v>
      </c>
      <c r="BA184" s="81" t="s">
        <v>65</v>
      </c>
      <c r="BB184" s="81" t="str">
        <f>REPLACE(INDEX(GroupVertices[Group],MATCH(Vertices[[#This Row],[Vertex]],GroupVertices[Vertex],0)),1,1,"")</f>
        <v>2</v>
      </c>
      <c r="BC184" s="49"/>
      <c r="BD184" s="49"/>
      <c r="BE184" s="49"/>
      <c r="BF184" s="49"/>
      <c r="BG184" s="49"/>
      <c r="BH184" s="49"/>
      <c r="BI184" s="49"/>
      <c r="BJ184" s="49"/>
      <c r="BK184" s="49"/>
      <c r="BL184" s="49"/>
      <c r="BM184" s="49"/>
      <c r="BN184" s="50"/>
      <c r="BO184" s="49"/>
      <c r="BP184" s="50"/>
      <c r="BQ184" s="49"/>
      <c r="BR184" s="50"/>
      <c r="BS184" s="49"/>
      <c r="BT184" s="50"/>
      <c r="BU184" s="49"/>
      <c r="BV184" s="2"/>
      <c r="BW184" s="3"/>
      <c r="BX184" s="3"/>
      <c r="BY184" s="3"/>
      <c r="BZ184" s="3"/>
    </row>
    <row r="185" spans="1:78" ht="41.45" customHeight="1">
      <c r="A185" s="66" t="s">
        <v>381</v>
      </c>
      <c r="C185" s="67"/>
      <c r="D185" s="67" t="s">
        <v>64</v>
      </c>
      <c r="E185" s="68">
        <v>162.03920854101236</v>
      </c>
      <c r="F185" s="70">
        <v>99.99991544351671</v>
      </c>
      <c r="G185" s="106" t="str">
        <f>HYPERLINK("https://pbs.twimg.com/profile_images/1007159438673960960/XbDjfla2_normal.jpg")</f>
        <v>https://pbs.twimg.com/profile_images/1007159438673960960/XbDjfla2_normal.jpg</v>
      </c>
      <c r="H185" s="67"/>
      <c r="I185" s="71" t="s">
        <v>381</v>
      </c>
      <c r="J185" s="72"/>
      <c r="K185" s="72"/>
      <c r="L185" s="71" t="s">
        <v>3065</v>
      </c>
      <c r="M185" s="75">
        <v>1.0281798573312606</v>
      </c>
      <c r="N185" s="76">
        <v>7675.2490234375</v>
      </c>
      <c r="O185" s="76">
        <v>6775.63818359375</v>
      </c>
      <c r="P185" s="77"/>
      <c r="Q185" s="78"/>
      <c r="R185" s="78"/>
      <c r="S185" s="92"/>
      <c r="T185" s="49">
        <v>2</v>
      </c>
      <c r="U185" s="49">
        <v>1</v>
      </c>
      <c r="V185" s="50">
        <v>0</v>
      </c>
      <c r="W185" s="50">
        <v>0.004184</v>
      </c>
      <c r="X185" s="50">
        <v>0.005545</v>
      </c>
      <c r="Y185" s="50">
        <v>0.765686</v>
      </c>
      <c r="Z185" s="50">
        <v>0</v>
      </c>
      <c r="AA185" s="50">
        <v>0</v>
      </c>
      <c r="AB185" s="73">
        <v>185</v>
      </c>
      <c r="AC185" s="73"/>
      <c r="AD185" s="74"/>
      <c r="AE185" s="81" t="s">
        <v>2097</v>
      </c>
      <c r="AF185" s="86" t="s">
        <v>2367</v>
      </c>
      <c r="AG185" s="81">
        <v>320</v>
      </c>
      <c r="AH185" s="81">
        <v>211</v>
      </c>
      <c r="AI185" s="81">
        <v>363</v>
      </c>
      <c r="AJ185" s="81">
        <v>429</v>
      </c>
      <c r="AK185" s="81"/>
      <c r="AL185" s="81" t="s">
        <v>2631</v>
      </c>
      <c r="AM185" s="81" t="s">
        <v>2768</v>
      </c>
      <c r="AN185" s="81"/>
      <c r="AO185" s="81"/>
      <c r="AP185" s="83">
        <v>42403.61121527778</v>
      </c>
      <c r="AQ185" s="88" t="str">
        <f>HYPERLINK("https://pbs.twimg.com/profile_banners/4874132008/1636616986")</f>
        <v>https://pbs.twimg.com/profile_banners/4874132008/1636616986</v>
      </c>
      <c r="AR185" s="81" t="b">
        <v>1</v>
      </c>
      <c r="AS185" s="81" t="b">
        <v>0</v>
      </c>
      <c r="AT185" s="81" t="b">
        <v>0</v>
      </c>
      <c r="AU185" s="81"/>
      <c r="AV185" s="81">
        <v>0</v>
      </c>
      <c r="AW185" s="81"/>
      <c r="AX185" s="81" t="b">
        <v>0</v>
      </c>
      <c r="AY185" s="81" t="s">
        <v>2883</v>
      </c>
      <c r="AZ185" s="88" t="str">
        <f>HYPERLINK("https://twitter.com/lizcorteville")</f>
        <v>https://twitter.com/lizcorteville</v>
      </c>
      <c r="BA185" s="81" t="s">
        <v>66</v>
      </c>
      <c r="BB185" s="81" t="str">
        <f>REPLACE(INDEX(GroupVertices[Group],MATCH(Vertices[[#This Row],[Vertex]],GroupVertices[Vertex],0)),1,1,"")</f>
        <v>2</v>
      </c>
      <c r="BC185" s="49" t="s">
        <v>3577</v>
      </c>
      <c r="BD185" s="49" t="s">
        <v>3594</v>
      </c>
      <c r="BE185" s="49" t="s">
        <v>929</v>
      </c>
      <c r="BF185" s="49" t="s">
        <v>929</v>
      </c>
      <c r="BG185" s="49" t="s">
        <v>948</v>
      </c>
      <c r="BH185" s="49" t="s">
        <v>948</v>
      </c>
      <c r="BI185" s="113" t="s">
        <v>3770</v>
      </c>
      <c r="BJ185" s="113" t="s">
        <v>3840</v>
      </c>
      <c r="BK185" s="113" t="s">
        <v>3947</v>
      </c>
      <c r="BL185" s="113" t="s">
        <v>4002</v>
      </c>
      <c r="BM185" s="113">
        <v>2</v>
      </c>
      <c r="BN185" s="116">
        <v>6.451612903225806</v>
      </c>
      <c r="BO185" s="113">
        <v>2</v>
      </c>
      <c r="BP185" s="116">
        <v>6.451612903225806</v>
      </c>
      <c r="BQ185" s="113">
        <v>0</v>
      </c>
      <c r="BR185" s="116">
        <v>0</v>
      </c>
      <c r="BS185" s="113">
        <v>27</v>
      </c>
      <c r="BT185" s="116">
        <v>87.09677419354838</v>
      </c>
      <c r="BU185" s="113">
        <v>31</v>
      </c>
      <c r="BV185" s="2"/>
      <c r="BW185" s="3"/>
      <c r="BX185" s="3"/>
      <c r="BY185" s="3"/>
      <c r="BZ185" s="3"/>
    </row>
    <row r="186" spans="1:78" ht="41.45" customHeight="1">
      <c r="A186" s="66" t="s">
        <v>441</v>
      </c>
      <c r="C186" s="67"/>
      <c r="D186" s="67" t="s">
        <v>64</v>
      </c>
      <c r="E186" s="68">
        <v>163.14289126999017</v>
      </c>
      <c r="F186" s="70">
        <v>99.99753525981639</v>
      </c>
      <c r="G186" s="106" t="str">
        <f>HYPERLINK("https://pbs.twimg.com/profile_images/889562446935056384/Au_dl8bU_normal.jpg")</f>
        <v>https://pbs.twimg.com/profile_images/889562446935056384/Au_dl8bU_normal.jpg</v>
      </c>
      <c r="H186" s="67"/>
      <c r="I186" s="71" t="s">
        <v>441</v>
      </c>
      <c r="J186" s="72"/>
      <c r="K186" s="72"/>
      <c r="L186" s="71" t="s">
        <v>3066</v>
      </c>
      <c r="M186" s="75">
        <v>1.8214157451895796</v>
      </c>
      <c r="N186" s="76">
        <v>7321.291015625</v>
      </c>
      <c r="O186" s="76">
        <v>7894.947265625</v>
      </c>
      <c r="P186" s="77"/>
      <c r="Q186" s="78"/>
      <c r="R186" s="78"/>
      <c r="S186" s="92"/>
      <c r="T186" s="49">
        <v>2</v>
      </c>
      <c r="U186" s="49">
        <v>2</v>
      </c>
      <c r="V186" s="50">
        <v>18</v>
      </c>
      <c r="W186" s="50">
        <v>0.00495</v>
      </c>
      <c r="X186" s="50">
        <v>0.014951</v>
      </c>
      <c r="Y186" s="50">
        <v>1.032472</v>
      </c>
      <c r="Z186" s="50">
        <v>0</v>
      </c>
      <c r="AA186" s="50">
        <v>0</v>
      </c>
      <c r="AB186" s="73">
        <v>186</v>
      </c>
      <c r="AC186" s="73"/>
      <c r="AD186" s="74"/>
      <c r="AE186" s="81" t="s">
        <v>2098</v>
      </c>
      <c r="AF186" s="86" t="s">
        <v>1821</v>
      </c>
      <c r="AG186" s="81">
        <v>1433</v>
      </c>
      <c r="AH186" s="81">
        <v>6066</v>
      </c>
      <c r="AI186" s="81">
        <v>18362</v>
      </c>
      <c r="AJ186" s="81">
        <v>6947</v>
      </c>
      <c r="AK186" s="81"/>
      <c r="AL186" s="81" t="s">
        <v>2632</v>
      </c>
      <c r="AM186" s="81" t="s">
        <v>2762</v>
      </c>
      <c r="AN186" s="88" t="str">
        <f>HYPERLINK("https://t.co/kgmPe30VA0")</f>
        <v>https://t.co/kgmPe30VA0</v>
      </c>
      <c r="AO186" s="81"/>
      <c r="AP186" s="83">
        <v>42142.65630787037</v>
      </c>
      <c r="AQ186" s="88" t="str">
        <f>HYPERLINK("https://pbs.twimg.com/profile_banners/3288561903/1500922303")</f>
        <v>https://pbs.twimg.com/profile_banners/3288561903/1500922303</v>
      </c>
      <c r="AR186" s="81" t="b">
        <v>1</v>
      </c>
      <c r="AS186" s="81" t="b">
        <v>0</v>
      </c>
      <c r="AT186" s="81" t="b">
        <v>1</v>
      </c>
      <c r="AU186" s="81"/>
      <c r="AV186" s="81">
        <v>156</v>
      </c>
      <c r="AW186" s="88" t="str">
        <f>HYPERLINK("https://abs.twimg.com/images/themes/theme1/bg.png")</f>
        <v>https://abs.twimg.com/images/themes/theme1/bg.png</v>
      </c>
      <c r="AX186" s="81" t="b">
        <v>0</v>
      </c>
      <c r="AY186" s="81" t="s">
        <v>2883</v>
      </c>
      <c r="AZ186" s="88" t="str">
        <f>HYPERLINK("https://twitter.com/battlesuperbugs")</f>
        <v>https://twitter.com/battlesuperbugs</v>
      </c>
      <c r="BA186" s="81" t="s">
        <v>66</v>
      </c>
      <c r="BB186" s="81" t="str">
        <f>REPLACE(INDEX(GroupVertices[Group],MATCH(Vertices[[#This Row],[Vertex]],GroupVertices[Vertex],0)),1,1,"")</f>
        <v>2</v>
      </c>
      <c r="BC186" s="49"/>
      <c r="BD186" s="49"/>
      <c r="BE186" s="49"/>
      <c r="BF186" s="49"/>
      <c r="BG186" s="49" t="s">
        <v>3631</v>
      </c>
      <c r="BH186" s="49" t="s">
        <v>3667</v>
      </c>
      <c r="BI186" s="113" t="s">
        <v>3771</v>
      </c>
      <c r="BJ186" s="113" t="s">
        <v>3841</v>
      </c>
      <c r="BK186" s="113" t="s">
        <v>3948</v>
      </c>
      <c r="BL186" s="113" t="s">
        <v>4003</v>
      </c>
      <c r="BM186" s="113">
        <v>3</v>
      </c>
      <c r="BN186" s="116">
        <v>1.1450381679389312</v>
      </c>
      <c r="BO186" s="113">
        <v>12</v>
      </c>
      <c r="BP186" s="116">
        <v>4.580152671755725</v>
      </c>
      <c r="BQ186" s="113">
        <v>0</v>
      </c>
      <c r="BR186" s="116">
        <v>0</v>
      </c>
      <c r="BS186" s="113">
        <v>247</v>
      </c>
      <c r="BT186" s="116">
        <v>94.27480916030534</v>
      </c>
      <c r="BU186" s="113">
        <v>262</v>
      </c>
      <c r="BV186" s="2"/>
      <c r="BW186" s="3"/>
      <c r="BX186" s="3"/>
      <c r="BY186" s="3"/>
      <c r="BZ186" s="3"/>
    </row>
    <row r="187" spans="1:78" ht="41.45" customHeight="1">
      <c r="A187" s="66" t="s">
        <v>382</v>
      </c>
      <c r="C187" s="67"/>
      <c r="D187" s="67" t="s">
        <v>64</v>
      </c>
      <c r="E187" s="68">
        <v>163.4526010434676</v>
      </c>
      <c r="F187" s="70">
        <v>99.99686734490271</v>
      </c>
      <c r="G187" s="106" t="str">
        <f>HYPERLINK("https://pbs.twimg.com/profile_images/1438086917078364164/bJAFcKIz_normal.png")</f>
        <v>https://pbs.twimg.com/profile_images/1438086917078364164/bJAFcKIz_normal.png</v>
      </c>
      <c r="H187" s="67"/>
      <c r="I187" s="71" t="s">
        <v>382</v>
      </c>
      <c r="J187" s="72"/>
      <c r="K187" s="72"/>
      <c r="L187" s="71" t="s">
        <v>3067</v>
      </c>
      <c r="M187" s="75">
        <v>2.044009522089873</v>
      </c>
      <c r="N187" s="76">
        <v>4655.7392578125</v>
      </c>
      <c r="O187" s="76">
        <v>3053.422607421875</v>
      </c>
      <c r="P187" s="77"/>
      <c r="Q187" s="78"/>
      <c r="R187" s="78"/>
      <c r="S187" s="92"/>
      <c r="T187" s="49">
        <v>1</v>
      </c>
      <c r="U187" s="49">
        <v>1</v>
      </c>
      <c r="V187" s="50">
        <v>0</v>
      </c>
      <c r="W187" s="50">
        <v>0</v>
      </c>
      <c r="X187" s="50">
        <v>0</v>
      </c>
      <c r="Y187" s="50">
        <v>0.999998</v>
      </c>
      <c r="Z187" s="50">
        <v>0</v>
      </c>
      <c r="AA187" s="50">
        <v>0</v>
      </c>
      <c r="AB187" s="73">
        <v>187</v>
      </c>
      <c r="AC187" s="73"/>
      <c r="AD187" s="74"/>
      <c r="AE187" s="81" t="s">
        <v>2099</v>
      </c>
      <c r="AF187" s="86" t="s">
        <v>2368</v>
      </c>
      <c r="AG187" s="81">
        <v>1977</v>
      </c>
      <c r="AH187" s="81">
        <v>7709</v>
      </c>
      <c r="AI187" s="81">
        <v>26850</v>
      </c>
      <c r="AJ187" s="81">
        <v>3527</v>
      </c>
      <c r="AK187" s="81"/>
      <c r="AL187" s="81" t="s">
        <v>2633</v>
      </c>
      <c r="AM187" s="81" t="s">
        <v>2786</v>
      </c>
      <c r="AN187" s="88" t="str">
        <f>HYPERLINK("https://t.co/dMbkgwsuEk")</f>
        <v>https://t.co/dMbkgwsuEk</v>
      </c>
      <c r="AO187" s="81"/>
      <c r="AP187" s="83">
        <v>41256.50511574074</v>
      </c>
      <c r="AQ187" s="88" t="str">
        <f>HYPERLINK("https://pbs.twimg.com/profile_banners/1008673909/1631714413")</f>
        <v>https://pbs.twimg.com/profile_banners/1008673909/1631714413</v>
      </c>
      <c r="AR187" s="81" t="b">
        <v>0</v>
      </c>
      <c r="AS187" s="81" t="b">
        <v>0</v>
      </c>
      <c r="AT187" s="81" t="b">
        <v>1</v>
      </c>
      <c r="AU187" s="81"/>
      <c r="AV187" s="81">
        <v>198</v>
      </c>
      <c r="AW187" s="88" t="str">
        <f>HYPERLINK("https://abs.twimg.com/images/themes/theme1/bg.png")</f>
        <v>https://abs.twimg.com/images/themes/theme1/bg.png</v>
      </c>
      <c r="AX187" s="81" t="b">
        <v>1</v>
      </c>
      <c r="AY187" s="81" t="s">
        <v>2883</v>
      </c>
      <c r="AZ187" s="88" t="str">
        <f>HYPERLINK("https://twitter.com/epinireland")</f>
        <v>https://twitter.com/epinireland</v>
      </c>
      <c r="BA187" s="81" t="s">
        <v>66</v>
      </c>
      <c r="BB187" s="81" t="str">
        <f>REPLACE(INDEX(GroupVertices[Group],MATCH(Vertices[[#This Row],[Vertex]],GroupVertices[Vertex],0)),1,1,"")</f>
        <v>1</v>
      </c>
      <c r="BC187" s="49"/>
      <c r="BD187" s="49"/>
      <c r="BE187" s="49"/>
      <c r="BF187" s="49"/>
      <c r="BG187" s="49" t="s">
        <v>1052</v>
      </c>
      <c r="BH187" s="49" t="s">
        <v>1052</v>
      </c>
      <c r="BI187" s="113" t="s">
        <v>3772</v>
      </c>
      <c r="BJ187" s="113" t="s">
        <v>3772</v>
      </c>
      <c r="BK187" s="113" t="s">
        <v>3949</v>
      </c>
      <c r="BL187" s="113" t="s">
        <v>3949</v>
      </c>
      <c r="BM187" s="113">
        <v>1</v>
      </c>
      <c r="BN187" s="116">
        <v>3.8461538461538463</v>
      </c>
      <c r="BO187" s="113">
        <v>0</v>
      </c>
      <c r="BP187" s="116">
        <v>0</v>
      </c>
      <c r="BQ187" s="113">
        <v>0</v>
      </c>
      <c r="BR187" s="116">
        <v>0</v>
      </c>
      <c r="BS187" s="113">
        <v>25</v>
      </c>
      <c r="BT187" s="116">
        <v>96.15384615384616</v>
      </c>
      <c r="BU187" s="113">
        <v>26</v>
      </c>
      <c r="BV187" s="2"/>
      <c r="BW187" s="3"/>
      <c r="BX187" s="3"/>
      <c r="BY187" s="3"/>
      <c r="BZ187" s="3"/>
    </row>
    <row r="188" spans="1:78" ht="41.45" customHeight="1">
      <c r="A188" s="66" t="s">
        <v>383</v>
      </c>
      <c r="C188" s="67"/>
      <c r="D188" s="67" t="s">
        <v>64</v>
      </c>
      <c r="E188" s="68">
        <v>162.00131951820714</v>
      </c>
      <c r="F188" s="70">
        <v>99.99999715434912</v>
      </c>
      <c r="G188" s="106" t="str">
        <f>HYPERLINK("https://pbs.twimg.com/profile_images/1459551753985150980/QtjmixOt_normal.jpg")</f>
        <v>https://pbs.twimg.com/profile_images/1459551753985150980/QtjmixOt_normal.jpg</v>
      </c>
      <c r="H188" s="67"/>
      <c r="I188" s="71" t="s">
        <v>383</v>
      </c>
      <c r="J188" s="72"/>
      <c r="K188" s="72"/>
      <c r="L188" s="71" t="s">
        <v>3068</v>
      </c>
      <c r="M188" s="75">
        <v>1.0009483605832636</v>
      </c>
      <c r="N188" s="76">
        <v>2310.1279296875</v>
      </c>
      <c r="O188" s="76">
        <v>9280.87109375</v>
      </c>
      <c r="P188" s="77"/>
      <c r="Q188" s="78"/>
      <c r="R188" s="78"/>
      <c r="S188" s="92"/>
      <c r="T188" s="49">
        <v>1</v>
      </c>
      <c r="U188" s="49">
        <v>1</v>
      </c>
      <c r="V188" s="50">
        <v>0</v>
      </c>
      <c r="W188" s="50">
        <v>0</v>
      </c>
      <c r="X188" s="50">
        <v>0</v>
      </c>
      <c r="Y188" s="50">
        <v>0.999998</v>
      </c>
      <c r="Z188" s="50">
        <v>0</v>
      </c>
      <c r="AA188" s="50">
        <v>0</v>
      </c>
      <c r="AB188" s="73">
        <v>188</v>
      </c>
      <c r="AC188" s="73"/>
      <c r="AD188" s="74"/>
      <c r="AE188" s="81" t="s">
        <v>2100</v>
      </c>
      <c r="AF188" s="86" t="s">
        <v>2369</v>
      </c>
      <c r="AG188" s="81">
        <v>38</v>
      </c>
      <c r="AH188" s="81">
        <v>10</v>
      </c>
      <c r="AI188" s="81">
        <v>108</v>
      </c>
      <c r="AJ188" s="81">
        <v>180</v>
      </c>
      <c r="AK188" s="81"/>
      <c r="AL188" s="81" t="s">
        <v>2634</v>
      </c>
      <c r="AM188" s="81"/>
      <c r="AN188" s="81"/>
      <c r="AO188" s="81"/>
      <c r="AP188" s="83">
        <v>44513.66552083333</v>
      </c>
      <c r="AQ188" s="88" t="str">
        <f>HYPERLINK("https://pbs.twimg.com/profile_banners/1459551139511226368/1636820386")</f>
        <v>https://pbs.twimg.com/profile_banners/1459551139511226368/1636820386</v>
      </c>
      <c r="AR188" s="81" t="b">
        <v>1</v>
      </c>
      <c r="AS188" s="81" t="b">
        <v>0</v>
      </c>
      <c r="AT188" s="81" t="b">
        <v>0</v>
      </c>
      <c r="AU188" s="81"/>
      <c r="AV188" s="81">
        <v>0</v>
      </c>
      <c r="AW188" s="81"/>
      <c r="AX188" s="81" t="b">
        <v>0</v>
      </c>
      <c r="AY188" s="81" t="s">
        <v>2883</v>
      </c>
      <c r="AZ188" s="88" t="str">
        <f>HYPERLINK("https://twitter.com/iamaflatoon")</f>
        <v>https://twitter.com/iamaflatoon</v>
      </c>
      <c r="BA188" s="81" t="s">
        <v>66</v>
      </c>
      <c r="BB188" s="81" t="str">
        <f>REPLACE(INDEX(GroupVertices[Group],MATCH(Vertices[[#This Row],[Vertex]],GroupVertices[Vertex],0)),1,1,"")</f>
        <v>1</v>
      </c>
      <c r="BC188" s="49" t="s">
        <v>3578</v>
      </c>
      <c r="BD188" s="49" t="s">
        <v>3578</v>
      </c>
      <c r="BE188" s="49" t="s">
        <v>914</v>
      </c>
      <c r="BF188" s="49" t="s">
        <v>914</v>
      </c>
      <c r="BG188" s="49" t="s">
        <v>966</v>
      </c>
      <c r="BH188" s="49" t="s">
        <v>966</v>
      </c>
      <c r="BI188" s="113" t="s">
        <v>3773</v>
      </c>
      <c r="BJ188" s="113" t="s">
        <v>3842</v>
      </c>
      <c r="BK188" s="113" t="s">
        <v>3950</v>
      </c>
      <c r="BL188" s="113" t="s">
        <v>4004</v>
      </c>
      <c r="BM188" s="113">
        <v>5</v>
      </c>
      <c r="BN188" s="116">
        <v>4.62962962962963</v>
      </c>
      <c r="BO188" s="113">
        <v>4</v>
      </c>
      <c r="BP188" s="116">
        <v>3.7037037037037037</v>
      </c>
      <c r="BQ188" s="113">
        <v>0</v>
      </c>
      <c r="BR188" s="116">
        <v>0</v>
      </c>
      <c r="BS188" s="113">
        <v>99</v>
      </c>
      <c r="BT188" s="116">
        <v>91.66666666666667</v>
      </c>
      <c r="BU188" s="113">
        <v>108</v>
      </c>
      <c r="BV188" s="2"/>
      <c r="BW188" s="3"/>
      <c r="BX188" s="3"/>
      <c r="BY188" s="3"/>
      <c r="BZ188" s="3"/>
    </row>
    <row r="189" spans="1:78" ht="41.45" customHeight="1">
      <c r="A189" s="66" t="s">
        <v>384</v>
      </c>
      <c r="C189" s="67"/>
      <c r="D189" s="67" t="s">
        <v>64</v>
      </c>
      <c r="E189" s="68">
        <v>224.24054281550903</v>
      </c>
      <c r="F189" s="70">
        <v>99.8657730871213</v>
      </c>
      <c r="G189" s="106" t="str">
        <f>HYPERLINK("https://pbs.twimg.com/profile_images/774289732582903808/kU8p7iWI_normal.jpg")</f>
        <v>https://pbs.twimg.com/profile_images/774289732582903808/kU8p7iWI_normal.jpg</v>
      </c>
      <c r="H189" s="67"/>
      <c r="I189" s="71" t="s">
        <v>384</v>
      </c>
      <c r="J189" s="72"/>
      <c r="K189" s="72"/>
      <c r="L189" s="71" t="s">
        <v>3069</v>
      </c>
      <c r="M189" s="75">
        <v>45.73335583204291</v>
      </c>
      <c r="N189" s="76">
        <v>1528.2574462890625</v>
      </c>
      <c r="O189" s="76">
        <v>718.1299438476562</v>
      </c>
      <c r="P189" s="77"/>
      <c r="Q189" s="78"/>
      <c r="R189" s="78"/>
      <c r="S189" s="92"/>
      <c r="T189" s="49">
        <v>1</v>
      </c>
      <c r="U189" s="49">
        <v>1</v>
      </c>
      <c r="V189" s="50">
        <v>0</v>
      </c>
      <c r="W189" s="50">
        <v>0</v>
      </c>
      <c r="X189" s="50">
        <v>0</v>
      </c>
      <c r="Y189" s="50">
        <v>0.999998</v>
      </c>
      <c r="Z189" s="50">
        <v>0</v>
      </c>
      <c r="AA189" s="50">
        <v>0</v>
      </c>
      <c r="AB189" s="73">
        <v>189</v>
      </c>
      <c r="AC189" s="73"/>
      <c r="AD189" s="74"/>
      <c r="AE189" s="81" t="s">
        <v>2101</v>
      </c>
      <c r="AF189" s="86" t="s">
        <v>2370</v>
      </c>
      <c r="AG189" s="81">
        <v>65</v>
      </c>
      <c r="AH189" s="81">
        <v>330187</v>
      </c>
      <c r="AI189" s="81">
        <v>7314</v>
      </c>
      <c r="AJ189" s="81">
        <v>121</v>
      </c>
      <c r="AK189" s="81"/>
      <c r="AL189" s="81" t="s">
        <v>2635</v>
      </c>
      <c r="AM189" s="81" t="s">
        <v>2834</v>
      </c>
      <c r="AN189" s="88" t="str">
        <f>HYPERLINK("http://t.co/KF8gl4wGzV")</f>
        <v>http://t.co/KF8gl4wGzV</v>
      </c>
      <c r="AO189" s="81"/>
      <c r="AP189" s="83">
        <v>39996.485914351855</v>
      </c>
      <c r="AQ189" s="88" t="str">
        <f>HYPERLINK("https://pbs.twimg.com/profile_banners/53039176/1574833732")</f>
        <v>https://pbs.twimg.com/profile_banners/53039176/1574833732</v>
      </c>
      <c r="AR189" s="81" t="b">
        <v>0</v>
      </c>
      <c r="AS189" s="81" t="b">
        <v>0</v>
      </c>
      <c r="AT189" s="81" t="b">
        <v>0</v>
      </c>
      <c r="AU189" s="81"/>
      <c r="AV189" s="81">
        <v>4322</v>
      </c>
      <c r="AW189" s="88" t="str">
        <f>HYPERLINK("https://abs.twimg.com/images/themes/theme14/bg.gif")</f>
        <v>https://abs.twimg.com/images/themes/theme14/bg.gif</v>
      </c>
      <c r="AX189" s="81" t="b">
        <v>1</v>
      </c>
      <c r="AY189" s="81" t="s">
        <v>2883</v>
      </c>
      <c r="AZ189" s="88" t="str">
        <f>HYPERLINK("https://twitter.com/fda_drug_info")</f>
        <v>https://twitter.com/fda_drug_info</v>
      </c>
      <c r="BA189" s="81" t="s">
        <v>66</v>
      </c>
      <c r="BB189" s="81" t="str">
        <f>REPLACE(INDEX(GroupVertices[Group],MATCH(Vertices[[#This Row],[Vertex]],GroupVertices[Vertex],0)),1,1,"")</f>
        <v>1</v>
      </c>
      <c r="BC189" s="49" t="s">
        <v>3579</v>
      </c>
      <c r="BD189" s="49" t="s">
        <v>3579</v>
      </c>
      <c r="BE189" s="49" t="s">
        <v>3603</v>
      </c>
      <c r="BF189" s="49" t="s">
        <v>3603</v>
      </c>
      <c r="BG189" s="49" t="s">
        <v>3632</v>
      </c>
      <c r="BH189" s="49" t="s">
        <v>3668</v>
      </c>
      <c r="BI189" s="113" t="s">
        <v>3774</v>
      </c>
      <c r="BJ189" s="113" t="s">
        <v>3843</v>
      </c>
      <c r="BK189" s="113" t="s">
        <v>3862</v>
      </c>
      <c r="BL189" s="113" t="s">
        <v>3862</v>
      </c>
      <c r="BM189" s="113">
        <v>3</v>
      </c>
      <c r="BN189" s="116">
        <v>5.555555555555555</v>
      </c>
      <c r="BO189" s="113">
        <v>1</v>
      </c>
      <c r="BP189" s="116">
        <v>1.8518518518518519</v>
      </c>
      <c r="BQ189" s="113">
        <v>0</v>
      </c>
      <c r="BR189" s="116">
        <v>0</v>
      </c>
      <c r="BS189" s="113">
        <v>50</v>
      </c>
      <c r="BT189" s="116">
        <v>92.5925925925926</v>
      </c>
      <c r="BU189" s="113">
        <v>54</v>
      </c>
      <c r="BV189" s="2"/>
      <c r="BW189" s="3"/>
      <c r="BX189" s="3"/>
      <c r="BY189" s="3"/>
      <c r="BZ189" s="3"/>
    </row>
    <row r="190" spans="1:78" ht="41.45" customHeight="1">
      <c r="A190" s="66" t="s">
        <v>385</v>
      </c>
      <c r="C190" s="67"/>
      <c r="D190" s="67" t="s">
        <v>64</v>
      </c>
      <c r="E190" s="68">
        <v>162.53082332447505</v>
      </c>
      <c r="F190" s="70">
        <v>99.99885523530314</v>
      </c>
      <c r="G190" s="106" t="str">
        <f>HYPERLINK("https://pbs.twimg.com/profile_images/1058719862040784896/zm0I75Iz_normal.jpg")</f>
        <v>https://pbs.twimg.com/profile_images/1058719862040784896/zm0I75Iz_normal.jpg</v>
      </c>
      <c r="H190" s="67"/>
      <c r="I190" s="71" t="s">
        <v>385</v>
      </c>
      <c r="J190" s="72"/>
      <c r="K190" s="72"/>
      <c r="L190" s="71" t="s">
        <v>3070</v>
      </c>
      <c r="M190" s="75">
        <v>1.3815119146386041</v>
      </c>
      <c r="N190" s="76">
        <v>9199.3203125</v>
      </c>
      <c r="O190" s="76">
        <v>8288.541015625</v>
      </c>
      <c r="P190" s="77"/>
      <c r="Q190" s="78"/>
      <c r="R190" s="78"/>
      <c r="S190" s="92"/>
      <c r="T190" s="49">
        <v>1</v>
      </c>
      <c r="U190" s="49">
        <v>18</v>
      </c>
      <c r="V190" s="50">
        <v>1861.666667</v>
      </c>
      <c r="W190" s="50">
        <v>0.008</v>
      </c>
      <c r="X190" s="50">
        <v>0.149412</v>
      </c>
      <c r="Y190" s="50">
        <v>6.65631</v>
      </c>
      <c r="Z190" s="50">
        <v>0.003676470588235294</v>
      </c>
      <c r="AA190" s="50">
        <v>0</v>
      </c>
      <c r="AB190" s="73">
        <v>190</v>
      </c>
      <c r="AC190" s="73"/>
      <c r="AD190" s="74"/>
      <c r="AE190" s="81" t="s">
        <v>2102</v>
      </c>
      <c r="AF190" s="86" t="s">
        <v>2371</v>
      </c>
      <c r="AG190" s="81">
        <v>1546</v>
      </c>
      <c r="AH190" s="81">
        <v>2819</v>
      </c>
      <c r="AI190" s="81">
        <v>27224</v>
      </c>
      <c r="AJ190" s="81">
        <v>9784</v>
      </c>
      <c r="AK190" s="81"/>
      <c r="AL190" s="81" t="s">
        <v>2636</v>
      </c>
      <c r="AM190" s="81" t="s">
        <v>2835</v>
      </c>
      <c r="AN190" s="88" t="str">
        <f>HYPERLINK("https://t.co/btL33Bse7p")</f>
        <v>https://t.co/btL33Bse7p</v>
      </c>
      <c r="AO190" s="81"/>
      <c r="AP190" s="83">
        <v>40018.45521990741</v>
      </c>
      <c r="AQ190" s="88" t="str">
        <f>HYPERLINK("https://pbs.twimg.com/profile_banners/59750982/1543178735")</f>
        <v>https://pbs.twimg.com/profile_banners/59750982/1543178735</v>
      </c>
      <c r="AR190" s="81" t="b">
        <v>0</v>
      </c>
      <c r="AS190" s="81" t="b">
        <v>0</v>
      </c>
      <c r="AT190" s="81" t="b">
        <v>1</v>
      </c>
      <c r="AU190" s="81"/>
      <c r="AV190" s="81">
        <v>95</v>
      </c>
      <c r="AW190" s="88" t="str">
        <f>HYPERLINK("https://abs.twimg.com/images/themes/theme1/bg.png")</f>
        <v>https://abs.twimg.com/images/themes/theme1/bg.png</v>
      </c>
      <c r="AX190" s="81" t="b">
        <v>0</v>
      </c>
      <c r="AY190" s="81" t="s">
        <v>2883</v>
      </c>
      <c r="AZ190" s="88" t="str">
        <f>HYPERLINK("https://twitter.com/microblog_me_uk")</f>
        <v>https://twitter.com/microblog_me_uk</v>
      </c>
      <c r="BA190" s="81" t="s">
        <v>66</v>
      </c>
      <c r="BB190" s="81" t="str">
        <f>REPLACE(INDEX(GroupVertices[Group],MATCH(Vertices[[#This Row],[Vertex]],GroupVertices[Vertex],0)),1,1,"")</f>
        <v>4</v>
      </c>
      <c r="BC190" s="49" t="s">
        <v>3580</v>
      </c>
      <c r="BD190" s="49" t="s">
        <v>3580</v>
      </c>
      <c r="BE190" s="49" t="s">
        <v>3604</v>
      </c>
      <c r="BF190" s="49" t="s">
        <v>3604</v>
      </c>
      <c r="BG190" s="49" t="s">
        <v>3633</v>
      </c>
      <c r="BH190" s="49" t="s">
        <v>3669</v>
      </c>
      <c r="BI190" s="113" t="s">
        <v>3398</v>
      </c>
      <c r="BJ190" s="113" t="s">
        <v>3844</v>
      </c>
      <c r="BK190" s="113" t="s">
        <v>3951</v>
      </c>
      <c r="BL190" s="113" t="s">
        <v>4005</v>
      </c>
      <c r="BM190" s="113">
        <v>39</v>
      </c>
      <c r="BN190" s="116">
        <v>2.893175074183976</v>
      </c>
      <c r="BO190" s="113">
        <v>23</v>
      </c>
      <c r="BP190" s="116">
        <v>1.7062314540059347</v>
      </c>
      <c r="BQ190" s="113">
        <v>0</v>
      </c>
      <c r="BR190" s="116">
        <v>0</v>
      </c>
      <c r="BS190" s="113">
        <v>1286</v>
      </c>
      <c r="BT190" s="116">
        <v>95.40059347181008</v>
      </c>
      <c r="BU190" s="113">
        <v>1348</v>
      </c>
      <c r="BV190" s="2"/>
      <c r="BW190" s="3"/>
      <c r="BX190" s="3"/>
      <c r="BY190" s="3"/>
      <c r="BZ190" s="3"/>
    </row>
    <row r="191" spans="1:78" ht="41.45" customHeight="1">
      <c r="A191" s="66" t="s">
        <v>494</v>
      </c>
      <c r="C191" s="67"/>
      <c r="D191" s="67" t="s">
        <v>64</v>
      </c>
      <c r="E191" s="68">
        <v>162.33082206479182</v>
      </c>
      <c r="F191" s="70">
        <v>99.99928655467224</v>
      </c>
      <c r="G191" s="106" t="str">
        <f>HYPERLINK("https://pbs.twimg.com/profile_images/1257605010784911362/5PjUn1ui_normal.jpg")</f>
        <v>https://pbs.twimg.com/profile_images/1257605010784911362/5PjUn1ui_normal.jpg</v>
      </c>
      <c r="H191" s="67"/>
      <c r="I191" s="71" t="s">
        <v>494</v>
      </c>
      <c r="J191" s="72"/>
      <c r="K191" s="72"/>
      <c r="L191" s="71" t="s">
        <v>3071</v>
      </c>
      <c r="M191" s="75">
        <v>1.2377675462325106</v>
      </c>
      <c r="N191" s="76">
        <v>9519.9326171875</v>
      </c>
      <c r="O191" s="76">
        <v>8920.2568359375</v>
      </c>
      <c r="P191" s="77"/>
      <c r="Q191" s="78"/>
      <c r="R191" s="78"/>
      <c r="S191" s="92"/>
      <c r="T191" s="49">
        <v>1</v>
      </c>
      <c r="U191" s="49">
        <v>0</v>
      </c>
      <c r="V191" s="50">
        <v>0</v>
      </c>
      <c r="W191" s="50">
        <v>0.005714</v>
      </c>
      <c r="X191" s="50">
        <v>0.029292</v>
      </c>
      <c r="Y191" s="50">
        <v>0.464326</v>
      </c>
      <c r="Z191" s="50">
        <v>0</v>
      </c>
      <c r="AA191" s="50">
        <v>0</v>
      </c>
      <c r="AB191" s="73">
        <v>191</v>
      </c>
      <c r="AC191" s="73"/>
      <c r="AD191" s="74"/>
      <c r="AE191" s="81" t="s">
        <v>2103</v>
      </c>
      <c r="AF191" s="86" t="s">
        <v>2372</v>
      </c>
      <c r="AG191" s="81">
        <v>1277</v>
      </c>
      <c r="AH191" s="81">
        <v>1758</v>
      </c>
      <c r="AI191" s="81">
        <v>605</v>
      </c>
      <c r="AJ191" s="81">
        <v>144</v>
      </c>
      <c r="AK191" s="81"/>
      <c r="AL191" s="81" t="s">
        <v>2637</v>
      </c>
      <c r="AM191" s="81"/>
      <c r="AN191" s="81"/>
      <c r="AO191" s="81"/>
      <c r="AP191" s="83">
        <v>43956.39891203704</v>
      </c>
      <c r="AQ191" s="88" t="str">
        <f>HYPERLINK("https://pbs.twimg.com/profile_banners/1257604508580003840/1588671654")</f>
        <v>https://pbs.twimg.com/profile_banners/1257604508580003840/1588671654</v>
      </c>
      <c r="AR191" s="81" t="b">
        <v>1</v>
      </c>
      <c r="AS191" s="81" t="b">
        <v>0</v>
      </c>
      <c r="AT191" s="81" t="b">
        <v>0</v>
      </c>
      <c r="AU191" s="81"/>
      <c r="AV191" s="81">
        <v>8</v>
      </c>
      <c r="AW191" s="81"/>
      <c r="AX191" s="81" t="b">
        <v>0</v>
      </c>
      <c r="AY191" s="81" t="s">
        <v>2883</v>
      </c>
      <c r="AZ191" s="88" t="str">
        <f>HYPERLINK("https://twitter.com/jac_amr")</f>
        <v>https://twitter.com/jac_amr</v>
      </c>
      <c r="BA191" s="81" t="s">
        <v>65</v>
      </c>
      <c r="BB191" s="81" t="str">
        <f>REPLACE(INDEX(GroupVertices[Group],MATCH(Vertices[[#This Row],[Vertex]],GroupVertices[Vertex],0)),1,1,"")</f>
        <v>4</v>
      </c>
      <c r="BC191" s="49"/>
      <c r="BD191" s="49"/>
      <c r="BE191" s="49"/>
      <c r="BF191" s="49"/>
      <c r="BG191" s="49"/>
      <c r="BH191" s="49"/>
      <c r="BI191" s="49"/>
      <c r="BJ191" s="49"/>
      <c r="BK191" s="49"/>
      <c r="BL191" s="49"/>
      <c r="BM191" s="49"/>
      <c r="BN191" s="50"/>
      <c r="BO191" s="49"/>
      <c r="BP191" s="50"/>
      <c r="BQ191" s="49"/>
      <c r="BR191" s="50"/>
      <c r="BS191" s="49"/>
      <c r="BT191" s="50"/>
      <c r="BU191" s="49"/>
      <c r="BV191" s="2"/>
      <c r="BW191" s="3"/>
      <c r="BX191" s="3"/>
      <c r="BY191" s="3"/>
      <c r="BZ191" s="3"/>
    </row>
    <row r="192" spans="1:78" ht="41.45" customHeight="1">
      <c r="A192" s="66" t="s">
        <v>495</v>
      </c>
      <c r="C192" s="67"/>
      <c r="D192" s="67" t="s">
        <v>64</v>
      </c>
      <c r="E192" s="68">
        <v>162.17662693715664</v>
      </c>
      <c r="F192" s="70">
        <v>99.99961908930364</v>
      </c>
      <c r="G192" s="106" t="str">
        <f>HYPERLINK("https://pbs.twimg.com/profile_images/720980150381318144/mda1MmDN_normal.jpg")</f>
        <v>https://pbs.twimg.com/profile_images/720980150381318144/mda1MmDN_normal.jpg</v>
      </c>
      <c r="H192" s="67"/>
      <c r="I192" s="71" t="s">
        <v>495</v>
      </c>
      <c r="J192" s="72"/>
      <c r="K192" s="72"/>
      <c r="L192" s="71" t="s">
        <v>3072</v>
      </c>
      <c r="M192" s="75">
        <v>1.1269448380739957</v>
      </c>
      <c r="N192" s="76">
        <v>9283.4912109375</v>
      </c>
      <c r="O192" s="76">
        <v>6775.63818359375</v>
      </c>
      <c r="P192" s="77"/>
      <c r="Q192" s="78"/>
      <c r="R192" s="78"/>
      <c r="S192" s="92"/>
      <c r="T192" s="49">
        <v>1</v>
      </c>
      <c r="U192" s="49">
        <v>0</v>
      </c>
      <c r="V192" s="50">
        <v>0</v>
      </c>
      <c r="W192" s="50">
        <v>0.005714</v>
      </c>
      <c r="X192" s="50">
        <v>0.029292</v>
      </c>
      <c r="Y192" s="50">
        <v>0.464326</v>
      </c>
      <c r="Z192" s="50">
        <v>0</v>
      </c>
      <c r="AA192" s="50">
        <v>0</v>
      </c>
      <c r="AB192" s="73">
        <v>192</v>
      </c>
      <c r="AC192" s="73"/>
      <c r="AD192" s="74"/>
      <c r="AE192" s="81" t="s">
        <v>2104</v>
      </c>
      <c r="AF192" s="86" t="s">
        <v>2373</v>
      </c>
      <c r="AG192" s="81">
        <v>815</v>
      </c>
      <c r="AH192" s="81">
        <v>940</v>
      </c>
      <c r="AI192" s="81">
        <v>4217</v>
      </c>
      <c r="AJ192" s="81">
        <v>14528</v>
      </c>
      <c r="AK192" s="81"/>
      <c r="AL192" s="81" t="s">
        <v>2638</v>
      </c>
      <c r="AM192" s="81" t="s">
        <v>2836</v>
      </c>
      <c r="AN192" s="88" t="str">
        <f>HYPERLINK("https://t.co/q4g0MyZ0m4")</f>
        <v>https://t.co/q4g0MyZ0m4</v>
      </c>
      <c r="AO192" s="81"/>
      <c r="AP192" s="83">
        <v>42475.57498842593</v>
      </c>
      <c r="AQ192" s="81"/>
      <c r="AR192" s="81" t="b">
        <v>1</v>
      </c>
      <c r="AS192" s="81" t="b">
        <v>0</v>
      </c>
      <c r="AT192" s="81" t="b">
        <v>0</v>
      </c>
      <c r="AU192" s="81"/>
      <c r="AV192" s="81">
        <v>4</v>
      </c>
      <c r="AW192" s="81"/>
      <c r="AX192" s="81" t="b">
        <v>0</v>
      </c>
      <c r="AY192" s="81" t="s">
        <v>2883</v>
      </c>
      <c r="AZ192" s="88" t="str">
        <f>HYPERLINK("https://twitter.com/antonia_sagona")</f>
        <v>https://twitter.com/antonia_sagona</v>
      </c>
      <c r="BA192" s="81" t="s">
        <v>65</v>
      </c>
      <c r="BB192" s="81" t="str">
        <f>REPLACE(INDEX(GroupVertices[Group],MATCH(Vertices[[#This Row],[Vertex]],GroupVertices[Vertex],0)),1,1,"")</f>
        <v>4</v>
      </c>
      <c r="BC192" s="49"/>
      <c r="BD192" s="49"/>
      <c r="BE192" s="49"/>
      <c r="BF192" s="49"/>
      <c r="BG192" s="49"/>
      <c r="BH192" s="49"/>
      <c r="BI192" s="49"/>
      <c r="BJ192" s="49"/>
      <c r="BK192" s="49"/>
      <c r="BL192" s="49"/>
      <c r="BM192" s="49"/>
      <c r="BN192" s="50"/>
      <c r="BO192" s="49"/>
      <c r="BP192" s="50"/>
      <c r="BQ192" s="49"/>
      <c r="BR192" s="50"/>
      <c r="BS192" s="49"/>
      <c r="BT192" s="50"/>
      <c r="BU192" s="49"/>
      <c r="BV192" s="2"/>
      <c r="BW192" s="3"/>
      <c r="BX192" s="3"/>
      <c r="BY192" s="3"/>
      <c r="BZ192" s="3"/>
    </row>
    <row r="193" spans="1:78" ht="41.45" customHeight="1">
      <c r="A193" s="66" t="s">
        <v>496</v>
      </c>
      <c r="C193" s="67"/>
      <c r="D193" s="67" t="s">
        <v>64</v>
      </c>
      <c r="E193" s="68">
        <v>163.43657832238083</v>
      </c>
      <c r="F193" s="70">
        <v>99.99690189923483</v>
      </c>
      <c r="G193" s="106" t="str">
        <f>HYPERLINK("https://pbs.twimg.com/profile_images/950772359748837376/yKV73SQA_normal.jpg")</f>
        <v>https://pbs.twimg.com/profile_images/950772359748837376/yKV73SQA_normal.jpg</v>
      </c>
      <c r="H193" s="67"/>
      <c r="I193" s="71" t="s">
        <v>496</v>
      </c>
      <c r="J193" s="72"/>
      <c r="K193" s="72"/>
      <c r="L193" s="71" t="s">
        <v>3073</v>
      </c>
      <c r="M193" s="75">
        <v>2.0324937150073867</v>
      </c>
      <c r="N193" s="76">
        <v>9790.03125</v>
      </c>
      <c r="O193" s="76">
        <v>7856.15234375</v>
      </c>
      <c r="P193" s="77"/>
      <c r="Q193" s="78"/>
      <c r="R193" s="78"/>
      <c r="S193" s="92"/>
      <c r="T193" s="49">
        <v>1</v>
      </c>
      <c r="U193" s="49">
        <v>0</v>
      </c>
      <c r="V193" s="50">
        <v>0</v>
      </c>
      <c r="W193" s="50">
        <v>0.005714</v>
      </c>
      <c r="X193" s="50">
        <v>0.029292</v>
      </c>
      <c r="Y193" s="50">
        <v>0.464326</v>
      </c>
      <c r="Z193" s="50">
        <v>0</v>
      </c>
      <c r="AA193" s="50">
        <v>0</v>
      </c>
      <c r="AB193" s="73">
        <v>193</v>
      </c>
      <c r="AC193" s="73"/>
      <c r="AD193" s="74"/>
      <c r="AE193" s="81" t="s">
        <v>2105</v>
      </c>
      <c r="AF193" s="86" t="s">
        <v>2374</v>
      </c>
      <c r="AG193" s="81">
        <v>837</v>
      </c>
      <c r="AH193" s="81">
        <v>7624</v>
      </c>
      <c r="AI193" s="81">
        <v>5507</v>
      </c>
      <c r="AJ193" s="81">
        <v>1035</v>
      </c>
      <c r="AK193" s="81"/>
      <c r="AL193" s="81" t="s">
        <v>2639</v>
      </c>
      <c r="AM193" s="81" t="s">
        <v>2837</v>
      </c>
      <c r="AN193" s="88" t="str">
        <f>HYPERLINK("https://t.co/pXOVDhQUge")</f>
        <v>https://t.co/pXOVDhQUge</v>
      </c>
      <c r="AO193" s="81"/>
      <c r="AP193" s="83">
        <v>39876.31835648148</v>
      </c>
      <c r="AQ193" s="88" t="str">
        <f>HYPERLINK("https://pbs.twimg.com/profile_banners/22746537/1608561792")</f>
        <v>https://pbs.twimg.com/profile_banners/22746537/1608561792</v>
      </c>
      <c r="AR193" s="81" t="b">
        <v>0</v>
      </c>
      <c r="AS193" s="81" t="b">
        <v>0</v>
      </c>
      <c r="AT193" s="81" t="b">
        <v>0</v>
      </c>
      <c r="AU193" s="81"/>
      <c r="AV193" s="81">
        <v>191</v>
      </c>
      <c r="AW193" s="88" t="str">
        <f>HYPERLINK("https://abs.twimg.com/images/themes/theme16/bg.gif")</f>
        <v>https://abs.twimg.com/images/themes/theme16/bg.gif</v>
      </c>
      <c r="AX193" s="81" t="b">
        <v>1</v>
      </c>
      <c r="AY193" s="81" t="s">
        <v>2883</v>
      </c>
      <c r="AZ193" s="88" t="str">
        <f>HYPERLINK("https://twitter.com/biomerieux")</f>
        <v>https://twitter.com/biomerieux</v>
      </c>
      <c r="BA193" s="81" t="s">
        <v>65</v>
      </c>
      <c r="BB193" s="81" t="str">
        <f>REPLACE(INDEX(GroupVertices[Group],MATCH(Vertices[[#This Row],[Vertex]],GroupVertices[Vertex],0)),1,1,"")</f>
        <v>4</v>
      </c>
      <c r="BC193" s="49"/>
      <c r="BD193" s="49"/>
      <c r="BE193" s="49"/>
      <c r="BF193" s="49"/>
      <c r="BG193" s="49"/>
      <c r="BH193" s="49"/>
      <c r="BI193" s="49"/>
      <c r="BJ193" s="49"/>
      <c r="BK193" s="49"/>
      <c r="BL193" s="49"/>
      <c r="BM193" s="49"/>
      <c r="BN193" s="50"/>
      <c r="BO193" s="49"/>
      <c r="BP193" s="50"/>
      <c r="BQ193" s="49"/>
      <c r="BR193" s="50"/>
      <c r="BS193" s="49"/>
      <c r="BT193" s="50"/>
      <c r="BU193" s="49"/>
      <c r="BV193" s="2"/>
      <c r="BW193" s="3"/>
      <c r="BX193" s="3"/>
      <c r="BY193" s="3"/>
      <c r="BZ193" s="3"/>
    </row>
    <row r="194" spans="1:78" ht="41.45" customHeight="1">
      <c r="A194" s="66" t="s">
        <v>386</v>
      </c>
      <c r="C194" s="67"/>
      <c r="D194" s="67" t="s">
        <v>64</v>
      </c>
      <c r="E194" s="68">
        <v>162.05787029851345</v>
      </c>
      <c r="F194" s="70">
        <v>99.99987519788283</v>
      </c>
      <c r="G194" s="106" t="str">
        <f>HYPERLINK("https://pbs.twimg.com/profile_images/1238934975183011842/uIKUxRIp_normal.jpg")</f>
        <v>https://pbs.twimg.com/profile_images/1238934975183011842/uIKUxRIp_normal.jpg</v>
      </c>
      <c r="H194" s="67"/>
      <c r="I194" s="71" t="s">
        <v>386</v>
      </c>
      <c r="J194" s="72"/>
      <c r="K194" s="72"/>
      <c r="L194" s="71" t="s">
        <v>3074</v>
      </c>
      <c r="M194" s="75">
        <v>1.041592385580274</v>
      </c>
      <c r="N194" s="76">
        <v>9093.845703125</v>
      </c>
      <c r="O194" s="76">
        <v>9662.2822265625</v>
      </c>
      <c r="P194" s="77"/>
      <c r="Q194" s="78"/>
      <c r="R194" s="78"/>
      <c r="S194" s="92"/>
      <c r="T194" s="49">
        <v>2</v>
      </c>
      <c r="U194" s="49">
        <v>1</v>
      </c>
      <c r="V194" s="50">
        <v>0</v>
      </c>
      <c r="W194" s="50">
        <v>0.005714</v>
      </c>
      <c r="X194" s="50">
        <v>0.036435</v>
      </c>
      <c r="Y194" s="50">
        <v>0.807523</v>
      </c>
      <c r="Z194" s="50">
        <v>0</v>
      </c>
      <c r="AA194" s="50">
        <v>0</v>
      </c>
      <c r="AB194" s="73">
        <v>194</v>
      </c>
      <c r="AC194" s="73"/>
      <c r="AD194" s="74"/>
      <c r="AE194" s="81" t="s">
        <v>2106</v>
      </c>
      <c r="AF194" s="86" t="s">
        <v>2375</v>
      </c>
      <c r="AG194" s="81">
        <v>255</v>
      </c>
      <c r="AH194" s="81">
        <v>310</v>
      </c>
      <c r="AI194" s="81">
        <v>611</v>
      </c>
      <c r="AJ194" s="81">
        <v>1704</v>
      </c>
      <c r="AK194" s="81"/>
      <c r="AL194" s="81" t="s">
        <v>2640</v>
      </c>
      <c r="AM194" s="81"/>
      <c r="AN194" s="81"/>
      <c r="AO194" s="81"/>
      <c r="AP194" s="83">
        <v>42325.67282407408</v>
      </c>
      <c r="AQ194" s="81"/>
      <c r="AR194" s="81" t="b">
        <v>1</v>
      </c>
      <c r="AS194" s="81" t="b">
        <v>0</v>
      </c>
      <c r="AT194" s="81" t="b">
        <v>0</v>
      </c>
      <c r="AU194" s="81"/>
      <c r="AV194" s="81">
        <v>1</v>
      </c>
      <c r="AW194" s="88" t="str">
        <f>HYPERLINK("https://abs.twimg.com/images/themes/theme1/bg.png")</f>
        <v>https://abs.twimg.com/images/themes/theme1/bg.png</v>
      </c>
      <c r="AX194" s="81" t="b">
        <v>0</v>
      </c>
      <c r="AY194" s="81" t="s">
        <v>2883</v>
      </c>
      <c r="AZ194" s="88" t="str">
        <f>HYPERLINK("https://twitter.com/jamiesonce")</f>
        <v>https://twitter.com/jamiesonce</v>
      </c>
      <c r="BA194" s="81" t="s">
        <v>66</v>
      </c>
      <c r="BB194" s="81" t="str">
        <f>REPLACE(INDEX(GroupVertices[Group],MATCH(Vertices[[#This Row],[Vertex]],GroupVertices[Vertex],0)),1,1,"")</f>
        <v>4</v>
      </c>
      <c r="BC194" s="49"/>
      <c r="BD194" s="49"/>
      <c r="BE194" s="49"/>
      <c r="BF194" s="49"/>
      <c r="BG194" s="49" t="s">
        <v>961</v>
      </c>
      <c r="BH194" s="49" t="s">
        <v>961</v>
      </c>
      <c r="BI194" s="113" t="s">
        <v>3689</v>
      </c>
      <c r="BJ194" s="113" t="s">
        <v>3689</v>
      </c>
      <c r="BK194" s="113" t="s">
        <v>3866</v>
      </c>
      <c r="BL194" s="113" t="s">
        <v>3866</v>
      </c>
      <c r="BM194" s="113">
        <v>0</v>
      </c>
      <c r="BN194" s="116">
        <v>0</v>
      </c>
      <c r="BO194" s="113">
        <v>2</v>
      </c>
      <c r="BP194" s="116">
        <v>6.0606060606060606</v>
      </c>
      <c r="BQ194" s="113">
        <v>0</v>
      </c>
      <c r="BR194" s="116">
        <v>0</v>
      </c>
      <c r="BS194" s="113">
        <v>31</v>
      </c>
      <c r="BT194" s="116">
        <v>93.93939393939394</v>
      </c>
      <c r="BU194" s="113">
        <v>33</v>
      </c>
      <c r="BV194" s="2"/>
      <c r="BW194" s="3"/>
      <c r="BX194" s="3"/>
      <c r="BY194" s="3"/>
      <c r="BZ194" s="3"/>
    </row>
    <row r="195" spans="1:78" ht="41.45" customHeight="1">
      <c r="A195" s="66" t="s">
        <v>497</v>
      </c>
      <c r="C195" s="67"/>
      <c r="D195" s="67" t="s">
        <v>64</v>
      </c>
      <c r="E195" s="68">
        <v>162.0467486450532</v>
      </c>
      <c r="F195" s="70">
        <v>99.99989918265454</v>
      </c>
      <c r="G195" s="106" t="str">
        <f>HYPERLINK("https://pbs.twimg.com/profile_images/1424028696286015490/zfEiLJE__normal.jpg")</f>
        <v>https://pbs.twimg.com/profile_images/1424028696286015490/zfEiLJE__normal.jpg</v>
      </c>
      <c r="H195" s="67"/>
      <c r="I195" s="71" t="s">
        <v>497</v>
      </c>
      <c r="J195" s="72"/>
      <c r="K195" s="72"/>
      <c r="L195" s="71" t="s">
        <v>3075</v>
      </c>
      <c r="M195" s="75">
        <v>1.0335990606641952</v>
      </c>
      <c r="N195" s="76">
        <v>9839.0166015625</v>
      </c>
      <c r="O195" s="76">
        <v>8709.525390625</v>
      </c>
      <c r="P195" s="77"/>
      <c r="Q195" s="78"/>
      <c r="R195" s="78"/>
      <c r="S195" s="92"/>
      <c r="T195" s="49">
        <v>1</v>
      </c>
      <c r="U195" s="49">
        <v>0</v>
      </c>
      <c r="V195" s="50">
        <v>0</v>
      </c>
      <c r="W195" s="50">
        <v>0.005714</v>
      </c>
      <c r="X195" s="50">
        <v>0.029292</v>
      </c>
      <c r="Y195" s="50">
        <v>0.464326</v>
      </c>
      <c r="Z195" s="50">
        <v>0</v>
      </c>
      <c r="AA195" s="50">
        <v>0</v>
      </c>
      <c r="AB195" s="73">
        <v>195</v>
      </c>
      <c r="AC195" s="73"/>
      <c r="AD195" s="74"/>
      <c r="AE195" s="81" t="s">
        <v>2107</v>
      </c>
      <c r="AF195" s="86" t="s">
        <v>2376</v>
      </c>
      <c r="AG195" s="81">
        <v>367</v>
      </c>
      <c r="AH195" s="81">
        <v>251</v>
      </c>
      <c r="AI195" s="81">
        <v>1021</v>
      </c>
      <c r="AJ195" s="81">
        <v>3694</v>
      </c>
      <c r="AK195" s="81"/>
      <c r="AL195" s="81" t="s">
        <v>2641</v>
      </c>
      <c r="AM195" s="81"/>
      <c r="AN195" s="81"/>
      <c r="AO195" s="81"/>
      <c r="AP195" s="83">
        <v>41921.90393518518</v>
      </c>
      <c r="AQ195" s="88" t="str">
        <f>HYPERLINK("https://pbs.twimg.com/profile_banners/2820659740/1508522212")</f>
        <v>https://pbs.twimg.com/profile_banners/2820659740/1508522212</v>
      </c>
      <c r="AR195" s="81" t="b">
        <v>1</v>
      </c>
      <c r="AS195" s="81" t="b">
        <v>0</v>
      </c>
      <c r="AT195" s="81" t="b">
        <v>0</v>
      </c>
      <c r="AU195" s="81"/>
      <c r="AV195" s="81">
        <v>2</v>
      </c>
      <c r="AW195" s="88" t="str">
        <f>HYPERLINK("https://abs.twimg.com/images/themes/theme1/bg.png")</f>
        <v>https://abs.twimg.com/images/themes/theme1/bg.png</v>
      </c>
      <c r="AX195" s="81" t="b">
        <v>0</v>
      </c>
      <c r="AY195" s="81" t="s">
        <v>2883</v>
      </c>
      <c r="AZ195" s="88" t="str">
        <f>HYPERLINK("https://twitter.com/rakhi2382")</f>
        <v>https://twitter.com/rakhi2382</v>
      </c>
      <c r="BA195" s="81" t="s">
        <v>65</v>
      </c>
      <c r="BB195" s="81" t="str">
        <f>REPLACE(INDEX(GroupVertices[Group],MATCH(Vertices[[#This Row],[Vertex]],GroupVertices[Vertex],0)),1,1,"")</f>
        <v>4</v>
      </c>
      <c r="BC195" s="49"/>
      <c r="BD195" s="49"/>
      <c r="BE195" s="49"/>
      <c r="BF195" s="49"/>
      <c r="BG195" s="49"/>
      <c r="BH195" s="49"/>
      <c r="BI195" s="49"/>
      <c r="BJ195" s="49"/>
      <c r="BK195" s="49"/>
      <c r="BL195" s="49"/>
      <c r="BM195" s="49"/>
      <c r="BN195" s="50"/>
      <c r="BO195" s="49"/>
      <c r="BP195" s="50"/>
      <c r="BQ195" s="49"/>
      <c r="BR195" s="50"/>
      <c r="BS195" s="49"/>
      <c r="BT195" s="50"/>
      <c r="BU195" s="49"/>
      <c r="BV195" s="2"/>
      <c r="BW195" s="3"/>
      <c r="BX195" s="3"/>
      <c r="BY195" s="3"/>
      <c r="BZ195" s="3"/>
    </row>
    <row r="196" spans="1:78" ht="41.45" customHeight="1">
      <c r="A196" s="66" t="s">
        <v>498</v>
      </c>
      <c r="C196" s="67"/>
      <c r="D196" s="67" t="s">
        <v>64</v>
      </c>
      <c r="E196" s="68">
        <v>164.49181588289625</v>
      </c>
      <c r="F196" s="70">
        <v>99.99462619157396</v>
      </c>
      <c r="G196" s="106" t="str">
        <f>HYPERLINK("https://pbs.twimg.com/profile_images/1442397861094641667/G-WDuk2J_normal.png")</f>
        <v>https://pbs.twimg.com/profile_images/1442397861094641667/G-WDuk2J_normal.png</v>
      </c>
      <c r="H196" s="67"/>
      <c r="I196" s="71" t="s">
        <v>498</v>
      </c>
      <c r="J196" s="72"/>
      <c r="K196" s="72"/>
      <c r="L196" s="71" t="s">
        <v>3076</v>
      </c>
      <c r="M196" s="75">
        <v>2.7909112214516005</v>
      </c>
      <c r="N196" s="76">
        <v>8620.46484375</v>
      </c>
      <c r="O196" s="76">
        <v>8710.951171875</v>
      </c>
      <c r="P196" s="77"/>
      <c r="Q196" s="78"/>
      <c r="R196" s="78"/>
      <c r="S196" s="92"/>
      <c r="T196" s="49">
        <v>1</v>
      </c>
      <c r="U196" s="49">
        <v>0</v>
      </c>
      <c r="V196" s="50">
        <v>0</v>
      </c>
      <c r="W196" s="50">
        <v>0.005714</v>
      </c>
      <c r="X196" s="50">
        <v>0.029292</v>
      </c>
      <c r="Y196" s="50">
        <v>0.464326</v>
      </c>
      <c r="Z196" s="50">
        <v>0</v>
      </c>
      <c r="AA196" s="50">
        <v>0</v>
      </c>
      <c r="AB196" s="73">
        <v>196</v>
      </c>
      <c r="AC196" s="73"/>
      <c r="AD196" s="74"/>
      <c r="AE196" s="81" t="s">
        <v>2108</v>
      </c>
      <c r="AF196" s="86" t="s">
        <v>2377</v>
      </c>
      <c r="AG196" s="81">
        <v>3112</v>
      </c>
      <c r="AH196" s="81">
        <v>13222</v>
      </c>
      <c r="AI196" s="81">
        <v>16279</v>
      </c>
      <c r="AJ196" s="81">
        <v>2928</v>
      </c>
      <c r="AK196" s="81"/>
      <c r="AL196" s="81" t="s">
        <v>2642</v>
      </c>
      <c r="AM196" s="81" t="s">
        <v>2838</v>
      </c>
      <c r="AN196" s="88" t="str">
        <f>HYPERLINK("https://t.co/07hDTa6Gzr")</f>
        <v>https://t.co/07hDTa6Gzr</v>
      </c>
      <c r="AO196" s="81"/>
      <c r="AP196" s="83">
        <v>39875.62017361111</v>
      </c>
      <c r="AQ196" s="88" t="str">
        <f>HYPERLINK("https://pbs.twimg.com/profile_banners/22630625/1627374984")</f>
        <v>https://pbs.twimg.com/profile_banners/22630625/1627374984</v>
      </c>
      <c r="AR196" s="81" t="b">
        <v>0</v>
      </c>
      <c r="AS196" s="81" t="b">
        <v>0</v>
      </c>
      <c r="AT196" s="81" t="b">
        <v>1</v>
      </c>
      <c r="AU196" s="81"/>
      <c r="AV196" s="81">
        <v>333</v>
      </c>
      <c r="AW196" s="88" t="str">
        <f>HYPERLINK("https://abs.twimg.com/images/themes/theme1/bg.png")</f>
        <v>https://abs.twimg.com/images/themes/theme1/bg.png</v>
      </c>
      <c r="AX196" s="81" t="b">
        <v>1</v>
      </c>
      <c r="AY196" s="81" t="s">
        <v>2883</v>
      </c>
      <c r="AZ196" s="88" t="str">
        <f>HYPERLINK("https://twitter.com/nhsbsolccg")</f>
        <v>https://twitter.com/nhsbsolccg</v>
      </c>
      <c r="BA196" s="81" t="s">
        <v>65</v>
      </c>
      <c r="BB196" s="81" t="str">
        <f>REPLACE(INDEX(GroupVertices[Group],MATCH(Vertices[[#This Row],[Vertex]],GroupVertices[Vertex],0)),1,1,"")</f>
        <v>4</v>
      </c>
      <c r="BC196" s="49"/>
      <c r="BD196" s="49"/>
      <c r="BE196" s="49"/>
      <c r="BF196" s="49"/>
      <c r="BG196" s="49"/>
      <c r="BH196" s="49"/>
      <c r="BI196" s="49"/>
      <c r="BJ196" s="49"/>
      <c r="BK196" s="49"/>
      <c r="BL196" s="49"/>
      <c r="BM196" s="49"/>
      <c r="BN196" s="50"/>
      <c r="BO196" s="49"/>
      <c r="BP196" s="50"/>
      <c r="BQ196" s="49"/>
      <c r="BR196" s="50"/>
      <c r="BS196" s="49"/>
      <c r="BT196" s="50"/>
      <c r="BU196" s="49"/>
      <c r="BV196" s="2"/>
      <c r="BW196" s="3"/>
      <c r="BX196" s="3"/>
      <c r="BY196" s="3"/>
      <c r="BZ196" s="3"/>
    </row>
    <row r="197" spans="1:78" ht="41.45" customHeight="1">
      <c r="A197" s="66" t="s">
        <v>499</v>
      </c>
      <c r="C197" s="67"/>
      <c r="D197" s="67" t="s">
        <v>64</v>
      </c>
      <c r="E197" s="68">
        <v>164.606425464317</v>
      </c>
      <c r="F197" s="70">
        <v>99.99437902646896</v>
      </c>
      <c r="G197" s="106" t="str">
        <f>HYPERLINK("https://pbs.twimg.com/profile_images/809078162260979712/1rDMvMns_normal.jpg")</f>
        <v>https://pbs.twimg.com/profile_images/809078162260979712/1rDMvMns_normal.jpg</v>
      </c>
      <c r="H197" s="67"/>
      <c r="I197" s="71" t="s">
        <v>499</v>
      </c>
      <c r="J197" s="72"/>
      <c r="K197" s="72"/>
      <c r="L197" s="71" t="s">
        <v>3077</v>
      </c>
      <c r="M197" s="75">
        <v>2.873283112112208</v>
      </c>
      <c r="N197" s="76">
        <v>9607.552734375</v>
      </c>
      <c r="O197" s="76">
        <v>7216.7216796875</v>
      </c>
      <c r="P197" s="77"/>
      <c r="Q197" s="78"/>
      <c r="R197" s="78"/>
      <c r="S197" s="92"/>
      <c r="T197" s="49">
        <v>1</v>
      </c>
      <c r="U197" s="49">
        <v>0</v>
      </c>
      <c r="V197" s="50">
        <v>0</v>
      </c>
      <c r="W197" s="50">
        <v>0.005714</v>
      </c>
      <c r="X197" s="50">
        <v>0.029292</v>
      </c>
      <c r="Y197" s="50">
        <v>0.464326</v>
      </c>
      <c r="Z197" s="50">
        <v>0</v>
      </c>
      <c r="AA197" s="50">
        <v>0</v>
      </c>
      <c r="AB197" s="73">
        <v>197</v>
      </c>
      <c r="AC197" s="73"/>
      <c r="AD197" s="74"/>
      <c r="AE197" s="81" t="s">
        <v>2109</v>
      </c>
      <c r="AF197" s="86" t="s">
        <v>2378</v>
      </c>
      <c r="AG197" s="81">
        <v>2297</v>
      </c>
      <c r="AH197" s="81">
        <v>13830</v>
      </c>
      <c r="AI197" s="81">
        <v>10193</v>
      </c>
      <c r="AJ197" s="81">
        <v>3139</v>
      </c>
      <c r="AK197" s="81"/>
      <c r="AL197" s="81" t="s">
        <v>2643</v>
      </c>
      <c r="AM197" s="81" t="s">
        <v>2736</v>
      </c>
      <c r="AN197" s="88" t="str">
        <f>HYPERLINK("https://t.co/0ITJgIvnVS")</f>
        <v>https://t.co/0ITJgIvnVS</v>
      </c>
      <c r="AO197" s="81"/>
      <c r="AP197" s="83">
        <v>39840.43605324074</v>
      </c>
      <c r="AQ197" s="88" t="str">
        <f>HYPERLINK("https://pbs.twimg.com/profile_banners/19585645/1541143729")</f>
        <v>https://pbs.twimg.com/profile_banners/19585645/1541143729</v>
      </c>
      <c r="AR197" s="81" t="b">
        <v>0</v>
      </c>
      <c r="AS197" s="81" t="b">
        <v>0</v>
      </c>
      <c r="AT197" s="81" t="b">
        <v>1</v>
      </c>
      <c r="AU197" s="81"/>
      <c r="AV197" s="81">
        <v>212</v>
      </c>
      <c r="AW197" s="88" t="str">
        <f>HYPERLINK("https://abs.twimg.com/images/themes/theme9/bg.gif")</f>
        <v>https://abs.twimg.com/images/themes/theme9/bg.gif</v>
      </c>
      <c r="AX197" s="81" t="b">
        <v>0</v>
      </c>
      <c r="AY197" s="81" t="s">
        <v>2883</v>
      </c>
      <c r="AZ197" s="88" t="str">
        <f>HYPERLINK("https://twitter.com/smhopkins")</f>
        <v>https://twitter.com/smhopkins</v>
      </c>
      <c r="BA197" s="81" t="s">
        <v>65</v>
      </c>
      <c r="BB197" s="81" t="str">
        <f>REPLACE(INDEX(GroupVertices[Group],MATCH(Vertices[[#This Row],[Vertex]],GroupVertices[Vertex],0)),1,1,"")</f>
        <v>4</v>
      </c>
      <c r="BC197" s="49"/>
      <c r="BD197" s="49"/>
      <c r="BE197" s="49"/>
      <c r="BF197" s="49"/>
      <c r="BG197" s="49"/>
      <c r="BH197" s="49"/>
      <c r="BI197" s="49"/>
      <c r="BJ197" s="49"/>
      <c r="BK197" s="49"/>
      <c r="BL197" s="49"/>
      <c r="BM197" s="49"/>
      <c r="BN197" s="50"/>
      <c r="BO197" s="49"/>
      <c r="BP197" s="50"/>
      <c r="BQ197" s="49"/>
      <c r="BR197" s="50"/>
      <c r="BS197" s="49"/>
      <c r="BT197" s="50"/>
      <c r="BU197" s="49"/>
      <c r="BV197" s="2"/>
      <c r="BW197" s="3"/>
      <c r="BX197" s="3"/>
      <c r="BY197" s="3"/>
      <c r="BZ197" s="3"/>
    </row>
    <row r="198" spans="1:78" ht="41.45" customHeight="1">
      <c r="A198" s="66" t="s">
        <v>500</v>
      </c>
      <c r="C198" s="67"/>
      <c r="D198" s="67" t="s">
        <v>64</v>
      </c>
      <c r="E198" s="68">
        <v>169.1246443081887</v>
      </c>
      <c r="F198" s="70">
        <v>99.9846351113344</v>
      </c>
      <c r="G198" s="106" t="str">
        <f>HYPERLINK("https://pbs.twimg.com/profile_images/1274367456610525190/OIDDvaCl_normal.jpg")</f>
        <v>https://pbs.twimg.com/profile_images/1274367456610525190/OIDDvaCl_normal.jpg</v>
      </c>
      <c r="H198" s="67"/>
      <c r="I198" s="71" t="s">
        <v>500</v>
      </c>
      <c r="J198" s="72"/>
      <c r="K198" s="72"/>
      <c r="L198" s="71" t="s">
        <v>3078</v>
      </c>
      <c r="M198" s="75">
        <v>6.120605229290013</v>
      </c>
      <c r="N198" s="76">
        <v>9469.21484375</v>
      </c>
      <c r="O198" s="76">
        <v>9670.0859375</v>
      </c>
      <c r="P198" s="77"/>
      <c r="Q198" s="78"/>
      <c r="R198" s="78"/>
      <c r="S198" s="92"/>
      <c r="T198" s="49">
        <v>1</v>
      </c>
      <c r="U198" s="49">
        <v>0</v>
      </c>
      <c r="V198" s="50">
        <v>0</v>
      </c>
      <c r="W198" s="50">
        <v>0.005714</v>
      </c>
      <c r="X198" s="50">
        <v>0.029292</v>
      </c>
      <c r="Y198" s="50">
        <v>0.464326</v>
      </c>
      <c r="Z198" s="50">
        <v>0</v>
      </c>
      <c r="AA198" s="50">
        <v>0</v>
      </c>
      <c r="AB198" s="73">
        <v>198</v>
      </c>
      <c r="AC198" s="73"/>
      <c r="AD198" s="74"/>
      <c r="AE198" s="81" t="s">
        <v>2110</v>
      </c>
      <c r="AF198" s="86" t="s">
        <v>2379</v>
      </c>
      <c r="AG198" s="81">
        <v>290</v>
      </c>
      <c r="AH198" s="81">
        <v>37799</v>
      </c>
      <c r="AI198" s="81">
        <v>34522</v>
      </c>
      <c r="AJ198" s="81">
        <v>41436</v>
      </c>
      <c r="AK198" s="81"/>
      <c r="AL198" s="81" t="s">
        <v>2644</v>
      </c>
      <c r="AM198" s="81" t="s">
        <v>2839</v>
      </c>
      <c r="AN198" s="88" t="str">
        <f>HYPERLINK("https://t.co/g20vAgZMI3")</f>
        <v>https://t.co/g20vAgZMI3</v>
      </c>
      <c r="AO198" s="81"/>
      <c r="AP198" s="83">
        <v>40470.485497685186</v>
      </c>
      <c r="AQ198" s="88" t="str">
        <f>HYPERLINK("https://pbs.twimg.com/profile_banners/204748499/1574587415")</f>
        <v>https://pbs.twimg.com/profile_banners/204748499/1574587415</v>
      </c>
      <c r="AR198" s="81" t="b">
        <v>0</v>
      </c>
      <c r="AS198" s="81" t="b">
        <v>0</v>
      </c>
      <c r="AT198" s="81" t="b">
        <v>1</v>
      </c>
      <c r="AU198" s="81"/>
      <c r="AV198" s="81">
        <v>320</v>
      </c>
      <c r="AW198" s="88" t="str">
        <f>HYPERLINK("https://abs.twimg.com/images/themes/theme18/bg.gif")</f>
        <v>https://abs.twimg.com/images/themes/theme18/bg.gif</v>
      </c>
      <c r="AX198" s="81" t="b">
        <v>0</v>
      </c>
      <c r="AY198" s="81" t="s">
        <v>2883</v>
      </c>
      <c r="AZ198" s="88" t="str">
        <f>HYPERLINK("https://twitter.com/absteward")</f>
        <v>https://twitter.com/absteward</v>
      </c>
      <c r="BA198" s="81" t="s">
        <v>65</v>
      </c>
      <c r="BB198" s="81" t="str">
        <f>REPLACE(INDEX(GroupVertices[Group],MATCH(Vertices[[#This Row],[Vertex]],GroupVertices[Vertex],0)),1,1,"")</f>
        <v>4</v>
      </c>
      <c r="BC198" s="49"/>
      <c r="BD198" s="49"/>
      <c r="BE198" s="49"/>
      <c r="BF198" s="49"/>
      <c r="BG198" s="49"/>
      <c r="BH198" s="49"/>
      <c r="BI198" s="49"/>
      <c r="BJ198" s="49"/>
      <c r="BK198" s="49"/>
      <c r="BL198" s="49"/>
      <c r="BM198" s="49"/>
      <c r="BN198" s="50"/>
      <c r="BO198" s="49"/>
      <c r="BP198" s="50"/>
      <c r="BQ198" s="49"/>
      <c r="BR198" s="50"/>
      <c r="BS198" s="49"/>
      <c r="BT198" s="50"/>
      <c r="BU198" s="49"/>
      <c r="BV198" s="2"/>
      <c r="BW198" s="3"/>
      <c r="BX198" s="3"/>
      <c r="BY198" s="3"/>
      <c r="BZ198" s="3"/>
    </row>
    <row r="199" spans="1:78" ht="41.45" customHeight="1">
      <c r="A199" s="66" t="s">
        <v>501</v>
      </c>
      <c r="C199" s="67"/>
      <c r="D199" s="67" t="s">
        <v>64</v>
      </c>
      <c r="E199" s="68">
        <v>162.8520317566148</v>
      </c>
      <c r="F199" s="70">
        <v>99.99816252257465</v>
      </c>
      <c r="G199" s="106" t="str">
        <f>HYPERLINK("https://pbs.twimg.com/profile_images/1074045329429925888/5ycdYCok_normal.jpg")</f>
        <v>https://pbs.twimg.com/profile_images/1074045329429925888/5ycdYCok_normal.jpg</v>
      </c>
      <c r="H199" s="67"/>
      <c r="I199" s="71" t="s">
        <v>501</v>
      </c>
      <c r="J199" s="72"/>
      <c r="K199" s="72"/>
      <c r="L199" s="71" t="s">
        <v>3079</v>
      </c>
      <c r="M199" s="75">
        <v>1.6123699766216228</v>
      </c>
      <c r="N199" s="76">
        <v>9075.025390625</v>
      </c>
      <c r="O199" s="76">
        <v>7371.599609375</v>
      </c>
      <c r="P199" s="77"/>
      <c r="Q199" s="78"/>
      <c r="R199" s="78"/>
      <c r="S199" s="92"/>
      <c r="T199" s="49">
        <v>1</v>
      </c>
      <c r="U199" s="49">
        <v>0</v>
      </c>
      <c r="V199" s="50">
        <v>0</v>
      </c>
      <c r="W199" s="50">
        <v>0.005714</v>
      </c>
      <c r="X199" s="50">
        <v>0.029292</v>
      </c>
      <c r="Y199" s="50">
        <v>0.464326</v>
      </c>
      <c r="Z199" s="50">
        <v>0</v>
      </c>
      <c r="AA199" s="50">
        <v>0</v>
      </c>
      <c r="AB199" s="73">
        <v>199</v>
      </c>
      <c r="AC199" s="73"/>
      <c r="AD199" s="74"/>
      <c r="AE199" s="81" t="s">
        <v>2111</v>
      </c>
      <c r="AF199" s="86" t="s">
        <v>2380</v>
      </c>
      <c r="AG199" s="81">
        <v>1408</v>
      </c>
      <c r="AH199" s="81">
        <v>4523</v>
      </c>
      <c r="AI199" s="81">
        <v>2933</v>
      </c>
      <c r="AJ199" s="81">
        <v>8902</v>
      </c>
      <c r="AK199" s="81"/>
      <c r="AL199" s="81" t="s">
        <v>2645</v>
      </c>
      <c r="AM199" s="81" t="s">
        <v>2840</v>
      </c>
      <c r="AN199" s="81"/>
      <c r="AO199" s="81"/>
      <c r="AP199" s="83">
        <v>41211.40521990741</v>
      </c>
      <c r="AQ199" s="88" t="str">
        <f>HYPERLINK("https://pbs.twimg.com/profile_banners/912121688/1544898194")</f>
        <v>https://pbs.twimg.com/profile_banners/912121688/1544898194</v>
      </c>
      <c r="AR199" s="81" t="b">
        <v>0</v>
      </c>
      <c r="AS199" s="81" t="b">
        <v>0</v>
      </c>
      <c r="AT199" s="81" t="b">
        <v>1</v>
      </c>
      <c r="AU199" s="81"/>
      <c r="AV199" s="81">
        <v>38</v>
      </c>
      <c r="AW199" s="88" t="str">
        <f>HYPERLINK("https://abs.twimg.com/images/themes/theme1/bg.png")</f>
        <v>https://abs.twimg.com/images/themes/theme1/bg.png</v>
      </c>
      <c r="AX199" s="81" t="b">
        <v>0</v>
      </c>
      <c r="AY199" s="81" t="s">
        <v>2883</v>
      </c>
      <c r="AZ199" s="88" t="str">
        <f>HYPERLINK("https://twitter.com/safetysamfoster")</f>
        <v>https://twitter.com/safetysamfoster</v>
      </c>
      <c r="BA199" s="81" t="s">
        <v>65</v>
      </c>
      <c r="BB199" s="81" t="str">
        <f>REPLACE(INDEX(GroupVertices[Group],MATCH(Vertices[[#This Row],[Vertex]],GroupVertices[Vertex],0)),1,1,"")</f>
        <v>4</v>
      </c>
      <c r="BC199" s="49"/>
      <c r="BD199" s="49"/>
      <c r="BE199" s="49"/>
      <c r="BF199" s="49"/>
      <c r="BG199" s="49"/>
      <c r="BH199" s="49"/>
      <c r="BI199" s="49"/>
      <c r="BJ199" s="49"/>
      <c r="BK199" s="49"/>
      <c r="BL199" s="49"/>
      <c r="BM199" s="49"/>
      <c r="BN199" s="50"/>
      <c r="BO199" s="49"/>
      <c r="BP199" s="50"/>
      <c r="BQ199" s="49"/>
      <c r="BR199" s="50"/>
      <c r="BS199" s="49"/>
      <c r="BT199" s="50"/>
      <c r="BU199" s="49"/>
      <c r="BV199" s="2"/>
      <c r="BW199" s="3"/>
      <c r="BX199" s="3"/>
      <c r="BY199" s="3"/>
      <c r="BZ199" s="3"/>
    </row>
    <row r="200" spans="1:78" ht="41.45" customHeight="1">
      <c r="A200" s="66" t="s">
        <v>387</v>
      </c>
      <c r="C200" s="67"/>
      <c r="D200" s="67" t="s">
        <v>64</v>
      </c>
      <c r="E200" s="68">
        <v>162.44392362540438</v>
      </c>
      <c r="F200" s="70">
        <v>99.99904264173966</v>
      </c>
      <c r="G200" s="106" t="str">
        <f>HYPERLINK("https://pbs.twimg.com/profile_images/1344315172614246406/DdcQ9um7_normal.jpg")</f>
        <v>https://pbs.twimg.com/profile_images/1344315172614246406/DdcQ9um7_normal.jpg</v>
      </c>
      <c r="H200" s="67"/>
      <c r="I200" s="71" t="s">
        <v>387</v>
      </c>
      <c r="J200" s="72"/>
      <c r="K200" s="72"/>
      <c r="L200" s="71" t="s">
        <v>3080</v>
      </c>
      <c r="M200" s="75">
        <v>1.3190555962265313</v>
      </c>
      <c r="N200" s="76">
        <v>8799.837890625</v>
      </c>
      <c r="O200" s="76">
        <v>9331.724609375</v>
      </c>
      <c r="P200" s="77"/>
      <c r="Q200" s="78"/>
      <c r="R200" s="78"/>
      <c r="S200" s="92"/>
      <c r="T200" s="49">
        <v>2</v>
      </c>
      <c r="U200" s="49">
        <v>1</v>
      </c>
      <c r="V200" s="50">
        <v>0</v>
      </c>
      <c r="W200" s="50">
        <v>0.005714</v>
      </c>
      <c r="X200" s="50">
        <v>0.036435</v>
      </c>
      <c r="Y200" s="50">
        <v>0.807523</v>
      </c>
      <c r="Z200" s="50">
        <v>0</v>
      </c>
      <c r="AA200" s="50">
        <v>0</v>
      </c>
      <c r="AB200" s="73">
        <v>200</v>
      </c>
      <c r="AC200" s="73"/>
      <c r="AD200" s="74"/>
      <c r="AE200" s="81" t="s">
        <v>2112</v>
      </c>
      <c r="AF200" s="86" t="s">
        <v>2381</v>
      </c>
      <c r="AG200" s="81">
        <v>68</v>
      </c>
      <c r="AH200" s="81">
        <v>2358</v>
      </c>
      <c r="AI200" s="81">
        <v>736</v>
      </c>
      <c r="AJ200" s="81">
        <v>137</v>
      </c>
      <c r="AK200" s="81"/>
      <c r="AL200" s="81" t="s">
        <v>2646</v>
      </c>
      <c r="AM200" s="81" t="s">
        <v>2841</v>
      </c>
      <c r="AN200" s="88" t="str">
        <f>HYPERLINK("http://t.co/z0ScgIJL45")</f>
        <v>http://t.co/z0ScgIJL45</v>
      </c>
      <c r="AO200" s="81"/>
      <c r="AP200" s="83">
        <v>40500.70743055556</v>
      </c>
      <c r="AQ200" s="88" t="str">
        <f>HYPERLINK("https://pbs.twimg.com/profile_banners/217121576/1478880112")</f>
        <v>https://pbs.twimg.com/profile_banners/217121576/1478880112</v>
      </c>
      <c r="AR200" s="81" t="b">
        <v>0</v>
      </c>
      <c r="AS200" s="81" t="b">
        <v>0</v>
      </c>
      <c r="AT200" s="81" t="b">
        <v>0</v>
      </c>
      <c r="AU200" s="81"/>
      <c r="AV200" s="81">
        <v>10</v>
      </c>
      <c r="AW200" s="88" t="str">
        <f>HYPERLINK("https://abs.twimg.com/images/themes/theme15/bg.png")</f>
        <v>https://abs.twimg.com/images/themes/theme15/bg.png</v>
      </c>
      <c r="AX200" s="81" t="b">
        <v>0</v>
      </c>
      <c r="AY200" s="81" t="s">
        <v>2883</v>
      </c>
      <c r="AZ200" s="88" t="str">
        <f>HYPERLINK("https://twitter.com/sanfordguide")</f>
        <v>https://twitter.com/sanfordguide</v>
      </c>
      <c r="BA200" s="81" t="s">
        <v>66</v>
      </c>
      <c r="BB200" s="81" t="str">
        <f>REPLACE(INDEX(GroupVertices[Group],MATCH(Vertices[[#This Row],[Vertex]],GroupVertices[Vertex],0)),1,1,"")</f>
        <v>4</v>
      </c>
      <c r="BC200" s="49" t="s">
        <v>3581</v>
      </c>
      <c r="BD200" s="49" t="s">
        <v>3581</v>
      </c>
      <c r="BE200" s="49" t="s">
        <v>903</v>
      </c>
      <c r="BF200" s="49" t="s">
        <v>903</v>
      </c>
      <c r="BG200" s="49" t="s">
        <v>1060</v>
      </c>
      <c r="BH200" s="49" t="s">
        <v>1060</v>
      </c>
      <c r="BI200" s="113" t="s">
        <v>3775</v>
      </c>
      <c r="BJ200" s="113" t="s">
        <v>3775</v>
      </c>
      <c r="BK200" s="113" t="s">
        <v>3952</v>
      </c>
      <c r="BL200" s="113" t="s">
        <v>3952</v>
      </c>
      <c r="BM200" s="113">
        <v>1</v>
      </c>
      <c r="BN200" s="116">
        <v>3.125</v>
      </c>
      <c r="BO200" s="113">
        <v>1</v>
      </c>
      <c r="BP200" s="116">
        <v>3.125</v>
      </c>
      <c r="BQ200" s="113">
        <v>0</v>
      </c>
      <c r="BR200" s="116">
        <v>0</v>
      </c>
      <c r="BS200" s="113">
        <v>30</v>
      </c>
      <c r="BT200" s="116">
        <v>93.75</v>
      </c>
      <c r="BU200" s="113">
        <v>32</v>
      </c>
      <c r="BV200" s="2"/>
      <c r="BW200" s="3"/>
      <c r="BX200" s="3"/>
      <c r="BY200" s="3"/>
      <c r="BZ200" s="3"/>
    </row>
    <row r="201" spans="1:78" ht="41.45" customHeight="1">
      <c r="A201" s="66" t="s">
        <v>502</v>
      </c>
      <c r="C201" s="67"/>
      <c r="D201" s="67" t="s">
        <v>64</v>
      </c>
      <c r="E201" s="68">
        <v>162.00942513005106</v>
      </c>
      <c r="F201" s="70">
        <v>99.99997967392228</v>
      </c>
      <c r="G201" s="106" t="str">
        <f>HYPERLINK("https://pbs.twimg.com/profile_images/1384492926789640193/lO2gxOVX_normal.jpg")</f>
        <v>https://pbs.twimg.com/profile_images/1384492926789640193/lO2gxOVX_normal.jpg</v>
      </c>
      <c r="H201" s="67"/>
      <c r="I201" s="71" t="s">
        <v>502</v>
      </c>
      <c r="J201" s="72"/>
      <c r="K201" s="72"/>
      <c r="L201" s="71" t="s">
        <v>3081</v>
      </c>
      <c r="M201" s="75">
        <v>1.0067740041661684</v>
      </c>
      <c r="N201" s="76">
        <v>8754.6552734375</v>
      </c>
      <c r="O201" s="76">
        <v>7166.0830078125</v>
      </c>
      <c r="P201" s="77"/>
      <c r="Q201" s="78"/>
      <c r="R201" s="78"/>
      <c r="S201" s="92"/>
      <c r="T201" s="49">
        <v>1</v>
      </c>
      <c r="U201" s="49">
        <v>0</v>
      </c>
      <c r="V201" s="50">
        <v>0</v>
      </c>
      <c r="W201" s="50">
        <v>0.005714</v>
      </c>
      <c r="X201" s="50">
        <v>0.029292</v>
      </c>
      <c r="Y201" s="50">
        <v>0.464326</v>
      </c>
      <c r="Z201" s="50">
        <v>0</v>
      </c>
      <c r="AA201" s="50">
        <v>0</v>
      </c>
      <c r="AB201" s="73">
        <v>201</v>
      </c>
      <c r="AC201" s="73"/>
      <c r="AD201" s="74"/>
      <c r="AE201" s="81" t="s">
        <v>2113</v>
      </c>
      <c r="AF201" s="86" t="s">
        <v>2382</v>
      </c>
      <c r="AG201" s="81">
        <v>77</v>
      </c>
      <c r="AH201" s="81">
        <v>53</v>
      </c>
      <c r="AI201" s="81">
        <v>35</v>
      </c>
      <c r="AJ201" s="81">
        <v>65</v>
      </c>
      <c r="AK201" s="81"/>
      <c r="AL201" s="81" t="s">
        <v>2647</v>
      </c>
      <c r="AM201" s="81" t="s">
        <v>2767</v>
      </c>
      <c r="AN201" s="81"/>
      <c r="AO201" s="81"/>
      <c r="AP201" s="83">
        <v>41283.881747685184</v>
      </c>
      <c r="AQ201" s="81"/>
      <c r="AR201" s="81" t="b">
        <v>1</v>
      </c>
      <c r="AS201" s="81" t="b">
        <v>0</v>
      </c>
      <c r="AT201" s="81" t="b">
        <v>0</v>
      </c>
      <c r="AU201" s="81"/>
      <c r="AV201" s="81">
        <v>0</v>
      </c>
      <c r="AW201" s="88" t="str">
        <f>HYPERLINK("https://abs.twimg.com/images/themes/theme1/bg.png")</f>
        <v>https://abs.twimg.com/images/themes/theme1/bg.png</v>
      </c>
      <c r="AX201" s="81" t="b">
        <v>0</v>
      </c>
      <c r="AY201" s="81" t="s">
        <v>2883</v>
      </c>
      <c r="AZ201" s="88" t="str">
        <f>HYPERLINK("https://twitter.com/jabicjenkins")</f>
        <v>https://twitter.com/jabicjenkins</v>
      </c>
      <c r="BA201" s="81" t="s">
        <v>65</v>
      </c>
      <c r="BB201" s="81" t="str">
        <f>REPLACE(INDEX(GroupVertices[Group],MATCH(Vertices[[#This Row],[Vertex]],GroupVertices[Vertex],0)),1,1,"")</f>
        <v>4</v>
      </c>
      <c r="BC201" s="49"/>
      <c r="BD201" s="49"/>
      <c r="BE201" s="49"/>
      <c r="BF201" s="49"/>
      <c r="BG201" s="49"/>
      <c r="BH201" s="49"/>
      <c r="BI201" s="49"/>
      <c r="BJ201" s="49"/>
      <c r="BK201" s="49"/>
      <c r="BL201" s="49"/>
      <c r="BM201" s="49"/>
      <c r="BN201" s="50"/>
      <c r="BO201" s="49"/>
      <c r="BP201" s="50"/>
      <c r="BQ201" s="49"/>
      <c r="BR201" s="50"/>
      <c r="BS201" s="49"/>
      <c r="BT201" s="50"/>
      <c r="BU201" s="49"/>
      <c r="BV201" s="2"/>
      <c r="BW201" s="3"/>
      <c r="BX201" s="3"/>
      <c r="BY201" s="3"/>
      <c r="BZ201" s="3"/>
    </row>
    <row r="202" spans="1:78" ht="41.45" customHeight="1">
      <c r="A202" s="66" t="s">
        <v>503</v>
      </c>
      <c r="C202" s="67"/>
      <c r="D202" s="67" t="s">
        <v>64</v>
      </c>
      <c r="E202" s="68">
        <v>165.4384759452236</v>
      </c>
      <c r="F202" s="70">
        <v>99.99258464032836</v>
      </c>
      <c r="G202" s="106" t="str">
        <f>HYPERLINK("https://pbs.twimg.com/profile_images/1461015192062603271/bGOmlLk1_normal.jpg")</f>
        <v>https://pbs.twimg.com/profile_images/1461015192062603271/bGOmlLk1_normal.jpg</v>
      </c>
      <c r="H202" s="67"/>
      <c r="I202" s="71" t="s">
        <v>503</v>
      </c>
      <c r="J202" s="72"/>
      <c r="K202" s="72"/>
      <c r="L202" s="71" t="s">
        <v>3082</v>
      </c>
      <c r="M202" s="75">
        <v>3.471292199901554</v>
      </c>
      <c r="N202" s="76">
        <v>8607.1396484375</v>
      </c>
      <c r="O202" s="76">
        <v>7958.880859375</v>
      </c>
      <c r="P202" s="77"/>
      <c r="Q202" s="78"/>
      <c r="R202" s="78"/>
      <c r="S202" s="92"/>
      <c r="T202" s="49">
        <v>1</v>
      </c>
      <c r="U202" s="49">
        <v>0</v>
      </c>
      <c r="V202" s="50">
        <v>0</v>
      </c>
      <c r="W202" s="50">
        <v>0.005714</v>
      </c>
      <c r="X202" s="50">
        <v>0.029292</v>
      </c>
      <c r="Y202" s="50">
        <v>0.464326</v>
      </c>
      <c r="Z202" s="50">
        <v>0</v>
      </c>
      <c r="AA202" s="50">
        <v>0</v>
      </c>
      <c r="AB202" s="73">
        <v>202</v>
      </c>
      <c r="AC202" s="73"/>
      <c r="AD202" s="74"/>
      <c r="AE202" s="81" t="s">
        <v>2114</v>
      </c>
      <c r="AF202" s="86" t="s">
        <v>2383</v>
      </c>
      <c r="AG202" s="81">
        <v>2422</v>
      </c>
      <c r="AH202" s="81">
        <v>18244</v>
      </c>
      <c r="AI202" s="81">
        <v>22798</v>
      </c>
      <c r="AJ202" s="81">
        <v>4279</v>
      </c>
      <c r="AK202" s="81"/>
      <c r="AL202" s="81" t="s">
        <v>2648</v>
      </c>
      <c r="AM202" s="81" t="s">
        <v>2842</v>
      </c>
      <c r="AN202" s="88" t="str">
        <f>HYPERLINK("https://t.co/sagHLnhYcO")</f>
        <v>https://t.co/sagHLnhYcO</v>
      </c>
      <c r="AO202" s="81"/>
      <c r="AP202" s="83">
        <v>39890.54340277778</v>
      </c>
      <c r="AQ202" s="88" t="str">
        <f>HYPERLINK("https://pbs.twimg.com/profile_banners/25067779/1626364957")</f>
        <v>https://pbs.twimg.com/profile_banners/25067779/1626364957</v>
      </c>
      <c r="AR202" s="81" t="b">
        <v>0</v>
      </c>
      <c r="AS202" s="81" t="b">
        <v>0</v>
      </c>
      <c r="AT202" s="81" t="b">
        <v>1</v>
      </c>
      <c r="AU202" s="81"/>
      <c r="AV202" s="81">
        <v>209</v>
      </c>
      <c r="AW202" s="88" t="str">
        <f>HYPERLINK("https://abs.twimg.com/images/themes/theme1/bg.png")</f>
        <v>https://abs.twimg.com/images/themes/theme1/bg.png</v>
      </c>
      <c r="AX202" s="81" t="b">
        <v>1</v>
      </c>
      <c r="AY202" s="81" t="s">
        <v>2883</v>
      </c>
      <c r="AZ202" s="88" t="str">
        <f>HYPERLINK("https://twitter.com/uhbtrust")</f>
        <v>https://twitter.com/uhbtrust</v>
      </c>
      <c r="BA202" s="81" t="s">
        <v>65</v>
      </c>
      <c r="BB202" s="81" t="str">
        <f>REPLACE(INDEX(GroupVertices[Group],MATCH(Vertices[[#This Row],[Vertex]],GroupVertices[Vertex],0)),1,1,"")</f>
        <v>4</v>
      </c>
      <c r="BC202" s="49"/>
      <c r="BD202" s="49"/>
      <c r="BE202" s="49"/>
      <c r="BF202" s="49"/>
      <c r="BG202" s="49"/>
      <c r="BH202" s="49"/>
      <c r="BI202" s="49"/>
      <c r="BJ202" s="49"/>
      <c r="BK202" s="49"/>
      <c r="BL202" s="49"/>
      <c r="BM202" s="49"/>
      <c r="BN202" s="50"/>
      <c r="BO202" s="49"/>
      <c r="BP202" s="50"/>
      <c r="BQ202" s="49"/>
      <c r="BR202" s="50"/>
      <c r="BS202" s="49"/>
      <c r="BT202" s="50"/>
      <c r="BU202" s="49"/>
      <c r="BV202" s="2"/>
      <c r="BW202" s="3"/>
      <c r="BX202" s="3"/>
      <c r="BY202" s="3"/>
      <c r="BZ202" s="3"/>
    </row>
    <row r="203" spans="1:78" ht="41.45" customHeight="1">
      <c r="A203" s="66" t="s">
        <v>409</v>
      </c>
      <c r="C203" s="67"/>
      <c r="D203" s="67" t="s">
        <v>64</v>
      </c>
      <c r="E203" s="68">
        <v>162.6993446497878</v>
      </c>
      <c r="F203" s="70">
        <v>99.99849180503362</v>
      </c>
      <c r="G203" s="106" t="str">
        <f>HYPERLINK("https://pbs.twimg.com/profile_images/1352684215394045953/Tyb9gztz_normal.png")</f>
        <v>https://pbs.twimg.com/profile_images/1352684215394045953/Tyb9gztz_normal.png</v>
      </c>
      <c r="H203" s="67"/>
      <c r="I203" s="71" t="s">
        <v>409</v>
      </c>
      <c r="J203" s="72"/>
      <c r="K203" s="72"/>
      <c r="L203" s="71" t="s">
        <v>3083</v>
      </c>
      <c r="M203" s="75">
        <v>1.502631109129695</v>
      </c>
      <c r="N203" s="76">
        <v>6084.20263671875</v>
      </c>
      <c r="O203" s="76">
        <v>2806.999267578125</v>
      </c>
      <c r="P203" s="77"/>
      <c r="Q203" s="78"/>
      <c r="R203" s="78"/>
      <c r="S203" s="92"/>
      <c r="T203" s="49">
        <v>2</v>
      </c>
      <c r="U203" s="49">
        <v>1</v>
      </c>
      <c r="V203" s="50">
        <v>238.666667</v>
      </c>
      <c r="W203" s="50">
        <v>0.006289</v>
      </c>
      <c r="X203" s="50">
        <v>0.035112</v>
      </c>
      <c r="Y203" s="50">
        <v>0.812625</v>
      </c>
      <c r="Z203" s="50">
        <v>0</v>
      </c>
      <c r="AA203" s="50">
        <v>0.5</v>
      </c>
      <c r="AB203" s="73">
        <v>203</v>
      </c>
      <c r="AC203" s="73"/>
      <c r="AD203" s="74"/>
      <c r="AE203" s="81" t="s">
        <v>2115</v>
      </c>
      <c r="AF203" s="86" t="s">
        <v>1823</v>
      </c>
      <c r="AG203" s="81">
        <v>1325</v>
      </c>
      <c r="AH203" s="81">
        <v>3713</v>
      </c>
      <c r="AI203" s="81">
        <v>14834</v>
      </c>
      <c r="AJ203" s="81">
        <v>7654</v>
      </c>
      <c r="AK203" s="81"/>
      <c r="AL203" s="81" t="s">
        <v>2649</v>
      </c>
      <c r="AM203" s="81" t="s">
        <v>2843</v>
      </c>
      <c r="AN203" s="81"/>
      <c r="AO203" s="81"/>
      <c r="AP203" s="83">
        <v>42261.434849537036</v>
      </c>
      <c r="AQ203" s="88" t="str">
        <f>HYPERLINK("https://pbs.twimg.com/profile_banners/3651960681/1473080567")</f>
        <v>https://pbs.twimg.com/profile_banners/3651960681/1473080567</v>
      </c>
      <c r="AR203" s="81" t="b">
        <v>1</v>
      </c>
      <c r="AS203" s="81" t="b">
        <v>0</v>
      </c>
      <c r="AT203" s="81" t="b">
        <v>1</v>
      </c>
      <c r="AU203" s="81"/>
      <c r="AV203" s="81">
        <v>60</v>
      </c>
      <c r="AW203" s="88" t="str">
        <f>HYPERLINK("https://abs.twimg.com/images/themes/theme1/bg.png")</f>
        <v>https://abs.twimg.com/images/themes/theme1/bg.png</v>
      </c>
      <c r="AX203" s="81" t="b">
        <v>0</v>
      </c>
      <c r="AY203" s="81" t="s">
        <v>2883</v>
      </c>
      <c r="AZ203" s="88" t="str">
        <f>HYPERLINK("https://twitter.com/elizbeech")</f>
        <v>https://twitter.com/elizbeech</v>
      </c>
      <c r="BA203" s="81" t="s">
        <v>66</v>
      </c>
      <c r="BB203" s="81" t="str">
        <f>REPLACE(INDEX(GroupVertices[Group],MATCH(Vertices[[#This Row],[Vertex]],GroupVertices[Vertex],0)),1,1,"")</f>
        <v>6</v>
      </c>
      <c r="BC203" s="49" t="s">
        <v>3254</v>
      </c>
      <c r="BD203" s="49" t="s">
        <v>3254</v>
      </c>
      <c r="BE203" s="49" t="s">
        <v>914</v>
      </c>
      <c r="BF203" s="49" t="s">
        <v>914</v>
      </c>
      <c r="BG203" s="49" t="s">
        <v>1101</v>
      </c>
      <c r="BH203" s="49" t="s">
        <v>1101</v>
      </c>
      <c r="BI203" s="113" t="s">
        <v>3776</v>
      </c>
      <c r="BJ203" s="113" t="s">
        <v>3776</v>
      </c>
      <c r="BK203" s="113" t="s">
        <v>3953</v>
      </c>
      <c r="BL203" s="113" t="s">
        <v>3953</v>
      </c>
      <c r="BM203" s="113">
        <v>1</v>
      </c>
      <c r="BN203" s="116">
        <v>8.333333333333334</v>
      </c>
      <c r="BO203" s="113">
        <v>0</v>
      </c>
      <c r="BP203" s="116">
        <v>0</v>
      </c>
      <c r="BQ203" s="113">
        <v>0</v>
      </c>
      <c r="BR203" s="116">
        <v>0</v>
      </c>
      <c r="BS203" s="113">
        <v>11</v>
      </c>
      <c r="BT203" s="116">
        <v>91.66666666666667</v>
      </c>
      <c r="BU203" s="113">
        <v>12</v>
      </c>
      <c r="BV203" s="2"/>
      <c r="BW203" s="3"/>
      <c r="BX203" s="3"/>
      <c r="BY203" s="3"/>
      <c r="BZ203" s="3"/>
    </row>
    <row r="204" spans="1:78" ht="41.45" customHeight="1">
      <c r="A204" s="66" t="s">
        <v>504</v>
      </c>
      <c r="C204" s="67"/>
      <c r="D204" s="67" t="s">
        <v>64</v>
      </c>
      <c r="E204" s="68">
        <v>1000</v>
      </c>
      <c r="F204" s="70">
        <v>95.82286012982266</v>
      </c>
      <c r="G204" s="106" t="str">
        <f>HYPERLINK("https://pbs.twimg.com/profile_images/875476478988886016/_l61qZdR_normal.jpg")</f>
        <v>https://pbs.twimg.com/profile_images/875476478988886016/_l61qZdR_normal.jpg</v>
      </c>
      <c r="H204" s="67"/>
      <c r="I204" s="71" t="s">
        <v>504</v>
      </c>
      <c r="J204" s="72"/>
      <c r="K204" s="72"/>
      <c r="L204" s="71" t="s">
        <v>3084</v>
      </c>
      <c r="M204" s="75">
        <v>1393.1014807344354</v>
      </c>
      <c r="N204" s="76">
        <v>7300.7353515625</v>
      </c>
      <c r="O204" s="76">
        <v>8589.2568359375</v>
      </c>
      <c r="P204" s="77"/>
      <c r="Q204" s="78"/>
      <c r="R204" s="78"/>
      <c r="S204" s="92"/>
      <c r="T204" s="49">
        <v>4</v>
      </c>
      <c r="U204" s="49">
        <v>0</v>
      </c>
      <c r="V204" s="50">
        <v>238.666667</v>
      </c>
      <c r="W204" s="50">
        <v>0.006098</v>
      </c>
      <c r="X204" s="50">
        <v>0.038573</v>
      </c>
      <c r="Y204" s="50">
        <v>1.410205</v>
      </c>
      <c r="Z204" s="50">
        <v>0</v>
      </c>
      <c r="AA204" s="50">
        <v>0</v>
      </c>
      <c r="AB204" s="73">
        <v>204</v>
      </c>
      <c r="AC204" s="73"/>
      <c r="AD204" s="74"/>
      <c r="AE204" s="81" t="s">
        <v>2116</v>
      </c>
      <c r="AF204" s="86" t="s">
        <v>2384</v>
      </c>
      <c r="AG204" s="81">
        <v>1751</v>
      </c>
      <c r="AH204" s="81">
        <v>10275325</v>
      </c>
      <c r="AI204" s="81">
        <v>66459</v>
      </c>
      <c r="AJ204" s="81">
        <v>11943</v>
      </c>
      <c r="AK204" s="81"/>
      <c r="AL204" s="81" t="s">
        <v>2650</v>
      </c>
      <c r="AM204" s="81" t="s">
        <v>2844</v>
      </c>
      <c r="AN204" s="88" t="str">
        <f>HYPERLINK("https://t.co/wVulKuROWG")</f>
        <v>https://t.co/wVulKuROWG</v>
      </c>
      <c r="AO204" s="81"/>
      <c r="AP204" s="83">
        <v>39561.83086805556</v>
      </c>
      <c r="AQ204" s="88" t="str">
        <f>HYPERLINK("https://pbs.twimg.com/profile_banners/14499829/1610970935")</f>
        <v>https://pbs.twimg.com/profile_banners/14499829/1610970935</v>
      </c>
      <c r="AR204" s="81" t="b">
        <v>0</v>
      </c>
      <c r="AS204" s="81" t="b">
        <v>0</v>
      </c>
      <c r="AT204" s="81" t="b">
        <v>1</v>
      </c>
      <c r="AU204" s="81"/>
      <c r="AV204" s="81">
        <v>34490</v>
      </c>
      <c r="AW204" s="88" t="str">
        <f>HYPERLINK("https://abs.twimg.com/images/themes/theme1/bg.png")</f>
        <v>https://abs.twimg.com/images/themes/theme1/bg.png</v>
      </c>
      <c r="AX204" s="81" t="b">
        <v>1</v>
      </c>
      <c r="AY204" s="81" t="s">
        <v>2883</v>
      </c>
      <c r="AZ204" s="88" t="str">
        <f>HYPERLINK("https://twitter.com/who")</f>
        <v>https://twitter.com/who</v>
      </c>
      <c r="BA204" s="81" t="s">
        <v>65</v>
      </c>
      <c r="BB204" s="81" t="str">
        <f>REPLACE(INDEX(GroupVertices[Group],MATCH(Vertices[[#This Row],[Vertex]],GroupVertices[Vertex],0)),1,1,"")</f>
        <v>2</v>
      </c>
      <c r="BC204" s="49"/>
      <c r="BD204" s="49"/>
      <c r="BE204" s="49"/>
      <c r="BF204" s="49"/>
      <c r="BG204" s="49"/>
      <c r="BH204" s="49"/>
      <c r="BI204" s="49"/>
      <c r="BJ204" s="49"/>
      <c r="BK204" s="49"/>
      <c r="BL204" s="49"/>
      <c r="BM204" s="49"/>
      <c r="BN204" s="50"/>
      <c r="BO204" s="49"/>
      <c r="BP204" s="50"/>
      <c r="BQ204" s="49"/>
      <c r="BR204" s="50"/>
      <c r="BS204" s="49"/>
      <c r="BT204" s="50"/>
      <c r="BU204" s="49"/>
      <c r="BV204" s="2"/>
      <c r="BW204" s="3"/>
      <c r="BX204" s="3"/>
      <c r="BY204" s="3"/>
      <c r="BZ204" s="3"/>
    </row>
    <row r="205" spans="1:78" ht="41.45" customHeight="1">
      <c r="A205" s="66" t="s">
        <v>388</v>
      </c>
      <c r="C205" s="67"/>
      <c r="D205" s="67" t="s">
        <v>64</v>
      </c>
      <c r="E205" s="68">
        <v>162.62582863538964</v>
      </c>
      <c r="F205" s="70">
        <v>99.99865034843978</v>
      </c>
      <c r="G205" s="106" t="str">
        <f>HYPERLINK("https://pbs.twimg.com/profile_images/608573209559097344/wk2yMfY-_normal.png")</f>
        <v>https://pbs.twimg.com/profile_images/608573209559097344/wk2yMfY-_normal.png</v>
      </c>
      <c r="H205" s="67"/>
      <c r="I205" s="71" t="s">
        <v>388</v>
      </c>
      <c r="J205" s="72"/>
      <c r="K205" s="72"/>
      <c r="L205" s="71" t="s">
        <v>3085</v>
      </c>
      <c r="M205" s="75">
        <v>1.4497938766335814</v>
      </c>
      <c r="N205" s="76">
        <v>7604.57275390625</v>
      </c>
      <c r="O205" s="76">
        <v>1726.801025390625</v>
      </c>
      <c r="P205" s="77"/>
      <c r="Q205" s="78"/>
      <c r="R205" s="78"/>
      <c r="S205" s="92"/>
      <c r="T205" s="49">
        <v>0</v>
      </c>
      <c r="U205" s="49">
        <v>3</v>
      </c>
      <c r="V205" s="50">
        <v>6</v>
      </c>
      <c r="W205" s="50">
        <v>0.333333</v>
      </c>
      <c r="X205" s="50">
        <v>0</v>
      </c>
      <c r="Y205" s="50">
        <v>1.669947</v>
      </c>
      <c r="Z205" s="50">
        <v>0</v>
      </c>
      <c r="AA205" s="50">
        <v>0</v>
      </c>
      <c r="AB205" s="73">
        <v>205</v>
      </c>
      <c r="AC205" s="73"/>
      <c r="AD205" s="74"/>
      <c r="AE205" s="81" t="s">
        <v>2117</v>
      </c>
      <c r="AF205" s="86" t="s">
        <v>2385</v>
      </c>
      <c r="AG205" s="81">
        <v>4069</v>
      </c>
      <c r="AH205" s="81">
        <v>3323</v>
      </c>
      <c r="AI205" s="81">
        <v>23029</v>
      </c>
      <c r="AJ205" s="81">
        <v>19728</v>
      </c>
      <c r="AK205" s="81"/>
      <c r="AL205" s="81" t="s">
        <v>2651</v>
      </c>
      <c r="AM205" s="81" t="s">
        <v>2768</v>
      </c>
      <c r="AN205" s="88" t="str">
        <f>HYPERLINK("https://t.co/xPtGKvxvb7")</f>
        <v>https://t.co/xPtGKvxvb7</v>
      </c>
      <c r="AO205" s="81"/>
      <c r="AP205" s="83">
        <v>40345.846354166664</v>
      </c>
      <c r="AQ205" s="88" t="str">
        <f>HYPERLINK("https://pbs.twimg.com/profile_banners/156385075/1436911247")</f>
        <v>https://pbs.twimg.com/profile_banners/156385075/1436911247</v>
      </c>
      <c r="AR205" s="81" t="b">
        <v>0</v>
      </c>
      <c r="AS205" s="81" t="b">
        <v>0</v>
      </c>
      <c r="AT205" s="81" t="b">
        <v>1</v>
      </c>
      <c r="AU205" s="81"/>
      <c r="AV205" s="81">
        <v>63</v>
      </c>
      <c r="AW205" s="88" t="str">
        <f>HYPERLINK("https://abs.twimg.com/images/themes/theme16/bg.gif")</f>
        <v>https://abs.twimg.com/images/themes/theme16/bg.gif</v>
      </c>
      <c r="AX205" s="81" t="b">
        <v>0</v>
      </c>
      <c r="AY205" s="81" t="s">
        <v>2883</v>
      </c>
      <c r="AZ205" s="88" t="str">
        <f>HYPERLINK("https://twitter.com/behalalorg")</f>
        <v>https://twitter.com/behalalorg</v>
      </c>
      <c r="BA205" s="81" t="s">
        <v>66</v>
      </c>
      <c r="BB205" s="81" t="str">
        <f>REPLACE(INDEX(GroupVertices[Group],MATCH(Vertices[[#This Row],[Vertex]],GroupVertices[Vertex],0)),1,1,"")</f>
        <v>12</v>
      </c>
      <c r="BC205" s="49"/>
      <c r="BD205" s="49"/>
      <c r="BE205" s="49"/>
      <c r="BF205" s="49"/>
      <c r="BG205" s="49" t="s">
        <v>1086</v>
      </c>
      <c r="BH205" s="49" t="s">
        <v>1086</v>
      </c>
      <c r="BI205" s="113" t="s">
        <v>3777</v>
      </c>
      <c r="BJ205" s="113" t="s">
        <v>3777</v>
      </c>
      <c r="BK205" s="113" t="s">
        <v>3954</v>
      </c>
      <c r="BL205" s="113" t="s">
        <v>3954</v>
      </c>
      <c r="BM205" s="113">
        <v>2</v>
      </c>
      <c r="BN205" s="116">
        <v>7.142857142857143</v>
      </c>
      <c r="BO205" s="113">
        <v>2</v>
      </c>
      <c r="BP205" s="116">
        <v>7.142857142857143</v>
      </c>
      <c r="BQ205" s="113">
        <v>0</v>
      </c>
      <c r="BR205" s="116">
        <v>0</v>
      </c>
      <c r="BS205" s="113">
        <v>24</v>
      </c>
      <c r="BT205" s="116">
        <v>85.71428571428571</v>
      </c>
      <c r="BU205" s="113">
        <v>28</v>
      </c>
      <c r="BV205" s="2"/>
      <c r="BW205" s="3"/>
      <c r="BX205" s="3"/>
      <c r="BY205" s="3"/>
      <c r="BZ205" s="3"/>
    </row>
    <row r="206" spans="1:78" ht="41.45" customHeight="1">
      <c r="A206" s="66" t="s">
        <v>505</v>
      </c>
      <c r="C206" s="67"/>
      <c r="D206" s="67" t="s">
        <v>64</v>
      </c>
      <c r="E206" s="68">
        <v>170.664145050727</v>
      </c>
      <c r="F206" s="70">
        <v>99.98131504980059</v>
      </c>
      <c r="G206" s="106" t="str">
        <f>HYPERLINK("https://pbs.twimg.com/profile_images/1410534020476178435/eEivvvc0_normal.jpg")</f>
        <v>https://pbs.twimg.com/profile_images/1410534020476178435/eEivvvc0_normal.jpg</v>
      </c>
      <c r="H206" s="67"/>
      <c r="I206" s="71" t="s">
        <v>505</v>
      </c>
      <c r="J206" s="72"/>
      <c r="K206" s="72"/>
      <c r="L206" s="71" t="s">
        <v>3086</v>
      </c>
      <c r="M206" s="75">
        <v>7.227071069791959</v>
      </c>
      <c r="N206" s="76">
        <v>7604.57275390625</v>
      </c>
      <c r="O206" s="76">
        <v>794.8766479492188</v>
      </c>
      <c r="P206" s="77"/>
      <c r="Q206" s="78"/>
      <c r="R206" s="78"/>
      <c r="S206" s="92"/>
      <c r="T206" s="49">
        <v>1</v>
      </c>
      <c r="U206" s="49">
        <v>0</v>
      </c>
      <c r="V206" s="50">
        <v>0</v>
      </c>
      <c r="W206" s="50">
        <v>0.2</v>
      </c>
      <c r="X206" s="50">
        <v>0</v>
      </c>
      <c r="Y206" s="50">
        <v>0.623152</v>
      </c>
      <c r="Z206" s="50">
        <v>0</v>
      </c>
      <c r="AA206" s="50">
        <v>0</v>
      </c>
      <c r="AB206" s="73">
        <v>206</v>
      </c>
      <c r="AC206" s="73"/>
      <c r="AD206" s="74"/>
      <c r="AE206" s="81" t="s">
        <v>2118</v>
      </c>
      <c r="AF206" s="86" t="s">
        <v>2386</v>
      </c>
      <c r="AG206" s="81">
        <v>2390</v>
      </c>
      <c r="AH206" s="81">
        <v>45966</v>
      </c>
      <c r="AI206" s="81">
        <v>23081</v>
      </c>
      <c r="AJ206" s="81">
        <v>26471</v>
      </c>
      <c r="AK206" s="81"/>
      <c r="AL206" s="81" t="s">
        <v>2652</v>
      </c>
      <c r="AM206" s="81" t="s">
        <v>2835</v>
      </c>
      <c r="AN206" s="88" t="str">
        <f>HYPERLINK("http://t.co/yeSltE5hTb")</f>
        <v>http://t.co/yeSltE5hTb</v>
      </c>
      <c r="AO206" s="81"/>
      <c r="AP206" s="83">
        <v>39757.108252314814</v>
      </c>
      <c r="AQ206" s="88" t="str">
        <f>HYPERLINK("https://pbs.twimg.com/profile_banners/17177897/1603452463")</f>
        <v>https://pbs.twimg.com/profile_banners/17177897/1603452463</v>
      </c>
      <c r="AR206" s="81" t="b">
        <v>0</v>
      </c>
      <c r="AS206" s="81" t="b">
        <v>0</v>
      </c>
      <c r="AT206" s="81" t="b">
        <v>1</v>
      </c>
      <c r="AU206" s="81"/>
      <c r="AV206" s="81">
        <v>901</v>
      </c>
      <c r="AW206" s="88" t="str">
        <f>HYPERLINK("https://abs.twimg.com/images/themes/theme2/bg.gif")</f>
        <v>https://abs.twimg.com/images/themes/theme2/bg.gif</v>
      </c>
      <c r="AX206" s="81" t="b">
        <v>1</v>
      </c>
      <c r="AY206" s="81" t="s">
        <v>2883</v>
      </c>
      <c r="AZ206" s="88" t="str">
        <f>HYPERLINK("https://twitter.com/ciwf")</f>
        <v>https://twitter.com/ciwf</v>
      </c>
      <c r="BA206" s="81" t="s">
        <v>65</v>
      </c>
      <c r="BB206" s="81" t="str">
        <f>REPLACE(INDEX(GroupVertices[Group],MATCH(Vertices[[#This Row],[Vertex]],GroupVertices[Vertex],0)),1,1,"")</f>
        <v>12</v>
      </c>
      <c r="BC206" s="49"/>
      <c r="BD206" s="49"/>
      <c r="BE206" s="49"/>
      <c r="BF206" s="49"/>
      <c r="BG206" s="49"/>
      <c r="BH206" s="49"/>
      <c r="BI206" s="49"/>
      <c r="BJ206" s="49"/>
      <c r="BK206" s="49"/>
      <c r="BL206" s="49"/>
      <c r="BM206" s="49"/>
      <c r="BN206" s="50"/>
      <c r="BO206" s="49"/>
      <c r="BP206" s="50"/>
      <c r="BQ206" s="49"/>
      <c r="BR206" s="50"/>
      <c r="BS206" s="49"/>
      <c r="BT206" s="50"/>
      <c r="BU206" s="49"/>
      <c r="BV206" s="2"/>
      <c r="BW206" s="3"/>
      <c r="BX206" s="3"/>
      <c r="BY206" s="3"/>
      <c r="BZ206" s="3"/>
    </row>
    <row r="207" spans="1:78" ht="41.45" customHeight="1">
      <c r="A207" s="66" t="s">
        <v>506</v>
      </c>
      <c r="C207" s="67"/>
      <c r="D207" s="67" t="s">
        <v>64</v>
      </c>
      <c r="E207" s="68">
        <v>167.6139844636066</v>
      </c>
      <c r="F207" s="70">
        <v>99.98789297507041</v>
      </c>
      <c r="G207" s="106" t="str">
        <f>HYPERLINK("https://pbs.twimg.com/profile_images/1045583316781600768/h0GcOyli_normal.jpg")</f>
        <v>https://pbs.twimg.com/profile_images/1045583316781600768/h0GcOyli_normal.jpg</v>
      </c>
      <c r="H207" s="67"/>
      <c r="I207" s="71" t="s">
        <v>506</v>
      </c>
      <c r="J207" s="72"/>
      <c r="K207" s="72"/>
      <c r="L207" s="71" t="s">
        <v>3087</v>
      </c>
      <c r="M207" s="75">
        <v>5.034867841536543</v>
      </c>
      <c r="N207" s="76">
        <v>7839.2158203125</v>
      </c>
      <c r="O207" s="76">
        <v>1726.801025390625</v>
      </c>
      <c r="P207" s="77"/>
      <c r="Q207" s="78"/>
      <c r="R207" s="78"/>
      <c r="S207" s="92"/>
      <c r="T207" s="49">
        <v>1</v>
      </c>
      <c r="U207" s="49">
        <v>0</v>
      </c>
      <c r="V207" s="50">
        <v>0</v>
      </c>
      <c r="W207" s="50">
        <v>0.2</v>
      </c>
      <c r="X207" s="50">
        <v>0</v>
      </c>
      <c r="Y207" s="50">
        <v>0.623152</v>
      </c>
      <c r="Z207" s="50">
        <v>0</v>
      </c>
      <c r="AA207" s="50">
        <v>0</v>
      </c>
      <c r="AB207" s="73">
        <v>207</v>
      </c>
      <c r="AC207" s="73"/>
      <c r="AD207" s="74"/>
      <c r="AE207" s="81" t="s">
        <v>2119</v>
      </c>
      <c r="AF207" s="86" t="s">
        <v>2387</v>
      </c>
      <c r="AG207" s="81">
        <v>3155</v>
      </c>
      <c r="AH207" s="81">
        <v>29785</v>
      </c>
      <c r="AI207" s="81">
        <v>23724</v>
      </c>
      <c r="AJ207" s="81">
        <v>23569</v>
      </c>
      <c r="AK207" s="81"/>
      <c r="AL207" s="81" t="s">
        <v>2653</v>
      </c>
      <c r="AM207" s="81" t="s">
        <v>2845</v>
      </c>
      <c r="AN207" s="88" t="str">
        <f>HYPERLINK("https://t.co/oNiTQ4jxxc")</f>
        <v>https://t.co/oNiTQ4jxxc</v>
      </c>
      <c r="AO207" s="81"/>
      <c r="AP207" s="83">
        <v>40353.6606712963</v>
      </c>
      <c r="AQ207" s="88" t="str">
        <f>HYPERLINK("https://pbs.twimg.com/profile_banners/159146922/1637956575")</f>
        <v>https://pbs.twimg.com/profile_banners/159146922/1637956575</v>
      </c>
      <c r="AR207" s="81" t="b">
        <v>0</v>
      </c>
      <c r="AS207" s="81" t="b">
        <v>0</v>
      </c>
      <c r="AT207" s="81" t="b">
        <v>0</v>
      </c>
      <c r="AU207" s="81"/>
      <c r="AV207" s="81">
        <v>501</v>
      </c>
      <c r="AW207" s="88" t="str">
        <f>HYPERLINK("https://abs.twimg.com/images/themes/theme1/bg.png")</f>
        <v>https://abs.twimg.com/images/themes/theme1/bg.png</v>
      </c>
      <c r="AX207" s="81" t="b">
        <v>0</v>
      </c>
      <c r="AY207" s="81" t="s">
        <v>2883</v>
      </c>
      <c r="AZ207" s="88" t="str">
        <f>HYPERLINK("https://twitter.com/philip_ciwf")</f>
        <v>https://twitter.com/philip_ciwf</v>
      </c>
      <c r="BA207" s="81" t="s">
        <v>65</v>
      </c>
      <c r="BB207" s="81" t="str">
        <f>REPLACE(INDEX(GroupVertices[Group],MATCH(Vertices[[#This Row],[Vertex]],GroupVertices[Vertex],0)),1,1,"")</f>
        <v>12</v>
      </c>
      <c r="BC207" s="49"/>
      <c r="BD207" s="49"/>
      <c r="BE207" s="49"/>
      <c r="BF207" s="49"/>
      <c r="BG207" s="49"/>
      <c r="BH207" s="49"/>
      <c r="BI207" s="49"/>
      <c r="BJ207" s="49"/>
      <c r="BK207" s="49"/>
      <c r="BL207" s="49"/>
      <c r="BM207" s="49"/>
      <c r="BN207" s="50"/>
      <c r="BO207" s="49"/>
      <c r="BP207" s="50"/>
      <c r="BQ207" s="49"/>
      <c r="BR207" s="50"/>
      <c r="BS207" s="49"/>
      <c r="BT207" s="50"/>
      <c r="BU207" s="49"/>
      <c r="BV207" s="2"/>
      <c r="BW207" s="3"/>
      <c r="BX207" s="3"/>
      <c r="BY207" s="3"/>
      <c r="BZ207" s="3"/>
    </row>
    <row r="208" spans="1:78" ht="41.45" customHeight="1">
      <c r="A208" s="66" t="s">
        <v>389</v>
      </c>
      <c r="C208" s="67"/>
      <c r="D208" s="67" t="s">
        <v>64</v>
      </c>
      <c r="E208" s="68">
        <v>172.96764683520328</v>
      </c>
      <c r="F208" s="70">
        <v>99.97634735640727</v>
      </c>
      <c r="G208" s="106" t="str">
        <f>HYPERLINK("https://pbs.twimg.com/profile_images/1460169302615732226/wdBarj2P_normal.jpg")</f>
        <v>https://pbs.twimg.com/profile_images/1460169302615732226/wdBarj2P_normal.jpg</v>
      </c>
      <c r="H208" s="67"/>
      <c r="I208" s="71" t="s">
        <v>389</v>
      </c>
      <c r="J208" s="72"/>
      <c r="K208" s="72"/>
      <c r="L208" s="71" t="s">
        <v>3088</v>
      </c>
      <c r="M208" s="75">
        <v>8.882637688003516</v>
      </c>
      <c r="N208" s="76">
        <v>7839.2158203125</v>
      </c>
      <c r="O208" s="76">
        <v>794.8766479492188</v>
      </c>
      <c r="P208" s="77"/>
      <c r="Q208" s="78"/>
      <c r="R208" s="78"/>
      <c r="S208" s="92"/>
      <c r="T208" s="49">
        <v>2</v>
      </c>
      <c r="U208" s="49">
        <v>1</v>
      </c>
      <c r="V208" s="50">
        <v>0</v>
      </c>
      <c r="W208" s="50">
        <v>0.2</v>
      </c>
      <c r="X208" s="50">
        <v>0</v>
      </c>
      <c r="Y208" s="50">
        <v>1.083742</v>
      </c>
      <c r="Z208" s="50">
        <v>0</v>
      </c>
      <c r="AA208" s="50">
        <v>0</v>
      </c>
      <c r="AB208" s="73">
        <v>208</v>
      </c>
      <c r="AC208" s="73"/>
      <c r="AD208" s="74"/>
      <c r="AE208" s="81" t="s">
        <v>2120</v>
      </c>
      <c r="AF208" s="86" t="s">
        <v>1822</v>
      </c>
      <c r="AG208" s="81">
        <v>2279</v>
      </c>
      <c r="AH208" s="81">
        <v>58186</v>
      </c>
      <c r="AI208" s="81">
        <v>19319</v>
      </c>
      <c r="AJ208" s="81">
        <v>10045</v>
      </c>
      <c r="AK208" s="81"/>
      <c r="AL208" s="81" t="s">
        <v>2654</v>
      </c>
      <c r="AM208" s="81" t="s">
        <v>2846</v>
      </c>
      <c r="AN208" s="88" t="str">
        <f>HYPERLINK("https://t.co/DcX9JzLRBp")</f>
        <v>https://t.co/DcX9JzLRBp</v>
      </c>
      <c r="AO208" s="81"/>
      <c r="AP208" s="83">
        <v>40050.54221064815</v>
      </c>
      <c r="AQ208" s="88" t="str">
        <f>HYPERLINK("https://pbs.twimg.com/profile_banners/68686173/1633094387")</f>
        <v>https://pbs.twimg.com/profile_banners/68686173/1633094387</v>
      </c>
      <c r="AR208" s="81" t="b">
        <v>0</v>
      </c>
      <c r="AS208" s="81" t="b">
        <v>0</v>
      </c>
      <c r="AT208" s="81" t="b">
        <v>1</v>
      </c>
      <c r="AU208" s="81"/>
      <c r="AV208" s="81">
        <v>825</v>
      </c>
      <c r="AW208" s="88" t="str">
        <f>HYPERLINK("https://abs.twimg.com/images/themes/theme9/bg.gif")</f>
        <v>https://abs.twimg.com/images/themes/theme9/bg.gif</v>
      </c>
      <c r="AX208" s="81" t="b">
        <v>1</v>
      </c>
      <c r="AY208" s="81" t="s">
        <v>2883</v>
      </c>
      <c r="AZ208" s="88" t="str">
        <f>HYPERLINK("https://twitter.com/foodgov")</f>
        <v>https://twitter.com/foodgov</v>
      </c>
      <c r="BA208" s="81" t="s">
        <v>66</v>
      </c>
      <c r="BB208" s="81" t="str">
        <f>REPLACE(INDEX(GroupVertices[Group],MATCH(Vertices[[#This Row],[Vertex]],GroupVertices[Vertex],0)),1,1,"")</f>
        <v>12</v>
      </c>
      <c r="BC208" s="49"/>
      <c r="BD208" s="49"/>
      <c r="BE208" s="49"/>
      <c r="BF208" s="49"/>
      <c r="BG208" s="49" t="s">
        <v>955</v>
      </c>
      <c r="BH208" s="49" t="s">
        <v>955</v>
      </c>
      <c r="BI208" s="113" t="s">
        <v>3683</v>
      </c>
      <c r="BJ208" s="113" t="s">
        <v>3683</v>
      </c>
      <c r="BK208" s="113" t="s">
        <v>3860</v>
      </c>
      <c r="BL208" s="113" t="s">
        <v>3860</v>
      </c>
      <c r="BM208" s="113">
        <v>0</v>
      </c>
      <c r="BN208" s="116">
        <v>0</v>
      </c>
      <c r="BO208" s="113">
        <v>2</v>
      </c>
      <c r="BP208" s="116">
        <v>6.0606060606060606</v>
      </c>
      <c r="BQ208" s="113">
        <v>0</v>
      </c>
      <c r="BR208" s="116">
        <v>0</v>
      </c>
      <c r="BS208" s="113">
        <v>31</v>
      </c>
      <c r="BT208" s="116">
        <v>93.93939393939394</v>
      </c>
      <c r="BU208" s="113">
        <v>33</v>
      </c>
      <c r="BV208" s="2"/>
      <c r="BW208" s="3"/>
      <c r="BX208" s="3"/>
      <c r="BY208" s="3"/>
      <c r="BZ208" s="3"/>
    </row>
    <row r="209" spans="1:78" ht="41.45" customHeight="1">
      <c r="A209" s="66" t="s">
        <v>390</v>
      </c>
      <c r="C209" s="67"/>
      <c r="D209" s="67" t="s">
        <v>64</v>
      </c>
      <c r="E209" s="68">
        <v>162.03185693957255</v>
      </c>
      <c r="F209" s="70">
        <v>99.99993129785733</v>
      </c>
      <c r="G209" s="106" t="str">
        <f>HYPERLINK("https://pbs.twimg.com/profile_images/1416049630194831366/0yoDnCVc_normal.jpg")</f>
        <v>https://pbs.twimg.com/profile_images/1416049630194831366/0yoDnCVc_normal.jpg</v>
      </c>
      <c r="H209" s="67"/>
      <c r="I209" s="71" t="s">
        <v>390</v>
      </c>
      <c r="J209" s="72"/>
      <c r="K209" s="72"/>
      <c r="L209" s="71" t="s">
        <v>3089</v>
      </c>
      <c r="M209" s="75">
        <v>1.0228961340816491</v>
      </c>
      <c r="N209" s="76">
        <v>3091.998291015625</v>
      </c>
      <c r="O209" s="76">
        <v>7724.00830078125</v>
      </c>
      <c r="P209" s="77"/>
      <c r="Q209" s="78"/>
      <c r="R209" s="78"/>
      <c r="S209" s="92"/>
      <c r="T209" s="49">
        <v>1</v>
      </c>
      <c r="U209" s="49">
        <v>1</v>
      </c>
      <c r="V209" s="50">
        <v>0</v>
      </c>
      <c r="W209" s="50">
        <v>0</v>
      </c>
      <c r="X209" s="50">
        <v>0</v>
      </c>
      <c r="Y209" s="50">
        <v>0.999998</v>
      </c>
      <c r="Z209" s="50">
        <v>0</v>
      </c>
      <c r="AA209" s="50">
        <v>0</v>
      </c>
      <c r="AB209" s="73">
        <v>209</v>
      </c>
      <c r="AC209" s="73"/>
      <c r="AD209" s="74"/>
      <c r="AE209" s="81" t="s">
        <v>2121</v>
      </c>
      <c r="AF209" s="86" t="s">
        <v>2388</v>
      </c>
      <c r="AG209" s="81">
        <v>3070</v>
      </c>
      <c r="AH209" s="81">
        <v>172</v>
      </c>
      <c r="AI209" s="81">
        <v>1369</v>
      </c>
      <c r="AJ209" s="81">
        <v>11317</v>
      </c>
      <c r="AK209" s="81"/>
      <c r="AL209" s="81" t="s">
        <v>2655</v>
      </c>
      <c r="AM209" s="81" t="s">
        <v>2724</v>
      </c>
      <c r="AN209" s="81"/>
      <c r="AO209" s="81"/>
      <c r="AP209" s="83">
        <v>42503.82482638889</v>
      </c>
      <c r="AQ209" s="88" t="str">
        <f>HYPERLINK("https://pbs.twimg.com/profile_banners/731209336832311296/1555584271")</f>
        <v>https://pbs.twimg.com/profile_banners/731209336832311296/1555584271</v>
      </c>
      <c r="AR209" s="81" t="b">
        <v>1</v>
      </c>
      <c r="AS209" s="81" t="b">
        <v>0</v>
      </c>
      <c r="AT209" s="81" t="b">
        <v>1</v>
      </c>
      <c r="AU209" s="81"/>
      <c r="AV209" s="81">
        <v>1</v>
      </c>
      <c r="AW209" s="81"/>
      <c r="AX209" s="81" t="b">
        <v>0</v>
      </c>
      <c r="AY209" s="81" t="s">
        <v>2883</v>
      </c>
      <c r="AZ209" s="88" t="str">
        <f>HYPERLINK("https://twitter.com/drnawaz888")</f>
        <v>https://twitter.com/drnawaz888</v>
      </c>
      <c r="BA209" s="81" t="s">
        <v>66</v>
      </c>
      <c r="BB209" s="81" t="str">
        <f>REPLACE(INDEX(GroupVertices[Group],MATCH(Vertices[[#This Row],[Vertex]],GroupVertices[Vertex],0)),1,1,"")</f>
        <v>1</v>
      </c>
      <c r="BC209" s="49"/>
      <c r="BD209" s="49"/>
      <c r="BE209" s="49"/>
      <c r="BF209" s="49"/>
      <c r="BG209" s="49" t="s">
        <v>966</v>
      </c>
      <c r="BH209" s="49" t="s">
        <v>966</v>
      </c>
      <c r="BI209" s="113" t="s">
        <v>3765</v>
      </c>
      <c r="BJ209" s="113" t="s">
        <v>3765</v>
      </c>
      <c r="BK209" s="113" t="s">
        <v>3942</v>
      </c>
      <c r="BL209" s="113" t="s">
        <v>3942</v>
      </c>
      <c r="BM209" s="113">
        <v>1</v>
      </c>
      <c r="BN209" s="116">
        <v>3.7037037037037037</v>
      </c>
      <c r="BO209" s="113">
        <v>1</v>
      </c>
      <c r="BP209" s="116">
        <v>3.7037037037037037</v>
      </c>
      <c r="BQ209" s="113">
        <v>0</v>
      </c>
      <c r="BR209" s="116">
        <v>0</v>
      </c>
      <c r="BS209" s="113">
        <v>25</v>
      </c>
      <c r="BT209" s="116">
        <v>92.5925925925926</v>
      </c>
      <c r="BU209" s="113">
        <v>27</v>
      </c>
      <c r="BV209" s="2"/>
      <c r="BW209" s="3"/>
      <c r="BX209" s="3"/>
      <c r="BY209" s="3"/>
      <c r="BZ209" s="3"/>
    </row>
    <row r="210" spans="1:78" ht="41.45" customHeight="1">
      <c r="A210" s="66" t="s">
        <v>391</v>
      </c>
      <c r="C210" s="67"/>
      <c r="D210" s="67" t="s">
        <v>64</v>
      </c>
      <c r="E210" s="68">
        <v>162.03091442656745</v>
      </c>
      <c r="F210" s="70">
        <v>99.9999333304651</v>
      </c>
      <c r="G210" s="106" t="str">
        <f>HYPERLINK("https://pbs.twimg.com/profile_images/1424664018896269315/PyDlDjnh_normal.jpg")</f>
        <v>https://pbs.twimg.com/profile_images/1424664018896269315/PyDlDjnh_normal.jpg</v>
      </c>
      <c r="H210" s="67"/>
      <c r="I210" s="71" t="s">
        <v>391</v>
      </c>
      <c r="J210" s="72"/>
      <c r="K210" s="72"/>
      <c r="L210" s="71" t="s">
        <v>3090</v>
      </c>
      <c r="M210" s="75">
        <v>1.0222187336650324</v>
      </c>
      <c r="N210" s="76">
        <v>7864.32470703125</v>
      </c>
      <c r="O210" s="76">
        <v>5580.09912109375</v>
      </c>
      <c r="P210" s="77"/>
      <c r="Q210" s="78"/>
      <c r="R210" s="78"/>
      <c r="S210" s="92"/>
      <c r="T210" s="49">
        <v>0</v>
      </c>
      <c r="U210" s="49">
        <v>5</v>
      </c>
      <c r="V210" s="50">
        <v>20</v>
      </c>
      <c r="W210" s="50">
        <v>0.2</v>
      </c>
      <c r="X210" s="50">
        <v>0</v>
      </c>
      <c r="Y210" s="50">
        <v>2.837832</v>
      </c>
      <c r="Z210" s="50">
        <v>0</v>
      </c>
      <c r="AA210" s="50">
        <v>0</v>
      </c>
      <c r="AB210" s="73">
        <v>210</v>
      </c>
      <c r="AC210" s="73"/>
      <c r="AD210" s="74"/>
      <c r="AE210" s="81" t="s">
        <v>2122</v>
      </c>
      <c r="AF210" s="86" t="s">
        <v>2389</v>
      </c>
      <c r="AG210" s="81">
        <v>173</v>
      </c>
      <c r="AH210" s="81">
        <v>167</v>
      </c>
      <c r="AI210" s="81">
        <v>109</v>
      </c>
      <c r="AJ210" s="81">
        <v>158</v>
      </c>
      <c r="AK210" s="81"/>
      <c r="AL210" s="81" t="s">
        <v>2656</v>
      </c>
      <c r="AM210" s="81" t="s">
        <v>2847</v>
      </c>
      <c r="AN210" s="81"/>
      <c r="AO210" s="81"/>
      <c r="AP210" s="83">
        <v>44417.387870370374</v>
      </c>
      <c r="AQ210" s="88" t="str">
        <f>HYPERLINK("https://pbs.twimg.com/profile_banners/1424660092322996227/1630448101")</f>
        <v>https://pbs.twimg.com/profile_banners/1424660092322996227/1630448101</v>
      </c>
      <c r="AR210" s="81" t="b">
        <v>1</v>
      </c>
      <c r="AS210" s="81" t="b">
        <v>0</v>
      </c>
      <c r="AT210" s="81" t="b">
        <v>1</v>
      </c>
      <c r="AU210" s="81"/>
      <c r="AV210" s="81">
        <v>0</v>
      </c>
      <c r="AW210" s="81"/>
      <c r="AX210" s="81" t="b">
        <v>0</v>
      </c>
      <c r="AY210" s="81" t="s">
        <v>2883</v>
      </c>
      <c r="AZ210" s="88" t="str">
        <f>HYPERLINK("https://twitter.com/cuh_ams")</f>
        <v>https://twitter.com/cuh_ams</v>
      </c>
      <c r="BA210" s="81" t="s">
        <v>66</v>
      </c>
      <c r="BB210" s="81" t="str">
        <f>REPLACE(INDEX(GroupVertices[Group],MATCH(Vertices[[#This Row],[Vertex]],GroupVertices[Vertex],0)),1,1,"")</f>
        <v>9</v>
      </c>
      <c r="BC210" s="49"/>
      <c r="BD210" s="49"/>
      <c r="BE210" s="49"/>
      <c r="BF210" s="49"/>
      <c r="BG210" s="49" t="s">
        <v>3349</v>
      </c>
      <c r="BH210" s="49" t="s">
        <v>3349</v>
      </c>
      <c r="BI210" s="113" t="s">
        <v>3778</v>
      </c>
      <c r="BJ210" s="113" t="s">
        <v>3778</v>
      </c>
      <c r="BK210" s="113" t="s">
        <v>3955</v>
      </c>
      <c r="BL210" s="113" t="s">
        <v>3955</v>
      </c>
      <c r="BM210" s="113">
        <v>0</v>
      </c>
      <c r="BN210" s="116">
        <v>0</v>
      </c>
      <c r="BO210" s="113">
        <v>0</v>
      </c>
      <c r="BP210" s="116">
        <v>0</v>
      </c>
      <c r="BQ210" s="113">
        <v>0</v>
      </c>
      <c r="BR210" s="116">
        <v>0</v>
      </c>
      <c r="BS210" s="113">
        <v>15</v>
      </c>
      <c r="BT210" s="116">
        <v>100</v>
      </c>
      <c r="BU210" s="113">
        <v>15</v>
      </c>
      <c r="BV210" s="2"/>
      <c r="BW210" s="3"/>
      <c r="BX210" s="3"/>
      <c r="BY210" s="3"/>
      <c r="BZ210" s="3"/>
    </row>
    <row r="211" spans="1:78" ht="41.45" customHeight="1">
      <c r="A211" s="66" t="s">
        <v>507</v>
      </c>
      <c r="C211" s="67"/>
      <c r="D211" s="67" t="s">
        <v>64</v>
      </c>
      <c r="E211" s="68">
        <v>162.9445865337161</v>
      </c>
      <c r="F211" s="70">
        <v>99.9979629204915</v>
      </c>
      <c r="G211" s="106" t="str">
        <f>HYPERLINK("https://pbs.twimg.com/profile_images/921128382653456386/MN3if8D__normal.jpg")</f>
        <v>https://pbs.twimg.com/profile_images/921128382653456386/MN3if8D__normal.jpg</v>
      </c>
      <c r="H211" s="67"/>
      <c r="I211" s="71" t="s">
        <v>507</v>
      </c>
      <c r="J211" s="72"/>
      <c r="K211" s="72"/>
      <c r="L211" s="71" t="s">
        <v>3091</v>
      </c>
      <c r="M211" s="75">
        <v>1.6788906975333966</v>
      </c>
      <c r="N211" s="76">
        <v>7487.2509765625</v>
      </c>
      <c r="O211" s="76">
        <v>6114.14013671875</v>
      </c>
      <c r="P211" s="77"/>
      <c r="Q211" s="78"/>
      <c r="R211" s="78"/>
      <c r="S211" s="92"/>
      <c r="T211" s="49">
        <v>1</v>
      </c>
      <c r="U211" s="49">
        <v>0</v>
      </c>
      <c r="V211" s="50">
        <v>0</v>
      </c>
      <c r="W211" s="50">
        <v>0.111111</v>
      </c>
      <c r="X211" s="50">
        <v>0</v>
      </c>
      <c r="Y211" s="50">
        <v>0.632431</v>
      </c>
      <c r="Z211" s="50">
        <v>0</v>
      </c>
      <c r="AA211" s="50">
        <v>0</v>
      </c>
      <c r="AB211" s="73">
        <v>211</v>
      </c>
      <c r="AC211" s="73"/>
      <c r="AD211" s="74"/>
      <c r="AE211" s="81" t="s">
        <v>2123</v>
      </c>
      <c r="AF211" s="86" t="s">
        <v>2390</v>
      </c>
      <c r="AG211" s="81">
        <v>134</v>
      </c>
      <c r="AH211" s="81">
        <v>5014</v>
      </c>
      <c r="AI211" s="81">
        <v>2741</v>
      </c>
      <c r="AJ211" s="81">
        <v>8488</v>
      </c>
      <c r="AK211" s="81"/>
      <c r="AL211" s="81" t="s">
        <v>2657</v>
      </c>
      <c r="AM211" s="81"/>
      <c r="AN211" s="81"/>
      <c r="AO211" s="81"/>
      <c r="AP211" s="83">
        <v>41923.558217592596</v>
      </c>
      <c r="AQ211" s="81"/>
      <c r="AR211" s="81" t="b">
        <v>1</v>
      </c>
      <c r="AS211" s="81" t="b">
        <v>0</v>
      </c>
      <c r="AT211" s="81" t="b">
        <v>1</v>
      </c>
      <c r="AU211" s="81"/>
      <c r="AV211" s="81">
        <v>29</v>
      </c>
      <c r="AW211" s="88" t="str">
        <f>HYPERLINK("https://abs.twimg.com/images/themes/theme1/bg.png")</f>
        <v>https://abs.twimg.com/images/themes/theme1/bg.png</v>
      </c>
      <c r="AX211" s="81" t="b">
        <v>0</v>
      </c>
      <c r="AY211" s="81" t="s">
        <v>2883</v>
      </c>
      <c r="AZ211" s="88" t="str">
        <f>HYPERLINK("https://twitter.com/profmaryhorgan")</f>
        <v>https://twitter.com/profmaryhorgan</v>
      </c>
      <c r="BA211" s="81" t="s">
        <v>65</v>
      </c>
      <c r="BB211" s="81" t="str">
        <f>REPLACE(INDEX(GroupVertices[Group],MATCH(Vertices[[#This Row],[Vertex]],GroupVertices[Vertex],0)),1,1,"")</f>
        <v>9</v>
      </c>
      <c r="BC211" s="49"/>
      <c r="BD211" s="49"/>
      <c r="BE211" s="49"/>
      <c r="BF211" s="49"/>
      <c r="BG211" s="49"/>
      <c r="BH211" s="49"/>
      <c r="BI211" s="49"/>
      <c r="BJ211" s="49"/>
      <c r="BK211" s="49"/>
      <c r="BL211" s="49"/>
      <c r="BM211" s="49"/>
      <c r="BN211" s="50"/>
      <c r="BO211" s="49"/>
      <c r="BP211" s="50"/>
      <c r="BQ211" s="49"/>
      <c r="BR211" s="50"/>
      <c r="BS211" s="49"/>
      <c r="BT211" s="50"/>
      <c r="BU211" s="49"/>
      <c r="BV211" s="2"/>
      <c r="BW211" s="3"/>
      <c r="BX211" s="3"/>
      <c r="BY211" s="3"/>
      <c r="BZ211" s="3"/>
    </row>
    <row r="212" spans="1:78" ht="41.45" customHeight="1">
      <c r="A212" s="66" t="s">
        <v>508</v>
      </c>
      <c r="C212" s="67"/>
      <c r="D212" s="67" t="s">
        <v>64</v>
      </c>
      <c r="E212" s="68">
        <v>162.66654519721016</v>
      </c>
      <c r="F212" s="70">
        <v>99.99856253978406</v>
      </c>
      <c r="G212" s="106" t="str">
        <f>HYPERLINK("https://pbs.twimg.com/profile_images/1387503810097070082/E6wLZaIN_normal.jpg")</f>
        <v>https://pbs.twimg.com/profile_images/1387503810097070082/E6wLZaIN_normal.jpg</v>
      </c>
      <c r="H212" s="67"/>
      <c r="I212" s="71" t="s">
        <v>508</v>
      </c>
      <c r="J212" s="72"/>
      <c r="K212" s="72"/>
      <c r="L212" s="71" t="s">
        <v>3092</v>
      </c>
      <c r="M212" s="75">
        <v>1.479057574631429</v>
      </c>
      <c r="N212" s="76">
        <v>7488.18994140625</v>
      </c>
      <c r="O212" s="76">
        <v>5043.53076171875</v>
      </c>
      <c r="P212" s="77"/>
      <c r="Q212" s="78"/>
      <c r="R212" s="78"/>
      <c r="S212" s="92"/>
      <c r="T212" s="49">
        <v>1</v>
      </c>
      <c r="U212" s="49">
        <v>0</v>
      </c>
      <c r="V212" s="50">
        <v>0</v>
      </c>
      <c r="W212" s="50">
        <v>0.111111</v>
      </c>
      <c r="X212" s="50">
        <v>0</v>
      </c>
      <c r="Y212" s="50">
        <v>0.632431</v>
      </c>
      <c r="Z212" s="50">
        <v>0</v>
      </c>
      <c r="AA212" s="50">
        <v>0</v>
      </c>
      <c r="AB212" s="73">
        <v>212</v>
      </c>
      <c r="AC212" s="73"/>
      <c r="AD212" s="74"/>
      <c r="AE212" s="81" t="s">
        <v>2124</v>
      </c>
      <c r="AF212" s="86" t="s">
        <v>2391</v>
      </c>
      <c r="AG212" s="81">
        <v>470</v>
      </c>
      <c r="AH212" s="81">
        <v>3539</v>
      </c>
      <c r="AI212" s="81">
        <v>640</v>
      </c>
      <c r="AJ212" s="81">
        <v>2771</v>
      </c>
      <c r="AK212" s="81"/>
      <c r="AL212" s="81" t="s">
        <v>2658</v>
      </c>
      <c r="AM212" s="81" t="s">
        <v>2848</v>
      </c>
      <c r="AN212" s="81"/>
      <c r="AO212" s="81"/>
      <c r="AP212" s="83">
        <v>43143.881574074076</v>
      </c>
      <c r="AQ212" s="88" t="str">
        <f>HYPERLINK("https://pbs.twimg.com/profile_banners/963158134729650177/1619651224")</f>
        <v>https://pbs.twimg.com/profile_banners/963158134729650177/1619651224</v>
      </c>
      <c r="AR212" s="81" t="b">
        <v>0</v>
      </c>
      <c r="AS212" s="81" t="b">
        <v>0</v>
      </c>
      <c r="AT212" s="81" t="b">
        <v>0</v>
      </c>
      <c r="AU212" s="81"/>
      <c r="AV212" s="81">
        <v>21</v>
      </c>
      <c r="AW212" s="88" t="str">
        <f>HYPERLINK("https://abs.twimg.com/images/themes/theme1/bg.png")</f>
        <v>https://abs.twimg.com/images/themes/theme1/bg.png</v>
      </c>
      <c r="AX212" s="81" t="b">
        <v>0</v>
      </c>
      <c r="AY212" s="81" t="s">
        <v>2883</v>
      </c>
      <c r="AZ212" s="88" t="str">
        <f>HYPERLINK("https://twitter.com/drcsadlier")</f>
        <v>https://twitter.com/drcsadlier</v>
      </c>
      <c r="BA212" s="81" t="s">
        <v>65</v>
      </c>
      <c r="BB212" s="81" t="str">
        <f>REPLACE(INDEX(GroupVertices[Group],MATCH(Vertices[[#This Row],[Vertex]],GroupVertices[Vertex],0)),1,1,"")</f>
        <v>9</v>
      </c>
      <c r="BC212" s="49"/>
      <c r="BD212" s="49"/>
      <c r="BE212" s="49"/>
      <c r="BF212" s="49"/>
      <c r="BG212" s="49"/>
      <c r="BH212" s="49"/>
      <c r="BI212" s="49"/>
      <c r="BJ212" s="49"/>
      <c r="BK212" s="49"/>
      <c r="BL212" s="49"/>
      <c r="BM212" s="49"/>
      <c r="BN212" s="50"/>
      <c r="BO212" s="49"/>
      <c r="BP212" s="50"/>
      <c r="BQ212" s="49"/>
      <c r="BR212" s="50"/>
      <c r="BS212" s="49"/>
      <c r="BT212" s="50"/>
      <c r="BU212" s="49"/>
      <c r="BV212" s="2"/>
      <c r="BW212" s="3"/>
      <c r="BX212" s="3"/>
      <c r="BY212" s="3"/>
      <c r="BZ212" s="3"/>
    </row>
    <row r="213" spans="1:78" ht="41.45" customHeight="1">
      <c r="A213" s="66" t="s">
        <v>509</v>
      </c>
      <c r="C213" s="67"/>
      <c r="D213" s="67" t="s">
        <v>64</v>
      </c>
      <c r="E213" s="68">
        <v>162.19038762703119</v>
      </c>
      <c r="F213" s="70">
        <v>99.99958941323018</v>
      </c>
      <c r="G213" s="106" t="str">
        <f>HYPERLINK("https://pbs.twimg.com/profile_images/1113713581445537792/LtyWjSZf_normal.png")</f>
        <v>https://pbs.twimg.com/profile_images/1113713581445537792/LtyWjSZf_normal.png</v>
      </c>
      <c r="H213" s="67"/>
      <c r="I213" s="71" t="s">
        <v>509</v>
      </c>
      <c r="J213" s="72"/>
      <c r="K213" s="72"/>
      <c r="L213" s="71" t="s">
        <v>3093</v>
      </c>
      <c r="M213" s="75">
        <v>1.1368348841566016</v>
      </c>
      <c r="N213" s="76">
        <v>8007.41552734375</v>
      </c>
      <c r="O213" s="76">
        <v>6446.7236328125</v>
      </c>
      <c r="P213" s="77"/>
      <c r="Q213" s="78"/>
      <c r="R213" s="78"/>
      <c r="S213" s="92"/>
      <c r="T213" s="49">
        <v>1</v>
      </c>
      <c r="U213" s="49">
        <v>0</v>
      </c>
      <c r="V213" s="50">
        <v>0</v>
      </c>
      <c r="W213" s="50">
        <v>0.111111</v>
      </c>
      <c r="X213" s="50">
        <v>0</v>
      </c>
      <c r="Y213" s="50">
        <v>0.632431</v>
      </c>
      <c r="Z213" s="50">
        <v>0</v>
      </c>
      <c r="AA213" s="50">
        <v>0</v>
      </c>
      <c r="AB213" s="73">
        <v>213</v>
      </c>
      <c r="AC213" s="73"/>
      <c r="AD213" s="74"/>
      <c r="AE213" s="81" t="s">
        <v>2125</v>
      </c>
      <c r="AF213" s="86" t="s">
        <v>2392</v>
      </c>
      <c r="AG213" s="81">
        <v>467</v>
      </c>
      <c r="AH213" s="81">
        <v>1013</v>
      </c>
      <c r="AI213" s="81">
        <v>642</v>
      </c>
      <c r="AJ213" s="81">
        <v>1671</v>
      </c>
      <c r="AK213" s="81"/>
      <c r="AL213" s="81" t="s">
        <v>2659</v>
      </c>
      <c r="AM213" s="81"/>
      <c r="AN213" s="81"/>
      <c r="AO213" s="81"/>
      <c r="AP213" s="83">
        <v>40709.920752314814</v>
      </c>
      <c r="AQ213" s="81"/>
      <c r="AR213" s="81" t="b">
        <v>1</v>
      </c>
      <c r="AS213" s="81" t="b">
        <v>0</v>
      </c>
      <c r="AT213" s="81" t="b">
        <v>0</v>
      </c>
      <c r="AU213" s="81"/>
      <c r="AV213" s="81">
        <v>3</v>
      </c>
      <c r="AW213" s="88" t="str">
        <f>HYPERLINK("https://abs.twimg.com/images/themes/theme1/bg.png")</f>
        <v>https://abs.twimg.com/images/themes/theme1/bg.png</v>
      </c>
      <c r="AX213" s="81" t="b">
        <v>0</v>
      </c>
      <c r="AY213" s="81" t="s">
        <v>2883</v>
      </c>
      <c r="AZ213" s="88" t="str">
        <f>HYPERLINK("https://twitter.com/drjacksoncork")</f>
        <v>https://twitter.com/drjacksoncork</v>
      </c>
      <c r="BA213" s="81" t="s">
        <v>65</v>
      </c>
      <c r="BB213" s="81" t="str">
        <f>REPLACE(INDEX(GroupVertices[Group],MATCH(Vertices[[#This Row],[Vertex]],GroupVertices[Vertex],0)),1,1,"")</f>
        <v>9</v>
      </c>
      <c r="BC213" s="49"/>
      <c r="BD213" s="49"/>
      <c r="BE213" s="49"/>
      <c r="BF213" s="49"/>
      <c r="BG213" s="49"/>
      <c r="BH213" s="49"/>
      <c r="BI213" s="49"/>
      <c r="BJ213" s="49"/>
      <c r="BK213" s="49"/>
      <c r="BL213" s="49"/>
      <c r="BM213" s="49"/>
      <c r="BN213" s="50"/>
      <c r="BO213" s="49"/>
      <c r="BP213" s="50"/>
      <c r="BQ213" s="49"/>
      <c r="BR213" s="50"/>
      <c r="BS213" s="49"/>
      <c r="BT213" s="50"/>
      <c r="BU213" s="49"/>
      <c r="BV213" s="2"/>
      <c r="BW213" s="3"/>
      <c r="BX213" s="3"/>
      <c r="BY213" s="3"/>
      <c r="BZ213" s="3"/>
    </row>
    <row r="214" spans="1:78" ht="41.45" customHeight="1">
      <c r="A214" s="66" t="s">
        <v>510</v>
      </c>
      <c r="C214" s="67"/>
      <c r="D214" s="67" t="s">
        <v>64</v>
      </c>
      <c r="E214" s="68">
        <v>162.03355346298173</v>
      </c>
      <c r="F214" s="70">
        <v>99.99992763916333</v>
      </c>
      <c r="G214" s="106" t="str">
        <f>HYPERLINK("https://pbs.twimg.com/profile_images/1355644411015794696/TpiLMqOq_normal.jpg")</f>
        <v>https://pbs.twimg.com/profile_images/1355644411015794696/TpiLMqOq_normal.jpg</v>
      </c>
      <c r="H214" s="67"/>
      <c r="I214" s="71" t="s">
        <v>510</v>
      </c>
      <c r="J214" s="72"/>
      <c r="K214" s="72"/>
      <c r="L214" s="71" t="s">
        <v>3094</v>
      </c>
      <c r="M214" s="75">
        <v>1.0241154548315594</v>
      </c>
      <c r="N214" s="76">
        <v>8008.93505859375</v>
      </c>
      <c r="O214" s="76">
        <v>4714.44091796875</v>
      </c>
      <c r="P214" s="77"/>
      <c r="Q214" s="78"/>
      <c r="R214" s="78"/>
      <c r="S214" s="92"/>
      <c r="T214" s="49">
        <v>1</v>
      </c>
      <c r="U214" s="49">
        <v>0</v>
      </c>
      <c r="V214" s="50">
        <v>0</v>
      </c>
      <c r="W214" s="50">
        <v>0.111111</v>
      </c>
      <c r="X214" s="50">
        <v>0</v>
      </c>
      <c r="Y214" s="50">
        <v>0.632431</v>
      </c>
      <c r="Z214" s="50">
        <v>0</v>
      </c>
      <c r="AA214" s="50">
        <v>0</v>
      </c>
      <c r="AB214" s="73">
        <v>214</v>
      </c>
      <c r="AC214" s="73"/>
      <c r="AD214" s="74"/>
      <c r="AE214" s="81" t="s">
        <v>2126</v>
      </c>
      <c r="AF214" s="86" t="s">
        <v>2393</v>
      </c>
      <c r="AG214" s="81">
        <v>615</v>
      </c>
      <c r="AH214" s="81">
        <v>181</v>
      </c>
      <c r="AI214" s="81">
        <v>460</v>
      </c>
      <c r="AJ214" s="81">
        <v>1650</v>
      </c>
      <c r="AK214" s="81"/>
      <c r="AL214" s="81" t="s">
        <v>2660</v>
      </c>
      <c r="AM214" s="81" t="s">
        <v>2847</v>
      </c>
      <c r="AN214" s="81"/>
      <c r="AO214" s="81"/>
      <c r="AP214" s="83">
        <v>43051.858877314815</v>
      </c>
      <c r="AQ214" s="88" t="str">
        <f>HYPERLINK("https://pbs.twimg.com/profile_banners/929810225280028673/1532679218")</f>
        <v>https://pbs.twimg.com/profile_banners/929810225280028673/1532679218</v>
      </c>
      <c r="AR214" s="81" t="b">
        <v>1</v>
      </c>
      <c r="AS214" s="81" t="b">
        <v>0</v>
      </c>
      <c r="AT214" s="81" t="b">
        <v>1</v>
      </c>
      <c r="AU214" s="81"/>
      <c r="AV214" s="81">
        <v>0</v>
      </c>
      <c r="AW214" s="81"/>
      <c r="AX214" s="81" t="b">
        <v>0</v>
      </c>
      <c r="AY214" s="81" t="s">
        <v>2883</v>
      </c>
      <c r="AZ214" s="88" t="str">
        <f>HYPERLINK("https://twitter.com/blairmatthewd")</f>
        <v>https://twitter.com/blairmatthewd</v>
      </c>
      <c r="BA214" s="81" t="s">
        <v>65</v>
      </c>
      <c r="BB214" s="81" t="str">
        <f>REPLACE(INDEX(GroupVertices[Group],MATCH(Vertices[[#This Row],[Vertex]],GroupVertices[Vertex],0)),1,1,"")</f>
        <v>9</v>
      </c>
      <c r="BC214" s="49"/>
      <c r="BD214" s="49"/>
      <c r="BE214" s="49"/>
      <c r="BF214" s="49"/>
      <c r="BG214" s="49"/>
      <c r="BH214" s="49"/>
      <c r="BI214" s="49"/>
      <c r="BJ214" s="49"/>
      <c r="BK214" s="49"/>
      <c r="BL214" s="49"/>
      <c r="BM214" s="49"/>
      <c r="BN214" s="50"/>
      <c r="BO214" s="49"/>
      <c r="BP214" s="50"/>
      <c r="BQ214" s="49"/>
      <c r="BR214" s="50"/>
      <c r="BS214" s="49"/>
      <c r="BT214" s="50"/>
      <c r="BU214" s="49"/>
      <c r="BV214" s="2"/>
      <c r="BW214" s="3"/>
      <c r="BX214" s="3"/>
      <c r="BY214" s="3"/>
      <c r="BZ214" s="3"/>
    </row>
    <row r="215" spans="1:78" ht="41.45" customHeight="1">
      <c r="A215" s="66" t="s">
        <v>511</v>
      </c>
      <c r="C215" s="67"/>
      <c r="D215" s="67" t="s">
        <v>64</v>
      </c>
      <c r="E215" s="68">
        <v>163.4497735044523</v>
      </c>
      <c r="F215" s="70">
        <v>99.99687344272603</v>
      </c>
      <c r="G215" s="106" t="str">
        <f>HYPERLINK("https://pbs.twimg.com/profile_images/588376526179172352/8m0bRcuI_normal.png")</f>
        <v>https://pbs.twimg.com/profile_images/588376526179172352/8m0bRcuI_normal.png</v>
      </c>
      <c r="H215" s="67"/>
      <c r="I215" s="71" t="s">
        <v>511</v>
      </c>
      <c r="J215" s="72"/>
      <c r="K215" s="72"/>
      <c r="L215" s="71" t="s">
        <v>3095</v>
      </c>
      <c r="M215" s="75">
        <v>2.0419773208400223</v>
      </c>
      <c r="N215" s="76">
        <v>8329.833984375</v>
      </c>
      <c r="O215" s="76">
        <v>5581.662109375</v>
      </c>
      <c r="P215" s="77"/>
      <c r="Q215" s="78"/>
      <c r="R215" s="78"/>
      <c r="S215" s="92"/>
      <c r="T215" s="49">
        <v>1</v>
      </c>
      <c r="U215" s="49">
        <v>0</v>
      </c>
      <c r="V215" s="50">
        <v>0</v>
      </c>
      <c r="W215" s="50">
        <v>0.111111</v>
      </c>
      <c r="X215" s="50">
        <v>0</v>
      </c>
      <c r="Y215" s="50">
        <v>0.632431</v>
      </c>
      <c r="Z215" s="50">
        <v>0</v>
      </c>
      <c r="AA215" s="50">
        <v>0</v>
      </c>
      <c r="AB215" s="73">
        <v>215</v>
      </c>
      <c r="AC215" s="73"/>
      <c r="AD215" s="74"/>
      <c r="AE215" s="81" t="s">
        <v>2127</v>
      </c>
      <c r="AF215" s="86" t="s">
        <v>2394</v>
      </c>
      <c r="AG215" s="81">
        <v>213</v>
      </c>
      <c r="AH215" s="81">
        <v>7694</v>
      </c>
      <c r="AI215" s="81">
        <v>3467</v>
      </c>
      <c r="AJ215" s="81">
        <v>5533</v>
      </c>
      <c r="AK215" s="81"/>
      <c r="AL215" s="81" t="s">
        <v>2661</v>
      </c>
      <c r="AM215" s="81" t="s">
        <v>2849</v>
      </c>
      <c r="AN215" s="88" t="str">
        <f>HYPERLINK("http://t.co/spb3ti8Kog")</f>
        <v>http://t.co/spb3ti8Kog</v>
      </c>
      <c r="AO215" s="81"/>
      <c r="AP215" s="83">
        <v>42109.523206018515</v>
      </c>
      <c r="AQ215" s="88" t="str">
        <f>HYPERLINK("https://pbs.twimg.com/profile_banners/3169919951/1563459644")</f>
        <v>https://pbs.twimg.com/profile_banners/3169919951/1563459644</v>
      </c>
      <c r="AR215" s="81" t="b">
        <v>1</v>
      </c>
      <c r="AS215" s="81" t="b">
        <v>0</v>
      </c>
      <c r="AT215" s="81" t="b">
        <v>1</v>
      </c>
      <c r="AU215" s="81"/>
      <c r="AV215" s="81">
        <v>44</v>
      </c>
      <c r="AW215" s="88" t="str">
        <f>HYPERLINK("https://abs.twimg.com/images/themes/theme1/bg.png")</f>
        <v>https://abs.twimg.com/images/themes/theme1/bg.png</v>
      </c>
      <c r="AX215" s="81" t="b">
        <v>0</v>
      </c>
      <c r="AY215" s="81" t="s">
        <v>2883</v>
      </c>
      <c r="AZ215" s="88" t="str">
        <f>HYPERLINK("https://twitter.com/cuh_cork")</f>
        <v>https://twitter.com/cuh_cork</v>
      </c>
      <c r="BA215" s="81" t="s">
        <v>65</v>
      </c>
      <c r="BB215" s="81" t="str">
        <f>REPLACE(INDEX(GroupVertices[Group],MATCH(Vertices[[#This Row],[Vertex]],GroupVertices[Vertex],0)),1,1,"")</f>
        <v>9</v>
      </c>
      <c r="BC215" s="49"/>
      <c r="BD215" s="49"/>
      <c r="BE215" s="49"/>
      <c r="BF215" s="49"/>
      <c r="BG215" s="49"/>
      <c r="BH215" s="49"/>
      <c r="BI215" s="49"/>
      <c r="BJ215" s="49"/>
      <c r="BK215" s="49"/>
      <c r="BL215" s="49"/>
      <c r="BM215" s="49"/>
      <c r="BN215" s="50"/>
      <c r="BO215" s="49"/>
      <c r="BP215" s="50"/>
      <c r="BQ215" s="49"/>
      <c r="BR215" s="50"/>
      <c r="BS215" s="49"/>
      <c r="BT215" s="50"/>
      <c r="BU215" s="49"/>
      <c r="BV215" s="2"/>
      <c r="BW215" s="3"/>
      <c r="BX215" s="3"/>
      <c r="BY215" s="3"/>
      <c r="BZ215" s="3"/>
    </row>
    <row r="216" spans="1:78" ht="41.45" customHeight="1">
      <c r="A216" s="66" t="s">
        <v>392</v>
      </c>
      <c r="C216" s="67"/>
      <c r="D216" s="67" t="s">
        <v>64</v>
      </c>
      <c r="E216" s="68">
        <v>162.10763498518298</v>
      </c>
      <c r="F216" s="70">
        <v>99.99976787619251</v>
      </c>
      <c r="G216" s="106" t="str">
        <f>HYPERLINK("https://pbs.twimg.com/profile_images/941287560290160640/hQbXoz5G_normal.jpg")</f>
        <v>https://pbs.twimg.com/profile_images/941287560290160640/hQbXoz5G_normal.jpg</v>
      </c>
      <c r="H216" s="67"/>
      <c r="I216" s="71" t="s">
        <v>392</v>
      </c>
      <c r="J216" s="72"/>
      <c r="K216" s="72"/>
      <c r="L216" s="71" t="s">
        <v>3096</v>
      </c>
      <c r="M216" s="75">
        <v>1.077359127577643</v>
      </c>
      <c r="N216" s="76">
        <v>7602.93701171875</v>
      </c>
      <c r="O216" s="76">
        <v>8978.720703125</v>
      </c>
      <c r="P216" s="77"/>
      <c r="Q216" s="78"/>
      <c r="R216" s="78"/>
      <c r="S216" s="92"/>
      <c r="T216" s="49">
        <v>0</v>
      </c>
      <c r="U216" s="49">
        <v>3</v>
      </c>
      <c r="V216" s="50">
        <v>124</v>
      </c>
      <c r="W216" s="50">
        <v>0.005464</v>
      </c>
      <c r="X216" s="50">
        <v>0.022985</v>
      </c>
      <c r="Y216" s="50">
        <v>1.132881</v>
      </c>
      <c r="Z216" s="50">
        <v>0</v>
      </c>
      <c r="AA216" s="50">
        <v>0</v>
      </c>
      <c r="AB216" s="73">
        <v>216</v>
      </c>
      <c r="AC216" s="73"/>
      <c r="AD216" s="74"/>
      <c r="AE216" s="81" t="s">
        <v>2128</v>
      </c>
      <c r="AF216" s="86" t="s">
        <v>2395</v>
      </c>
      <c r="AG216" s="81">
        <v>148</v>
      </c>
      <c r="AH216" s="81">
        <v>574</v>
      </c>
      <c r="AI216" s="81">
        <v>512</v>
      </c>
      <c r="AJ216" s="81">
        <v>406</v>
      </c>
      <c r="AK216" s="81"/>
      <c r="AL216" s="81" t="s">
        <v>2662</v>
      </c>
      <c r="AM216" s="81"/>
      <c r="AN216" s="88" t="str">
        <f>HYPERLINK("https://t.co/chsPMRCNr3")</f>
        <v>https://t.co/chsPMRCNr3</v>
      </c>
      <c r="AO216" s="81"/>
      <c r="AP216" s="83">
        <v>43083.524097222224</v>
      </c>
      <c r="AQ216" s="88" t="str">
        <f>HYPERLINK("https://pbs.twimg.com/profile_banners/941285316169818113/1513255496")</f>
        <v>https://pbs.twimg.com/profile_banners/941285316169818113/1513255496</v>
      </c>
      <c r="AR216" s="81" t="b">
        <v>0</v>
      </c>
      <c r="AS216" s="81" t="b">
        <v>0</v>
      </c>
      <c r="AT216" s="81" t="b">
        <v>1</v>
      </c>
      <c r="AU216" s="81"/>
      <c r="AV216" s="81">
        <v>2</v>
      </c>
      <c r="AW216" s="88" t="str">
        <f>HYPERLINK("https://abs.twimg.com/images/themes/theme1/bg.png")</f>
        <v>https://abs.twimg.com/images/themes/theme1/bg.png</v>
      </c>
      <c r="AX216" s="81" t="b">
        <v>0</v>
      </c>
      <c r="AY216" s="81" t="s">
        <v>2883</v>
      </c>
      <c r="AZ216" s="88" t="str">
        <f>HYPERLINK("https://twitter.com/ekhuftpathology")</f>
        <v>https://twitter.com/ekhuftpathology</v>
      </c>
      <c r="BA216" s="81" t="s">
        <v>66</v>
      </c>
      <c r="BB216" s="81" t="str">
        <f>REPLACE(INDEX(GroupVertices[Group],MATCH(Vertices[[#This Row],[Vertex]],GroupVertices[Vertex],0)),1,1,"")</f>
        <v>2</v>
      </c>
      <c r="BC216" s="49"/>
      <c r="BD216" s="49"/>
      <c r="BE216" s="49"/>
      <c r="BF216" s="49"/>
      <c r="BG216" s="49" t="s">
        <v>1088</v>
      </c>
      <c r="BH216" s="49" t="s">
        <v>1088</v>
      </c>
      <c r="BI216" s="113" t="s">
        <v>3779</v>
      </c>
      <c r="BJ216" s="113" t="s">
        <v>3779</v>
      </c>
      <c r="BK216" s="113" t="s">
        <v>3956</v>
      </c>
      <c r="BL216" s="113" t="s">
        <v>3956</v>
      </c>
      <c r="BM216" s="113">
        <v>0</v>
      </c>
      <c r="BN216" s="116">
        <v>0</v>
      </c>
      <c r="BO216" s="113">
        <v>0</v>
      </c>
      <c r="BP216" s="116">
        <v>0</v>
      </c>
      <c r="BQ216" s="113">
        <v>0</v>
      </c>
      <c r="BR216" s="116">
        <v>0</v>
      </c>
      <c r="BS216" s="113">
        <v>16</v>
      </c>
      <c r="BT216" s="116">
        <v>100</v>
      </c>
      <c r="BU216" s="113">
        <v>16</v>
      </c>
      <c r="BV216" s="2"/>
      <c r="BW216" s="3"/>
      <c r="BX216" s="3"/>
      <c r="BY216" s="3"/>
      <c r="BZ216" s="3"/>
    </row>
    <row r="217" spans="1:78" ht="41.45" customHeight="1">
      <c r="A217" s="66" t="s">
        <v>512</v>
      </c>
      <c r="C217" s="67"/>
      <c r="D217" s="67" t="s">
        <v>64</v>
      </c>
      <c r="E217" s="68">
        <v>163.4030248593991</v>
      </c>
      <c r="F217" s="70">
        <v>99.99697426007148</v>
      </c>
      <c r="G217" s="106" t="str">
        <f>HYPERLINK("https://pbs.twimg.com/profile_images/1306561486421200896/mLsaBpWv_normal.jpg")</f>
        <v>https://pbs.twimg.com/profile_images/1306561486421200896/mLsaBpWv_normal.jpg</v>
      </c>
      <c r="H217" s="67"/>
      <c r="I217" s="71" t="s">
        <v>512</v>
      </c>
      <c r="J217" s="72"/>
      <c r="K217" s="72"/>
      <c r="L217" s="71" t="s">
        <v>3097</v>
      </c>
      <c r="M217" s="75">
        <v>2.008378260175827</v>
      </c>
      <c r="N217" s="76">
        <v>7560.01611328125</v>
      </c>
      <c r="O217" s="76">
        <v>9670.0859375</v>
      </c>
      <c r="P217" s="77"/>
      <c r="Q217" s="78"/>
      <c r="R217" s="78"/>
      <c r="S217" s="92"/>
      <c r="T217" s="49">
        <v>1</v>
      </c>
      <c r="U217" s="49">
        <v>0</v>
      </c>
      <c r="V217" s="50">
        <v>0</v>
      </c>
      <c r="W217" s="50">
        <v>0.004292</v>
      </c>
      <c r="X217" s="50">
        <v>0.004506</v>
      </c>
      <c r="Y217" s="50">
        <v>0.470983</v>
      </c>
      <c r="Z217" s="50">
        <v>0</v>
      </c>
      <c r="AA217" s="50">
        <v>0</v>
      </c>
      <c r="AB217" s="73">
        <v>217</v>
      </c>
      <c r="AC217" s="73"/>
      <c r="AD217" s="74"/>
      <c r="AE217" s="81" t="s">
        <v>2129</v>
      </c>
      <c r="AF217" s="86" t="s">
        <v>2396</v>
      </c>
      <c r="AG217" s="81">
        <v>1480</v>
      </c>
      <c r="AH217" s="81">
        <v>7446</v>
      </c>
      <c r="AI217" s="81">
        <v>6885</v>
      </c>
      <c r="AJ217" s="81">
        <v>6910</v>
      </c>
      <c r="AK217" s="81"/>
      <c r="AL217" s="81" t="s">
        <v>2663</v>
      </c>
      <c r="AM217" s="81" t="s">
        <v>2850</v>
      </c>
      <c r="AN217" s="88" t="str">
        <f>HYPERLINK("https://t.co/fW4UkG5XbC")</f>
        <v>https://t.co/fW4UkG5XbC</v>
      </c>
      <c r="AO217" s="81"/>
      <c r="AP217" s="83">
        <v>40303.679131944446</v>
      </c>
      <c r="AQ217" s="88" t="str">
        <f>HYPERLINK("https://pbs.twimg.com/profile_banners/140484104/1637079346")</f>
        <v>https://pbs.twimg.com/profile_banners/140484104/1637079346</v>
      </c>
      <c r="AR217" s="81" t="b">
        <v>0</v>
      </c>
      <c r="AS217" s="81" t="b">
        <v>0</v>
      </c>
      <c r="AT217" s="81" t="b">
        <v>1</v>
      </c>
      <c r="AU217" s="81"/>
      <c r="AV217" s="81">
        <v>85</v>
      </c>
      <c r="AW217" s="88" t="str">
        <f>HYPERLINK("https://abs.twimg.com/images/themes/theme14/bg.gif")</f>
        <v>https://abs.twimg.com/images/themes/theme14/bg.gif</v>
      </c>
      <c r="AX217" s="81" t="b">
        <v>1</v>
      </c>
      <c r="AY217" s="81" t="s">
        <v>2883</v>
      </c>
      <c r="AZ217" s="88" t="str">
        <f>HYPERLINK("https://twitter.com/ekhuft")</f>
        <v>https://twitter.com/ekhuft</v>
      </c>
      <c r="BA217" s="81" t="s">
        <v>65</v>
      </c>
      <c r="BB217" s="81" t="str">
        <f>REPLACE(INDEX(GroupVertices[Group],MATCH(Vertices[[#This Row],[Vertex]],GroupVertices[Vertex],0)),1,1,"")</f>
        <v>2</v>
      </c>
      <c r="BC217" s="49"/>
      <c r="BD217" s="49"/>
      <c r="BE217" s="49"/>
      <c r="BF217" s="49"/>
      <c r="BG217" s="49"/>
      <c r="BH217" s="49"/>
      <c r="BI217" s="49"/>
      <c r="BJ217" s="49"/>
      <c r="BK217" s="49"/>
      <c r="BL217" s="49"/>
      <c r="BM217" s="49"/>
      <c r="BN217" s="50"/>
      <c r="BO217" s="49"/>
      <c r="BP217" s="50"/>
      <c r="BQ217" s="49"/>
      <c r="BR217" s="50"/>
      <c r="BS217" s="49"/>
      <c r="BT217" s="50"/>
      <c r="BU217" s="49"/>
      <c r="BV217" s="2"/>
      <c r="BW217" s="3"/>
      <c r="BX217" s="3"/>
      <c r="BY217" s="3"/>
      <c r="BZ217" s="3"/>
    </row>
    <row r="218" spans="1:78" ht="41.45" customHeight="1">
      <c r="A218" s="66" t="s">
        <v>393</v>
      </c>
      <c r="C218" s="67"/>
      <c r="D218" s="67" t="s">
        <v>64</v>
      </c>
      <c r="E218" s="68">
        <v>165.42923931777355</v>
      </c>
      <c r="F218" s="70">
        <v>99.99260455988453</v>
      </c>
      <c r="G218" s="106" t="str">
        <f>HYPERLINK("https://pbs.twimg.com/profile_images/1174765244473839616/CKEufymW_normal.jpg")</f>
        <v>https://pbs.twimg.com/profile_images/1174765244473839616/CKEufymW_normal.jpg</v>
      </c>
      <c r="H218" s="67"/>
      <c r="I218" s="71" t="s">
        <v>393</v>
      </c>
      <c r="J218" s="72"/>
      <c r="K218" s="72"/>
      <c r="L218" s="71" t="s">
        <v>3098</v>
      </c>
      <c r="M218" s="75">
        <v>3.464653675818709</v>
      </c>
      <c r="N218" s="76">
        <v>355.4516296386719</v>
      </c>
      <c r="O218" s="76">
        <v>1496.5609130859375</v>
      </c>
      <c r="P218" s="77"/>
      <c r="Q218" s="78"/>
      <c r="R218" s="78"/>
      <c r="S218" s="92"/>
      <c r="T218" s="49">
        <v>1</v>
      </c>
      <c r="U218" s="49">
        <v>1</v>
      </c>
      <c r="V218" s="50">
        <v>0</v>
      </c>
      <c r="W218" s="50">
        <v>0</v>
      </c>
      <c r="X218" s="50">
        <v>0</v>
      </c>
      <c r="Y218" s="50">
        <v>0.999998</v>
      </c>
      <c r="Z218" s="50">
        <v>0</v>
      </c>
      <c r="AA218" s="50">
        <v>0</v>
      </c>
      <c r="AB218" s="73">
        <v>218</v>
      </c>
      <c r="AC218" s="73"/>
      <c r="AD218" s="74"/>
      <c r="AE218" s="81" t="s">
        <v>2130</v>
      </c>
      <c r="AF218" s="86" t="s">
        <v>2397</v>
      </c>
      <c r="AG218" s="81">
        <v>586</v>
      </c>
      <c r="AH218" s="81">
        <v>18195</v>
      </c>
      <c r="AI218" s="81">
        <v>5687</v>
      </c>
      <c r="AJ218" s="81">
        <v>473</v>
      </c>
      <c r="AK218" s="81"/>
      <c r="AL218" s="81" t="s">
        <v>2664</v>
      </c>
      <c r="AM218" s="81" t="s">
        <v>2851</v>
      </c>
      <c r="AN218" s="88" t="str">
        <f>HYPERLINK("http://t.co/3jQyj8aZ78")</f>
        <v>http://t.co/3jQyj8aZ78</v>
      </c>
      <c r="AO218" s="81"/>
      <c r="AP218" s="83">
        <v>40214.67586805556</v>
      </c>
      <c r="AQ218" s="88" t="str">
        <f>HYPERLINK("https://pbs.twimg.com/profile_banners/111630094/1628775335")</f>
        <v>https://pbs.twimg.com/profile_banners/111630094/1628775335</v>
      </c>
      <c r="AR218" s="81" t="b">
        <v>0</v>
      </c>
      <c r="AS218" s="81" t="b">
        <v>0</v>
      </c>
      <c r="AT218" s="81" t="b">
        <v>0</v>
      </c>
      <c r="AU218" s="81"/>
      <c r="AV218" s="81">
        <v>307</v>
      </c>
      <c r="AW218" s="88" t="str">
        <f>HYPERLINK("https://abs.twimg.com/images/themes/theme14/bg.gif")</f>
        <v>https://abs.twimg.com/images/themes/theme14/bg.gif</v>
      </c>
      <c r="AX218" s="81" t="b">
        <v>1</v>
      </c>
      <c r="AY218" s="81" t="s">
        <v>2883</v>
      </c>
      <c r="AZ218" s="88" t="str">
        <f>HYPERLINK("https://twitter.com/adhpio")</f>
        <v>https://twitter.com/adhpio</v>
      </c>
      <c r="BA218" s="81" t="s">
        <v>66</v>
      </c>
      <c r="BB218" s="81" t="str">
        <f>REPLACE(INDEX(GroupVertices[Group],MATCH(Vertices[[#This Row],[Vertex]],GroupVertices[Vertex],0)),1,1,"")</f>
        <v>1</v>
      </c>
      <c r="BC218" s="49" t="s">
        <v>3204</v>
      </c>
      <c r="BD218" s="49" t="s">
        <v>3204</v>
      </c>
      <c r="BE218" s="49" t="s">
        <v>903</v>
      </c>
      <c r="BF218" s="49" t="s">
        <v>903</v>
      </c>
      <c r="BG218" s="49" t="s">
        <v>954</v>
      </c>
      <c r="BH218" s="49" t="s">
        <v>954</v>
      </c>
      <c r="BI218" s="113" t="s">
        <v>3780</v>
      </c>
      <c r="BJ218" s="113" t="s">
        <v>3780</v>
      </c>
      <c r="BK218" s="113" t="s">
        <v>3862</v>
      </c>
      <c r="BL218" s="113" t="s">
        <v>3862</v>
      </c>
      <c r="BM218" s="113">
        <v>0</v>
      </c>
      <c r="BN218" s="116">
        <v>0</v>
      </c>
      <c r="BO218" s="113">
        <v>2</v>
      </c>
      <c r="BP218" s="116">
        <v>5.882352941176471</v>
      </c>
      <c r="BQ218" s="113">
        <v>0</v>
      </c>
      <c r="BR218" s="116">
        <v>0</v>
      </c>
      <c r="BS218" s="113">
        <v>32</v>
      </c>
      <c r="BT218" s="116">
        <v>94.11764705882354</v>
      </c>
      <c r="BU218" s="113">
        <v>34</v>
      </c>
      <c r="BV218" s="2"/>
      <c r="BW218" s="3"/>
      <c r="BX218" s="3"/>
      <c r="BY218" s="3"/>
      <c r="BZ218" s="3"/>
    </row>
    <row r="219" spans="1:78" ht="41.45" customHeight="1">
      <c r="A219" s="66" t="s">
        <v>394</v>
      </c>
      <c r="C219" s="67"/>
      <c r="D219" s="67" t="s">
        <v>64</v>
      </c>
      <c r="E219" s="68">
        <v>162.04071656182052</v>
      </c>
      <c r="F219" s="70">
        <v>99.99991219134428</v>
      </c>
      <c r="G219" s="106" t="str">
        <f>HYPERLINK("https://pbs.twimg.com/profile_images/1417970916311568389/6nWNsSAN_normal.jpg")</f>
        <v>https://pbs.twimg.com/profile_images/1417970916311568389/6nWNsSAN_normal.jpg</v>
      </c>
      <c r="H219" s="67"/>
      <c r="I219" s="71" t="s">
        <v>394</v>
      </c>
      <c r="J219" s="72"/>
      <c r="K219" s="72"/>
      <c r="L219" s="71" t="s">
        <v>3099</v>
      </c>
      <c r="M219" s="75">
        <v>1.0292636979978476</v>
      </c>
      <c r="N219" s="76">
        <v>5046.6748046875</v>
      </c>
      <c r="O219" s="76">
        <v>7724.00830078125</v>
      </c>
      <c r="P219" s="77"/>
      <c r="Q219" s="78"/>
      <c r="R219" s="78"/>
      <c r="S219" s="92"/>
      <c r="T219" s="49">
        <v>1</v>
      </c>
      <c r="U219" s="49">
        <v>1</v>
      </c>
      <c r="V219" s="50">
        <v>0</v>
      </c>
      <c r="W219" s="50">
        <v>0</v>
      </c>
      <c r="X219" s="50">
        <v>0</v>
      </c>
      <c r="Y219" s="50">
        <v>0.999998</v>
      </c>
      <c r="Z219" s="50">
        <v>0</v>
      </c>
      <c r="AA219" s="50">
        <v>0</v>
      </c>
      <c r="AB219" s="73">
        <v>219</v>
      </c>
      <c r="AC219" s="73"/>
      <c r="AD219" s="74"/>
      <c r="AE219" s="81" t="s">
        <v>2131</v>
      </c>
      <c r="AF219" s="86" t="s">
        <v>2398</v>
      </c>
      <c r="AG219" s="81">
        <v>383</v>
      </c>
      <c r="AH219" s="81">
        <v>219</v>
      </c>
      <c r="AI219" s="81">
        <v>248</v>
      </c>
      <c r="AJ219" s="81">
        <v>372</v>
      </c>
      <c r="AK219" s="81"/>
      <c r="AL219" s="81" t="s">
        <v>2665</v>
      </c>
      <c r="AM219" s="81"/>
      <c r="AN219" s="88" t="str">
        <f>HYPERLINK("https://t.co/H2iq2UEYP8")</f>
        <v>https://t.co/H2iq2UEYP8</v>
      </c>
      <c r="AO219" s="81"/>
      <c r="AP219" s="83">
        <v>44398.925416666665</v>
      </c>
      <c r="AQ219" s="88" t="str">
        <f>HYPERLINK("https://pbs.twimg.com/profile_banners/1417970672907784195/1626986884")</f>
        <v>https://pbs.twimg.com/profile_banners/1417970672907784195/1626986884</v>
      </c>
      <c r="AR219" s="81" t="b">
        <v>1</v>
      </c>
      <c r="AS219" s="81" t="b">
        <v>0</v>
      </c>
      <c r="AT219" s="81" t="b">
        <v>0</v>
      </c>
      <c r="AU219" s="81"/>
      <c r="AV219" s="81">
        <v>1</v>
      </c>
      <c r="AW219" s="81"/>
      <c r="AX219" s="81" t="b">
        <v>0</v>
      </c>
      <c r="AY219" s="81" t="s">
        <v>2883</v>
      </c>
      <c r="AZ219" s="88" t="str">
        <f>HYPERLINK("https://twitter.com/dirty_drinks")</f>
        <v>https://twitter.com/dirty_drinks</v>
      </c>
      <c r="BA219" s="81" t="s">
        <v>66</v>
      </c>
      <c r="BB219" s="81" t="str">
        <f>REPLACE(INDEX(GroupVertices[Group],MATCH(Vertices[[#This Row],[Vertex]],GroupVertices[Vertex],0)),1,1,"")</f>
        <v>1</v>
      </c>
      <c r="BC219" s="49" t="s">
        <v>3556</v>
      </c>
      <c r="BD219" s="49" t="s">
        <v>3556</v>
      </c>
      <c r="BE219" s="49" t="s">
        <v>914</v>
      </c>
      <c r="BF219" s="49" t="s">
        <v>914</v>
      </c>
      <c r="BG219" s="49" t="s">
        <v>990</v>
      </c>
      <c r="BH219" s="49" t="s">
        <v>990</v>
      </c>
      <c r="BI219" s="113" t="s">
        <v>3710</v>
      </c>
      <c r="BJ219" s="113" t="s">
        <v>3710</v>
      </c>
      <c r="BK219" s="113" t="s">
        <v>3887</v>
      </c>
      <c r="BL219" s="113" t="s">
        <v>3887</v>
      </c>
      <c r="BM219" s="113">
        <v>0</v>
      </c>
      <c r="BN219" s="116">
        <v>0</v>
      </c>
      <c r="BO219" s="113">
        <v>0</v>
      </c>
      <c r="BP219" s="116">
        <v>0</v>
      </c>
      <c r="BQ219" s="113">
        <v>0</v>
      </c>
      <c r="BR219" s="116">
        <v>0</v>
      </c>
      <c r="BS219" s="113">
        <v>13</v>
      </c>
      <c r="BT219" s="116">
        <v>100</v>
      </c>
      <c r="BU219" s="113">
        <v>13</v>
      </c>
      <c r="BV219" s="2"/>
      <c r="BW219" s="3"/>
      <c r="BX219" s="3"/>
      <c r="BY219" s="3"/>
      <c r="BZ219" s="3"/>
    </row>
    <row r="220" spans="1:78" ht="41.45" customHeight="1">
      <c r="A220" s="66" t="s">
        <v>395</v>
      </c>
      <c r="C220" s="67"/>
      <c r="D220" s="67" t="s">
        <v>64</v>
      </c>
      <c r="E220" s="68">
        <v>168.82322864915616</v>
      </c>
      <c r="F220" s="70">
        <v>99.98528513929969</v>
      </c>
      <c r="G220" s="106" t="str">
        <f>HYPERLINK("https://pbs.twimg.com/profile_images/936635940818141184/iOzIqO2A_normal.jpg")</f>
        <v>https://pbs.twimg.com/profile_images/936635940818141184/iOzIqO2A_normal.jpg</v>
      </c>
      <c r="H220" s="67"/>
      <c r="I220" s="71" t="s">
        <v>395</v>
      </c>
      <c r="J220" s="72"/>
      <c r="K220" s="72"/>
      <c r="L220" s="71" t="s">
        <v>3100</v>
      </c>
      <c r="M220" s="75">
        <v>5.903972576055948</v>
      </c>
      <c r="N220" s="76">
        <v>4655.7392578125</v>
      </c>
      <c r="O220" s="76">
        <v>1496.5609130859375</v>
      </c>
      <c r="P220" s="77"/>
      <c r="Q220" s="78"/>
      <c r="R220" s="78"/>
      <c r="S220" s="92"/>
      <c r="T220" s="49">
        <v>1</v>
      </c>
      <c r="U220" s="49">
        <v>1</v>
      </c>
      <c r="V220" s="50">
        <v>0</v>
      </c>
      <c r="W220" s="50">
        <v>0</v>
      </c>
      <c r="X220" s="50">
        <v>0</v>
      </c>
      <c r="Y220" s="50">
        <v>0.999998</v>
      </c>
      <c r="Z220" s="50">
        <v>0</v>
      </c>
      <c r="AA220" s="50">
        <v>0</v>
      </c>
      <c r="AB220" s="73">
        <v>220</v>
      </c>
      <c r="AC220" s="73"/>
      <c r="AD220" s="74"/>
      <c r="AE220" s="81" t="s">
        <v>2132</v>
      </c>
      <c r="AF220" s="86" t="s">
        <v>2399</v>
      </c>
      <c r="AG220" s="81">
        <v>489</v>
      </c>
      <c r="AH220" s="81">
        <v>36200</v>
      </c>
      <c r="AI220" s="81">
        <v>17125</v>
      </c>
      <c r="AJ220" s="81">
        <v>2456</v>
      </c>
      <c r="AK220" s="81"/>
      <c r="AL220" s="81" t="s">
        <v>2666</v>
      </c>
      <c r="AM220" s="81" t="s">
        <v>1876</v>
      </c>
      <c r="AN220" s="88" t="str">
        <f>HYPERLINK("http://t.co/RhiNUNib7m")</f>
        <v>http://t.co/RhiNUNib7m</v>
      </c>
      <c r="AO220" s="81"/>
      <c r="AP220" s="83">
        <v>41345.621516203704</v>
      </c>
      <c r="AQ220" s="88" t="str">
        <f>HYPERLINK("https://pbs.twimg.com/profile_banners/1262167370/1514913411")</f>
        <v>https://pbs.twimg.com/profile_banners/1262167370/1514913411</v>
      </c>
      <c r="AR220" s="81" t="b">
        <v>1</v>
      </c>
      <c r="AS220" s="81" t="b">
        <v>0</v>
      </c>
      <c r="AT220" s="81" t="b">
        <v>0</v>
      </c>
      <c r="AU220" s="81"/>
      <c r="AV220" s="81">
        <v>669</v>
      </c>
      <c r="AW220" s="88" t="str">
        <f>HYPERLINK("https://abs.twimg.com/images/themes/theme1/bg.png")</f>
        <v>https://abs.twimg.com/images/themes/theme1/bg.png</v>
      </c>
      <c r="AX220" s="81" t="b">
        <v>1</v>
      </c>
      <c r="AY220" s="81" t="s">
        <v>2883</v>
      </c>
      <c r="AZ220" s="88" t="str">
        <f>HYPERLINK("https://twitter.com/cdc_ncezid")</f>
        <v>https://twitter.com/cdc_ncezid</v>
      </c>
      <c r="BA220" s="81" t="s">
        <v>66</v>
      </c>
      <c r="BB220" s="81" t="str">
        <f>REPLACE(INDEX(GroupVertices[Group],MATCH(Vertices[[#This Row],[Vertex]],GroupVertices[Vertex],0)),1,1,"")</f>
        <v>1</v>
      </c>
      <c r="BC220" s="49" t="s">
        <v>3582</v>
      </c>
      <c r="BD220" s="49" t="s">
        <v>3582</v>
      </c>
      <c r="BE220" s="49" t="s">
        <v>903</v>
      </c>
      <c r="BF220" s="49" t="s">
        <v>903</v>
      </c>
      <c r="BG220" s="49" t="s">
        <v>3634</v>
      </c>
      <c r="BH220" s="49" t="s">
        <v>3670</v>
      </c>
      <c r="BI220" s="113" t="s">
        <v>3781</v>
      </c>
      <c r="BJ220" s="113" t="s">
        <v>3845</v>
      </c>
      <c r="BK220" s="113" t="s">
        <v>3957</v>
      </c>
      <c r="BL220" s="113" t="s">
        <v>3957</v>
      </c>
      <c r="BM220" s="113">
        <v>4</v>
      </c>
      <c r="BN220" s="116">
        <v>3.669724770642202</v>
      </c>
      <c r="BO220" s="113">
        <v>4</v>
      </c>
      <c r="BP220" s="116">
        <v>3.669724770642202</v>
      </c>
      <c r="BQ220" s="113">
        <v>0</v>
      </c>
      <c r="BR220" s="116">
        <v>0</v>
      </c>
      <c r="BS220" s="113">
        <v>101</v>
      </c>
      <c r="BT220" s="116">
        <v>92.66055045871559</v>
      </c>
      <c r="BU220" s="113">
        <v>109</v>
      </c>
      <c r="BV220" s="2"/>
      <c r="BW220" s="3"/>
      <c r="BX220" s="3"/>
      <c r="BY220" s="3"/>
      <c r="BZ220" s="3"/>
    </row>
    <row r="221" spans="1:78" ht="41.45" customHeight="1">
      <c r="A221" s="66" t="s">
        <v>396</v>
      </c>
      <c r="C221" s="67"/>
      <c r="D221" s="67" t="s">
        <v>64</v>
      </c>
      <c r="E221" s="68">
        <v>164.31839348995695</v>
      </c>
      <c r="F221" s="70">
        <v>99.9950001914039</v>
      </c>
      <c r="G221" s="106" t="str">
        <f>HYPERLINK("https://pbs.twimg.com/profile_images/1410598528598962181/3jJ-9TW2_normal.jpg")</f>
        <v>https://pbs.twimg.com/profile_images/1410598528598962181/3jJ-9TW2_normal.jpg</v>
      </c>
      <c r="H221" s="67"/>
      <c r="I221" s="71" t="s">
        <v>396</v>
      </c>
      <c r="J221" s="72"/>
      <c r="K221" s="72"/>
      <c r="L221" s="71" t="s">
        <v>3101</v>
      </c>
      <c r="M221" s="75">
        <v>2.666269544794102</v>
      </c>
      <c r="N221" s="76">
        <v>2701.063232421875</v>
      </c>
      <c r="O221" s="76">
        <v>2274.99169921875</v>
      </c>
      <c r="P221" s="77"/>
      <c r="Q221" s="78"/>
      <c r="R221" s="78"/>
      <c r="S221" s="92"/>
      <c r="T221" s="49">
        <v>1</v>
      </c>
      <c r="U221" s="49">
        <v>1</v>
      </c>
      <c r="V221" s="50">
        <v>0</v>
      </c>
      <c r="W221" s="50">
        <v>0</v>
      </c>
      <c r="X221" s="50">
        <v>0</v>
      </c>
      <c r="Y221" s="50">
        <v>0.999998</v>
      </c>
      <c r="Z221" s="50">
        <v>0</v>
      </c>
      <c r="AA221" s="50">
        <v>0</v>
      </c>
      <c r="AB221" s="73">
        <v>221</v>
      </c>
      <c r="AC221" s="73"/>
      <c r="AD221" s="74"/>
      <c r="AE221" s="81" t="s">
        <v>2133</v>
      </c>
      <c r="AF221" s="86" t="s">
        <v>2400</v>
      </c>
      <c r="AG221" s="81">
        <v>706</v>
      </c>
      <c r="AH221" s="81">
        <v>12302</v>
      </c>
      <c r="AI221" s="81">
        <v>3948</v>
      </c>
      <c r="AJ221" s="81">
        <v>1128</v>
      </c>
      <c r="AK221" s="81"/>
      <c r="AL221" s="81" t="s">
        <v>2667</v>
      </c>
      <c r="AM221" s="81" t="s">
        <v>2852</v>
      </c>
      <c r="AN221" s="88" t="str">
        <f>HYPERLINK("https://t.co/wJ5nN876xg")</f>
        <v>https://t.co/wJ5nN876xg</v>
      </c>
      <c r="AO221" s="81"/>
      <c r="AP221" s="83">
        <v>40141.96596064815</v>
      </c>
      <c r="AQ221" s="88" t="str">
        <f>HYPERLINK("https://pbs.twimg.com/profile_banners/92391733/1625147873")</f>
        <v>https://pbs.twimg.com/profile_banners/92391733/1625147873</v>
      </c>
      <c r="AR221" s="81" t="b">
        <v>0</v>
      </c>
      <c r="AS221" s="81" t="b">
        <v>0</v>
      </c>
      <c r="AT221" s="81" t="b">
        <v>0</v>
      </c>
      <c r="AU221" s="81"/>
      <c r="AV221" s="81">
        <v>256</v>
      </c>
      <c r="AW221" s="88" t="str">
        <f>HYPERLINK("https://abs.twimg.com/images/themes/theme14/bg.gif")</f>
        <v>https://abs.twimg.com/images/themes/theme14/bg.gif</v>
      </c>
      <c r="AX221" s="81" t="b">
        <v>0</v>
      </c>
      <c r="AY221" s="81" t="s">
        <v>2883</v>
      </c>
      <c r="AZ221" s="88" t="str">
        <f>HYPERLINK("https://twitter.com/bdandco")</f>
        <v>https://twitter.com/bdandco</v>
      </c>
      <c r="BA221" s="81" t="s">
        <v>66</v>
      </c>
      <c r="BB221" s="81" t="str">
        <f>REPLACE(INDEX(GroupVertices[Group],MATCH(Vertices[[#This Row],[Vertex]],GroupVertices[Vertex],0)),1,1,"")</f>
        <v>1</v>
      </c>
      <c r="BC221" s="49" t="s">
        <v>3583</v>
      </c>
      <c r="BD221" s="49" t="s">
        <v>3583</v>
      </c>
      <c r="BE221" s="49" t="s">
        <v>940</v>
      </c>
      <c r="BF221" s="49" t="s">
        <v>940</v>
      </c>
      <c r="BG221" s="49" t="s">
        <v>1091</v>
      </c>
      <c r="BH221" s="49" t="s">
        <v>1091</v>
      </c>
      <c r="BI221" s="113" t="s">
        <v>3782</v>
      </c>
      <c r="BJ221" s="113" t="s">
        <v>3782</v>
      </c>
      <c r="BK221" s="113" t="s">
        <v>3958</v>
      </c>
      <c r="BL221" s="113" t="s">
        <v>3958</v>
      </c>
      <c r="BM221" s="113">
        <v>0</v>
      </c>
      <c r="BN221" s="116">
        <v>0</v>
      </c>
      <c r="BO221" s="113">
        <v>1</v>
      </c>
      <c r="BP221" s="116">
        <v>2.857142857142857</v>
      </c>
      <c r="BQ221" s="113">
        <v>0</v>
      </c>
      <c r="BR221" s="116">
        <v>0</v>
      </c>
      <c r="BS221" s="113">
        <v>34</v>
      </c>
      <c r="BT221" s="116">
        <v>97.14285714285714</v>
      </c>
      <c r="BU221" s="113">
        <v>35</v>
      </c>
      <c r="BV221" s="2"/>
      <c r="BW221" s="3"/>
      <c r="BX221" s="3"/>
      <c r="BY221" s="3"/>
      <c r="BZ221" s="3"/>
    </row>
    <row r="222" spans="1:78" ht="41.45" customHeight="1">
      <c r="A222" s="66" t="s">
        <v>397</v>
      </c>
      <c r="C222" s="67"/>
      <c r="D222" s="67" t="s">
        <v>64</v>
      </c>
      <c r="E222" s="68">
        <v>162.0062205858337</v>
      </c>
      <c r="F222" s="70">
        <v>99.99998658478872</v>
      </c>
      <c r="G222" s="106" t="str">
        <f>HYPERLINK("https://pbs.twimg.com/profile_images/1276858265738059778/S7j04MvZ_normal.jpg")</f>
        <v>https://pbs.twimg.com/profile_images/1276858265738059778/S7j04MvZ_normal.jpg</v>
      </c>
      <c r="H222" s="67"/>
      <c r="I222" s="71" t="s">
        <v>397</v>
      </c>
      <c r="J222" s="72"/>
      <c r="K222" s="72"/>
      <c r="L222" s="71" t="s">
        <v>3102</v>
      </c>
      <c r="M222" s="75">
        <v>1.0044708427496711</v>
      </c>
      <c r="N222" s="76">
        <v>4264.80419921875</v>
      </c>
      <c r="O222" s="76">
        <v>9280.87109375</v>
      </c>
      <c r="P222" s="77"/>
      <c r="Q222" s="78"/>
      <c r="R222" s="78"/>
      <c r="S222" s="92"/>
      <c r="T222" s="49">
        <v>1</v>
      </c>
      <c r="U222" s="49">
        <v>1</v>
      </c>
      <c r="V222" s="50">
        <v>0</v>
      </c>
      <c r="W222" s="50">
        <v>0</v>
      </c>
      <c r="X222" s="50">
        <v>0</v>
      </c>
      <c r="Y222" s="50">
        <v>0.999998</v>
      </c>
      <c r="Z222" s="50">
        <v>0</v>
      </c>
      <c r="AA222" s="50">
        <v>0</v>
      </c>
      <c r="AB222" s="73">
        <v>222</v>
      </c>
      <c r="AC222" s="73"/>
      <c r="AD222" s="74"/>
      <c r="AE222" s="81" t="s">
        <v>2134</v>
      </c>
      <c r="AF222" s="86" t="s">
        <v>2401</v>
      </c>
      <c r="AG222" s="81">
        <v>39</v>
      </c>
      <c r="AH222" s="81">
        <v>36</v>
      </c>
      <c r="AI222" s="81">
        <v>76</v>
      </c>
      <c r="AJ222" s="81">
        <v>28</v>
      </c>
      <c r="AK222" s="81"/>
      <c r="AL222" s="81" t="s">
        <v>2668</v>
      </c>
      <c r="AM222" s="81" t="s">
        <v>2853</v>
      </c>
      <c r="AN222" s="81"/>
      <c r="AO222" s="81"/>
      <c r="AP222" s="83">
        <v>40908.289722222224</v>
      </c>
      <c r="AQ222" s="88" t="str">
        <f>HYPERLINK("https://pbs.twimg.com/profile_banners/451263338/1593271987")</f>
        <v>https://pbs.twimg.com/profile_banners/451263338/1593271987</v>
      </c>
      <c r="AR222" s="81" t="b">
        <v>1</v>
      </c>
      <c r="AS222" s="81" t="b">
        <v>0</v>
      </c>
      <c r="AT222" s="81" t="b">
        <v>0</v>
      </c>
      <c r="AU222" s="81"/>
      <c r="AV222" s="81">
        <v>0</v>
      </c>
      <c r="AW222" s="88" t="str">
        <f>HYPERLINK("https://abs.twimg.com/images/themes/theme1/bg.png")</f>
        <v>https://abs.twimg.com/images/themes/theme1/bg.png</v>
      </c>
      <c r="AX222" s="81" t="b">
        <v>0</v>
      </c>
      <c r="AY222" s="81" t="s">
        <v>2883</v>
      </c>
      <c r="AZ222" s="88" t="str">
        <f>HYPERLINK("https://twitter.com/drhussentareq")</f>
        <v>https://twitter.com/drhussentareq</v>
      </c>
      <c r="BA222" s="81" t="s">
        <v>66</v>
      </c>
      <c r="BB222" s="81" t="str">
        <f>REPLACE(INDEX(GroupVertices[Group],MATCH(Vertices[[#This Row],[Vertex]],GroupVertices[Vertex],0)),1,1,"")</f>
        <v>1</v>
      </c>
      <c r="BC222" s="49"/>
      <c r="BD222" s="49"/>
      <c r="BE222" s="49"/>
      <c r="BF222" s="49"/>
      <c r="BG222" s="49" t="s">
        <v>949</v>
      </c>
      <c r="BH222" s="49" t="s">
        <v>949</v>
      </c>
      <c r="BI222" s="113" t="s">
        <v>3681</v>
      </c>
      <c r="BJ222" s="113" t="s">
        <v>3846</v>
      </c>
      <c r="BK222" s="113" t="s">
        <v>3858</v>
      </c>
      <c r="BL222" s="113" t="s">
        <v>4006</v>
      </c>
      <c r="BM222" s="113">
        <v>0</v>
      </c>
      <c r="BN222" s="116">
        <v>0</v>
      </c>
      <c r="BO222" s="113">
        <v>8</v>
      </c>
      <c r="BP222" s="116">
        <v>14.285714285714286</v>
      </c>
      <c r="BQ222" s="113">
        <v>0</v>
      </c>
      <c r="BR222" s="116">
        <v>0</v>
      </c>
      <c r="BS222" s="113">
        <v>48</v>
      </c>
      <c r="BT222" s="116">
        <v>85.71428571428571</v>
      </c>
      <c r="BU222" s="113">
        <v>56</v>
      </c>
      <c r="BV222" s="2"/>
      <c r="BW222" s="3"/>
      <c r="BX222" s="3"/>
      <c r="BY222" s="3"/>
      <c r="BZ222" s="3"/>
    </row>
    <row r="223" spans="1:78" ht="41.45" customHeight="1">
      <c r="A223" s="66" t="s">
        <v>398</v>
      </c>
      <c r="C223" s="67"/>
      <c r="D223" s="67" t="s">
        <v>64</v>
      </c>
      <c r="E223" s="68">
        <v>162.18228201518727</v>
      </c>
      <c r="F223" s="70">
        <v>99.99960689365702</v>
      </c>
      <c r="G223" s="106" t="str">
        <f>HYPERLINK("https://pbs.twimg.com/profile_images/1346846706462240772/HTWdH2Ol_normal.png")</f>
        <v>https://pbs.twimg.com/profile_images/1346846706462240772/HTWdH2Ol_normal.png</v>
      </c>
      <c r="H223" s="67"/>
      <c r="I223" s="71" t="s">
        <v>398</v>
      </c>
      <c r="J223" s="72"/>
      <c r="K223" s="72"/>
      <c r="L223" s="71" t="s">
        <v>3103</v>
      </c>
      <c r="M223" s="75">
        <v>1.1310092405736967</v>
      </c>
      <c r="N223" s="76">
        <v>2701.063232421875</v>
      </c>
      <c r="O223" s="76">
        <v>5388.71533203125</v>
      </c>
      <c r="P223" s="77"/>
      <c r="Q223" s="78"/>
      <c r="R223" s="78"/>
      <c r="S223" s="92"/>
      <c r="T223" s="49">
        <v>1</v>
      </c>
      <c r="U223" s="49">
        <v>1</v>
      </c>
      <c r="V223" s="50">
        <v>0</v>
      </c>
      <c r="W223" s="50">
        <v>0</v>
      </c>
      <c r="X223" s="50">
        <v>0</v>
      </c>
      <c r="Y223" s="50">
        <v>0.999998</v>
      </c>
      <c r="Z223" s="50">
        <v>0</v>
      </c>
      <c r="AA223" s="50">
        <v>0</v>
      </c>
      <c r="AB223" s="73">
        <v>223</v>
      </c>
      <c r="AC223" s="73"/>
      <c r="AD223" s="74"/>
      <c r="AE223" s="81" t="s">
        <v>2135</v>
      </c>
      <c r="AF223" s="86" t="s">
        <v>2402</v>
      </c>
      <c r="AG223" s="81">
        <v>327</v>
      </c>
      <c r="AH223" s="81">
        <v>970</v>
      </c>
      <c r="AI223" s="81">
        <v>659</v>
      </c>
      <c r="AJ223" s="81">
        <v>588</v>
      </c>
      <c r="AK223" s="81"/>
      <c r="AL223" s="81" t="s">
        <v>2669</v>
      </c>
      <c r="AM223" s="81" t="s">
        <v>2810</v>
      </c>
      <c r="AN223" s="88" t="str">
        <f>HYPERLINK("https://t.co/Q7ziOKQboW")</f>
        <v>https://t.co/Q7ziOKQboW</v>
      </c>
      <c r="AO223" s="81"/>
      <c r="AP223" s="83">
        <v>43504.74932870371</v>
      </c>
      <c r="AQ223" s="88" t="str">
        <f>HYPERLINK("https://pbs.twimg.com/profile_banners/1093932227719819264/1549649586")</f>
        <v>https://pbs.twimg.com/profile_banners/1093932227719819264/1549649586</v>
      </c>
      <c r="AR223" s="81" t="b">
        <v>0</v>
      </c>
      <c r="AS223" s="81" t="b">
        <v>0</v>
      </c>
      <c r="AT223" s="81" t="b">
        <v>1</v>
      </c>
      <c r="AU223" s="81"/>
      <c r="AV223" s="81">
        <v>20</v>
      </c>
      <c r="AW223" s="88" t="str">
        <f>HYPERLINK("https://abs.twimg.com/images/themes/theme1/bg.png")</f>
        <v>https://abs.twimg.com/images/themes/theme1/bg.png</v>
      </c>
      <c r="AX223" s="81" t="b">
        <v>0</v>
      </c>
      <c r="AY223" s="81" t="s">
        <v>2883</v>
      </c>
      <c r="AZ223" s="88" t="str">
        <f>HYPERLINK("https://twitter.com/bchpedsid")</f>
        <v>https://twitter.com/bchpedsid</v>
      </c>
      <c r="BA223" s="81" t="s">
        <v>66</v>
      </c>
      <c r="BB223" s="81" t="str">
        <f>REPLACE(INDEX(GroupVertices[Group],MATCH(Vertices[[#This Row],[Vertex]],GroupVertices[Vertex],0)),1,1,"")</f>
        <v>1</v>
      </c>
      <c r="BC223" s="49" t="s">
        <v>3204</v>
      </c>
      <c r="BD223" s="49" t="s">
        <v>3204</v>
      </c>
      <c r="BE223" s="49" t="s">
        <v>903</v>
      </c>
      <c r="BF223" s="49" t="s">
        <v>903</v>
      </c>
      <c r="BG223" s="49" t="s">
        <v>954</v>
      </c>
      <c r="BH223" s="49" t="s">
        <v>954</v>
      </c>
      <c r="BI223" s="113" t="s">
        <v>3685</v>
      </c>
      <c r="BJ223" s="113" t="s">
        <v>3685</v>
      </c>
      <c r="BK223" s="113" t="s">
        <v>3862</v>
      </c>
      <c r="BL223" s="113" t="s">
        <v>3862</v>
      </c>
      <c r="BM223" s="113">
        <v>0</v>
      </c>
      <c r="BN223" s="116">
        <v>0</v>
      </c>
      <c r="BO223" s="113">
        <v>1</v>
      </c>
      <c r="BP223" s="116">
        <v>3.0303030303030303</v>
      </c>
      <c r="BQ223" s="113">
        <v>0</v>
      </c>
      <c r="BR223" s="116">
        <v>0</v>
      </c>
      <c r="BS223" s="113">
        <v>32</v>
      </c>
      <c r="BT223" s="116">
        <v>96.96969696969697</v>
      </c>
      <c r="BU223" s="113">
        <v>33</v>
      </c>
      <c r="BV223" s="2"/>
      <c r="BW223" s="3"/>
      <c r="BX223" s="3"/>
      <c r="BY223" s="3"/>
      <c r="BZ223" s="3"/>
    </row>
    <row r="224" spans="1:78" ht="41.45" customHeight="1">
      <c r="A224" s="66" t="s">
        <v>399</v>
      </c>
      <c r="C224" s="67"/>
      <c r="D224" s="67" t="s">
        <v>64</v>
      </c>
      <c r="E224" s="68">
        <v>162.00056550780306</v>
      </c>
      <c r="F224" s="70">
        <v>99.99999878043533</v>
      </c>
      <c r="G224" s="106" t="str">
        <f>HYPERLINK("https://pbs.twimg.com/profile_images/1267753737935826947/jyWDwRAi_normal.jpg")</f>
        <v>https://pbs.twimg.com/profile_images/1267753737935826947/jyWDwRAi_normal.jpg</v>
      </c>
      <c r="H224" s="67"/>
      <c r="I224" s="71" t="s">
        <v>399</v>
      </c>
      <c r="J224" s="72"/>
      <c r="K224" s="72"/>
      <c r="L224" s="71" t="s">
        <v>3104</v>
      </c>
      <c r="M224" s="75">
        <v>1.0004064402499702</v>
      </c>
      <c r="N224" s="76">
        <v>1137.3221435546875</v>
      </c>
      <c r="O224" s="76">
        <v>9280.87109375</v>
      </c>
      <c r="P224" s="77"/>
      <c r="Q224" s="78"/>
      <c r="R224" s="78"/>
      <c r="S224" s="92"/>
      <c r="T224" s="49">
        <v>1</v>
      </c>
      <c r="U224" s="49">
        <v>1</v>
      </c>
      <c r="V224" s="50">
        <v>0</v>
      </c>
      <c r="W224" s="50">
        <v>0</v>
      </c>
      <c r="X224" s="50">
        <v>0</v>
      </c>
      <c r="Y224" s="50">
        <v>0.999998</v>
      </c>
      <c r="Z224" s="50">
        <v>0</v>
      </c>
      <c r="AA224" s="50">
        <v>0</v>
      </c>
      <c r="AB224" s="73">
        <v>224</v>
      </c>
      <c r="AC224" s="73"/>
      <c r="AD224" s="74"/>
      <c r="AE224" s="81" t="s">
        <v>2136</v>
      </c>
      <c r="AF224" s="86" t="s">
        <v>2403</v>
      </c>
      <c r="AG224" s="81">
        <v>17</v>
      </c>
      <c r="AH224" s="81">
        <v>6</v>
      </c>
      <c r="AI224" s="81">
        <v>2</v>
      </c>
      <c r="AJ224" s="81">
        <v>0</v>
      </c>
      <c r="AK224" s="81"/>
      <c r="AL224" s="81" t="s">
        <v>2670</v>
      </c>
      <c r="AM224" s="81"/>
      <c r="AN224" s="81"/>
      <c r="AO224" s="81"/>
      <c r="AP224" s="83">
        <v>42292.50943287037</v>
      </c>
      <c r="AQ224" s="81"/>
      <c r="AR224" s="81" t="b">
        <v>1</v>
      </c>
      <c r="AS224" s="81" t="b">
        <v>0</v>
      </c>
      <c r="AT224" s="81" t="b">
        <v>0</v>
      </c>
      <c r="AU224" s="81"/>
      <c r="AV224" s="81">
        <v>0</v>
      </c>
      <c r="AW224" s="88" t="str">
        <f>HYPERLINK("https://abs.twimg.com/images/themes/theme1/bg.png")</f>
        <v>https://abs.twimg.com/images/themes/theme1/bg.png</v>
      </c>
      <c r="AX224" s="81" t="b">
        <v>0</v>
      </c>
      <c r="AY224" s="81" t="s">
        <v>2883</v>
      </c>
      <c r="AZ224" s="88" t="str">
        <f>HYPERLINK("https://twitter.com/atikaashraf11")</f>
        <v>https://twitter.com/atikaashraf11</v>
      </c>
      <c r="BA224" s="81" t="s">
        <v>66</v>
      </c>
      <c r="BB224" s="81" t="str">
        <f>REPLACE(INDEX(GroupVertices[Group],MATCH(Vertices[[#This Row],[Vertex]],GroupVertices[Vertex],0)),1,1,"")</f>
        <v>1</v>
      </c>
      <c r="BC224" s="49"/>
      <c r="BD224" s="49"/>
      <c r="BE224" s="49"/>
      <c r="BF224" s="49"/>
      <c r="BG224" s="49" t="s">
        <v>966</v>
      </c>
      <c r="BH224" s="49" t="s">
        <v>966</v>
      </c>
      <c r="BI224" s="113" t="s">
        <v>3681</v>
      </c>
      <c r="BJ224" s="113" t="s">
        <v>3681</v>
      </c>
      <c r="BK224" s="113" t="s">
        <v>3858</v>
      </c>
      <c r="BL224" s="113" t="s">
        <v>3858</v>
      </c>
      <c r="BM224" s="113">
        <v>0</v>
      </c>
      <c r="BN224" s="116">
        <v>0</v>
      </c>
      <c r="BO224" s="113">
        <v>4</v>
      </c>
      <c r="BP224" s="116">
        <v>14.285714285714286</v>
      </c>
      <c r="BQ224" s="113">
        <v>0</v>
      </c>
      <c r="BR224" s="116">
        <v>0</v>
      </c>
      <c r="BS224" s="113">
        <v>24</v>
      </c>
      <c r="BT224" s="116">
        <v>85.71428571428571</v>
      </c>
      <c r="BU224" s="113">
        <v>28</v>
      </c>
      <c r="BV224" s="2"/>
      <c r="BW224" s="3"/>
      <c r="BX224" s="3"/>
      <c r="BY224" s="3"/>
      <c r="BZ224" s="3"/>
    </row>
    <row r="225" spans="1:78" ht="41.45" customHeight="1">
      <c r="A225" s="66" t="s">
        <v>400</v>
      </c>
      <c r="C225" s="67"/>
      <c r="D225" s="67" t="s">
        <v>64</v>
      </c>
      <c r="E225" s="68">
        <v>175.64193323588785</v>
      </c>
      <c r="F225" s="70">
        <v>99.97058003511668</v>
      </c>
      <c r="G225" s="106" t="str">
        <f>HYPERLINK("https://pbs.twimg.com/profile_images/809484590809284610/nlSuBJPU_normal.jpg")</f>
        <v>https://pbs.twimg.com/profile_images/809484590809284610/nlSuBJPU_normal.jpg</v>
      </c>
      <c r="H225" s="67"/>
      <c r="I225" s="71" t="s">
        <v>400</v>
      </c>
      <c r="J225" s="72"/>
      <c r="K225" s="72"/>
      <c r="L225" s="71" t="s">
        <v>3105</v>
      </c>
      <c r="M225" s="75">
        <v>10.804693630112135</v>
      </c>
      <c r="N225" s="76">
        <v>5402.12646484375</v>
      </c>
      <c r="O225" s="76">
        <v>5155.62939453125</v>
      </c>
      <c r="P225" s="77"/>
      <c r="Q225" s="78"/>
      <c r="R225" s="78"/>
      <c r="S225" s="92"/>
      <c r="T225" s="49">
        <v>0</v>
      </c>
      <c r="U225" s="49">
        <v>1</v>
      </c>
      <c r="V225" s="50">
        <v>0</v>
      </c>
      <c r="W225" s="50">
        <v>0.052632</v>
      </c>
      <c r="X225" s="50">
        <v>0</v>
      </c>
      <c r="Y225" s="50">
        <v>0.490452</v>
      </c>
      <c r="Z225" s="50">
        <v>0</v>
      </c>
      <c r="AA225" s="50">
        <v>0</v>
      </c>
      <c r="AB225" s="73">
        <v>225</v>
      </c>
      <c r="AC225" s="73"/>
      <c r="AD225" s="74"/>
      <c r="AE225" s="81" t="s">
        <v>2137</v>
      </c>
      <c r="AF225" s="86" t="s">
        <v>2404</v>
      </c>
      <c r="AG225" s="81">
        <v>1610</v>
      </c>
      <c r="AH225" s="81">
        <v>72373</v>
      </c>
      <c r="AI225" s="81">
        <v>35286</v>
      </c>
      <c r="AJ225" s="81">
        <v>2620</v>
      </c>
      <c r="AK225" s="81"/>
      <c r="AL225" s="81" t="s">
        <v>2671</v>
      </c>
      <c r="AM225" s="81" t="s">
        <v>2854</v>
      </c>
      <c r="AN225" s="81"/>
      <c r="AO225" s="81"/>
      <c r="AP225" s="83">
        <v>39969.76693287037</v>
      </c>
      <c r="AQ225" s="88" t="str">
        <f>HYPERLINK("https://pbs.twimg.com/profile_banners/44957814/1556906819")</f>
        <v>https://pbs.twimg.com/profile_banners/44957814/1556906819</v>
      </c>
      <c r="AR225" s="81" t="b">
        <v>0</v>
      </c>
      <c r="AS225" s="81" t="b">
        <v>0</v>
      </c>
      <c r="AT225" s="81" t="b">
        <v>1</v>
      </c>
      <c r="AU225" s="81"/>
      <c r="AV225" s="81">
        <v>1539</v>
      </c>
      <c r="AW225" s="88" t="str">
        <f>HYPERLINK("https://abs.twimg.com/images/themes/theme1/bg.png")</f>
        <v>https://abs.twimg.com/images/themes/theme1/bg.png</v>
      </c>
      <c r="AX225" s="81" t="b">
        <v>1</v>
      </c>
      <c r="AY225" s="81" t="s">
        <v>2883</v>
      </c>
      <c r="AZ225" s="88" t="str">
        <f>HYPERLINK("https://twitter.com/ahrqnews")</f>
        <v>https://twitter.com/ahrqnews</v>
      </c>
      <c r="BA225" s="81" t="s">
        <v>66</v>
      </c>
      <c r="BB225" s="81" t="str">
        <f>REPLACE(INDEX(GroupVertices[Group],MATCH(Vertices[[#This Row],[Vertex]],GroupVertices[Vertex],0)),1,1,"")</f>
        <v>5</v>
      </c>
      <c r="BC225" s="49"/>
      <c r="BD225" s="49"/>
      <c r="BE225" s="49"/>
      <c r="BF225" s="49"/>
      <c r="BG225" s="49" t="s">
        <v>1092</v>
      </c>
      <c r="BH225" s="49" t="s">
        <v>1092</v>
      </c>
      <c r="BI225" s="113" t="s">
        <v>3783</v>
      </c>
      <c r="BJ225" s="113" t="s">
        <v>3783</v>
      </c>
      <c r="BK225" s="113" t="s">
        <v>3959</v>
      </c>
      <c r="BL225" s="113" t="s">
        <v>3959</v>
      </c>
      <c r="BM225" s="113">
        <v>0</v>
      </c>
      <c r="BN225" s="116">
        <v>0</v>
      </c>
      <c r="BO225" s="113">
        <v>3</v>
      </c>
      <c r="BP225" s="116">
        <v>8.823529411764707</v>
      </c>
      <c r="BQ225" s="113">
        <v>0</v>
      </c>
      <c r="BR225" s="116">
        <v>0</v>
      </c>
      <c r="BS225" s="113">
        <v>31</v>
      </c>
      <c r="BT225" s="116">
        <v>91.17647058823529</v>
      </c>
      <c r="BU225" s="113">
        <v>34</v>
      </c>
      <c r="BV225" s="2"/>
      <c r="BW225" s="3"/>
      <c r="BX225" s="3"/>
      <c r="BY225" s="3"/>
      <c r="BZ225" s="3"/>
    </row>
    <row r="226" spans="1:78" ht="41.45" customHeight="1">
      <c r="A226" s="66" t="s">
        <v>401</v>
      </c>
      <c r="C226" s="67"/>
      <c r="D226" s="67" t="s">
        <v>64</v>
      </c>
      <c r="E226" s="68">
        <v>162.16663629930255</v>
      </c>
      <c r="F226" s="70">
        <v>99.99964063494602</v>
      </c>
      <c r="G226" s="106" t="str">
        <f>HYPERLINK("https://pbs.twimg.com/profile_images/519431851262222336/h6lKyxxK_normal.jpeg")</f>
        <v>https://pbs.twimg.com/profile_images/519431851262222336/h6lKyxxK_normal.jpeg</v>
      </c>
      <c r="H226" s="67"/>
      <c r="I226" s="71" t="s">
        <v>401</v>
      </c>
      <c r="J226" s="72"/>
      <c r="K226" s="72"/>
      <c r="L226" s="71" t="s">
        <v>3106</v>
      </c>
      <c r="M226" s="75">
        <v>1.1197643936578572</v>
      </c>
      <c r="N226" s="76">
        <v>746.3868408203125</v>
      </c>
      <c r="O226" s="76">
        <v>5388.71533203125</v>
      </c>
      <c r="P226" s="77"/>
      <c r="Q226" s="78"/>
      <c r="R226" s="78"/>
      <c r="S226" s="92"/>
      <c r="T226" s="49">
        <v>1</v>
      </c>
      <c r="U226" s="49">
        <v>1</v>
      </c>
      <c r="V226" s="50">
        <v>0</v>
      </c>
      <c r="W226" s="50">
        <v>0</v>
      </c>
      <c r="X226" s="50">
        <v>0</v>
      </c>
      <c r="Y226" s="50">
        <v>0.999998</v>
      </c>
      <c r="Z226" s="50">
        <v>0</v>
      </c>
      <c r="AA226" s="50">
        <v>0</v>
      </c>
      <c r="AB226" s="73">
        <v>226</v>
      </c>
      <c r="AC226" s="73"/>
      <c r="AD226" s="74"/>
      <c r="AE226" s="81" t="s">
        <v>2138</v>
      </c>
      <c r="AF226" s="86" t="s">
        <v>2405</v>
      </c>
      <c r="AG226" s="81">
        <v>351</v>
      </c>
      <c r="AH226" s="81">
        <v>887</v>
      </c>
      <c r="AI226" s="81">
        <v>1065</v>
      </c>
      <c r="AJ226" s="81">
        <v>760</v>
      </c>
      <c r="AK226" s="81"/>
      <c r="AL226" s="81" t="s">
        <v>2672</v>
      </c>
      <c r="AM226" s="81" t="s">
        <v>2855</v>
      </c>
      <c r="AN226" s="88" t="str">
        <f>HYPERLINK("https://t.co/Lediqe52Uq")</f>
        <v>https://t.co/Lediqe52Uq</v>
      </c>
      <c r="AO226" s="81"/>
      <c r="AP226" s="83">
        <v>41919.42591435185</v>
      </c>
      <c r="AQ226" s="81"/>
      <c r="AR226" s="81" t="b">
        <v>0</v>
      </c>
      <c r="AS226" s="81" t="b">
        <v>0</v>
      </c>
      <c r="AT226" s="81" t="b">
        <v>1</v>
      </c>
      <c r="AU226" s="81"/>
      <c r="AV226" s="81">
        <v>15</v>
      </c>
      <c r="AW226" s="88" t="str">
        <f>HYPERLINK("https://abs.twimg.com/images/themes/theme2/bg.gif")</f>
        <v>https://abs.twimg.com/images/themes/theme2/bg.gif</v>
      </c>
      <c r="AX226" s="81" t="b">
        <v>0</v>
      </c>
      <c r="AY226" s="81" t="s">
        <v>2883</v>
      </c>
      <c r="AZ226" s="88" t="str">
        <f>HYPERLINK("https://twitter.com/efnbrussels")</f>
        <v>https://twitter.com/efnbrussels</v>
      </c>
      <c r="BA226" s="81" t="s">
        <v>66</v>
      </c>
      <c r="BB226" s="81" t="str">
        <f>REPLACE(INDEX(GroupVertices[Group],MATCH(Vertices[[#This Row],[Vertex]],GroupVertices[Vertex],0)),1,1,"")</f>
        <v>1</v>
      </c>
      <c r="BC226" s="49"/>
      <c r="BD226" s="49"/>
      <c r="BE226" s="49"/>
      <c r="BF226" s="49"/>
      <c r="BG226" s="49" t="s">
        <v>1093</v>
      </c>
      <c r="BH226" s="49" t="s">
        <v>1093</v>
      </c>
      <c r="BI226" s="113" t="s">
        <v>3784</v>
      </c>
      <c r="BJ226" s="113" t="s">
        <v>3784</v>
      </c>
      <c r="BK226" s="113" t="s">
        <v>3960</v>
      </c>
      <c r="BL226" s="113" t="s">
        <v>3960</v>
      </c>
      <c r="BM226" s="113">
        <v>2</v>
      </c>
      <c r="BN226" s="116">
        <v>6.896551724137931</v>
      </c>
      <c r="BO226" s="113">
        <v>3</v>
      </c>
      <c r="BP226" s="116">
        <v>10.344827586206897</v>
      </c>
      <c r="BQ226" s="113">
        <v>0</v>
      </c>
      <c r="BR226" s="116">
        <v>0</v>
      </c>
      <c r="BS226" s="113">
        <v>24</v>
      </c>
      <c r="BT226" s="116">
        <v>82.75862068965517</v>
      </c>
      <c r="BU226" s="113">
        <v>29</v>
      </c>
      <c r="BV226" s="2"/>
      <c r="BW226" s="3"/>
      <c r="BX226" s="3"/>
      <c r="BY226" s="3"/>
      <c r="BZ226" s="3"/>
    </row>
    <row r="227" spans="1:78" ht="41.45" customHeight="1">
      <c r="A227" s="66" t="s">
        <v>402</v>
      </c>
      <c r="C227" s="67"/>
      <c r="D227" s="67" t="s">
        <v>64</v>
      </c>
      <c r="E227" s="68">
        <v>163.07993140124915</v>
      </c>
      <c r="F227" s="70">
        <v>99.99767103801553</v>
      </c>
      <c r="G227" s="106" t="str">
        <f>HYPERLINK("https://pbs.twimg.com/profile_images/463404445007486977/99GC_dqf_normal.jpeg")</f>
        <v>https://pbs.twimg.com/profile_images/463404445007486977/99GC_dqf_normal.jpeg</v>
      </c>
      <c r="H227" s="67"/>
      <c r="I227" s="71" t="s">
        <v>402</v>
      </c>
      <c r="J227" s="72"/>
      <c r="K227" s="72"/>
      <c r="L227" s="71" t="s">
        <v>3107</v>
      </c>
      <c r="M227" s="75">
        <v>1.7761653973595748</v>
      </c>
      <c r="N227" s="76">
        <v>5907.3984375</v>
      </c>
      <c r="O227" s="76">
        <v>6388.63232421875</v>
      </c>
      <c r="P227" s="77"/>
      <c r="Q227" s="78"/>
      <c r="R227" s="78"/>
      <c r="S227" s="92"/>
      <c r="T227" s="49">
        <v>1</v>
      </c>
      <c r="U227" s="49">
        <v>2</v>
      </c>
      <c r="V227" s="50">
        <v>0</v>
      </c>
      <c r="W227" s="50">
        <v>0.052632</v>
      </c>
      <c r="X227" s="50">
        <v>0</v>
      </c>
      <c r="Y227" s="50">
        <v>0.852959</v>
      </c>
      <c r="Z227" s="50">
        <v>0</v>
      </c>
      <c r="AA227" s="50">
        <v>0</v>
      </c>
      <c r="AB227" s="73">
        <v>227</v>
      </c>
      <c r="AC227" s="73"/>
      <c r="AD227" s="74"/>
      <c r="AE227" s="81" t="s">
        <v>2139</v>
      </c>
      <c r="AF227" s="86" t="s">
        <v>2406</v>
      </c>
      <c r="AG227" s="81">
        <v>490</v>
      </c>
      <c r="AH227" s="81">
        <v>5732</v>
      </c>
      <c r="AI227" s="81">
        <v>3700</v>
      </c>
      <c r="AJ227" s="81">
        <v>1968</v>
      </c>
      <c r="AK227" s="81"/>
      <c r="AL227" s="81" t="s">
        <v>2673</v>
      </c>
      <c r="AM227" s="81" t="s">
        <v>2734</v>
      </c>
      <c r="AN227" s="88" t="str">
        <f>HYPERLINK("https://t.co/6ZxqrgoefK")</f>
        <v>https://t.co/6ZxqrgoefK</v>
      </c>
      <c r="AO227" s="81"/>
      <c r="AP227" s="83">
        <v>41263.71853009259</v>
      </c>
      <c r="AQ227" s="88" t="str">
        <f>HYPERLINK("https://pbs.twimg.com/profile_banners/1024647800/1408133996")</f>
        <v>https://pbs.twimg.com/profile_banners/1024647800/1408133996</v>
      </c>
      <c r="AR227" s="81" t="b">
        <v>0</v>
      </c>
      <c r="AS227" s="81" t="b">
        <v>0</v>
      </c>
      <c r="AT227" s="81" t="b">
        <v>1</v>
      </c>
      <c r="AU227" s="81"/>
      <c r="AV227" s="81">
        <v>183</v>
      </c>
      <c r="AW227" s="88" t="str">
        <f>HYPERLINK("https://abs.twimg.com/images/themes/theme15/bg.png")</f>
        <v>https://abs.twimg.com/images/themes/theme15/bg.png</v>
      </c>
      <c r="AX227" s="81" t="b">
        <v>1</v>
      </c>
      <c r="AY227" s="81" t="s">
        <v>2883</v>
      </c>
      <c r="AZ227" s="88" t="str">
        <f>HYPERLINK("https://twitter.com/drkhabbazcdc")</f>
        <v>https://twitter.com/drkhabbazcdc</v>
      </c>
      <c r="BA227" s="81" t="s">
        <v>66</v>
      </c>
      <c r="BB227" s="81" t="str">
        <f>REPLACE(INDEX(GroupVertices[Group],MATCH(Vertices[[#This Row],[Vertex]],GroupVertices[Vertex],0)),1,1,"")</f>
        <v>5</v>
      </c>
      <c r="BC227" s="49" t="s">
        <v>3584</v>
      </c>
      <c r="BD227" s="49" t="s">
        <v>3584</v>
      </c>
      <c r="BE227" s="49" t="s">
        <v>903</v>
      </c>
      <c r="BF227" s="49" t="s">
        <v>903</v>
      </c>
      <c r="BG227" s="49" t="s">
        <v>3635</v>
      </c>
      <c r="BH227" s="49" t="s">
        <v>3671</v>
      </c>
      <c r="BI227" s="113" t="s">
        <v>3785</v>
      </c>
      <c r="BJ227" s="113" t="s">
        <v>3847</v>
      </c>
      <c r="BK227" s="113" t="s">
        <v>3961</v>
      </c>
      <c r="BL227" s="113" t="s">
        <v>3961</v>
      </c>
      <c r="BM227" s="113">
        <v>2</v>
      </c>
      <c r="BN227" s="116">
        <v>1.8867924528301887</v>
      </c>
      <c r="BO227" s="113">
        <v>1</v>
      </c>
      <c r="BP227" s="116">
        <v>0.9433962264150944</v>
      </c>
      <c r="BQ227" s="113">
        <v>0</v>
      </c>
      <c r="BR227" s="116">
        <v>0</v>
      </c>
      <c r="BS227" s="113">
        <v>103</v>
      </c>
      <c r="BT227" s="116">
        <v>97.16981132075472</v>
      </c>
      <c r="BU227" s="113">
        <v>106</v>
      </c>
      <c r="BV227" s="2"/>
      <c r="BW227" s="3"/>
      <c r="BX227" s="3"/>
      <c r="BY227" s="3"/>
      <c r="BZ227" s="3"/>
    </row>
    <row r="228" spans="1:78" ht="41.45" customHeight="1">
      <c r="A228" s="66" t="s">
        <v>403</v>
      </c>
      <c r="C228" s="67"/>
      <c r="D228" s="67" t="s">
        <v>64</v>
      </c>
      <c r="E228" s="68">
        <v>162.03449597598683</v>
      </c>
      <c r="F228" s="70">
        <v>99.99992560655556</v>
      </c>
      <c r="G228" s="106" t="str">
        <f>HYPERLINK("https://pbs.twimg.com/profile_images/1158891494008393729/Gu9yRvLg_normal.jpg")</f>
        <v>https://pbs.twimg.com/profile_images/1158891494008393729/Gu9yRvLg_normal.jpg</v>
      </c>
      <c r="H228" s="67"/>
      <c r="I228" s="71" t="s">
        <v>403</v>
      </c>
      <c r="J228" s="72"/>
      <c r="K228" s="72"/>
      <c r="L228" s="71" t="s">
        <v>3108</v>
      </c>
      <c r="M228" s="75">
        <v>1.0247928552481764</v>
      </c>
      <c r="N228" s="76">
        <v>3482.93359375</v>
      </c>
      <c r="O228" s="76">
        <v>7724.00830078125</v>
      </c>
      <c r="P228" s="77"/>
      <c r="Q228" s="78"/>
      <c r="R228" s="78"/>
      <c r="S228" s="92"/>
      <c r="T228" s="49">
        <v>1</v>
      </c>
      <c r="U228" s="49">
        <v>1</v>
      </c>
      <c r="V228" s="50">
        <v>0</v>
      </c>
      <c r="W228" s="50">
        <v>0</v>
      </c>
      <c r="X228" s="50">
        <v>0</v>
      </c>
      <c r="Y228" s="50">
        <v>0.999998</v>
      </c>
      <c r="Z228" s="50">
        <v>0</v>
      </c>
      <c r="AA228" s="50">
        <v>0</v>
      </c>
      <c r="AB228" s="73">
        <v>228</v>
      </c>
      <c r="AC228" s="73"/>
      <c r="AD228" s="74"/>
      <c r="AE228" s="81" t="s">
        <v>2140</v>
      </c>
      <c r="AF228" s="86" t="s">
        <v>2407</v>
      </c>
      <c r="AG228" s="81">
        <v>170</v>
      </c>
      <c r="AH228" s="81">
        <v>186</v>
      </c>
      <c r="AI228" s="81">
        <v>523</v>
      </c>
      <c r="AJ228" s="81">
        <v>6755</v>
      </c>
      <c r="AK228" s="81"/>
      <c r="AL228" s="81" t="s">
        <v>2674</v>
      </c>
      <c r="AM228" s="81"/>
      <c r="AN228" s="81"/>
      <c r="AO228" s="81"/>
      <c r="AP228" s="83">
        <v>43683.65605324074</v>
      </c>
      <c r="AQ228" s="88" t="str">
        <f>HYPERLINK("https://pbs.twimg.com/profile_banners/1158765857016864768/1565136240")</f>
        <v>https://pbs.twimg.com/profile_banners/1158765857016864768/1565136240</v>
      </c>
      <c r="AR228" s="81" t="b">
        <v>1</v>
      </c>
      <c r="AS228" s="81" t="b">
        <v>0</v>
      </c>
      <c r="AT228" s="81" t="b">
        <v>0</v>
      </c>
      <c r="AU228" s="81"/>
      <c r="AV228" s="81">
        <v>0</v>
      </c>
      <c r="AW228" s="81"/>
      <c r="AX228" s="81" t="b">
        <v>0</v>
      </c>
      <c r="AY228" s="81" t="s">
        <v>2883</v>
      </c>
      <c r="AZ228" s="88" t="str">
        <f>HYPERLINK("https://twitter.com/dr_pbailey")</f>
        <v>https://twitter.com/dr_pbailey</v>
      </c>
      <c r="BA228" s="81" t="s">
        <v>66</v>
      </c>
      <c r="BB228" s="81" t="str">
        <f>REPLACE(INDEX(GroupVertices[Group],MATCH(Vertices[[#This Row],[Vertex]],GroupVertices[Vertex],0)),1,1,"")</f>
        <v>1</v>
      </c>
      <c r="BC228" s="49" t="s">
        <v>3585</v>
      </c>
      <c r="BD228" s="49" t="s">
        <v>3585</v>
      </c>
      <c r="BE228" s="49" t="s">
        <v>914</v>
      </c>
      <c r="BF228" s="49" t="s">
        <v>914</v>
      </c>
      <c r="BG228" s="49" t="s">
        <v>1097</v>
      </c>
      <c r="BH228" s="49" t="s">
        <v>1097</v>
      </c>
      <c r="BI228" s="113" t="s">
        <v>3786</v>
      </c>
      <c r="BJ228" s="113" t="s">
        <v>3786</v>
      </c>
      <c r="BK228" s="113" t="s">
        <v>3962</v>
      </c>
      <c r="BL228" s="113" t="s">
        <v>3962</v>
      </c>
      <c r="BM228" s="113">
        <v>0</v>
      </c>
      <c r="BN228" s="116">
        <v>0</v>
      </c>
      <c r="BO228" s="113">
        <v>0</v>
      </c>
      <c r="BP228" s="116">
        <v>0</v>
      </c>
      <c r="BQ228" s="113">
        <v>0</v>
      </c>
      <c r="BR228" s="116">
        <v>0</v>
      </c>
      <c r="BS228" s="113">
        <v>6</v>
      </c>
      <c r="BT228" s="116">
        <v>100</v>
      </c>
      <c r="BU228" s="113">
        <v>6</v>
      </c>
      <c r="BV228" s="2"/>
      <c r="BW228" s="3"/>
      <c r="BX228" s="3"/>
      <c r="BY228" s="3"/>
      <c r="BZ228" s="3"/>
    </row>
    <row r="229" spans="1:78" ht="41.45" customHeight="1">
      <c r="A229" s="66" t="s">
        <v>405</v>
      </c>
      <c r="C229" s="67"/>
      <c r="D229" s="67" t="s">
        <v>64</v>
      </c>
      <c r="E229" s="68">
        <v>162.16852132531275</v>
      </c>
      <c r="F229" s="70">
        <v>99.99963656973047</v>
      </c>
      <c r="G229" s="106" t="str">
        <f>HYPERLINK("https://pbs.twimg.com/profile_images/897142415022149633/g_Sr1N6K_normal.jpg")</f>
        <v>https://pbs.twimg.com/profile_images/897142415022149633/g_Sr1N6K_normal.jpg</v>
      </c>
      <c r="H229" s="67"/>
      <c r="I229" s="71" t="s">
        <v>405</v>
      </c>
      <c r="J229" s="72"/>
      <c r="K229" s="72"/>
      <c r="L229" s="71" t="s">
        <v>3109</v>
      </c>
      <c r="M229" s="75">
        <v>1.121119194491091</v>
      </c>
      <c r="N229" s="76">
        <v>1137.3221435546875</v>
      </c>
      <c r="O229" s="76">
        <v>5388.71533203125</v>
      </c>
      <c r="P229" s="77"/>
      <c r="Q229" s="78"/>
      <c r="R229" s="78"/>
      <c r="S229" s="92"/>
      <c r="T229" s="49">
        <v>1</v>
      </c>
      <c r="U229" s="49">
        <v>1</v>
      </c>
      <c r="V229" s="50">
        <v>0</v>
      </c>
      <c r="W229" s="50">
        <v>0</v>
      </c>
      <c r="X229" s="50">
        <v>0</v>
      </c>
      <c r="Y229" s="50">
        <v>0.999998</v>
      </c>
      <c r="Z229" s="50">
        <v>0</v>
      </c>
      <c r="AA229" s="50">
        <v>0</v>
      </c>
      <c r="AB229" s="73">
        <v>229</v>
      </c>
      <c r="AC229" s="73"/>
      <c r="AD229" s="74"/>
      <c r="AE229" s="81" t="s">
        <v>2141</v>
      </c>
      <c r="AF229" s="86" t="s">
        <v>2408</v>
      </c>
      <c r="AG229" s="81">
        <v>856</v>
      </c>
      <c r="AH229" s="81">
        <v>897</v>
      </c>
      <c r="AI229" s="81">
        <v>2919</v>
      </c>
      <c r="AJ229" s="81">
        <v>9130</v>
      </c>
      <c r="AK229" s="81"/>
      <c r="AL229" s="81" t="s">
        <v>2675</v>
      </c>
      <c r="AM229" s="81" t="s">
        <v>2856</v>
      </c>
      <c r="AN229" s="81"/>
      <c r="AO229" s="81"/>
      <c r="AP229" s="83">
        <v>41994.666655092595</v>
      </c>
      <c r="AQ229" s="88" t="str">
        <f>HYPERLINK("https://pbs.twimg.com/profile_banners/2938408880/1469193345")</f>
        <v>https://pbs.twimg.com/profile_banners/2938408880/1469193345</v>
      </c>
      <c r="AR229" s="81" t="b">
        <v>0</v>
      </c>
      <c r="AS229" s="81" t="b">
        <v>0</v>
      </c>
      <c r="AT229" s="81" t="b">
        <v>0</v>
      </c>
      <c r="AU229" s="81"/>
      <c r="AV229" s="81">
        <v>20</v>
      </c>
      <c r="AW229" s="88" t="str">
        <f>HYPERLINK("https://abs.twimg.com/images/themes/theme1/bg.png")</f>
        <v>https://abs.twimg.com/images/themes/theme1/bg.png</v>
      </c>
      <c r="AX229" s="81" t="b">
        <v>0</v>
      </c>
      <c r="AY229" s="81" t="s">
        <v>2883</v>
      </c>
      <c r="AZ229" s="88" t="str">
        <f>HYPERLINK("https://twitter.com/brettbarrettrph")</f>
        <v>https://twitter.com/brettbarrettrph</v>
      </c>
      <c r="BA229" s="81" t="s">
        <v>66</v>
      </c>
      <c r="BB229" s="81" t="str">
        <f>REPLACE(INDEX(GroupVertices[Group],MATCH(Vertices[[#This Row],[Vertex]],GroupVertices[Vertex],0)),1,1,"")</f>
        <v>1</v>
      </c>
      <c r="BC229" s="49" t="s">
        <v>3586</v>
      </c>
      <c r="BD229" s="49" t="s">
        <v>3586</v>
      </c>
      <c r="BE229" s="49" t="s">
        <v>914</v>
      </c>
      <c r="BF229" s="49" t="s">
        <v>914</v>
      </c>
      <c r="BG229" s="49" t="s">
        <v>1099</v>
      </c>
      <c r="BH229" s="49" t="s">
        <v>1099</v>
      </c>
      <c r="BI229" s="113" t="s">
        <v>3787</v>
      </c>
      <c r="BJ229" s="113" t="s">
        <v>3787</v>
      </c>
      <c r="BK229" s="113" t="s">
        <v>3963</v>
      </c>
      <c r="BL229" s="113" t="s">
        <v>3963</v>
      </c>
      <c r="BM229" s="113">
        <v>2</v>
      </c>
      <c r="BN229" s="116">
        <v>8.333333333333334</v>
      </c>
      <c r="BO229" s="113">
        <v>1</v>
      </c>
      <c r="BP229" s="116">
        <v>4.166666666666667</v>
      </c>
      <c r="BQ229" s="113">
        <v>0</v>
      </c>
      <c r="BR229" s="116">
        <v>0</v>
      </c>
      <c r="BS229" s="113">
        <v>21</v>
      </c>
      <c r="BT229" s="116">
        <v>87.5</v>
      </c>
      <c r="BU229" s="113">
        <v>24</v>
      </c>
      <c r="BV229" s="2"/>
      <c r="BW229" s="3"/>
      <c r="BX229" s="3"/>
      <c r="BY229" s="3"/>
      <c r="BZ229" s="3"/>
    </row>
    <row r="230" spans="1:78" ht="41.45" customHeight="1">
      <c r="A230" s="66" t="s">
        <v>406</v>
      </c>
      <c r="C230" s="67"/>
      <c r="D230" s="67" t="s">
        <v>64</v>
      </c>
      <c r="E230" s="68">
        <v>162.06295986874102</v>
      </c>
      <c r="F230" s="70">
        <v>99.99986422180088</v>
      </c>
      <c r="G230" s="106" t="str">
        <f>HYPERLINK("https://pbs.twimg.com/profile_images/811964677110558720/mR13Lfus_normal.jpg")</f>
        <v>https://pbs.twimg.com/profile_images/811964677110558720/mR13Lfus_normal.jpg</v>
      </c>
      <c r="H230" s="67"/>
      <c r="I230" s="71" t="s">
        <v>406</v>
      </c>
      <c r="J230" s="72"/>
      <c r="K230" s="72"/>
      <c r="L230" s="71" t="s">
        <v>3110</v>
      </c>
      <c r="M230" s="75">
        <v>1.0452503478300048</v>
      </c>
      <c r="N230" s="76">
        <v>3873.869140625</v>
      </c>
      <c r="O230" s="76">
        <v>6945.5771484375</v>
      </c>
      <c r="P230" s="77"/>
      <c r="Q230" s="78"/>
      <c r="R230" s="78"/>
      <c r="S230" s="92"/>
      <c r="T230" s="49">
        <v>1</v>
      </c>
      <c r="U230" s="49">
        <v>1</v>
      </c>
      <c r="V230" s="50">
        <v>0</v>
      </c>
      <c r="W230" s="50">
        <v>0</v>
      </c>
      <c r="X230" s="50">
        <v>0</v>
      </c>
      <c r="Y230" s="50">
        <v>0.999998</v>
      </c>
      <c r="Z230" s="50">
        <v>0</v>
      </c>
      <c r="AA230" s="50">
        <v>0</v>
      </c>
      <c r="AB230" s="73">
        <v>230</v>
      </c>
      <c r="AC230" s="73"/>
      <c r="AD230" s="74"/>
      <c r="AE230" s="81" t="s">
        <v>2142</v>
      </c>
      <c r="AF230" s="86" t="s">
        <v>2409</v>
      </c>
      <c r="AG230" s="81">
        <v>122</v>
      </c>
      <c r="AH230" s="81">
        <v>337</v>
      </c>
      <c r="AI230" s="81">
        <v>297</v>
      </c>
      <c r="AJ230" s="81">
        <v>204</v>
      </c>
      <c r="AK230" s="81"/>
      <c r="AL230" s="81" t="s">
        <v>2676</v>
      </c>
      <c r="AM230" s="81" t="s">
        <v>2857</v>
      </c>
      <c r="AN230" s="88" t="str">
        <f>HYPERLINK("https://t.co/kfN9kvTMzD")</f>
        <v>https://t.co/kfN9kvTMzD</v>
      </c>
      <c r="AO230" s="81"/>
      <c r="AP230" s="83">
        <v>42724.89512731481</v>
      </c>
      <c r="AQ230" s="88" t="str">
        <f>HYPERLINK("https://pbs.twimg.com/profile_banners/811322528329306112/1483645979")</f>
        <v>https://pbs.twimg.com/profile_banners/811322528329306112/1483645979</v>
      </c>
      <c r="AR230" s="81" t="b">
        <v>1</v>
      </c>
      <c r="AS230" s="81" t="b">
        <v>0</v>
      </c>
      <c r="AT230" s="81" t="b">
        <v>0</v>
      </c>
      <c r="AU230" s="81"/>
      <c r="AV230" s="81">
        <v>1</v>
      </c>
      <c r="AW230" s="81"/>
      <c r="AX230" s="81" t="b">
        <v>0</v>
      </c>
      <c r="AY230" s="81" t="s">
        <v>2883</v>
      </c>
      <c r="AZ230" s="88" t="str">
        <f>HYPERLINK("https://twitter.com/asc_scarolina")</f>
        <v>https://twitter.com/asc_scarolina</v>
      </c>
      <c r="BA230" s="81" t="s">
        <v>66</v>
      </c>
      <c r="BB230" s="81" t="str">
        <f>REPLACE(INDEX(GroupVertices[Group],MATCH(Vertices[[#This Row],[Vertex]],GroupVertices[Vertex],0)),1,1,"")</f>
        <v>1</v>
      </c>
      <c r="BC230" s="49"/>
      <c r="BD230" s="49"/>
      <c r="BE230" s="49"/>
      <c r="BF230" s="49"/>
      <c r="BG230" s="49" t="s">
        <v>1100</v>
      </c>
      <c r="BH230" s="49" t="s">
        <v>1100</v>
      </c>
      <c r="BI230" s="113" t="s">
        <v>3788</v>
      </c>
      <c r="BJ230" s="113" t="s">
        <v>3788</v>
      </c>
      <c r="BK230" s="113" t="s">
        <v>3964</v>
      </c>
      <c r="BL230" s="113" t="s">
        <v>3964</v>
      </c>
      <c r="BM230" s="113">
        <v>0</v>
      </c>
      <c r="BN230" s="116">
        <v>0</v>
      </c>
      <c r="BO230" s="113">
        <v>2</v>
      </c>
      <c r="BP230" s="116">
        <v>7.142857142857143</v>
      </c>
      <c r="BQ230" s="113">
        <v>0</v>
      </c>
      <c r="BR230" s="116">
        <v>0</v>
      </c>
      <c r="BS230" s="113">
        <v>26</v>
      </c>
      <c r="BT230" s="116">
        <v>92.85714285714286</v>
      </c>
      <c r="BU230" s="113">
        <v>28</v>
      </c>
      <c r="BV230" s="2"/>
      <c r="BW230" s="3"/>
      <c r="BX230" s="3"/>
      <c r="BY230" s="3"/>
      <c r="BZ230" s="3"/>
    </row>
    <row r="231" spans="1:78" ht="41.45" customHeight="1">
      <c r="A231" s="66" t="s">
        <v>407</v>
      </c>
      <c r="C231" s="67"/>
      <c r="D231" s="67" t="s">
        <v>64</v>
      </c>
      <c r="E231" s="68">
        <v>164.24977854318533</v>
      </c>
      <c r="F231" s="70">
        <v>99.99514816524966</v>
      </c>
      <c r="G231" s="106" t="str">
        <f>HYPERLINK("https://pbs.twimg.com/profile_images/826441654311780352/KvMZQP82_normal.jpg")</f>
        <v>https://pbs.twimg.com/profile_images/826441654311780352/KvMZQP82_normal.jpg</v>
      </c>
      <c r="H231" s="67"/>
      <c r="I231" s="71" t="s">
        <v>407</v>
      </c>
      <c r="J231" s="72"/>
      <c r="K231" s="72"/>
      <c r="L231" s="71" t="s">
        <v>3111</v>
      </c>
      <c r="M231" s="75">
        <v>2.6169547944643963</v>
      </c>
      <c r="N231" s="76">
        <v>1919.192626953125</v>
      </c>
      <c r="O231" s="76">
        <v>2274.99169921875</v>
      </c>
      <c r="P231" s="77"/>
      <c r="Q231" s="78"/>
      <c r="R231" s="78"/>
      <c r="S231" s="92"/>
      <c r="T231" s="49">
        <v>1</v>
      </c>
      <c r="U231" s="49">
        <v>1</v>
      </c>
      <c r="V231" s="50">
        <v>0</v>
      </c>
      <c r="W231" s="50">
        <v>0</v>
      </c>
      <c r="X231" s="50">
        <v>0</v>
      </c>
      <c r="Y231" s="50">
        <v>0.999998</v>
      </c>
      <c r="Z231" s="50">
        <v>0</v>
      </c>
      <c r="AA231" s="50">
        <v>0</v>
      </c>
      <c r="AB231" s="73">
        <v>231</v>
      </c>
      <c r="AC231" s="73"/>
      <c r="AD231" s="74"/>
      <c r="AE231" s="81" t="s">
        <v>2143</v>
      </c>
      <c r="AF231" s="86" t="s">
        <v>2410</v>
      </c>
      <c r="AG231" s="81">
        <v>904</v>
      </c>
      <c r="AH231" s="81">
        <v>11938</v>
      </c>
      <c r="AI231" s="81">
        <v>17271</v>
      </c>
      <c r="AJ231" s="81">
        <v>3185</v>
      </c>
      <c r="AK231" s="81"/>
      <c r="AL231" s="81" t="s">
        <v>2677</v>
      </c>
      <c r="AM231" s="81" t="s">
        <v>2858</v>
      </c>
      <c r="AN231" s="88" t="str">
        <f>HYPERLINK("https://t.co/CiE5ycBo5H")</f>
        <v>https://t.co/CiE5ycBo5H</v>
      </c>
      <c r="AO231" s="81"/>
      <c r="AP231" s="83">
        <v>39871.4600462963</v>
      </c>
      <c r="AQ231" s="88" t="str">
        <f>HYPERLINK("https://pbs.twimg.com/profile_banners/22129041/1625758102")</f>
        <v>https://pbs.twimg.com/profile_banners/22129041/1625758102</v>
      </c>
      <c r="AR231" s="81" t="b">
        <v>0</v>
      </c>
      <c r="AS231" s="81" t="b">
        <v>0</v>
      </c>
      <c r="AT231" s="81" t="b">
        <v>1</v>
      </c>
      <c r="AU231" s="81"/>
      <c r="AV231" s="81">
        <v>323</v>
      </c>
      <c r="AW231" s="88" t="str">
        <f>HYPERLINK("https://abs.twimg.com/images/themes/theme1/bg.png")</f>
        <v>https://abs.twimg.com/images/themes/theme1/bg.png</v>
      </c>
      <c r="AX231" s="81" t="b">
        <v>1</v>
      </c>
      <c r="AY231" s="81" t="s">
        <v>2883</v>
      </c>
      <c r="AZ231" s="88" t="str">
        <f>HYPERLINK("https://twitter.com/cambspboroccg")</f>
        <v>https://twitter.com/cambspboroccg</v>
      </c>
      <c r="BA231" s="81" t="s">
        <v>66</v>
      </c>
      <c r="BB231" s="81" t="str">
        <f>REPLACE(INDEX(GroupVertices[Group],MATCH(Vertices[[#This Row],[Vertex]],GroupVertices[Vertex],0)),1,1,"")</f>
        <v>1</v>
      </c>
      <c r="BC231" s="49"/>
      <c r="BD231" s="49"/>
      <c r="BE231" s="49"/>
      <c r="BF231" s="49"/>
      <c r="BG231" s="49" t="s">
        <v>961</v>
      </c>
      <c r="BH231" s="49" t="s">
        <v>961</v>
      </c>
      <c r="BI231" s="113" t="s">
        <v>3689</v>
      </c>
      <c r="BJ231" s="113" t="s">
        <v>3689</v>
      </c>
      <c r="BK231" s="113" t="s">
        <v>3866</v>
      </c>
      <c r="BL231" s="113" t="s">
        <v>3866</v>
      </c>
      <c r="BM231" s="113">
        <v>0</v>
      </c>
      <c r="BN231" s="116">
        <v>0</v>
      </c>
      <c r="BO231" s="113">
        <v>2</v>
      </c>
      <c r="BP231" s="116">
        <v>6.0606060606060606</v>
      </c>
      <c r="BQ231" s="113">
        <v>0</v>
      </c>
      <c r="BR231" s="116">
        <v>0</v>
      </c>
      <c r="BS231" s="113">
        <v>31</v>
      </c>
      <c r="BT231" s="116">
        <v>93.93939393939394</v>
      </c>
      <c r="BU231" s="113">
        <v>33</v>
      </c>
      <c r="BV231" s="2"/>
      <c r="BW231" s="3"/>
      <c r="BX231" s="3"/>
      <c r="BY231" s="3"/>
      <c r="BZ231" s="3"/>
    </row>
    <row r="232" spans="1:78" ht="41.45" customHeight="1">
      <c r="A232" s="66" t="s">
        <v>513</v>
      </c>
      <c r="C232" s="67"/>
      <c r="D232" s="67" t="s">
        <v>64</v>
      </c>
      <c r="E232" s="68">
        <v>162.0906697510911</v>
      </c>
      <c r="F232" s="70">
        <v>99.99980446313239</v>
      </c>
      <c r="G232" s="106" t="str">
        <f>HYPERLINK("https://pbs.twimg.com/profile_images/668929954160238597/76D-xbH0_normal.jpg")</f>
        <v>https://pbs.twimg.com/profile_images/668929954160238597/76D-xbH0_normal.jpg</v>
      </c>
      <c r="H232" s="67"/>
      <c r="I232" s="71" t="s">
        <v>513</v>
      </c>
      <c r="J232" s="72"/>
      <c r="K232" s="72"/>
      <c r="L232" s="71" t="s">
        <v>3112</v>
      </c>
      <c r="M232" s="75">
        <v>1.06516592007854</v>
      </c>
      <c r="N232" s="76">
        <v>5402.12646484375</v>
      </c>
      <c r="O232" s="76">
        <v>1484.781982421875</v>
      </c>
      <c r="P232" s="77"/>
      <c r="Q232" s="78"/>
      <c r="R232" s="78"/>
      <c r="S232" s="92"/>
      <c r="T232" s="49">
        <v>1</v>
      </c>
      <c r="U232" s="49">
        <v>0</v>
      </c>
      <c r="V232" s="50">
        <v>0</v>
      </c>
      <c r="W232" s="50">
        <v>0.004444</v>
      </c>
      <c r="X232" s="50">
        <v>0.00582</v>
      </c>
      <c r="Y232" s="50">
        <v>0.498299</v>
      </c>
      <c r="Z232" s="50">
        <v>0</v>
      </c>
      <c r="AA232" s="50">
        <v>0</v>
      </c>
      <c r="AB232" s="73">
        <v>232</v>
      </c>
      <c r="AC232" s="73"/>
      <c r="AD232" s="74"/>
      <c r="AE232" s="81" t="s">
        <v>2144</v>
      </c>
      <c r="AF232" s="86" t="s">
        <v>2411</v>
      </c>
      <c r="AG232" s="81">
        <v>1155</v>
      </c>
      <c r="AH232" s="81">
        <v>484</v>
      </c>
      <c r="AI232" s="81">
        <v>391</v>
      </c>
      <c r="AJ232" s="81">
        <v>1260</v>
      </c>
      <c r="AK232" s="81"/>
      <c r="AL232" s="81" t="s">
        <v>2678</v>
      </c>
      <c r="AM232" s="81" t="s">
        <v>2804</v>
      </c>
      <c r="AN232" s="81"/>
      <c r="AO232" s="81"/>
      <c r="AP232" s="83">
        <v>41846.89226851852</v>
      </c>
      <c r="AQ232" s="88" t="str">
        <f>HYPERLINK("https://pbs.twimg.com/profile_banners/2725661872/1448320345")</f>
        <v>https://pbs.twimg.com/profile_banners/2725661872/1448320345</v>
      </c>
      <c r="AR232" s="81" t="b">
        <v>1</v>
      </c>
      <c r="AS232" s="81" t="b">
        <v>0</v>
      </c>
      <c r="AT232" s="81" t="b">
        <v>1</v>
      </c>
      <c r="AU232" s="81"/>
      <c r="AV232" s="81">
        <v>1</v>
      </c>
      <c r="AW232" s="88" t="str">
        <f>HYPERLINK("https://abs.twimg.com/images/themes/theme1/bg.png")</f>
        <v>https://abs.twimg.com/images/themes/theme1/bg.png</v>
      </c>
      <c r="AX232" s="81" t="b">
        <v>0</v>
      </c>
      <c r="AY232" s="81" t="s">
        <v>2883</v>
      </c>
      <c r="AZ232" s="88" t="str">
        <f>HYPERLINK("https://twitter.com/gone_grayer")</f>
        <v>https://twitter.com/gone_grayer</v>
      </c>
      <c r="BA232" s="81" t="s">
        <v>65</v>
      </c>
      <c r="BB232" s="81" t="str">
        <f>REPLACE(INDEX(GroupVertices[Group],MATCH(Vertices[[#This Row],[Vertex]],GroupVertices[Vertex],0)),1,1,"")</f>
        <v>6</v>
      </c>
      <c r="BC232" s="49"/>
      <c r="BD232" s="49"/>
      <c r="BE232" s="49"/>
      <c r="BF232" s="49"/>
      <c r="BG232" s="49"/>
      <c r="BH232" s="49"/>
      <c r="BI232" s="49"/>
      <c r="BJ232" s="49"/>
      <c r="BK232" s="49"/>
      <c r="BL232" s="49"/>
      <c r="BM232" s="49"/>
      <c r="BN232" s="50"/>
      <c r="BO232" s="49"/>
      <c r="BP232" s="50"/>
      <c r="BQ232" s="49"/>
      <c r="BR232" s="50"/>
      <c r="BS232" s="49"/>
      <c r="BT232" s="50"/>
      <c r="BU232" s="49"/>
      <c r="BV232" s="2"/>
      <c r="BW232" s="3"/>
      <c r="BX232" s="3"/>
      <c r="BY232" s="3"/>
      <c r="BZ232" s="3"/>
    </row>
    <row r="233" spans="1:78" ht="41.45" customHeight="1">
      <c r="A233" s="66" t="s">
        <v>514</v>
      </c>
      <c r="C233" s="67"/>
      <c r="D233" s="67" t="s">
        <v>64</v>
      </c>
      <c r="E233" s="68">
        <v>162.04524062424503</v>
      </c>
      <c r="F233" s="70">
        <v>99.99990243482698</v>
      </c>
      <c r="G233" s="106" t="str">
        <f>HYPERLINK("https://pbs.twimg.com/profile_images/1047910625626734598/ZkgGxKew_normal.jpg")</f>
        <v>https://pbs.twimg.com/profile_images/1047910625626734598/ZkgGxKew_normal.jpg</v>
      </c>
      <c r="H233" s="67"/>
      <c r="I233" s="71" t="s">
        <v>514</v>
      </c>
      <c r="J233" s="72"/>
      <c r="K233" s="72"/>
      <c r="L233" s="71" t="s">
        <v>3113</v>
      </c>
      <c r="M233" s="75">
        <v>1.0325152199976082</v>
      </c>
      <c r="N233" s="76">
        <v>5894.1123046875</v>
      </c>
      <c r="O233" s="76">
        <v>328.9144592285156</v>
      </c>
      <c r="P233" s="77"/>
      <c r="Q233" s="78"/>
      <c r="R233" s="78"/>
      <c r="S233" s="92"/>
      <c r="T233" s="49">
        <v>1</v>
      </c>
      <c r="U233" s="49">
        <v>0</v>
      </c>
      <c r="V233" s="50">
        <v>0</v>
      </c>
      <c r="W233" s="50">
        <v>0.004444</v>
      </c>
      <c r="X233" s="50">
        <v>0.00582</v>
      </c>
      <c r="Y233" s="50">
        <v>0.498299</v>
      </c>
      <c r="Z233" s="50">
        <v>0</v>
      </c>
      <c r="AA233" s="50">
        <v>0</v>
      </c>
      <c r="AB233" s="73">
        <v>233</v>
      </c>
      <c r="AC233" s="73"/>
      <c r="AD233" s="74"/>
      <c r="AE233" s="81" t="s">
        <v>2145</v>
      </c>
      <c r="AF233" s="86" t="s">
        <v>2412</v>
      </c>
      <c r="AG233" s="81">
        <v>488</v>
      </c>
      <c r="AH233" s="81">
        <v>243</v>
      </c>
      <c r="AI233" s="81">
        <v>444</v>
      </c>
      <c r="AJ233" s="81">
        <v>1816</v>
      </c>
      <c r="AK233" s="81"/>
      <c r="AL233" s="81" t="s">
        <v>2679</v>
      </c>
      <c r="AM233" s="81" t="s">
        <v>2817</v>
      </c>
      <c r="AN233" s="81"/>
      <c r="AO233" s="81"/>
      <c r="AP233" s="83">
        <v>43376.58577546296</v>
      </c>
      <c r="AQ233" s="88" t="str">
        <f>HYPERLINK("https://pbs.twimg.com/profile_banners/1047487311540310016/1560714860")</f>
        <v>https://pbs.twimg.com/profile_banners/1047487311540310016/1560714860</v>
      </c>
      <c r="AR233" s="81" t="b">
        <v>1</v>
      </c>
      <c r="AS233" s="81" t="b">
        <v>0</v>
      </c>
      <c r="AT233" s="81" t="b">
        <v>0</v>
      </c>
      <c r="AU233" s="81"/>
      <c r="AV233" s="81">
        <v>0</v>
      </c>
      <c r="AW233" s="81"/>
      <c r="AX233" s="81" t="b">
        <v>0</v>
      </c>
      <c r="AY233" s="81" t="s">
        <v>2883</v>
      </c>
      <c r="AZ233" s="88" t="str">
        <f>HYPERLINK("https://twitter.com/dodgson_kj")</f>
        <v>https://twitter.com/dodgson_kj</v>
      </c>
      <c r="BA233" s="81" t="s">
        <v>65</v>
      </c>
      <c r="BB233" s="81" t="str">
        <f>REPLACE(INDEX(GroupVertices[Group],MATCH(Vertices[[#This Row],[Vertex]],GroupVertices[Vertex],0)),1,1,"")</f>
        <v>6</v>
      </c>
      <c r="BC233" s="49"/>
      <c r="BD233" s="49"/>
      <c r="BE233" s="49"/>
      <c r="BF233" s="49"/>
      <c r="BG233" s="49"/>
      <c r="BH233" s="49"/>
      <c r="BI233" s="49"/>
      <c r="BJ233" s="49"/>
      <c r="BK233" s="49"/>
      <c r="BL233" s="49"/>
      <c r="BM233" s="49"/>
      <c r="BN233" s="50"/>
      <c r="BO233" s="49"/>
      <c r="BP233" s="50"/>
      <c r="BQ233" s="49"/>
      <c r="BR233" s="50"/>
      <c r="BS233" s="49"/>
      <c r="BT233" s="50"/>
      <c r="BU233" s="49"/>
      <c r="BV233" s="2"/>
      <c r="BW233" s="3"/>
      <c r="BX233" s="3"/>
      <c r="BY233" s="3"/>
      <c r="BZ233" s="3"/>
    </row>
    <row r="234" spans="1:78" ht="41.45" customHeight="1">
      <c r="A234" s="66" t="s">
        <v>515</v>
      </c>
      <c r="C234" s="67"/>
      <c r="D234" s="67" t="s">
        <v>64</v>
      </c>
      <c r="E234" s="68">
        <v>162.19133014003629</v>
      </c>
      <c r="F234" s="70">
        <v>99.9995873806224</v>
      </c>
      <c r="G234" s="106" t="str">
        <f>HYPERLINK("https://pbs.twimg.com/profile_images/660588291255832576/YKCyHStE_normal.png")</f>
        <v>https://pbs.twimg.com/profile_images/660588291255832576/YKCyHStE_normal.png</v>
      </c>
      <c r="H234" s="67"/>
      <c r="I234" s="71" t="s">
        <v>515</v>
      </c>
      <c r="J234" s="72"/>
      <c r="K234" s="72"/>
      <c r="L234" s="71" t="s">
        <v>3114</v>
      </c>
      <c r="M234" s="75">
        <v>1.1375122845732184</v>
      </c>
      <c r="N234" s="76">
        <v>6255.37451171875</v>
      </c>
      <c r="O234" s="76">
        <v>1903.037109375</v>
      </c>
      <c r="P234" s="77"/>
      <c r="Q234" s="78"/>
      <c r="R234" s="78"/>
      <c r="S234" s="92"/>
      <c r="T234" s="49">
        <v>1</v>
      </c>
      <c r="U234" s="49">
        <v>0</v>
      </c>
      <c r="V234" s="50">
        <v>0</v>
      </c>
      <c r="W234" s="50">
        <v>0.004444</v>
      </c>
      <c r="X234" s="50">
        <v>0.00582</v>
      </c>
      <c r="Y234" s="50">
        <v>0.498299</v>
      </c>
      <c r="Z234" s="50">
        <v>0</v>
      </c>
      <c r="AA234" s="50">
        <v>0</v>
      </c>
      <c r="AB234" s="73">
        <v>234</v>
      </c>
      <c r="AC234" s="73"/>
      <c r="AD234" s="74"/>
      <c r="AE234" s="81" t="s">
        <v>2146</v>
      </c>
      <c r="AF234" s="86" t="s">
        <v>2413</v>
      </c>
      <c r="AG234" s="81">
        <v>409</v>
      </c>
      <c r="AH234" s="81">
        <v>1018</v>
      </c>
      <c r="AI234" s="81">
        <v>2920</v>
      </c>
      <c r="AJ234" s="81">
        <v>2381</v>
      </c>
      <c r="AK234" s="81"/>
      <c r="AL234" s="81" t="s">
        <v>2680</v>
      </c>
      <c r="AM234" s="81" t="s">
        <v>2859</v>
      </c>
      <c r="AN234" s="88" t="str">
        <f>HYPERLINK("https://t.co/jNfiXsNAE5")</f>
        <v>https://t.co/jNfiXsNAE5</v>
      </c>
      <c r="AO234" s="81"/>
      <c r="AP234" s="83">
        <v>40624.85074074074</v>
      </c>
      <c r="AQ234" s="88" t="str">
        <f>HYPERLINK("https://pbs.twimg.com/profile_banners/270543051/1631117339")</f>
        <v>https://pbs.twimg.com/profile_banners/270543051/1631117339</v>
      </c>
      <c r="AR234" s="81" t="b">
        <v>0</v>
      </c>
      <c r="AS234" s="81" t="b">
        <v>0</v>
      </c>
      <c r="AT234" s="81" t="b">
        <v>1</v>
      </c>
      <c r="AU234" s="81"/>
      <c r="AV234" s="81">
        <v>19</v>
      </c>
      <c r="AW234" s="88" t="str">
        <f>HYPERLINK("https://abs.twimg.com/images/themes/theme1/bg.png")</f>
        <v>https://abs.twimg.com/images/themes/theme1/bg.png</v>
      </c>
      <c r="AX234" s="81" t="b">
        <v>0</v>
      </c>
      <c r="AY234" s="81" t="s">
        <v>2883</v>
      </c>
      <c r="AZ234" s="88" t="str">
        <f>HYPERLINK("https://twitter.com/nhctpharmacy")</f>
        <v>https://twitter.com/nhctpharmacy</v>
      </c>
      <c r="BA234" s="81" t="s">
        <v>65</v>
      </c>
      <c r="BB234" s="81" t="str">
        <f>REPLACE(INDEX(GroupVertices[Group],MATCH(Vertices[[#This Row],[Vertex]],GroupVertices[Vertex],0)),1,1,"")</f>
        <v>6</v>
      </c>
      <c r="BC234" s="49"/>
      <c r="BD234" s="49"/>
      <c r="BE234" s="49"/>
      <c r="BF234" s="49"/>
      <c r="BG234" s="49"/>
      <c r="BH234" s="49"/>
      <c r="BI234" s="49"/>
      <c r="BJ234" s="49"/>
      <c r="BK234" s="49"/>
      <c r="BL234" s="49"/>
      <c r="BM234" s="49"/>
      <c r="BN234" s="50"/>
      <c r="BO234" s="49"/>
      <c r="BP234" s="50"/>
      <c r="BQ234" s="49"/>
      <c r="BR234" s="50"/>
      <c r="BS234" s="49"/>
      <c r="BT234" s="50"/>
      <c r="BU234" s="49"/>
      <c r="BV234" s="2"/>
      <c r="BW234" s="3"/>
      <c r="BX234" s="3"/>
      <c r="BY234" s="3"/>
      <c r="BZ234" s="3"/>
    </row>
    <row r="235" spans="1:78" ht="41.45" customHeight="1">
      <c r="A235" s="66" t="s">
        <v>516</v>
      </c>
      <c r="C235" s="67"/>
      <c r="D235" s="67" t="s">
        <v>64</v>
      </c>
      <c r="E235" s="68">
        <v>162.2399638110997</v>
      </c>
      <c r="F235" s="70">
        <v>99.9994824980614</v>
      </c>
      <c r="G235" s="106" t="str">
        <f>HYPERLINK("https://pbs.twimg.com/profile_images/2304761853/r4gpd2lkhw4wfxwsqr0i_normal.jpeg")</f>
        <v>https://pbs.twimg.com/profile_images/2304761853/r4gpd2lkhw4wfxwsqr0i_normal.jpeg</v>
      </c>
      <c r="H235" s="67"/>
      <c r="I235" s="71" t="s">
        <v>516</v>
      </c>
      <c r="J235" s="72"/>
      <c r="K235" s="72"/>
      <c r="L235" s="71" t="s">
        <v>3115</v>
      </c>
      <c r="M235" s="75">
        <v>1.1724661460706474</v>
      </c>
      <c r="N235" s="76">
        <v>5573.30126953125</v>
      </c>
      <c r="O235" s="76">
        <v>580.8527221679688</v>
      </c>
      <c r="P235" s="77"/>
      <c r="Q235" s="78"/>
      <c r="R235" s="78"/>
      <c r="S235" s="92"/>
      <c r="T235" s="49">
        <v>1</v>
      </c>
      <c r="U235" s="49">
        <v>0</v>
      </c>
      <c r="V235" s="50">
        <v>0</v>
      </c>
      <c r="W235" s="50">
        <v>0.004444</v>
      </c>
      <c r="X235" s="50">
        <v>0.00582</v>
      </c>
      <c r="Y235" s="50">
        <v>0.498299</v>
      </c>
      <c r="Z235" s="50">
        <v>0</v>
      </c>
      <c r="AA235" s="50">
        <v>0</v>
      </c>
      <c r="AB235" s="73">
        <v>235</v>
      </c>
      <c r="AC235" s="73"/>
      <c r="AD235" s="74"/>
      <c r="AE235" s="81" t="s">
        <v>2147</v>
      </c>
      <c r="AF235" s="86" t="s">
        <v>2414</v>
      </c>
      <c r="AG235" s="81">
        <v>315</v>
      </c>
      <c r="AH235" s="81">
        <v>1276</v>
      </c>
      <c r="AI235" s="81">
        <v>5070</v>
      </c>
      <c r="AJ235" s="81">
        <v>537</v>
      </c>
      <c r="AK235" s="81"/>
      <c r="AL235" s="81" t="s">
        <v>2681</v>
      </c>
      <c r="AM235" s="81" t="s">
        <v>2860</v>
      </c>
      <c r="AN235" s="88" t="str">
        <f>HYPERLINK("https://t.co/eZ6apDNJg9")</f>
        <v>https://t.co/eZ6apDNJg9</v>
      </c>
      <c r="AO235" s="81"/>
      <c r="AP235" s="83">
        <v>41073.57597222222</v>
      </c>
      <c r="AQ235" s="88" t="str">
        <f>HYPERLINK("https://pbs.twimg.com/profile_banners/607232023/1489503370")</f>
        <v>https://pbs.twimg.com/profile_banners/607232023/1489503370</v>
      </c>
      <c r="AR235" s="81" t="b">
        <v>0</v>
      </c>
      <c r="AS235" s="81" t="b">
        <v>0</v>
      </c>
      <c r="AT235" s="81" t="b">
        <v>0</v>
      </c>
      <c r="AU235" s="81"/>
      <c r="AV235" s="81">
        <v>20</v>
      </c>
      <c r="AW235" s="88" t="str">
        <f>HYPERLINK("https://abs.twimg.com/images/themes/theme14/bg.gif")</f>
        <v>https://abs.twimg.com/images/themes/theme14/bg.gif</v>
      </c>
      <c r="AX235" s="81" t="b">
        <v>0</v>
      </c>
      <c r="AY235" s="81" t="s">
        <v>2883</v>
      </c>
      <c r="AZ235" s="88" t="str">
        <f>HYPERLINK("https://twitter.com/labmedicinemft")</f>
        <v>https://twitter.com/labmedicinemft</v>
      </c>
      <c r="BA235" s="81" t="s">
        <v>65</v>
      </c>
      <c r="BB235" s="81" t="str">
        <f>REPLACE(INDEX(GroupVertices[Group],MATCH(Vertices[[#This Row],[Vertex]],GroupVertices[Vertex],0)),1,1,"")</f>
        <v>6</v>
      </c>
      <c r="BC235" s="49"/>
      <c r="BD235" s="49"/>
      <c r="BE235" s="49"/>
      <c r="BF235" s="49"/>
      <c r="BG235" s="49"/>
      <c r="BH235" s="49"/>
      <c r="BI235" s="49"/>
      <c r="BJ235" s="49"/>
      <c r="BK235" s="49"/>
      <c r="BL235" s="49"/>
      <c r="BM235" s="49"/>
      <c r="BN235" s="50"/>
      <c r="BO235" s="49"/>
      <c r="BP235" s="50"/>
      <c r="BQ235" s="49"/>
      <c r="BR235" s="50"/>
      <c r="BS235" s="49"/>
      <c r="BT235" s="50"/>
      <c r="BU235" s="49"/>
      <c r="BV235" s="2"/>
      <c r="BW235" s="3"/>
      <c r="BX235" s="3"/>
      <c r="BY235" s="3"/>
      <c r="BZ235" s="3"/>
    </row>
    <row r="236" spans="1:78" ht="41.45" customHeight="1">
      <c r="A236" s="66" t="s">
        <v>517</v>
      </c>
      <c r="C236" s="67"/>
      <c r="D236" s="67" t="s">
        <v>64</v>
      </c>
      <c r="E236" s="68">
        <v>166.36534323444369</v>
      </c>
      <c r="F236" s="70">
        <v>99.99058577384596</v>
      </c>
      <c r="G236" s="106" t="str">
        <f>HYPERLINK("https://pbs.twimg.com/profile_images/1050648740480995328/IwtKue6I_normal.jpg")</f>
        <v>https://pbs.twimg.com/profile_images/1050648740480995328/IwtKue6I_normal.jpg</v>
      </c>
      <c r="H236" s="67"/>
      <c r="I236" s="71" t="s">
        <v>517</v>
      </c>
      <c r="J236" s="72"/>
      <c r="K236" s="72"/>
      <c r="L236" s="71" t="s">
        <v>3116</v>
      </c>
      <c r="M236" s="75">
        <v>4.137447769602554</v>
      </c>
      <c r="N236" s="76">
        <v>5763.390625</v>
      </c>
      <c r="O236" s="76">
        <v>3058.904541015625</v>
      </c>
      <c r="P236" s="77"/>
      <c r="Q236" s="78"/>
      <c r="R236" s="78"/>
      <c r="S236" s="92"/>
      <c r="T236" s="49">
        <v>1</v>
      </c>
      <c r="U236" s="49">
        <v>0</v>
      </c>
      <c r="V236" s="50">
        <v>0</v>
      </c>
      <c r="W236" s="50">
        <v>0.004444</v>
      </c>
      <c r="X236" s="50">
        <v>0.00582</v>
      </c>
      <c r="Y236" s="50">
        <v>0.498299</v>
      </c>
      <c r="Z236" s="50">
        <v>0</v>
      </c>
      <c r="AA236" s="50">
        <v>0</v>
      </c>
      <c r="AB236" s="73">
        <v>236</v>
      </c>
      <c r="AC236" s="73"/>
      <c r="AD236" s="74"/>
      <c r="AE236" s="81" t="s">
        <v>2148</v>
      </c>
      <c r="AF236" s="86" t="s">
        <v>2415</v>
      </c>
      <c r="AG236" s="81">
        <v>2140</v>
      </c>
      <c r="AH236" s="81">
        <v>23161</v>
      </c>
      <c r="AI236" s="81">
        <v>13554</v>
      </c>
      <c r="AJ236" s="81">
        <v>6053</v>
      </c>
      <c r="AK236" s="81"/>
      <c r="AL236" s="81" t="s">
        <v>2682</v>
      </c>
      <c r="AM236" s="81" t="s">
        <v>2860</v>
      </c>
      <c r="AN236" s="88" t="str">
        <f>HYPERLINK("https://t.co/faz9u31oJG")</f>
        <v>https://t.co/faz9u31oJG</v>
      </c>
      <c r="AO236" s="81"/>
      <c r="AP236" s="83">
        <v>40771.47982638889</v>
      </c>
      <c r="AQ236" s="88" t="str">
        <f>HYPERLINK("https://pbs.twimg.com/profile_banners/356127438/1617015484")</f>
        <v>https://pbs.twimg.com/profile_banners/356127438/1617015484</v>
      </c>
      <c r="AR236" s="81" t="b">
        <v>0</v>
      </c>
      <c r="AS236" s="81" t="b">
        <v>0</v>
      </c>
      <c r="AT236" s="81" t="b">
        <v>1</v>
      </c>
      <c r="AU236" s="81"/>
      <c r="AV236" s="81">
        <v>215</v>
      </c>
      <c r="AW236" s="88" t="str">
        <f>HYPERLINK("https://abs.twimg.com/images/themes/theme1/bg.png")</f>
        <v>https://abs.twimg.com/images/themes/theme1/bg.png</v>
      </c>
      <c r="AX236" s="81" t="b">
        <v>1</v>
      </c>
      <c r="AY236" s="81" t="s">
        <v>2883</v>
      </c>
      <c r="AZ236" s="88" t="str">
        <f>HYPERLINK("https://twitter.com/mftnhs")</f>
        <v>https://twitter.com/mftnhs</v>
      </c>
      <c r="BA236" s="81" t="s">
        <v>65</v>
      </c>
      <c r="BB236" s="81" t="str">
        <f>REPLACE(INDEX(GroupVertices[Group],MATCH(Vertices[[#This Row],[Vertex]],GroupVertices[Vertex],0)),1,1,"")</f>
        <v>6</v>
      </c>
      <c r="BC236" s="49"/>
      <c r="BD236" s="49"/>
      <c r="BE236" s="49"/>
      <c r="BF236" s="49"/>
      <c r="BG236" s="49"/>
      <c r="BH236" s="49"/>
      <c r="BI236" s="49"/>
      <c r="BJ236" s="49"/>
      <c r="BK236" s="49"/>
      <c r="BL236" s="49"/>
      <c r="BM236" s="49"/>
      <c r="BN236" s="50"/>
      <c r="BO236" s="49"/>
      <c r="BP236" s="50"/>
      <c r="BQ236" s="49"/>
      <c r="BR236" s="50"/>
      <c r="BS236" s="49"/>
      <c r="BT236" s="50"/>
      <c r="BU236" s="49"/>
      <c r="BV236" s="2"/>
      <c r="BW236" s="3"/>
      <c r="BX236" s="3"/>
      <c r="BY236" s="3"/>
      <c r="BZ236" s="3"/>
    </row>
    <row r="237" spans="1:78" ht="41.45" customHeight="1">
      <c r="A237" s="66" t="s">
        <v>518</v>
      </c>
      <c r="C237" s="67"/>
      <c r="D237" s="67" t="s">
        <v>64</v>
      </c>
      <c r="E237" s="68">
        <v>162.24034081630174</v>
      </c>
      <c r="F237" s="70">
        <v>99.9994816850183</v>
      </c>
      <c r="G237" s="106" t="str">
        <f>HYPERLINK("https://pbs.twimg.com/profile_images/1157540128451178497/8SDXmt1r_normal.jpg")</f>
        <v>https://pbs.twimg.com/profile_images/1157540128451178497/8SDXmt1r_normal.jpg</v>
      </c>
      <c r="H237" s="67"/>
      <c r="I237" s="71" t="s">
        <v>518</v>
      </c>
      <c r="J237" s="72"/>
      <c r="K237" s="72"/>
      <c r="L237" s="71" t="s">
        <v>3117</v>
      </c>
      <c r="M237" s="75">
        <v>1.172737106237294</v>
      </c>
      <c r="N237" s="76">
        <v>5480.8671875</v>
      </c>
      <c r="O237" s="76">
        <v>2511.237548828125</v>
      </c>
      <c r="P237" s="77"/>
      <c r="Q237" s="78"/>
      <c r="R237" s="78"/>
      <c r="S237" s="92"/>
      <c r="T237" s="49">
        <v>1</v>
      </c>
      <c r="U237" s="49">
        <v>0</v>
      </c>
      <c r="V237" s="50">
        <v>0</v>
      </c>
      <c r="W237" s="50">
        <v>0.004444</v>
      </c>
      <c r="X237" s="50">
        <v>0.00582</v>
      </c>
      <c r="Y237" s="50">
        <v>0.498299</v>
      </c>
      <c r="Z237" s="50">
        <v>0</v>
      </c>
      <c r="AA237" s="50">
        <v>0</v>
      </c>
      <c r="AB237" s="73">
        <v>237</v>
      </c>
      <c r="AC237" s="73"/>
      <c r="AD237" s="74"/>
      <c r="AE237" s="81" t="s">
        <v>2149</v>
      </c>
      <c r="AF237" s="86" t="s">
        <v>2416</v>
      </c>
      <c r="AG237" s="81">
        <v>1493</v>
      </c>
      <c r="AH237" s="81">
        <v>1278</v>
      </c>
      <c r="AI237" s="81">
        <v>701</v>
      </c>
      <c r="AJ237" s="81">
        <v>2659</v>
      </c>
      <c r="AK237" s="81"/>
      <c r="AL237" s="81" t="s">
        <v>2683</v>
      </c>
      <c r="AM237" s="81" t="s">
        <v>2860</v>
      </c>
      <c r="AN237" s="81"/>
      <c r="AO237" s="81"/>
      <c r="AP237" s="83">
        <v>43679.751226851855</v>
      </c>
      <c r="AQ237" s="88" t="str">
        <f>HYPERLINK("https://pbs.twimg.com/profile_banners/1157350792216682499/1564867778")</f>
        <v>https://pbs.twimg.com/profile_banners/1157350792216682499/1564867778</v>
      </c>
      <c r="AR237" s="81" t="b">
        <v>1</v>
      </c>
      <c r="AS237" s="81" t="b">
        <v>0</v>
      </c>
      <c r="AT237" s="81" t="b">
        <v>0</v>
      </c>
      <c r="AU237" s="81"/>
      <c r="AV237" s="81">
        <v>4</v>
      </c>
      <c r="AW237" s="81"/>
      <c r="AX237" s="81" t="b">
        <v>0</v>
      </c>
      <c r="AY237" s="81" t="s">
        <v>2883</v>
      </c>
      <c r="AZ237" s="88" t="str">
        <f>HYPERLINK("https://twitter.com/mft_pharmacy")</f>
        <v>https://twitter.com/mft_pharmacy</v>
      </c>
      <c r="BA237" s="81" t="s">
        <v>65</v>
      </c>
      <c r="BB237" s="81" t="str">
        <f>REPLACE(INDEX(GroupVertices[Group],MATCH(Vertices[[#This Row],[Vertex]],GroupVertices[Vertex],0)),1,1,"")</f>
        <v>6</v>
      </c>
      <c r="BC237" s="49"/>
      <c r="BD237" s="49"/>
      <c r="BE237" s="49"/>
      <c r="BF237" s="49"/>
      <c r="BG237" s="49"/>
      <c r="BH237" s="49"/>
      <c r="BI237" s="49"/>
      <c r="BJ237" s="49"/>
      <c r="BK237" s="49"/>
      <c r="BL237" s="49"/>
      <c r="BM237" s="49"/>
      <c r="BN237" s="50"/>
      <c r="BO237" s="49"/>
      <c r="BP237" s="50"/>
      <c r="BQ237" s="49"/>
      <c r="BR237" s="50"/>
      <c r="BS237" s="49"/>
      <c r="BT237" s="50"/>
      <c r="BU237" s="49"/>
      <c r="BV237" s="2"/>
      <c r="BW237" s="3"/>
      <c r="BX237" s="3"/>
      <c r="BY237" s="3"/>
      <c r="BZ237" s="3"/>
    </row>
    <row r="238" spans="1:78" ht="41.45" customHeight="1">
      <c r="A238" s="66" t="s">
        <v>410</v>
      </c>
      <c r="C238" s="67"/>
      <c r="D238" s="67" t="s">
        <v>64</v>
      </c>
      <c r="E238" s="68">
        <v>162.00490106762655</v>
      </c>
      <c r="F238" s="70">
        <v>99.99998943043958</v>
      </c>
      <c r="G238" s="106" t="str">
        <f>HYPERLINK("https://abs.twimg.com/sticky/default_profile_images/default_profile_normal.png")</f>
        <v>https://abs.twimg.com/sticky/default_profile_images/default_profile_normal.png</v>
      </c>
      <c r="H238" s="67"/>
      <c r="I238" s="71" t="s">
        <v>410</v>
      </c>
      <c r="J238" s="72"/>
      <c r="K238" s="72"/>
      <c r="L238" s="71" t="s">
        <v>3118</v>
      </c>
      <c r="M238" s="75">
        <v>1.0035224821664075</v>
      </c>
      <c r="N238" s="76">
        <v>8828.4501953125</v>
      </c>
      <c r="O238" s="76">
        <v>5580.58203125</v>
      </c>
      <c r="P238" s="77"/>
      <c r="Q238" s="78"/>
      <c r="R238" s="78"/>
      <c r="S238" s="92"/>
      <c r="T238" s="49">
        <v>0</v>
      </c>
      <c r="U238" s="49">
        <v>4</v>
      </c>
      <c r="V238" s="50">
        <v>12</v>
      </c>
      <c r="W238" s="50">
        <v>0.25</v>
      </c>
      <c r="X238" s="50">
        <v>0</v>
      </c>
      <c r="Y238" s="50">
        <v>2.378373</v>
      </c>
      <c r="Z238" s="50">
        <v>0</v>
      </c>
      <c r="AA238" s="50">
        <v>0</v>
      </c>
      <c r="AB238" s="73">
        <v>238</v>
      </c>
      <c r="AC238" s="73"/>
      <c r="AD238" s="74"/>
      <c r="AE238" s="81" t="s">
        <v>2150</v>
      </c>
      <c r="AF238" s="86" t="s">
        <v>2417</v>
      </c>
      <c r="AG238" s="81">
        <v>92</v>
      </c>
      <c r="AH238" s="81">
        <v>29</v>
      </c>
      <c r="AI238" s="81">
        <v>59</v>
      </c>
      <c r="AJ238" s="81">
        <v>50</v>
      </c>
      <c r="AK238" s="81"/>
      <c r="AL238" s="81"/>
      <c r="AM238" s="81"/>
      <c r="AN238" s="81"/>
      <c r="AO238" s="81"/>
      <c r="AP238" s="83">
        <v>41156.7833912037</v>
      </c>
      <c r="AQ238" s="81"/>
      <c r="AR238" s="81" t="b">
        <v>1</v>
      </c>
      <c r="AS238" s="81" t="b">
        <v>1</v>
      </c>
      <c r="AT238" s="81" t="b">
        <v>0</v>
      </c>
      <c r="AU238" s="81"/>
      <c r="AV238" s="81">
        <v>1</v>
      </c>
      <c r="AW238" s="88" t="str">
        <f>HYPERLINK("https://abs.twimg.com/images/themes/theme1/bg.png")</f>
        <v>https://abs.twimg.com/images/themes/theme1/bg.png</v>
      </c>
      <c r="AX238" s="81" t="b">
        <v>0</v>
      </c>
      <c r="AY238" s="81" t="s">
        <v>2883</v>
      </c>
      <c r="AZ238" s="88" t="str">
        <f>HYPERLINK("https://twitter.com/aidakrajnc")</f>
        <v>https://twitter.com/aidakrajnc</v>
      </c>
      <c r="BA238" s="81" t="s">
        <v>66</v>
      </c>
      <c r="BB238" s="81" t="str">
        <f>REPLACE(INDEX(GroupVertices[Group],MATCH(Vertices[[#This Row],[Vertex]],GroupVertices[Vertex],0)),1,1,"")</f>
        <v>11</v>
      </c>
      <c r="BC238" s="49"/>
      <c r="BD238" s="49"/>
      <c r="BE238" s="49"/>
      <c r="BF238" s="49"/>
      <c r="BG238" s="49" t="s">
        <v>952</v>
      </c>
      <c r="BH238" s="49" t="s">
        <v>952</v>
      </c>
      <c r="BI238" s="113" t="s">
        <v>3789</v>
      </c>
      <c r="BJ238" s="113" t="s">
        <v>3789</v>
      </c>
      <c r="BK238" s="113" t="s">
        <v>3965</v>
      </c>
      <c r="BL238" s="113" t="s">
        <v>3965</v>
      </c>
      <c r="BM238" s="113">
        <v>0</v>
      </c>
      <c r="BN238" s="116">
        <v>0</v>
      </c>
      <c r="BO238" s="113">
        <v>2</v>
      </c>
      <c r="BP238" s="116">
        <v>6.25</v>
      </c>
      <c r="BQ238" s="113">
        <v>0</v>
      </c>
      <c r="BR238" s="116">
        <v>0</v>
      </c>
      <c r="BS238" s="113">
        <v>30</v>
      </c>
      <c r="BT238" s="116">
        <v>93.75</v>
      </c>
      <c r="BU238" s="113">
        <v>32</v>
      </c>
      <c r="BV238" s="2"/>
      <c r="BW238" s="3"/>
      <c r="BX238" s="3"/>
      <c r="BY238" s="3"/>
      <c r="BZ238" s="3"/>
    </row>
    <row r="239" spans="1:78" ht="41.45" customHeight="1">
      <c r="A239" s="66" t="s">
        <v>519</v>
      </c>
      <c r="C239" s="67"/>
      <c r="D239" s="67" t="s">
        <v>64</v>
      </c>
      <c r="E239" s="68">
        <v>166.68655166658343</v>
      </c>
      <c r="F239" s="70">
        <v>99.98989306111747</v>
      </c>
      <c r="G239" s="106" t="str">
        <f>HYPERLINK("https://pbs.twimg.com/profile_images/1399708725624115200/6ySPtJqj_normal.jpg")</f>
        <v>https://pbs.twimg.com/profile_images/1399708725624115200/6ySPtJqj_normal.jpg</v>
      </c>
      <c r="H239" s="67"/>
      <c r="I239" s="71" t="s">
        <v>519</v>
      </c>
      <c r="J239" s="72"/>
      <c r="K239" s="72"/>
      <c r="L239" s="71" t="s">
        <v>3119</v>
      </c>
      <c r="M239" s="75">
        <v>4.368305831585573</v>
      </c>
      <c r="N239" s="76">
        <v>8489.8173828125</v>
      </c>
      <c r="O239" s="76">
        <v>4784.74365234375</v>
      </c>
      <c r="P239" s="77"/>
      <c r="Q239" s="78"/>
      <c r="R239" s="78"/>
      <c r="S239" s="92"/>
      <c r="T239" s="49">
        <v>1</v>
      </c>
      <c r="U239" s="49">
        <v>0</v>
      </c>
      <c r="V239" s="50">
        <v>0</v>
      </c>
      <c r="W239" s="50">
        <v>0.142857</v>
      </c>
      <c r="X239" s="50">
        <v>0</v>
      </c>
      <c r="Y239" s="50">
        <v>0.655404</v>
      </c>
      <c r="Z239" s="50">
        <v>0</v>
      </c>
      <c r="AA239" s="50">
        <v>0</v>
      </c>
      <c r="AB239" s="73">
        <v>239</v>
      </c>
      <c r="AC239" s="73"/>
      <c r="AD239" s="74"/>
      <c r="AE239" s="81" t="s">
        <v>2151</v>
      </c>
      <c r="AF239" s="86" t="s">
        <v>2418</v>
      </c>
      <c r="AG239" s="81">
        <v>1670</v>
      </c>
      <c r="AH239" s="81">
        <v>24865</v>
      </c>
      <c r="AI239" s="81">
        <v>18006</v>
      </c>
      <c r="AJ239" s="81">
        <v>12985</v>
      </c>
      <c r="AK239" s="81"/>
      <c r="AL239" s="81" t="s">
        <v>2684</v>
      </c>
      <c r="AM239" s="81" t="s">
        <v>2861</v>
      </c>
      <c r="AN239" s="88" t="str">
        <f>HYPERLINK("http://t.co/WrdN0ZPgHY")</f>
        <v>http://t.co/WrdN0ZPgHY</v>
      </c>
      <c r="AO239" s="81"/>
      <c r="AP239" s="83">
        <v>41247.601006944446</v>
      </c>
      <c r="AQ239" s="88" t="str">
        <f>HYPERLINK("https://pbs.twimg.com/profile_banners/988868700/1635940359")</f>
        <v>https://pbs.twimg.com/profile_banners/988868700/1635940359</v>
      </c>
      <c r="AR239" s="81" t="b">
        <v>0</v>
      </c>
      <c r="AS239" s="81" t="b">
        <v>0</v>
      </c>
      <c r="AT239" s="81" t="b">
        <v>1</v>
      </c>
      <c r="AU239" s="81"/>
      <c r="AV239" s="81">
        <v>238</v>
      </c>
      <c r="AW239" s="88" t="str">
        <f>HYPERLINK("https://abs.twimg.com/images/themes/theme1/bg.png")</f>
        <v>https://abs.twimg.com/images/themes/theme1/bg.png</v>
      </c>
      <c r="AX239" s="81" t="b">
        <v>1</v>
      </c>
      <c r="AY239" s="81" t="s">
        <v>2883</v>
      </c>
      <c r="AZ239" s="88" t="str">
        <f>HYPERLINK("https://twitter.com/nhsbartshealth")</f>
        <v>https://twitter.com/nhsbartshealth</v>
      </c>
      <c r="BA239" s="81" t="s">
        <v>65</v>
      </c>
      <c r="BB239" s="81" t="str">
        <f>REPLACE(INDEX(GroupVertices[Group],MATCH(Vertices[[#This Row],[Vertex]],GroupVertices[Vertex],0)),1,1,"")</f>
        <v>11</v>
      </c>
      <c r="BC239" s="49"/>
      <c r="BD239" s="49"/>
      <c r="BE239" s="49"/>
      <c r="BF239" s="49"/>
      <c r="BG239" s="49"/>
      <c r="BH239" s="49"/>
      <c r="BI239" s="49"/>
      <c r="BJ239" s="49"/>
      <c r="BK239" s="49"/>
      <c r="BL239" s="49"/>
      <c r="BM239" s="49"/>
      <c r="BN239" s="50"/>
      <c r="BO239" s="49"/>
      <c r="BP239" s="50"/>
      <c r="BQ239" s="49"/>
      <c r="BR239" s="50"/>
      <c r="BS239" s="49"/>
      <c r="BT239" s="50"/>
      <c r="BU239" s="49"/>
      <c r="BV239" s="2"/>
      <c r="BW239" s="3"/>
      <c r="BX239" s="3"/>
      <c r="BY239" s="3"/>
      <c r="BZ239" s="3"/>
    </row>
    <row r="240" spans="1:78" ht="41.45" customHeight="1">
      <c r="A240" s="66" t="s">
        <v>520</v>
      </c>
      <c r="C240" s="67"/>
      <c r="D240" s="67" t="s">
        <v>64</v>
      </c>
      <c r="E240" s="68">
        <v>162.01922726530415</v>
      </c>
      <c r="F240" s="70">
        <v>99.99995853480146</v>
      </c>
      <c r="G240" s="106" t="str">
        <f>HYPERLINK("https://pbs.twimg.com/profile_images/1196389167221137408/pTkbE2vn_normal.png")</f>
        <v>https://pbs.twimg.com/profile_images/1196389167221137408/pTkbE2vn_normal.png</v>
      </c>
      <c r="H240" s="67"/>
      <c r="I240" s="71" t="s">
        <v>520</v>
      </c>
      <c r="J240" s="72"/>
      <c r="K240" s="72"/>
      <c r="L240" s="71" t="s">
        <v>3120</v>
      </c>
      <c r="M240" s="75">
        <v>1.0138189684989836</v>
      </c>
      <c r="N240" s="76">
        <v>9139.59765625</v>
      </c>
      <c r="O240" s="76">
        <v>4714.44091796875</v>
      </c>
      <c r="P240" s="77"/>
      <c r="Q240" s="78"/>
      <c r="R240" s="78"/>
      <c r="S240" s="92"/>
      <c r="T240" s="49">
        <v>1</v>
      </c>
      <c r="U240" s="49">
        <v>0</v>
      </c>
      <c r="V240" s="50">
        <v>0</v>
      </c>
      <c r="W240" s="50">
        <v>0.142857</v>
      </c>
      <c r="X240" s="50">
        <v>0</v>
      </c>
      <c r="Y240" s="50">
        <v>0.655404</v>
      </c>
      <c r="Z240" s="50">
        <v>0</v>
      </c>
      <c r="AA240" s="50">
        <v>0</v>
      </c>
      <c r="AB240" s="73">
        <v>240</v>
      </c>
      <c r="AC240" s="73"/>
      <c r="AD240" s="74"/>
      <c r="AE240" s="81" t="s">
        <v>2152</v>
      </c>
      <c r="AF240" s="86" t="s">
        <v>2419</v>
      </c>
      <c r="AG240" s="81">
        <v>101</v>
      </c>
      <c r="AH240" s="81">
        <v>105</v>
      </c>
      <c r="AI240" s="81">
        <v>85</v>
      </c>
      <c r="AJ240" s="81">
        <v>389</v>
      </c>
      <c r="AK240" s="81"/>
      <c r="AL240" s="81" t="s">
        <v>2685</v>
      </c>
      <c r="AM240" s="81"/>
      <c r="AN240" s="81"/>
      <c r="AO240" s="81"/>
      <c r="AP240" s="83">
        <v>43735.3891087963</v>
      </c>
      <c r="AQ240" s="88" t="str">
        <f>HYPERLINK("https://pbs.twimg.com/profile_banners/1177513252097413120/1574071709")</f>
        <v>https://pbs.twimg.com/profile_banners/1177513252097413120/1574071709</v>
      </c>
      <c r="AR240" s="81" t="b">
        <v>1</v>
      </c>
      <c r="AS240" s="81" t="b">
        <v>0</v>
      </c>
      <c r="AT240" s="81" t="b">
        <v>0</v>
      </c>
      <c r="AU240" s="81"/>
      <c r="AV240" s="81">
        <v>1</v>
      </c>
      <c r="AW240" s="81"/>
      <c r="AX240" s="81" t="b">
        <v>0</v>
      </c>
      <c r="AY240" s="81" t="s">
        <v>2883</v>
      </c>
      <c r="AZ240" s="88" t="str">
        <f>HYPERLINK("https://twitter.com/bh_infection")</f>
        <v>https://twitter.com/bh_infection</v>
      </c>
      <c r="BA240" s="81" t="s">
        <v>65</v>
      </c>
      <c r="BB240" s="81" t="str">
        <f>REPLACE(INDEX(GroupVertices[Group],MATCH(Vertices[[#This Row],[Vertex]],GroupVertices[Vertex],0)),1,1,"")</f>
        <v>11</v>
      </c>
      <c r="BC240" s="49"/>
      <c r="BD240" s="49"/>
      <c r="BE240" s="49"/>
      <c r="BF240" s="49"/>
      <c r="BG240" s="49"/>
      <c r="BH240" s="49"/>
      <c r="BI240" s="49"/>
      <c r="BJ240" s="49"/>
      <c r="BK240" s="49"/>
      <c r="BL240" s="49"/>
      <c r="BM240" s="49"/>
      <c r="BN240" s="50"/>
      <c r="BO240" s="49"/>
      <c r="BP240" s="50"/>
      <c r="BQ240" s="49"/>
      <c r="BR240" s="50"/>
      <c r="BS240" s="49"/>
      <c r="BT240" s="50"/>
      <c r="BU240" s="49"/>
      <c r="BV240" s="2"/>
      <c r="BW240" s="3"/>
      <c r="BX240" s="3"/>
      <c r="BY240" s="3"/>
      <c r="BZ240" s="3"/>
    </row>
    <row r="241" spans="1:78" ht="41.45" customHeight="1">
      <c r="A241" s="66" t="s">
        <v>521</v>
      </c>
      <c r="C241" s="67"/>
      <c r="D241" s="67" t="s">
        <v>64</v>
      </c>
      <c r="E241" s="68">
        <v>162.10952001119318</v>
      </c>
      <c r="F241" s="70">
        <v>99.99976381097696</v>
      </c>
      <c r="G241" s="106" t="str">
        <f>HYPERLINK("https://pbs.twimg.com/profile_images/1150802435490926593/n1RRYo11_normal.jpg")</f>
        <v>https://pbs.twimg.com/profile_images/1150802435490926593/n1RRYo11_normal.jpg</v>
      </c>
      <c r="H241" s="67"/>
      <c r="I241" s="71" t="s">
        <v>521</v>
      </c>
      <c r="J241" s="72"/>
      <c r="K241" s="72"/>
      <c r="L241" s="71" t="s">
        <v>3121</v>
      </c>
      <c r="M241" s="75">
        <v>1.0787139284108767</v>
      </c>
      <c r="N241" s="76">
        <v>8517.3037109375</v>
      </c>
      <c r="O241" s="76">
        <v>6446.7236328125</v>
      </c>
      <c r="P241" s="77"/>
      <c r="Q241" s="78"/>
      <c r="R241" s="78"/>
      <c r="S241" s="92"/>
      <c r="T241" s="49">
        <v>1</v>
      </c>
      <c r="U241" s="49">
        <v>0</v>
      </c>
      <c r="V241" s="50">
        <v>0</v>
      </c>
      <c r="W241" s="50">
        <v>0.142857</v>
      </c>
      <c r="X241" s="50">
        <v>0</v>
      </c>
      <c r="Y241" s="50">
        <v>0.655404</v>
      </c>
      <c r="Z241" s="50">
        <v>0</v>
      </c>
      <c r="AA241" s="50">
        <v>0</v>
      </c>
      <c r="AB241" s="73">
        <v>241</v>
      </c>
      <c r="AC241" s="73"/>
      <c r="AD241" s="74"/>
      <c r="AE241" s="81" t="s">
        <v>2153</v>
      </c>
      <c r="AF241" s="86" t="s">
        <v>2420</v>
      </c>
      <c r="AG241" s="81">
        <v>396</v>
      </c>
      <c r="AH241" s="81">
        <v>584</v>
      </c>
      <c r="AI241" s="81">
        <v>1451</v>
      </c>
      <c r="AJ241" s="81">
        <v>3676</v>
      </c>
      <c r="AK241" s="81"/>
      <c r="AL241" s="81" t="s">
        <v>2686</v>
      </c>
      <c r="AM241" s="81"/>
      <c r="AN241" s="81"/>
      <c r="AO241" s="81"/>
      <c r="AP241" s="83">
        <v>43661.67486111111</v>
      </c>
      <c r="AQ241" s="88" t="str">
        <f>HYPERLINK("https://pbs.twimg.com/profile_banners/1150800137075200000/1563207705")</f>
        <v>https://pbs.twimg.com/profile_banners/1150800137075200000/1563207705</v>
      </c>
      <c r="AR241" s="81" t="b">
        <v>1</v>
      </c>
      <c r="AS241" s="81" t="b">
        <v>0</v>
      </c>
      <c r="AT241" s="81" t="b">
        <v>1</v>
      </c>
      <c r="AU241" s="81"/>
      <c r="AV241" s="81">
        <v>0</v>
      </c>
      <c r="AW241" s="81"/>
      <c r="AX241" s="81" t="b">
        <v>0</v>
      </c>
      <c r="AY241" s="81" t="s">
        <v>2883</v>
      </c>
      <c r="AZ241" s="88" t="str">
        <f>HYPERLINK("https://twitter.com/bh_pharmacy")</f>
        <v>https://twitter.com/bh_pharmacy</v>
      </c>
      <c r="BA241" s="81" t="s">
        <v>65</v>
      </c>
      <c r="BB241" s="81" t="str">
        <f>REPLACE(INDEX(GroupVertices[Group],MATCH(Vertices[[#This Row],[Vertex]],GroupVertices[Vertex],0)),1,1,"")</f>
        <v>11</v>
      </c>
      <c r="BC241" s="49"/>
      <c r="BD241" s="49"/>
      <c r="BE241" s="49"/>
      <c r="BF241" s="49"/>
      <c r="BG241" s="49"/>
      <c r="BH241" s="49"/>
      <c r="BI241" s="49"/>
      <c r="BJ241" s="49"/>
      <c r="BK241" s="49"/>
      <c r="BL241" s="49"/>
      <c r="BM241" s="49"/>
      <c r="BN241" s="50"/>
      <c r="BO241" s="49"/>
      <c r="BP241" s="50"/>
      <c r="BQ241" s="49"/>
      <c r="BR241" s="50"/>
      <c r="BS241" s="49"/>
      <c r="BT241" s="50"/>
      <c r="BU241" s="49"/>
      <c r="BV241" s="2"/>
      <c r="BW241" s="3"/>
      <c r="BX241" s="3"/>
      <c r="BY241" s="3"/>
      <c r="BZ241" s="3"/>
    </row>
    <row r="242" spans="1:78" ht="41.45" customHeight="1">
      <c r="A242" s="66" t="s">
        <v>522</v>
      </c>
      <c r="C242" s="67"/>
      <c r="D242" s="67" t="s">
        <v>64</v>
      </c>
      <c r="E242" s="68">
        <v>162.9085825369211</v>
      </c>
      <c r="F242" s="70">
        <v>99.99804056610837</v>
      </c>
      <c r="G242" s="106" t="str">
        <f>HYPERLINK("https://pbs.twimg.com/profile_images/1363841305244274688/SVYEeldd_normal.jpg")</f>
        <v>https://pbs.twimg.com/profile_images/1363841305244274688/SVYEeldd_normal.jpg</v>
      </c>
      <c r="H242" s="67"/>
      <c r="I242" s="71" t="s">
        <v>522</v>
      </c>
      <c r="J242" s="72"/>
      <c r="K242" s="72"/>
      <c r="L242" s="71" t="s">
        <v>3122</v>
      </c>
      <c r="M242" s="75">
        <v>1.6530140016186334</v>
      </c>
      <c r="N242" s="76">
        <v>9167.0830078125</v>
      </c>
      <c r="O242" s="76">
        <v>6376.42138671875</v>
      </c>
      <c r="P242" s="77"/>
      <c r="Q242" s="78"/>
      <c r="R242" s="78"/>
      <c r="S242" s="92"/>
      <c r="T242" s="49">
        <v>1</v>
      </c>
      <c r="U242" s="49">
        <v>0</v>
      </c>
      <c r="V242" s="50">
        <v>0</v>
      </c>
      <c r="W242" s="50">
        <v>0.142857</v>
      </c>
      <c r="X242" s="50">
        <v>0</v>
      </c>
      <c r="Y242" s="50">
        <v>0.655404</v>
      </c>
      <c r="Z242" s="50">
        <v>0</v>
      </c>
      <c r="AA242" s="50">
        <v>0</v>
      </c>
      <c r="AB242" s="73">
        <v>242</v>
      </c>
      <c r="AC242" s="73"/>
      <c r="AD242" s="74"/>
      <c r="AE242" s="81" t="s">
        <v>2154</v>
      </c>
      <c r="AF242" s="86" t="s">
        <v>2421</v>
      </c>
      <c r="AG242" s="81">
        <v>1133</v>
      </c>
      <c r="AH242" s="81">
        <v>4823</v>
      </c>
      <c r="AI242" s="81">
        <v>5367</v>
      </c>
      <c r="AJ242" s="81">
        <v>6545</v>
      </c>
      <c r="AK242" s="81"/>
      <c r="AL242" s="81" t="s">
        <v>2687</v>
      </c>
      <c r="AM242" s="81" t="s">
        <v>2769</v>
      </c>
      <c r="AN242" s="88" t="str">
        <f>HYPERLINK("https://t.co/6wTiTF7S2o")</f>
        <v>https://t.co/6wTiTF7S2o</v>
      </c>
      <c r="AO242" s="81"/>
      <c r="AP242" s="83">
        <v>42314.46083333333</v>
      </c>
      <c r="AQ242" s="88" t="str">
        <f>HYPERLINK("https://pbs.twimg.com/profile_banners/4126390492/1578050931")</f>
        <v>https://pbs.twimg.com/profile_banners/4126390492/1578050931</v>
      </c>
      <c r="AR242" s="81" t="b">
        <v>1</v>
      </c>
      <c r="AS242" s="81" t="b">
        <v>0</v>
      </c>
      <c r="AT242" s="81" t="b">
        <v>1</v>
      </c>
      <c r="AU242" s="81"/>
      <c r="AV242" s="81">
        <v>30</v>
      </c>
      <c r="AW242" s="88" t="str">
        <f>HYPERLINK("https://abs.twimg.com/images/themes/theme1/bg.png")</f>
        <v>https://abs.twimg.com/images/themes/theme1/bg.png</v>
      </c>
      <c r="AX242" s="81" t="b">
        <v>1</v>
      </c>
      <c r="AY242" s="81" t="s">
        <v>2883</v>
      </c>
      <c r="AZ242" s="88" t="str">
        <f>HYPERLINK("https://twitter.com/newhamhospital")</f>
        <v>https://twitter.com/newhamhospital</v>
      </c>
      <c r="BA242" s="81" t="s">
        <v>65</v>
      </c>
      <c r="BB242" s="81" t="str">
        <f>REPLACE(INDEX(GroupVertices[Group],MATCH(Vertices[[#This Row],[Vertex]],GroupVertices[Vertex],0)),1,1,"")</f>
        <v>11</v>
      </c>
      <c r="BC242" s="49"/>
      <c r="BD242" s="49"/>
      <c r="BE242" s="49"/>
      <c r="BF242" s="49"/>
      <c r="BG242" s="49"/>
      <c r="BH242" s="49"/>
      <c r="BI242" s="49"/>
      <c r="BJ242" s="49"/>
      <c r="BK242" s="49"/>
      <c r="BL242" s="49"/>
      <c r="BM242" s="49"/>
      <c r="BN242" s="50"/>
      <c r="BO242" s="49"/>
      <c r="BP242" s="50"/>
      <c r="BQ242" s="49"/>
      <c r="BR242" s="50"/>
      <c r="BS242" s="49"/>
      <c r="BT242" s="50"/>
      <c r="BU242" s="49"/>
      <c r="BV242" s="2"/>
      <c r="BW242" s="3"/>
      <c r="BX242" s="3"/>
      <c r="BY242" s="3"/>
      <c r="BZ242" s="3"/>
    </row>
    <row r="243" spans="1:78" ht="41.45" customHeight="1">
      <c r="A243" s="66" t="s">
        <v>411</v>
      </c>
      <c r="C243" s="67"/>
      <c r="D243" s="67" t="s">
        <v>64</v>
      </c>
      <c r="E243" s="68">
        <v>162.48671371583615</v>
      </c>
      <c r="F243" s="70">
        <v>99.99895036134684</v>
      </c>
      <c r="G243" s="106" t="str">
        <f>HYPERLINK("https://pbs.twimg.com/profile_images/1374294021590425600/tDuuhz4m_normal.jpg")</f>
        <v>https://pbs.twimg.com/profile_images/1374294021590425600/tDuuhz4m_normal.jpg</v>
      </c>
      <c r="H243" s="67"/>
      <c r="I243" s="71" t="s">
        <v>411</v>
      </c>
      <c r="J243" s="72"/>
      <c r="K243" s="72"/>
      <c r="L243" s="71" t="s">
        <v>3123</v>
      </c>
      <c r="M243" s="75">
        <v>1.349809575140936</v>
      </c>
      <c r="N243" s="76">
        <v>3482.93359375</v>
      </c>
      <c r="O243" s="76">
        <v>4610.28466796875</v>
      </c>
      <c r="P243" s="77"/>
      <c r="Q243" s="78"/>
      <c r="R243" s="78"/>
      <c r="S243" s="92"/>
      <c r="T243" s="49">
        <v>1</v>
      </c>
      <c r="U243" s="49">
        <v>1</v>
      </c>
      <c r="V243" s="50">
        <v>0</v>
      </c>
      <c r="W243" s="50">
        <v>0</v>
      </c>
      <c r="X243" s="50">
        <v>0</v>
      </c>
      <c r="Y243" s="50">
        <v>0.999998</v>
      </c>
      <c r="Z243" s="50">
        <v>0</v>
      </c>
      <c r="AA243" s="50">
        <v>0</v>
      </c>
      <c r="AB243" s="73">
        <v>243</v>
      </c>
      <c r="AC243" s="73"/>
      <c r="AD243" s="74"/>
      <c r="AE243" s="81" t="s">
        <v>2155</v>
      </c>
      <c r="AF243" s="86" t="s">
        <v>2422</v>
      </c>
      <c r="AG243" s="81">
        <v>5002</v>
      </c>
      <c r="AH243" s="81">
        <v>2585</v>
      </c>
      <c r="AI243" s="81">
        <v>20338</v>
      </c>
      <c r="AJ243" s="81">
        <v>22773</v>
      </c>
      <c r="AK243" s="81"/>
      <c r="AL243" s="81" t="s">
        <v>2688</v>
      </c>
      <c r="AM243" s="81" t="s">
        <v>2862</v>
      </c>
      <c r="AN243" s="81"/>
      <c r="AO243" s="81"/>
      <c r="AP243" s="83">
        <v>41498.588912037034</v>
      </c>
      <c r="AQ243" s="88" t="str">
        <f>HYPERLINK("https://pbs.twimg.com/profile_banners/1665136896/1591288812")</f>
        <v>https://pbs.twimg.com/profile_banners/1665136896/1591288812</v>
      </c>
      <c r="AR243" s="81" t="b">
        <v>1</v>
      </c>
      <c r="AS243" s="81" t="b">
        <v>0</v>
      </c>
      <c r="AT243" s="81" t="b">
        <v>0</v>
      </c>
      <c r="AU243" s="81"/>
      <c r="AV243" s="81">
        <v>57</v>
      </c>
      <c r="AW243" s="88" t="str">
        <f>HYPERLINK("https://abs.twimg.com/images/themes/theme1/bg.png")</f>
        <v>https://abs.twimg.com/images/themes/theme1/bg.png</v>
      </c>
      <c r="AX243" s="81" t="b">
        <v>0</v>
      </c>
      <c r="AY243" s="81" t="s">
        <v>2883</v>
      </c>
      <c r="AZ243" s="88" t="str">
        <f>HYPERLINK("https://twitter.com/caryncoxphealth")</f>
        <v>https://twitter.com/caryncoxphealth</v>
      </c>
      <c r="BA243" s="81" t="s">
        <v>66</v>
      </c>
      <c r="BB243" s="81" t="str">
        <f>REPLACE(INDEX(GroupVertices[Group],MATCH(Vertices[[#This Row],[Vertex]],GroupVertices[Vertex],0)),1,1,"")</f>
        <v>1</v>
      </c>
      <c r="BC243" s="49"/>
      <c r="BD243" s="49"/>
      <c r="BE243" s="49"/>
      <c r="BF243" s="49"/>
      <c r="BG243" s="49" t="s">
        <v>961</v>
      </c>
      <c r="BH243" s="49" t="s">
        <v>961</v>
      </c>
      <c r="BI243" s="113" t="s">
        <v>3689</v>
      </c>
      <c r="BJ243" s="113" t="s">
        <v>3689</v>
      </c>
      <c r="BK243" s="113" t="s">
        <v>3866</v>
      </c>
      <c r="BL243" s="113" t="s">
        <v>3866</v>
      </c>
      <c r="BM243" s="113">
        <v>0</v>
      </c>
      <c r="BN243" s="116">
        <v>0</v>
      </c>
      <c r="BO243" s="113">
        <v>2</v>
      </c>
      <c r="BP243" s="116">
        <v>6.0606060606060606</v>
      </c>
      <c r="BQ243" s="113">
        <v>0</v>
      </c>
      <c r="BR243" s="116">
        <v>0</v>
      </c>
      <c r="BS243" s="113">
        <v>31</v>
      </c>
      <c r="BT243" s="116">
        <v>93.93939393939394</v>
      </c>
      <c r="BU243" s="113">
        <v>33</v>
      </c>
      <c r="BV243" s="2"/>
      <c r="BW243" s="3"/>
      <c r="BX243" s="3"/>
      <c r="BY243" s="3"/>
      <c r="BZ243" s="3"/>
    </row>
    <row r="244" spans="1:78" ht="41.45" customHeight="1">
      <c r="A244" s="66" t="s">
        <v>412</v>
      </c>
      <c r="C244" s="67"/>
      <c r="D244" s="67" t="s">
        <v>64</v>
      </c>
      <c r="E244" s="68">
        <v>162.0245053381327</v>
      </c>
      <c r="F244" s="70">
        <v>99.99994715219795</v>
      </c>
      <c r="G244" s="106" t="str">
        <f>HYPERLINK("https://pbs.twimg.com/profile_images/1282287785337073664/L9B7AUf__normal.jpg")</f>
        <v>https://pbs.twimg.com/profile_images/1282287785337073664/L9B7AUf__normal.jpg</v>
      </c>
      <c r="H244" s="67"/>
      <c r="I244" s="71" t="s">
        <v>412</v>
      </c>
      <c r="J244" s="72"/>
      <c r="K244" s="72"/>
      <c r="L244" s="71" t="s">
        <v>3124</v>
      </c>
      <c r="M244" s="75">
        <v>1.017612410832038</v>
      </c>
      <c r="N244" s="76">
        <v>1919.192626953125</v>
      </c>
      <c r="O244" s="76">
        <v>7724.00830078125</v>
      </c>
      <c r="P244" s="77"/>
      <c r="Q244" s="78"/>
      <c r="R244" s="78"/>
      <c r="S244" s="92"/>
      <c r="T244" s="49">
        <v>1</v>
      </c>
      <c r="U244" s="49">
        <v>1</v>
      </c>
      <c r="V244" s="50">
        <v>0</v>
      </c>
      <c r="W244" s="50">
        <v>0</v>
      </c>
      <c r="X244" s="50">
        <v>0</v>
      </c>
      <c r="Y244" s="50">
        <v>0.999998</v>
      </c>
      <c r="Z244" s="50">
        <v>0</v>
      </c>
      <c r="AA244" s="50">
        <v>0</v>
      </c>
      <c r="AB244" s="73">
        <v>244</v>
      </c>
      <c r="AC244" s="73"/>
      <c r="AD244" s="74"/>
      <c r="AE244" s="81" t="s">
        <v>2156</v>
      </c>
      <c r="AF244" s="86" t="s">
        <v>2423</v>
      </c>
      <c r="AG244" s="81">
        <v>495</v>
      </c>
      <c r="AH244" s="81">
        <v>133</v>
      </c>
      <c r="AI244" s="81">
        <v>197</v>
      </c>
      <c r="AJ244" s="81">
        <v>1363</v>
      </c>
      <c r="AK244" s="81"/>
      <c r="AL244" s="81" t="s">
        <v>2689</v>
      </c>
      <c r="AM244" s="81" t="s">
        <v>2769</v>
      </c>
      <c r="AN244" s="81"/>
      <c r="AO244" s="81"/>
      <c r="AP244" s="83">
        <v>43494.595300925925</v>
      </c>
      <c r="AQ244" s="88" t="str">
        <f>HYPERLINK("https://pbs.twimg.com/profile_banners/1090252530741923840/1587710379")</f>
        <v>https://pbs.twimg.com/profile_banners/1090252530741923840/1587710379</v>
      </c>
      <c r="AR244" s="81" t="b">
        <v>1</v>
      </c>
      <c r="AS244" s="81" t="b">
        <v>0</v>
      </c>
      <c r="AT244" s="81" t="b">
        <v>1</v>
      </c>
      <c r="AU244" s="81"/>
      <c r="AV244" s="81">
        <v>1</v>
      </c>
      <c r="AW244" s="81"/>
      <c r="AX244" s="81" t="b">
        <v>0</v>
      </c>
      <c r="AY244" s="81" t="s">
        <v>2883</v>
      </c>
      <c r="AZ244" s="88" t="str">
        <f>HYPERLINK("https://twitter.com/ellacasale")</f>
        <v>https://twitter.com/ellacasale</v>
      </c>
      <c r="BA244" s="81" t="s">
        <v>66</v>
      </c>
      <c r="BB244" s="81" t="str">
        <f>REPLACE(INDEX(GroupVertices[Group],MATCH(Vertices[[#This Row],[Vertex]],GroupVertices[Vertex],0)),1,1,"")</f>
        <v>1</v>
      </c>
      <c r="BC244" s="49"/>
      <c r="BD244" s="49"/>
      <c r="BE244" s="49"/>
      <c r="BF244" s="49"/>
      <c r="BG244" s="49" t="s">
        <v>955</v>
      </c>
      <c r="BH244" s="49" t="s">
        <v>955</v>
      </c>
      <c r="BI244" s="113" t="s">
        <v>3683</v>
      </c>
      <c r="BJ244" s="113" t="s">
        <v>3683</v>
      </c>
      <c r="BK244" s="113" t="s">
        <v>3860</v>
      </c>
      <c r="BL244" s="113" t="s">
        <v>3860</v>
      </c>
      <c r="BM244" s="113">
        <v>0</v>
      </c>
      <c r="BN244" s="116">
        <v>0</v>
      </c>
      <c r="BO244" s="113">
        <v>2</v>
      </c>
      <c r="BP244" s="116">
        <v>6.0606060606060606</v>
      </c>
      <c r="BQ244" s="113">
        <v>0</v>
      </c>
      <c r="BR244" s="116">
        <v>0</v>
      </c>
      <c r="BS244" s="113">
        <v>31</v>
      </c>
      <c r="BT244" s="116">
        <v>93.93939393939394</v>
      </c>
      <c r="BU244" s="113">
        <v>33</v>
      </c>
      <c r="BV244" s="2"/>
      <c r="BW244" s="3"/>
      <c r="BX244" s="3"/>
      <c r="BY244" s="3"/>
      <c r="BZ244" s="3"/>
    </row>
    <row r="245" spans="1:78" ht="41.45" customHeight="1">
      <c r="A245" s="66" t="s">
        <v>413</v>
      </c>
      <c r="C245" s="67"/>
      <c r="D245" s="67" t="s">
        <v>64</v>
      </c>
      <c r="E245" s="68">
        <v>162.1213956750575</v>
      </c>
      <c r="F245" s="70">
        <v>99.99973820011904</v>
      </c>
      <c r="G245" s="106" t="str">
        <f>HYPERLINK("https://pbs.twimg.com/profile_images/1363097944862449665/o6eRkRJr_normal.jpg")</f>
        <v>https://pbs.twimg.com/profile_images/1363097944862449665/o6eRkRJr_normal.jpg</v>
      </c>
      <c r="H245" s="67"/>
      <c r="I245" s="71" t="s">
        <v>413</v>
      </c>
      <c r="J245" s="72"/>
      <c r="K245" s="72"/>
      <c r="L245" s="71" t="s">
        <v>3125</v>
      </c>
      <c r="M245" s="75">
        <v>1.087249173660249</v>
      </c>
      <c r="N245" s="76">
        <v>2701.063232421875</v>
      </c>
      <c r="O245" s="76">
        <v>6167.146484375</v>
      </c>
      <c r="P245" s="77"/>
      <c r="Q245" s="78"/>
      <c r="R245" s="78"/>
      <c r="S245" s="92"/>
      <c r="T245" s="49">
        <v>1</v>
      </c>
      <c r="U245" s="49">
        <v>1</v>
      </c>
      <c r="V245" s="50">
        <v>0</v>
      </c>
      <c r="W245" s="50">
        <v>0</v>
      </c>
      <c r="X245" s="50">
        <v>0</v>
      </c>
      <c r="Y245" s="50">
        <v>0.999998</v>
      </c>
      <c r="Z245" s="50">
        <v>0</v>
      </c>
      <c r="AA245" s="50">
        <v>0</v>
      </c>
      <c r="AB245" s="73">
        <v>245</v>
      </c>
      <c r="AC245" s="73"/>
      <c r="AD245" s="74"/>
      <c r="AE245" s="81" t="s">
        <v>2157</v>
      </c>
      <c r="AF245" s="86" t="s">
        <v>2424</v>
      </c>
      <c r="AG245" s="81">
        <v>1281</v>
      </c>
      <c r="AH245" s="81">
        <v>647</v>
      </c>
      <c r="AI245" s="81">
        <v>2692</v>
      </c>
      <c r="AJ245" s="81">
        <v>4277</v>
      </c>
      <c r="AK245" s="81"/>
      <c r="AL245" s="81" t="s">
        <v>2690</v>
      </c>
      <c r="AM245" s="81" t="s">
        <v>2863</v>
      </c>
      <c r="AN245" s="88" t="str">
        <f>HYPERLINK("https://t.co/InL0GbBwN8")</f>
        <v>https://t.co/InL0GbBwN8</v>
      </c>
      <c r="AO245" s="81"/>
      <c r="AP245" s="83">
        <v>41651.96591435185</v>
      </c>
      <c r="AQ245" s="88" t="str">
        <f>HYPERLINK("https://pbs.twimg.com/profile_banners/2288794207/1622878046")</f>
        <v>https://pbs.twimg.com/profile_banners/2288794207/1622878046</v>
      </c>
      <c r="AR245" s="81" t="b">
        <v>1</v>
      </c>
      <c r="AS245" s="81" t="b">
        <v>0</v>
      </c>
      <c r="AT245" s="81" t="b">
        <v>1</v>
      </c>
      <c r="AU245" s="81"/>
      <c r="AV245" s="81">
        <v>7</v>
      </c>
      <c r="AW245" s="88" t="str">
        <f>HYPERLINK("https://abs.twimg.com/images/themes/theme1/bg.png")</f>
        <v>https://abs.twimg.com/images/themes/theme1/bg.png</v>
      </c>
      <c r="AX245" s="81" t="b">
        <v>0</v>
      </c>
      <c r="AY245" s="81" t="s">
        <v>2883</v>
      </c>
      <c r="AZ245" s="88" t="str">
        <f>HYPERLINK("https://twitter.com/ejmille1")</f>
        <v>https://twitter.com/ejmille1</v>
      </c>
      <c r="BA245" s="81" t="s">
        <v>66</v>
      </c>
      <c r="BB245" s="81" t="str">
        <f>REPLACE(INDEX(GroupVertices[Group],MATCH(Vertices[[#This Row],[Vertex]],GroupVertices[Vertex],0)),1,1,"")</f>
        <v>1</v>
      </c>
      <c r="BC245" s="49"/>
      <c r="BD245" s="49"/>
      <c r="BE245" s="49"/>
      <c r="BF245" s="49"/>
      <c r="BG245" s="49" t="s">
        <v>1104</v>
      </c>
      <c r="BH245" s="49" t="s">
        <v>1104</v>
      </c>
      <c r="BI245" s="113" t="s">
        <v>3790</v>
      </c>
      <c r="BJ245" s="113" t="s">
        <v>3790</v>
      </c>
      <c r="BK245" s="113" t="s">
        <v>3966</v>
      </c>
      <c r="BL245" s="113" t="s">
        <v>3966</v>
      </c>
      <c r="BM245" s="113">
        <v>1</v>
      </c>
      <c r="BN245" s="116">
        <v>3.0303030303030303</v>
      </c>
      <c r="BO245" s="113">
        <v>3</v>
      </c>
      <c r="BP245" s="116">
        <v>9.090909090909092</v>
      </c>
      <c r="BQ245" s="113">
        <v>0</v>
      </c>
      <c r="BR245" s="116">
        <v>0</v>
      </c>
      <c r="BS245" s="113">
        <v>29</v>
      </c>
      <c r="BT245" s="116">
        <v>87.87878787878788</v>
      </c>
      <c r="BU245" s="113">
        <v>33</v>
      </c>
      <c r="BV245" s="2"/>
      <c r="BW245" s="3"/>
      <c r="BX245" s="3"/>
      <c r="BY245" s="3"/>
      <c r="BZ245" s="3"/>
    </row>
    <row r="246" spans="1:78" ht="41.45" customHeight="1">
      <c r="A246" s="66" t="s">
        <v>414</v>
      </c>
      <c r="C246" s="67"/>
      <c r="D246" s="67" t="s">
        <v>64</v>
      </c>
      <c r="E246" s="68">
        <v>162.05975532452365</v>
      </c>
      <c r="F246" s="70">
        <v>99.9998711326673</v>
      </c>
      <c r="G246" s="106" t="str">
        <f>HYPERLINK("https://pbs.twimg.com/profile_images/1146129915017719808/WvQfUAM-_normal.png")</f>
        <v>https://pbs.twimg.com/profile_images/1146129915017719808/WvQfUAM-_normal.png</v>
      </c>
      <c r="H246" s="67"/>
      <c r="I246" s="71" t="s">
        <v>414</v>
      </c>
      <c r="J246" s="72"/>
      <c r="K246" s="72"/>
      <c r="L246" s="71" t="s">
        <v>3126</v>
      </c>
      <c r="M246" s="75">
        <v>1.0429471864135076</v>
      </c>
      <c r="N246" s="76">
        <v>3091.998291015625</v>
      </c>
      <c r="O246" s="76">
        <v>6945.5771484375</v>
      </c>
      <c r="P246" s="77"/>
      <c r="Q246" s="78"/>
      <c r="R246" s="78"/>
      <c r="S246" s="92"/>
      <c r="T246" s="49">
        <v>1</v>
      </c>
      <c r="U246" s="49">
        <v>1</v>
      </c>
      <c r="V246" s="50">
        <v>0</v>
      </c>
      <c r="W246" s="50">
        <v>0</v>
      </c>
      <c r="X246" s="50">
        <v>0</v>
      </c>
      <c r="Y246" s="50">
        <v>0.999998</v>
      </c>
      <c r="Z246" s="50">
        <v>0</v>
      </c>
      <c r="AA246" s="50">
        <v>0</v>
      </c>
      <c r="AB246" s="73">
        <v>246</v>
      </c>
      <c r="AC246" s="73"/>
      <c r="AD246" s="74"/>
      <c r="AE246" s="81" t="s">
        <v>2158</v>
      </c>
      <c r="AF246" s="86" t="s">
        <v>2425</v>
      </c>
      <c r="AG246" s="81">
        <v>118</v>
      </c>
      <c r="AH246" s="81">
        <v>320</v>
      </c>
      <c r="AI246" s="81">
        <v>202</v>
      </c>
      <c r="AJ246" s="81">
        <v>229</v>
      </c>
      <c r="AK246" s="81"/>
      <c r="AL246" s="81" t="s">
        <v>2691</v>
      </c>
      <c r="AM246" s="81" t="s">
        <v>2810</v>
      </c>
      <c r="AN246" s="88" t="str">
        <f>HYPERLINK("https://t.co/hU2jHM2tmn")</f>
        <v>https://t.co/hU2jHM2tmn</v>
      </c>
      <c r="AO246" s="81"/>
      <c r="AP246" s="83">
        <v>42587.391122685185</v>
      </c>
      <c r="AQ246" s="88" t="str">
        <f>HYPERLINK("https://pbs.twimg.com/profile_banners/761492744435032064/1632142335")</f>
        <v>https://pbs.twimg.com/profile_banners/761492744435032064/1632142335</v>
      </c>
      <c r="AR246" s="81" t="b">
        <v>1</v>
      </c>
      <c r="AS246" s="81" t="b">
        <v>0</v>
      </c>
      <c r="AT246" s="81" t="b">
        <v>0</v>
      </c>
      <c r="AU246" s="81"/>
      <c r="AV246" s="81">
        <v>13</v>
      </c>
      <c r="AW246" s="81"/>
      <c r="AX246" s="81" t="b">
        <v>0</v>
      </c>
      <c r="AY246" s="81" t="s">
        <v>2883</v>
      </c>
      <c r="AZ246" s="88" t="str">
        <f>HYPERLINK("https://twitter.com/dayzerodx")</f>
        <v>https://twitter.com/dayzerodx</v>
      </c>
      <c r="BA246" s="81" t="s">
        <v>66</v>
      </c>
      <c r="BB246" s="81" t="str">
        <f>REPLACE(INDEX(GroupVertices[Group],MATCH(Vertices[[#This Row],[Vertex]],GroupVertices[Vertex],0)),1,1,"")</f>
        <v>1</v>
      </c>
      <c r="BC246" s="49"/>
      <c r="BD246" s="49"/>
      <c r="BE246" s="49"/>
      <c r="BF246" s="49"/>
      <c r="BG246" s="49" t="s">
        <v>1105</v>
      </c>
      <c r="BH246" s="49" t="s">
        <v>1105</v>
      </c>
      <c r="BI246" s="113" t="s">
        <v>3791</v>
      </c>
      <c r="BJ246" s="113" t="s">
        <v>3791</v>
      </c>
      <c r="BK246" s="113" t="s">
        <v>3967</v>
      </c>
      <c r="BL246" s="113" t="s">
        <v>3967</v>
      </c>
      <c r="BM246" s="113">
        <v>0</v>
      </c>
      <c r="BN246" s="116">
        <v>0</v>
      </c>
      <c r="BO246" s="113">
        <v>0</v>
      </c>
      <c r="BP246" s="116">
        <v>0</v>
      </c>
      <c r="BQ246" s="113">
        <v>0</v>
      </c>
      <c r="BR246" s="116">
        <v>0</v>
      </c>
      <c r="BS246" s="113">
        <v>15</v>
      </c>
      <c r="BT246" s="116">
        <v>100</v>
      </c>
      <c r="BU246" s="113">
        <v>15</v>
      </c>
      <c r="BV246" s="2"/>
      <c r="BW246" s="3"/>
      <c r="BX246" s="3"/>
      <c r="BY246" s="3"/>
      <c r="BZ246" s="3"/>
    </row>
    <row r="247" spans="1:78" ht="41.45" customHeight="1">
      <c r="A247" s="66" t="s">
        <v>415</v>
      </c>
      <c r="C247" s="67"/>
      <c r="D247" s="67" t="s">
        <v>64</v>
      </c>
      <c r="E247" s="68">
        <v>162.00301604161635</v>
      </c>
      <c r="F247" s="70">
        <v>99.99999349565513</v>
      </c>
      <c r="G247" s="106" t="str">
        <f>HYPERLINK("https://pbs.twimg.com/profile_images/1326520165853503488/f-GFFe_d_normal.jpg")</f>
        <v>https://pbs.twimg.com/profile_images/1326520165853503488/f-GFFe_d_normal.jpg</v>
      </c>
      <c r="H247" s="67"/>
      <c r="I247" s="71" t="s">
        <v>415</v>
      </c>
      <c r="J247" s="72"/>
      <c r="K247" s="72"/>
      <c r="L247" s="71" t="s">
        <v>3127</v>
      </c>
      <c r="M247" s="75">
        <v>1.002167681333174</v>
      </c>
      <c r="N247" s="76">
        <v>3091.998291015625</v>
      </c>
      <c r="O247" s="76">
        <v>9280.87109375</v>
      </c>
      <c r="P247" s="77"/>
      <c r="Q247" s="78"/>
      <c r="R247" s="78"/>
      <c r="S247" s="92"/>
      <c r="T247" s="49">
        <v>1</v>
      </c>
      <c r="U247" s="49">
        <v>1</v>
      </c>
      <c r="V247" s="50">
        <v>0</v>
      </c>
      <c r="W247" s="50">
        <v>0</v>
      </c>
      <c r="X247" s="50">
        <v>0</v>
      </c>
      <c r="Y247" s="50">
        <v>0.999998</v>
      </c>
      <c r="Z247" s="50">
        <v>0</v>
      </c>
      <c r="AA247" s="50">
        <v>0</v>
      </c>
      <c r="AB247" s="73">
        <v>247</v>
      </c>
      <c r="AC247" s="73"/>
      <c r="AD247" s="74"/>
      <c r="AE247" s="81" t="s">
        <v>2159</v>
      </c>
      <c r="AF247" s="86" t="s">
        <v>2426</v>
      </c>
      <c r="AG247" s="81">
        <v>25</v>
      </c>
      <c r="AH247" s="81">
        <v>19</v>
      </c>
      <c r="AI247" s="81">
        <v>11</v>
      </c>
      <c r="AJ247" s="81">
        <v>5</v>
      </c>
      <c r="AK247" s="81"/>
      <c r="AL247" s="81" t="s">
        <v>2692</v>
      </c>
      <c r="AM247" s="81"/>
      <c r="AN247" s="81"/>
      <c r="AO247" s="81"/>
      <c r="AP247" s="83">
        <v>44146.55569444445</v>
      </c>
      <c r="AQ247" s="88" t="str">
        <f>HYPERLINK("https://pbs.twimg.com/profile_banners/1326514840152772612/1605102028")</f>
        <v>https://pbs.twimg.com/profile_banners/1326514840152772612/1605102028</v>
      </c>
      <c r="AR247" s="81" t="b">
        <v>1</v>
      </c>
      <c r="AS247" s="81" t="b">
        <v>0</v>
      </c>
      <c r="AT247" s="81" t="b">
        <v>0</v>
      </c>
      <c r="AU247" s="81"/>
      <c r="AV247" s="81">
        <v>0</v>
      </c>
      <c r="AW247" s="81"/>
      <c r="AX247" s="81" t="b">
        <v>0</v>
      </c>
      <c r="AY247" s="81" t="s">
        <v>2883</v>
      </c>
      <c r="AZ247" s="88" t="str">
        <f>HYPERLINK("https://twitter.com/ahcpgy1")</f>
        <v>https://twitter.com/ahcpgy1</v>
      </c>
      <c r="BA247" s="81" t="s">
        <v>66</v>
      </c>
      <c r="BB247" s="81" t="str">
        <f>REPLACE(INDEX(GroupVertices[Group],MATCH(Vertices[[#This Row],[Vertex]],GroupVertices[Vertex],0)),1,1,"")</f>
        <v>1</v>
      </c>
      <c r="BC247" s="49" t="s">
        <v>3587</v>
      </c>
      <c r="BD247" s="49" t="s">
        <v>3587</v>
      </c>
      <c r="BE247" s="49" t="s">
        <v>903</v>
      </c>
      <c r="BF247" s="49" t="s">
        <v>903</v>
      </c>
      <c r="BG247" s="49" t="s">
        <v>3636</v>
      </c>
      <c r="BH247" s="49" t="s">
        <v>3672</v>
      </c>
      <c r="BI247" s="113" t="s">
        <v>3792</v>
      </c>
      <c r="BJ247" s="113" t="s">
        <v>3848</v>
      </c>
      <c r="BK247" s="113" t="s">
        <v>3968</v>
      </c>
      <c r="BL247" s="113" t="s">
        <v>4007</v>
      </c>
      <c r="BM247" s="113">
        <v>1</v>
      </c>
      <c r="BN247" s="116">
        <v>1.5151515151515151</v>
      </c>
      <c r="BO247" s="113">
        <v>3</v>
      </c>
      <c r="BP247" s="116">
        <v>4.545454545454546</v>
      </c>
      <c r="BQ247" s="113">
        <v>0</v>
      </c>
      <c r="BR247" s="116">
        <v>0</v>
      </c>
      <c r="BS247" s="113">
        <v>62</v>
      </c>
      <c r="BT247" s="116">
        <v>93.93939393939394</v>
      </c>
      <c r="BU247" s="113">
        <v>66</v>
      </c>
      <c r="BV247" s="2"/>
      <c r="BW247" s="3"/>
      <c r="BX247" s="3"/>
      <c r="BY247" s="3"/>
      <c r="BZ247" s="3"/>
    </row>
    <row r="248" spans="1:78" ht="41.45" customHeight="1">
      <c r="A248" s="66" t="s">
        <v>416</v>
      </c>
      <c r="C248" s="67"/>
      <c r="D248" s="67" t="s">
        <v>64</v>
      </c>
      <c r="E248" s="68">
        <v>162.01036764305616</v>
      </c>
      <c r="F248" s="70">
        <v>99.99997764131452</v>
      </c>
      <c r="G248" s="106" t="str">
        <f>HYPERLINK("https://pbs.twimg.com/profile_images/1359964426821058565/PZSLWcC6_normal.jpg")</f>
        <v>https://pbs.twimg.com/profile_images/1359964426821058565/PZSLWcC6_normal.jpg</v>
      </c>
      <c r="H248" s="67"/>
      <c r="I248" s="71" t="s">
        <v>416</v>
      </c>
      <c r="J248" s="72"/>
      <c r="K248" s="72"/>
      <c r="L248" s="71" t="s">
        <v>3128</v>
      </c>
      <c r="M248" s="75">
        <v>1.0074514045827851</v>
      </c>
      <c r="N248" s="76">
        <v>1919.192626953125</v>
      </c>
      <c r="O248" s="76">
        <v>8502.439453125</v>
      </c>
      <c r="P248" s="77"/>
      <c r="Q248" s="78"/>
      <c r="R248" s="78"/>
      <c r="S248" s="92"/>
      <c r="T248" s="49">
        <v>1</v>
      </c>
      <c r="U248" s="49">
        <v>1</v>
      </c>
      <c r="V248" s="50">
        <v>0</v>
      </c>
      <c r="W248" s="50">
        <v>0</v>
      </c>
      <c r="X248" s="50">
        <v>0</v>
      </c>
      <c r="Y248" s="50">
        <v>0.999998</v>
      </c>
      <c r="Z248" s="50">
        <v>0</v>
      </c>
      <c r="AA248" s="50">
        <v>0</v>
      </c>
      <c r="AB248" s="73">
        <v>248</v>
      </c>
      <c r="AC248" s="73"/>
      <c r="AD248" s="74"/>
      <c r="AE248" s="81" t="s">
        <v>2160</v>
      </c>
      <c r="AF248" s="86" t="s">
        <v>2427</v>
      </c>
      <c r="AG248" s="81">
        <v>140</v>
      </c>
      <c r="AH248" s="81">
        <v>58</v>
      </c>
      <c r="AI248" s="81">
        <v>136</v>
      </c>
      <c r="AJ248" s="81">
        <v>119</v>
      </c>
      <c r="AK248" s="81"/>
      <c r="AL248" s="81" t="s">
        <v>2693</v>
      </c>
      <c r="AM248" s="81" t="s">
        <v>2769</v>
      </c>
      <c r="AN248" s="81"/>
      <c r="AO248" s="81"/>
      <c r="AP248" s="83">
        <v>40103.46857638889</v>
      </c>
      <c r="AQ248" s="88" t="str">
        <f>HYPERLINK("https://pbs.twimg.com/profile_banners/83110204/1605706090")</f>
        <v>https://pbs.twimg.com/profile_banners/83110204/1605706090</v>
      </c>
      <c r="AR248" s="81" t="b">
        <v>0</v>
      </c>
      <c r="AS248" s="81" t="b">
        <v>0</v>
      </c>
      <c r="AT248" s="81" t="b">
        <v>1</v>
      </c>
      <c r="AU248" s="81"/>
      <c r="AV248" s="81">
        <v>0</v>
      </c>
      <c r="AW248" s="88" t="str">
        <f>HYPERLINK("https://abs.twimg.com/images/themes/theme1/bg.png")</f>
        <v>https://abs.twimg.com/images/themes/theme1/bg.png</v>
      </c>
      <c r="AX248" s="81" t="b">
        <v>0</v>
      </c>
      <c r="AY248" s="81" t="s">
        <v>2883</v>
      </c>
      <c r="AZ248" s="88" t="str">
        <f>HYPERLINK("https://twitter.com/ameliahma")</f>
        <v>https://twitter.com/ameliahma</v>
      </c>
      <c r="BA248" s="81" t="s">
        <v>66</v>
      </c>
      <c r="BB248" s="81" t="str">
        <f>REPLACE(INDEX(GroupVertices[Group],MATCH(Vertices[[#This Row],[Vertex]],GroupVertices[Vertex],0)),1,1,"")</f>
        <v>1</v>
      </c>
      <c r="BC248" s="49"/>
      <c r="BD248" s="49"/>
      <c r="BE248" s="49"/>
      <c r="BF248" s="49"/>
      <c r="BG248" s="49" t="s">
        <v>955</v>
      </c>
      <c r="BH248" s="49" t="s">
        <v>955</v>
      </c>
      <c r="BI248" s="113" t="s">
        <v>3683</v>
      </c>
      <c r="BJ248" s="113" t="s">
        <v>3683</v>
      </c>
      <c r="BK248" s="113" t="s">
        <v>3860</v>
      </c>
      <c r="BL248" s="113" t="s">
        <v>3860</v>
      </c>
      <c r="BM248" s="113">
        <v>0</v>
      </c>
      <c r="BN248" s="116">
        <v>0</v>
      </c>
      <c r="BO248" s="113">
        <v>2</v>
      </c>
      <c r="BP248" s="116">
        <v>6.0606060606060606</v>
      </c>
      <c r="BQ248" s="113">
        <v>0</v>
      </c>
      <c r="BR248" s="116">
        <v>0</v>
      </c>
      <c r="BS248" s="113">
        <v>31</v>
      </c>
      <c r="BT248" s="116">
        <v>93.93939393939394</v>
      </c>
      <c r="BU248" s="113">
        <v>33</v>
      </c>
      <c r="BV248" s="2"/>
      <c r="BW248" s="3"/>
      <c r="BX248" s="3"/>
      <c r="BY248" s="3"/>
      <c r="BZ248" s="3"/>
    </row>
    <row r="249" spans="1:78" ht="41.45" customHeight="1">
      <c r="A249" s="66" t="s">
        <v>417</v>
      </c>
      <c r="C249" s="67"/>
      <c r="D249" s="67" t="s">
        <v>64</v>
      </c>
      <c r="E249" s="68">
        <v>163.204343117923</v>
      </c>
      <c r="F249" s="70">
        <v>99.9974027337897</v>
      </c>
      <c r="G249" s="106" t="str">
        <f>HYPERLINK("https://pbs.twimg.com/profile_images/951857113462116352/iL9a2LcY_normal.jpg")</f>
        <v>https://pbs.twimg.com/profile_images/951857113462116352/iL9a2LcY_normal.jpg</v>
      </c>
      <c r="H249" s="67"/>
      <c r="I249" s="71" t="s">
        <v>417</v>
      </c>
      <c r="J249" s="72"/>
      <c r="K249" s="72"/>
      <c r="L249" s="71" t="s">
        <v>3129</v>
      </c>
      <c r="M249" s="75">
        <v>1.8655822523529975</v>
      </c>
      <c r="N249" s="76">
        <v>8975.1015625</v>
      </c>
      <c r="O249" s="76">
        <v>3097.278076171875</v>
      </c>
      <c r="P249" s="77"/>
      <c r="Q249" s="78"/>
      <c r="R249" s="78"/>
      <c r="S249" s="92"/>
      <c r="T249" s="49">
        <v>0</v>
      </c>
      <c r="U249" s="49">
        <v>1</v>
      </c>
      <c r="V249" s="50">
        <v>0</v>
      </c>
      <c r="W249" s="50">
        <v>1</v>
      </c>
      <c r="X249" s="50">
        <v>0</v>
      </c>
      <c r="Y249" s="50">
        <v>0.999998</v>
      </c>
      <c r="Z249" s="50">
        <v>0</v>
      </c>
      <c r="AA249" s="50">
        <v>0</v>
      </c>
      <c r="AB249" s="73">
        <v>249</v>
      </c>
      <c r="AC249" s="73"/>
      <c r="AD249" s="74"/>
      <c r="AE249" s="81" t="s">
        <v>2161</v>
      </c>
      <c r="AF249" s="86" t="s">
        <v>2428</v>
      </c>
      <c r="AG249" s="81">
        <v>867</v>
      </c>
      <c r="AH249" s="81">
        <v>6392</v>
      </c>
      <c r="AI249" s="81">
        <v>28623</v>
      </c>
      <c r="AJ249" s="81">
        <v>5981</v>
      </c>
      <c r="AK249" s="81"/>
      <c r="AL249" s="81" t="s">
        <v>2694</v>
      </c>
      <c r="AM249" s="81" t="s">
        <v>2864</v>
      </c>
      <c r="AN249" s="88" t="str">
        <f>HYPERLINK("https://t.co/epYEPOpqd5")</f>
        <v>https://t.co/epYEPOpqd5</v>
      </c>
      <c r="AO249" s="81"/>
      <c r="AP249" s="83">
        <v>42398.663136574076</v>
      </c>
      <c r="AQ249" s="88" t="str">
        <f>HYPERLINK("https://pbs.twimg.com/profile_banners/4860678929/1559738453")</f>
        <v>https://pbs.twimg.com/profile_banners/4860678929/1559738453</v>
      </c>
      <c r="AR249" s="81" t="b">
        <v>0</v>
      </c>
      <c r="AS249" s="81" t="b">
        <v>0</v>
      </c>
      <c r="AT249" s="81" t="b">
        <v>0</v>
      </c>
      <c r="AU249" s="81"/>
      <c r="AV249" s="81">
        <v>209</v>
      </c>
      <c r="AW249" s="88" t="str">
        <f>HYPERLINK("https://abs.twimg.com/images/themes/theme1/bg.png")</f>
        <v>https://abs.twimg.com/images/themes/theme1/bg.png</v>
      </c>
      <c r="AX249" s="81" t="b">
        <v>0</v>
      </c>
      <c r="AY249" s="81" t="s">
        <v>2883</v>
      </c>
      <c r="AZ249" s="88" t="str">
        <f>HYPERLINK("https://twitter.com/contagion_live")</f>
        <v>https://twitter.com/contagion_live</v>
      </c>
      <c r="BA249" s="81" t="s">
        <v>66</v>
      </c>
      <c r="BB249" s="81" t="str">
        <f>REPLACE(INDEX(GroupVertices[Group],MATCH(Vertices[[#This Row],[Vertex]],GroupVertices[Vertex],0)),1,1,"")</f>
        <v>17</v>
      </c>
      <c r="BC249" s="49" t="s">
        <v>3276</v>
      </c>
      <c r="BD249" s="49" t="s">
        <v>3276</v>
      </c>
      <c r="BE249" s="49" t="s">
        <v>941</v>
      </c>
      <c r="BF249" s="49" t="s">
        <v>941</v>
      </c>
      <c r="BG249" s="49" t="s">
        <v>1109</v>
      </c>
      <c r="BH249" s="49" t="s">
        <v>1109</v>
      </c>
      <c r="BI249" s="113" t="s">
        <v>3793</v>
      </c>
      <c r="BJ249" s="113" t="s">
        <v>3793</v>
      </c>
      <c r="BK249" s="113" t="s">
        <v>3969</v>
      </c>
      <c r="BL249" s="113" t="s">
        <v>3969</v>
      </c>
      <c r="BM249" s="113">
        <v>1</v>
      </c>
      <c r="BN249" s="116">
        <v>3.5714285714285716</v>
      </c>
      <c r="BO249" s="113">
        <v>0</v>
      </c>
      <c r="BP249" s="116">
        <v>0</v>
      </c>
      <c r="BQ249" s="113">
        <v>0</v>
      </c>
      <c r="BR249" s="116">
        <v>0</v>
      </c>
      <c r="BS249" s="113">
        <v>27</v>
      </c>
      <c r="BT249" s="116">
        <v>96.42857142857143</v>
      </c>
      <c r="BU249" s="113">
        <v>28</v>
      </c>
      <c r="BV249" s="2"/>
      <c r="BW249" s="3"/>
      <c r="BX249" s="3"/>
      <c r="BY249" s="3"/>
      <c r="BZ249" s="3"/>
    </row>
    <row r="250" spans="1:78" ht="41.45" customHeight="1">
      <c r="A250" s="66" t="s">
        <v>523</v>
      </c>
      <c r="C250" s="67"/>
      <c r="D250" s="67" t="s">
        <v>64</v>
      </c>
      <c r="E250" s="68">
        <v>178.63969009992437</v>
      </c>
      <c r="F250" s="70">
        <v>99.96411512283896</v>
      </c>
      <c r="G250" s="106" t="str">
        <f>HYPERLINK("https://pbs.twimg.com/profile_images/1153363055981584384/qkbQ4X_v_normal.jpg")</f>
        <v>https://pbs.twimg.com/profile_images/1153363055981584384/qkbQ4X_v_normal.jpg</v>
      </c>
      <c r="H250" s="67"/>
      <c r="I250" s="71" t="s">
        <v>523</v>
      </c>
      <c r="J250" s="72"/>
      <c r="K250" s="72"/>
      <c r="L250" s="71" t="s">
        <v>3130</v>
      </c>
      <c r="M250" s="75">
        <v>12.959233395203656</v>
      </c>
      <c r="N250" s="76">
        <v>8975.1015625</v>
      </c>
      <c r="O250" s="76">
        <v>2713.54443359375</v>
      </c>
      <c r="P250" s="77"/>
      <c r="Q250" s="78"/>
      <c r="R250" s="78"/>
      <c r="S250" s="92"/>
      <c r="T250" s="49">
        <v>1</v>
      </c>
      <c r="U250" s="49">
        <v>0</v>
      </c>
      <c r="V250" s="50">
        <v>0</v>
      </c>
      <c r="W250" s="50">
        <v>1</v>
      </c>
      <c r="X250" s="50">
        <v>0</v>
      </c>
      <c r="Y250" s="50">
        <v>0.999998</v>
      </c>
      <c r="Z250" s="50">
        <v>0</v>
      </c>
      <c r="AA250" s="50">
        <v>0</v>
      </c>
      <c r="AB250" s="73">
        <v>250</v>
      </c>
      <c r="AC250" s="73"/>
      <c r="AD250" s="74"/>
      <c r="AE250" s="81" t="s">
        <v>2162</v>
      </c>
      <c r="AF250" s="86" t="s">
        <v>2429</v>
      </c>
      <c r="AG250" s="81">
        <v>2144</v>
      </c>
      <c r="AH250" s="81">
        <v>88276</v>
      </c>
      <c r="AI250" s="81">
        <v>21897</v>
      </c>
      <c r="AJ250" s="81">
        <v>2882</v>
      </c>
      <c r="AK250" s="81"/>
      <c r="AL250" s="81" t="s">
        <v>2695</v>
      </c>
      <c r="AM250" s="81" t="s">
        <v>2762</v>
      </c>
      <c r="AN250" s="88" t="str">
        <f>HYPERLINK("https://t.co/md4r4wbVUS")</f>
        <v>https://t.co/md4r4wbVUS</v>
      </c>
      <c r="AO250" s="81"/>
      <c r="AP250" s="83">
        <v>39723.793020833335</v>
      </c>
      <c r="AQ250" s="88" t="str">
        <f>HYPERLINK("https://pbs.twimg.com/profile_banners/16564324/1626882039")</f>
        <v>https://pbs.twimg.com/profile_banners/16564324/1626882039</v>
      </c>
      <c r="AR250" s="81" t="b">
        <v>0</v>
      </c>
      <c r="AS250" s="81" t="b">
        <v>0</v>
      </c>
      <c r="AT250" s="81" t="b">
        <v>1</v>
      </c>
      <c r="AU250" s="81"/>
      <c r="AV250" s="81">
        <v>1711</v>
      </c>
      <c r="AW250" s="88" t="str">
        <f>HYPERLINK("https://abs.twimg.com/images/themes/theme1/bg.png")</f>
        <v>https://abs.twimg.com/images/themes/theme1/bg.png</v>
      </c>
      <c r="AX250" s="81" t="b">
        <v>1</v>
      </c>
      <c r="AY250" s="81" t="s">
        <v>2883</v>
      </c>
      <c r="AZ250" s="88" t="str">
        <f>HYPERLINK("https://twitter.com/thenasem")</f>
        <v>https://twitter.com/thenasem</v>
      </c>
      <c r="BA250" s="81" t="s">
        <v>65</v>
      </c>
      <c r="BB250" s="81" t="str">
        <f>REPLACE(INDEX(GroupVertices[Group],MATCH(Vertices[[#This Row],[Vertex]],GroupVertices[Vertex],0)),1,1,"")</f>
        <v>17</v>
      </c>
      <c r="BC250" s="49"/>
      <c r="BD250" s="49"/>
      <c r="BE250" s="49"/>
      <c r="BF250" s="49"/>
      <c r="BG250" s="49"/>
      <c r="BH250" s="49"/>
      <c r="BI250" s="49"/>
      <c r="BJ250" s="49"/>
      <c r="BK250" s="49"/>
      <c r="BL250" s="49"/>
      <c r="BM250" s="49"/>
      <c r="BN250" s="50"/>
      <c r="BO250" s="49"/>
      <c r="BP250" s="50"/>
      <c r="BQ250" s="49"/>
      <c r="BR250" s="50"/>
      <c r="BS250" s="49"/>
      <c r="BT250" s="50"/>
      <c r="BU250" s="49"/>
      <c r="BV250" s="2"/>
      <c r="BW250" s="3"/>
      <c r="BX250" s="3"/>
      <c r="BY250" s="3"/>
      <c r="BZ250" s="3"/>
    </row>
    <row r="251" spans="1:78" ht="41.45" customHeight="1">
      <c r="A251" s="66" t="s">
        <v>418</v>
      </c>
      <c r="C251" s="67"/>
      <c r="D251" s="67" t="s">
        <v>64</v>
      </c>
      <c r="E251" s="68">
        <v>162.02846389275416</v>
      </c>
      <c r="F251" s="70">
        <v>99.9999386152453</v>
      </c>
      <c r="G251" s="106" t="str">
        <f>HYPERLINK("https://pbs.twimg.com/profile_images/1414934526393032707/qf3mPaE9_normal.jpg")</f>
        <v>https://pbs.twimg.com/profile_images/1414934526393032707/qf3mPaE9_normal.jpg</v>
      </c>
      <c r="H251" s="67"/>
      <c r="I251" s="71" t="s">
        <v>418</v>
      </c>
      <c r="J251" s="72"/>
      <c r="K251" s="72"/>
      <c r="L251" s="71" t="s">
        <v>3131</v>
      </c>
      <c r="M251" s="75">
        <v>1.0204574925818286</v>
      </c>
      <c r="N251" s="76">
        <v>9604.373046875</v>
      </c>
      <c r="O251" s="76">
        <v>2713.54443359375</v>
      </c>
      <c r="P251" s="77"/>
      <c r="Q251" s="78"/>
      <c r="R251" s="78"/>
      <c r="S251" s="92"/>
      <c r="T251" s="49">
        <v>0</v>
      </c>
      <c r="U251" s="49">
        <v>1</v>
      </c>
      <c r="V251" s="50">
        <v>0</v>
      </c>
      <c r="W251" s="50">
        <v>1</v>
      </c>
      <c r="X251" s="50">
        <v>0</v>
      </c>
      <c r="Y251" s="50">
        <v>0.999998</v>
      </c>
      <c r="Z251" s="50">
        <v>0</v>
      </c>
      <c r="AA251" s="50">
        <v>0</v>
      </c>
      <c r="AB251" s="73">
        <v>251</v>
      </c>
      <c r="AC251" s="73"/>
      <c r="AD251" s="74"/>
      <c r="AE251" s="81" t="s">
        <v>2163</v>
      </c>
      <c r="AF251" s="86" t="s">
        <v>2430</v>
      </c>
      <c r="AG251" s="81">
        <v>303</v>
      </c>
      <c r="AH251" s="81">
        <v>154</v>
      </c>
      <c r="AI251" s="81">
        <v>80</v>
      </c>
      <c r="AJ251" s="81">
        <v>4</v>
      </c>
      <c r="AK251" s="81"/>
      <c r="AL251" s="81" t="s">
        <v>2696</v>
      </c>
      <c r="AM251" s="81"/>
      <c r="AN251" s="81"/>
      <c r="AO251" s="81"/>
      <c r="AP251" s="83">
        <v>44390.54614583333</v>
      </c>
      <c r="AQ251" s="88" t="str">
        <f>HYPERLINK("https://pbs.twimg.com/profile_banners/1414934167050203136/1626253135")</f>
        <v>https://pbs.twimg.com/profile_banners/1414934167050203136/1626253135</v>
      </c>
      <c r="AR251" s="81" t="b">
        <v>1</v>
      </c>
      <c r="AS251" s="81" t="b">
        <v>0</v>
      </c>
      <c r="AT251" s="81" t="b">
        <v>0</v>
      </c>
      <c r="AU251" s="81"/>
      <c r="AV251" s="81">
        <v>0</v>
      </c>
      <c r="AW251" s="81"/>
      <c r="AX251" s="81" t="b">
        <v>0</v>
      </c>
      <c r="AY251" s="81" t="s">
        <v>2883</v>
      </c>
      <c r="AZ251" s="88" t="str">
        <f>HYPERLINK("https://twitter.com/amrcovid")</f>
        <v>https://twitter.com/amrcovid</v>
      </c>
      <c r="BA251" s="81" t="s">
        <v>66</v>
      </c>
      <c r="BB251" s="81" t="str">
        <f>REPLACE(INDEX(GroupVertices[Group],MATCH(Vertices[[#This Row],[Vertex]],GroupVertices[Vertex],0)),1,1,"")</f>
        <v>16</v>
      </c>
      <c r="BC251" s="49" t="s">
        <v>3275</v>
      </c>
      <c r="BD251" s="49" t="s">
        <v>3275</v>
      </c>
      <c r="BE251" s="49" t="s">
        <v>924</v>
      </c>
      <c r="BF251" s="49" t="s">
        <v>924</v>
      </c>
      <c r="BG251" s="49" t="s">
        <v>1110</v>
      </c>
      <c r="BH251" s="49" t="s">
        <v>1110</v>
      </c>
      <c r="BI251" s="113" t="s">
        <v>3794</v>
      </c>
      <c r="BJ251" s="113" t="s">
        <v>3794</v>
      </c>
      <c r="BK251" s="113" t="s">
        <v>3970</v>
      </c>
      <c r="BL251" s="113" t="s">
        <v>3970</v>
      </c>
      <c r="BM251" s="113">
        <v>0</v>
      </c>
      <c r="BN251" s="116">
        <v>0</v>
      </c>
      <c r="BO251" s="113">
        <v>1</v>
      </c>
      <c r="BP251" s="116">
        <v>3.125</v>
      </c>
      <c r="BQ251" s="113">
        <v>0</v>
      </c>
      <c r="BR251" s="116">
        <v>0</v>
      </c>
      <c r="BS251" s="113">
        <v>31</v>
      </c>
      <c r="BT251" s="116">
        <v>96.875</v>
      </c>
      <c r="BU251" s="113">
        <v>32</v>
      </c>
      <c r="BV251" s="2"/>
      <c r="BW251" s="3"/>
      <c r="BX251" s="3"/>
      <c r="BY251" s="3"/>
      <c r="BZ251" s="3"/>
    </row>
    <row r="252" spans="1:78" ht="41.45" customHeight="1">
      <c r="A252" s="66" t="s">
        <v>524</v>
      </c>
      <c r="C252" s="67"/>
      <c r="D252" s="67" t="s">
        <v>64</v>
      </c>
      <c r="E252" s="68">
        <v>162.0278983849511</v>
      </c>
      <c r="F252" s="70">
        <v>99.99993983480996</v>
      </c>
      <c r="G252" s="106" t="str">
        <f>HYPERLINK("https://pbs.twimg.com/profile_images/1094273025711767552/leKN3RE8_normal.jpg")</f>
        <v>https://pbs.twimg.com/profile_images/1094273025711767552/leKN3RE8_normal.jpg</v>
      </c>
      <c r="H252" s="67"/>
      <c r="I252" s="71" t="s">
        <v>524</v>
      </c>
      <c r="J252" s="72"/>
      <c r="K252" s="72"/>
      <c r="L252" s="71" t="s">
        <v>3132</v>
      </c>
      <c r="M252" s="75">
        <v>1.0200510523318584</v>
      </c>
      <c r="N252" s="76">
        <v>9604.373046875</v>
      </c>
      <c r="O252" s="76">
        <v>3097.278076171875</v>
      </c>
      <c r="P252" s="77"/>
      <c r="Q252" s="78"/>
      <c r="R252" s="78"/>
      <c r="S252" s="92"/>
      <c r="T252" s="49">
        <v>1</v>
      </c>
      <c r="U252" s="49">
        <v>0</v>
      </c>
      <c r="V252" s="50">
        <v>0</v>
      </c>
      <c r="W252" s="50">
        <v>1</v>
      </c>
      <c r="X252" s="50">
        <v>0</v>
      </c>
      <c r="Y252" s="50">
        <v>0.999998</v>
      </c>
      <c r="Z252" s="50">
        <v>0</v>
      </c>
      <c r="AA252" s="50">
        <v>0</v>
      </c>
      <c r="AB252" s="73">
        <v>252</v>
      </c>
      <c r="AC252" s="73"/>
      <c r="AD252" s="74"/>
      <c r="AE252" s="81" t="s">
        <v>2164</v>
      </c>
      <c r="AF252" s="86" t="s">
        <v>2431</v>
      </c>
      <c r="AG252" s="81">
        <v>92</v>
      </c>
      <c r="AH252" s="81">
        <v>151</v>
      </c>
      <c r="AI252" s="81">
        <v>63</v>
      </c>
      <c r="AJ252" s="81">
        <v>19</v>
      </c>
      <c r="AK252" s="81"/>
      <c r="AL252" s="81" t="s">
        <v>2697</v>
      </c>
      <c r="AM252" s="81" t="s">
        <v>2865</v>
      </c>
      <c r="AN252" s="88" t="str">
        <f>HYPERLINK("https://t.co/1Jeclp9iPA")</f>
        <v>https://t.co/1Jeclp9iPA</v>
      </c>
      <c r="AO252" s="81"/>
      <c r="AP252" s="83">
        <v>43382.996157407404</v>
      </c>
      <c r="AQ252" s="88" t="str">
        <f>HYPERLINK("https://pbs.twimg.com/profile_banners/1049810355491401728/1539148923")</f>
        <v>https://pbs.twimg.com/profile_banners/1049810355491401728/1539148923</v>
      </c>
      <c r="AR252" s="81" t="b">
        <v>0</v>
      </c>
      <c r="AS252" s="81" t="b">
        <v>0</v>
      </c>
      <c r="AT252" s="81" t="b">
        <v>0</v>
      </c>
      <c r="AU252" s="81"/>
      <c r="AV252" s="81">
        <v>0</v>
      </c>
      <c r="AW252" s="88" t="str">
        <f>HYPERLINK("https://abs.twimg.com/images/themes/theme1/bg.png")</f>
        <v>https://abs.twimg.com/images/themes/theme1/bg.png</v>
      </c>
      <c r="AX252" s="81" t="b">
        <v>0</v>
      </c>
      <c r="AY252" s="81" t="s">
        <v>2883</v>
      </c>
      <c r="AZ252" s="88" t="str">
        <f>HYPERLINK("https://twitter.com/herpez4")</f>
        <v>https://twitter.com/herpez4</v>
      </c>
      <c r="BA252" s="81" t="s">
        <v>65</v>
      </c>
      <c r="BB252" s="81" t="str">
        <f>REPLACE(INDEX(GroupVertices[Group],MATCH(Vertices[[#This Row],[Vertex]],GroupVertices[Vertex],0)),1,1,"")</f>
        <v>16</v>
      </c>
      <c r="BC252" s="49"/>
      <c r="BD252" s="49"/>
      <c r="BE252" s="49"/>
      <c r="BF252" s="49"/>
      <c r="BG252" s="49"/>
      <c r="BH252" s="49"/>
      <c r="BI252" s="49"/>
      <c r="BJ252" s="49"/>
      <c r="BK252" s="49"/>
      <c r="BL252" s="49"/>
      <c r="BM252" s="49"/>
      <c r="BN252" s="50"/>
      <c r="BO252" s="49"/>
      <c r="BP252" s="50"/>
      <c r="BQ252" s="49"/>
      <c r="BR252" s="50"/>
      <c r="BS252" s="49"/>
      <c r="BT252" s="50"/>
      <c r="BU252" s="49"/>
      <c r="BV252" s="2"/>
      <c r="BW252" s="3"/>
      <c r="BX252" s="3"/>
      <c r="BY252" s="3"/>
      <c r="BZ252" s="3"/>
    </row>
    <row r="253" spans="1:78" ht="41.45" customHeight="1">
      <c r="A253" s="66" t="s">
        <v>419</v>
      </c>
      <c r="C253" s="67"/>
      <c r="D253" s="67" t="s">
        <v>64</v>
      </c>
      <c r="E253" s="68">
        <v>162.0107446482582</v>
      </c>
      <c r="F253" s="70">
        <v>99.9999768282714</v>
      </c>
      <c r="G253" s="106" t="str">
        <f>HYPERLINK("https://pbs.twimg.com/profile_images/1354723304284839936/7bEpqHFO_normal.jpg")</f>
        <v>https://pbs.twimg.com/profile_images/1354723304284839936/7bEpqHFO_normal.jpg</v>
      </c>
      <c r="H253" s="67"/>
      <c r="I253" s="71" t="s">
        <v>419</v>
      </c>
      <c r="J253" s="72"/>
      <c r="K253" s="72"/>
      <c r="L253" s="71" t="s">
        <v>3133</v>
      </c>
      <c r="M253" s="75">
        <v>1.007722364749432</v>
      </c>
      <c r="N253" s="76">
        <v>2701.063232421875</v>
      </c>
      <c r="O253" s="76">
        <v>8502.439453125</v>
      </c>
      <c r="P253" s="77"/>
      <c r="Q253" s="78"/>
      <c r="R253" s="78"/>
      <c r="S253" s="92"/>
      <c r="T253" s="49">
        <v>1</v>
      </c>
      <c r="U253" s="49">
        <v>1</v>
      </c>
      <c r="V253" s="50">
        <v>0</v>
      </c>
      <c r="W253" s="50">
        <v>0</v>
      </c>
      <c r="X253" s="50">
        <v>0</v>
      </c>
      <c r="Y253" s="50">
        <v>0.999998</v>
      </c>
      <c r="Z253" s="50">
        <v>0</v>
      </c>
      <c r="AA253" s="50">
        <v>0</v>
      </c>
      <c r="AB253" s="73">
        <v>253</v>
      </c>
      <c r="AC253" s="73"/>
      <c r="AD253" s="74"/>
      <c r="AE253" s="81" t="s">
        <v>2165</v>
      </c>
      <c r="AF253" s="86" t="s">
        <v>2432</v>
      </c>
      <c r="AG253" s="81">
        <v>482</v>
      </c>
      <c r="AH253" s="81">
        <v>60</v>
      </c>
      <c r="AI253" s="81">
        <v>4793</v>
      </c>
      <c r="AJ253" s="81">
        <v>7</v>
      </c>
      <c r="AK253" s="81"/>
      <c r="AL253" s="81" t="s">
        <v>2698</v>
      </c>
      <c r="AM253" s="81" t="s">
        <v>2866</v>
      </c>
      <c r="AN253" s="88" t="str">
        <f>HYPERLINK("https://t.co/rHAC9VHdrG")</f>
        <v>https://t.co/rHAC9VHdrG</v>
      </c>
      <c r="AO253" s="81"/>
      <c r="AP253" s="83">
        <v>43964.357939814814</v>
      </c>
      <c r="AQ253" s="88" t="str">
        <f>HYPERLINK("https://pbs.twimg.com/profile_banners/1260488764922761216/1589359356")</f>
        <v>https://pbs.twimg.com/profile_banners/1260488764922761216/1589359356</v>
      </c>
      <c r="AR253" s="81" t="b">
        <v>1</v>
      </c>
      <c r="AS253" s="81" t="b">
        <v>0</v>
      </c>
      <c r="AT253" s="81" t="b">
        <v>0</v>
      </c>
      <c r="AU253" s="81"/>
      <c r="AV253" s="81">
        <v>0</v>
      </c>
      <c r="AW253" s="81"/>
      <c r="AX253" s="81" t="b">
        <v>0</v>
      </c>
      <c r="AY253" s="81" t="s">
        <v>2883</v>
      </c>
      <c r="AZ253" s="88" t="str">
        <f>HYPERLINK("https://twitter.com/chapelmedical")</f>
        <v>https://twitter.com/chapelmedical</v>
      </c>
      <c r="BA253" s="81" t="s">
        <v>66</v>
      </c>
      <c r="BB253" s="81" t="str">
        <f>REPLACE(INDEX(GroupVertices[Group],MATCH(Vertices[[#This Row],[Vertex]],GroupVertices[Vertex],0)),1,1,"")</f>
        <v>1</v>
      </c>
      <c r="BC253" s="49" t="s">
        <v>3208</v>
      </c>
      <c r="BD253" s="49" t="s">
        <v>3208</v>
      </c>
      <c r="BE253" s="49" t="s">
        <v>921</v>
      </c>
      <c r="BF253" s="49" t="s">
        <v>921</v>
      </c>
      <c r="BG253" s="49" t="s">
        <v>1007</v>
      </c>
      <c r="BH253" s="49" t="s">
        <v>1007</v>
      </c>
      <c r="BI253" s="113" t="s">
        <v>3730</v>
      </c>
      <c r="BJ253" s="113" t="s">
        <v>3730</v>
      </c>
      <c r="BK253" s="113" t="s">
        <v>3907</v>
      </c>
      <c r="BL253" s="113" t="s">
        <v>3907</v>
      </c>
      <c r="BM253" s="113">
        <v>1</v>
      </c>
      <c r="BN253" s="116">
        <v>3.125</v>
      </c>
      <c r="BO253" s="113">
        <v>0</v>
      </c>
      <c r="BP253" s="116">
        <v>0</v>
      </c>
      <c r="BQ253" s="113">
        <v>0</v>
      </c>
      <c r="BR253" s="116">
        <v>0</v>
      </c>
      <c r="BS253" s="113">
        <v>31</v>
      </c>
      <c r="BT253" s="116">
        <v>96.875</v>
      </c>
      <c r="BU253" s="113">
        <v>32</v>
      </c>
      <c r="BV253" s="2"/>
      <c r="BW253" s="3"/>
      <c r="BX253" s="3"/>
      <c r="BY253" s="3"/>
      <c r="BZ253" s="3"/>
    </row>
    <row r="254" spans="1:78" ht="41.45" customHeight="1">
      <c r="A254" s="66" t="s">
        <v>525</v>
      </c>
      <c r="C254" s="67"/>
      <c r="D254" s="67" t="s">
        <v>64</v>
      </c>
      <c r="E254" s="68">
        <v>162.42582737570638</v>
      </c>
      <c r="F254" s="70">
        <v>99.99908166780888</v>
      </c>
      <c r="G254" s="106" t="str">
        <f>HYPERLINK("https://pbs.twimg.com/profile_images/1195053801964740610/3jzpiql-_normal.jpg")</f>
        <v>https://pbs.twimg.com/profile_images/1195053801964740610/3jzpiql-_normal.jpg</v>
      </c>
      <c r="H254" s="67"/>
      <c r="I254" s="71" t="s">
        <v>525</v>
      </c>
      <c r="J254" s="72"/>
      <c r="K254" s="72"/>
      <c r="L254" s="71" t="s">
        <v>3134</v>
      </c>
      <c r="M254" s="75">
        <v>1.306049508227488</v>
      </c>
      <c r="N254" s="76">
        <v>5915.28271484375</v>
      </c>
      <c r="O254" s="76">
        <v>9322.482421875</v>
      </c>
      <c r="P254" s="77"/>
      <c r="Q254" s="78"/>
      <c r="R254" s="78"/>
      <c r="S254" s="92"/>
      <c r="T254" s="49">
        <v>1</v>
      </c>
      <c r="U254" s="49">
        <v>0</v>
      </c>
      <c r="V254" s="50">
        <v>0</v>
      </c>
      <c r="W254" s="50">
        <v>0.003922</v>
      </c>
      <c r="X254" s="50">
        <v>0.000436</v>
      </c>
      <c r="Y254" s="50">
        <v>0.499104</v>
      </c>
      <c r="Z254" s="50">
        <v>0</v>
      </c>
      <c r="AA254" s="50">
        <v>0</v>
      </c>
      <c r="AB254" s="73">
        <v>254</v>
      </c>
      <c r="AC254" s="73"/>
      <c r="AD254" s="74"/>
      <c r="AE254" s="81" t="s">
        <v>2166</v>
      </c>
      <c r="AF254" s="86" t="s">
        <v>2433</v>
      </c>
      <c r="AG254" s="81">
        <v>739</v>
      </c>
      <c r="AH254" s="81">
        <v>2262</v>
      </c>
      <c r="AI254" s="81">
        <v>1113</v>
      </c>
      <c r="AJ254" s="81">
        <v>2199</v>
      </c>
      <c r="AK254" s="81"/>
      <c r="AL254" s="81" t="s">
        <v>2699</v>
      </c>
      <c r="AM254" s="81" t="s">
        <v>2867</v>
      </c>
      <c r="AN254" s="88" t="str">
        <f>HYPERLINK("https://t.co/cnH61U9abD")</f>
        <v>https://t.co/cnH61U9abD</v>
      </c>
      <c r="AO254" s="81"/>
      <c r="AP254" s="83">
        <v>41092.9334375</v>
      </c>
      <c r="AQ254" s="88" t="str">
        <f>HYPERLINK("https://pbs.twimg.com/profile_banners/625048553/1620677663")</f>
        <v>https://pbs.twimg.com/profile_banners/625048553/1620677663</v>
      </c>
      <c r="AR254" s="81" t="b">
        <v>1</v>
      </c>
      <c r="AS254" s="81" t="b">
        <v>0</v>
      </c>
      <c r="AT254" s="81" t="b">
        <v>1</v>
      </c>
      <c r="AU254" s="81"/>
      <c r="AV254" s="81">
        <v>98</v>
      </c>
      <c r="AW254" s="88" t="str">
        <f>HYPERLINK("https://abs.twimg.com/images/themes/theme1/bg.png")</f>
        <v>https://abs.twimg.com/images/themes/theme1/bg.png</v>
      </c>
      <c r="AX254" s="81" t="b">
        <v>1</v>
      </c>
      <c r="AY254" s="81" t="s">
        <v>2883</v>
      </c>
      <c r="AZ254" s="88" t="str">
        <f>HYPERLINK("https://twitter.com/sara_saracerdas")</f>
        <v>https://twitter.com/sara_saracerdas</v>
      </c>
      <c r="BA254" s="81" t="s">
        <v>65</v>
      </c>
      <c r="BB254" s="81" t="str">
        <f>REPLACE(INDEX(GroupVertices[Group],MATCH(Vertices[[#This Row],[Vertex]],GroupVertices[Vertex],0)),1,1,"")</f>
        <v>3</v>
      </c>
      <c r="BC254" s="49"/>
      <c r="BD254" s="49"/>
      <c r="BE254" s="49"/>
      <c r="BF254" s="49"/>
      <c r="BG254" s="49"/>
      <c r="BH254" s="49"/>
      <c r="BI254" s="49"/>
      <c r="BJ254" s="49"/>
      <c r="BK254" s="49"/>
      <c r="BL254" s="49"/>
      <c r="BM254" s="49"/>
      <c r="BN254" s="50"/>
      <c r="BO254" s="49"/>
      <c r="BP254" s="50"/>
      <c r="BQ254" s="49"/>
      <c r="BR254" s="50"/>
      <c r="BS254" s="49"/>
      <c r="BT254" s="50"/>
      <c r="BU254" s="49"/>
      <c r="BV254" s="2"/>
      <c r="BW254" s="3"/>
      <c r="BX254" s="3"/>
      <c r="BY254" s="3"/>
      <c r="BZ254" s="3"/>
    </row>
    <row r="255" spans="1:78" ht="41.45" customHeight="1">
      <c r="A255" s="66" t="s">
        <v>421</v>
      </c>
      <c r="C255" s="67"/>
      <c r="D255" s="67" t="s">
        <v>64</v>
      </c>
      <c r="E255" s="68">
        <v>163.05957312033888</v>
      </c>
      <c r="F255" s="70">
        <v>99.99771494234339</v>
      </c>
      <c r="G255" s="106" t="str">
        <f>HYPERLINK("https://pbs.twimg.com/profile_images/1061950000710725633/vksOyrG7_normal.jpg")</f>
        <v>https://pbs.twimg.com/profile_images/1061950000710725633/vksOyrG7_normal.jpg</v>
      </c>
      <c r="H255" s="67"/>
      <c r="I255" s="71" t="s">
        <v>421</v>
      </c>
      <c r="J255" s="72"/>
      <c r="K255" s="72"/>
      <c r="L255" s="71" t="s">
        <v>3135</v>
      </c>
      <c r="M255" s="75">
        <v>1.7615335483606511</v>
      </c>
      <c r="N255" s="76">
        <v>1528.2574462890625</v>
      </c>
      <c r="O255" s="76">
        <v>3053.422607421875</v>
      </c>
      <c r="P255" s="77"/>
      <c r="Q255" s="78"/>
      <c r="R255" s="78"/>
      <c r="S255" s="92"/>
      <c r="T255" s="49">
        <v>1</v>
      </c>
      <c r="U255" s="49">
        <v>1</v>
      </c>
      <c r="V255" s="50">
        <v>0</v>
      </c>
      <c r="W255" s="50">
        <v>0</v>
      </c>
      <c r="X255" s="50">
        <v>0</v>
      </c>
      <c r="Y255" s="50">
        <v>0.999998</v>
      </c>
      <c r="Z255" s="50">
        <v>0</v>
      </c>
      <c r="AA255" s="50">
        <v>0</v>
      </c>
      <c r="AB255" s="73">
        <v>255</v>
      </c>
      <c r="AC255" s="73"/>
      <c r="AD255" s="74"/>
      <c r="AE255" s="81" t="s">
        <v>2167</v>
      </c>
      <c r="AF255" s="86" t="s">
        <v>2434</v>
      </c>
      <c r="AG255" s="81">
        <v>771</v>
      </c>
      <c r="AH255" s="81">
        <v>5624</v>
      </c>
      <c r="AI255" s="81">
        <v>7161</v>
      </c>
      <c r="AJ255" s="81">
        <v>2393</v>
      </c>
      <c r="AK255" s="81"/>
      <c r="AL255" s="81" t="s">
        <v>2700</v>
      </c>
      <c r="AM255" s="81" t="s">
        <v>2868</v>
      </c>
      <c r="AN255" s="88" t="str">
        <f>HYPERLINK("http://t.co/Hmd8bPTfkI")</f>
        <v>http://t.co/Hmd8bPTfkI</v>
      </c>
      <c r="AO255" s="81"/>
      <c r="AP255" s="83">
        <v>40100.592361111114</v>
      </c>
      <c r="AQ255" s="88" t="str">
        <f>HYPERLINK("https://pbs.twimg.com/profile_banners/82368596/1537975193")</f>
        <v>https://pbs.twimg.com/profile_banners/82368596/1537975193</v>
      </c>
      <c r="AR255" s="81" t="b">
        <v>0</v>
      </c>
      <c r="AS255" s="81" t="b">
        <v>0</v>
      </c>
      <c r="AT255" s="81" t="b">
        <v>1</v>
      </c>
      <c r="AU255" s="81"/>
      <c r="AV255" s="81">
        <v>65</v>
      </c>
      <c r="AW255" s="88" t="str">
        <f>HYPERLINK("https://abs.twimg.com/images/themes/theme7/bg.gif")</f>
        <v>https://abs.twimg.com/images/themes/theme7/bg.gif</v>
      </c>
      <c r="AX255" s="81" t="b">
        <v>0</v>
      </c>
      <c r="AY255" s="81" t="s">
        <v>2883</v>
      </c>
      <c r="AZ255" s="88" t="str">
        <f>HYPERLINK("https://twitter.com/beva_news")</f>
        <v>https://twitter.com/beva_news</v>
      </c>
      <c r="BA255" s="81" t="s">
        <v>66</v>
      </c>
      <c r="BB255" s="81" t="str">
        <f>REPLACE(INDEX(GroupVertices[Group],MATCH(Vertices[[#This Row],[Vertex]],GroupVertices[Vertex],0)),1,1,"")</f>
        <v>1</v>
      </c>
      <c r="BC255" s="49"/>
      <c r="BD255" s="49"/>
      <c r="BE255" s="49"/>
      <c r="BF255" s="49"/>
      <c r="BG255" s="49" t="s">
        <v>955</v>
      </c>
      <c r="BH255" s="49" t="s">
        <v>955</v>
      </c>
      <c r="BI255" s="113" t="s">
        <v>3683</v>
      </c>
      <c r="BJ255" s="113" t="s">
        <v>3683</v>
      </c>
      <c r="BK255" s="113" t="s">
        <v>3860</v>
      </c>
      <c r="BL255" s="113" t="s">
        <v>3860</v>
      </c>
      <c r="BM255" s="113">
        <v>0</v>
      </c>
      <c r="BN255" s="116">
        <v>0</v>
      </c>
      <c r="BO255" s="113">
        <v>2</v>
      </c>
      <c r="BP255" s="116">
        <v>6.0606060606060606</v>
      </c>
      <c r="BQ255" s="113">
        <v>0</v>
      </c>
      <c r="BR255" s="116">
        <v>0</v>
      </c>
      <c r="BS255" s="113">
        <v>31</v>
      </c>
      <c r="BT255" s="116">
        <v>93.93939393939394</v>
      </c>
      <c r="BU255" s="113">
        <v>33</v>
      </c>
      <c r="BV255" s="2"/>
      <c r="BW255" s="3"/>
      <c r="BX255" s="3"/>
      <c r="BY255" s="3"/>
      <c r="BZ255" s="3"/>
    </row>
    <row r="256" spans="1:78" ht="41.45" customHeight="1">
      <c r="A256" s="66" t="s">
        <v>422</v>
      </c>
      <c r="C256" s="67"/>
      <c r="D256" s="67" t="s">
        <v>64</v>
      </c>
      <c r="E256" s="68">
        <v>162.86861998550464</v>
      </c>
      <c r="F256" s="70">
        <v>99.99812674867788</v>
      </c>
      <c r="G256" s="106" t="str">
        <f>HYPERLINK("https://pbs.twimg.com/profile_images/1336018735111475204/LTQ4-6JD_normal.jpg")</f>
        <v>https://pbs.twimg.com/profile_images/1336018735111475204/LTQ4-6JD_normal.jpg</v>
      </c>
      <c r="H256" s="67"/>
      <c r="I256" s="71" t="s">
        <v>422</v>
      </c>
      <c r="J256" s="72"/>
      <c r="K256" s="72"/>
      <c r="L256" s="71" t="s">
        <v>3136</v>
      </c>
      <c r="M256" s="75">
        <v>1.6242922239540794</v>
      </c>
      <c r="N256" s="76">
        <v>4655.7392578125</v>
      </c>
      <c r="O256" s="76">
        <v>3831.853515625</v>
      </c>
      <c r="P256" s="77"/>
      <c r="Q256" s="78"/>
      <c r="R256" s="78"/>
      <c r="S256" s="92"/>
      <c r="T256" s="49">
        <v>1</v>
      </c>
      <c r="U256" s="49">
        <v>1</v>
      </c>
      <c r="V256" s="50">
        <v>0</v>
      </c>
      <c r="W256" s="50">
        <v>0</v>
      </c>
      <c r="X256" s="50">
        <v>0</v>
      </c>
      <c r="Y256" s="50">
        <v>0.999998</v>
      </c>
      <c r="Z256" s="50">
        <v>0</v>
      </c>
      <c r="AA256" s="50">
        <v>0</v>
      </c>
      <c r="AB256" s="73">
        <v>256</v>
      </c>
      <c r="AC256" s="73"/>
      <c r="AD256" s="74"/>
      <c r="AE256" s="81" t="s">
        <v>2168</v>
      </c>
      <c r="AF256" s="86" t="s">
        <v>2435</v>
      </c>
      <c r="AG256" s="81">
        <v>709</v>
      </c>
      <c r="AH256" s="81">
        <v>4611</v>
      </c>
      <c r="AI256" s="81">
        <v>5479</v>
      </c>
      <c r="AJ256" s="81">
        <v>12275</v>
      </c>
      <c r="AK256" s="81"/>
      <c r="AL256" s="81" t="s">
        <v>2701</v>
      </c>
      <c r="AM256" s="81" t="s">
        <v>2869</v>
      </c>
      <c r="AN256" s="88" t="str">
        <f>HYPERLINK("https://t.co/ONiLtrzgNQ")</f>
        <v>https://t.co/ONiLtrzgNQ</v>
      </c>
      <c r="AO256" s="81"/>
      <c r="AP256" s="83">
        <v>39926.72828703704</v>
      </c>
      <c r="AQ256" s="88" t="str">
        <f>HYPERLINK("https://pbs.twimg.com/profile_banners/34671743/1637806759")</f>
        <v>https://pbs.twimg.com/profile_banners/34671743/1637806759</v>
      </c>
      <c r="AR256" s="81" t="b">
        <v>0</v>
      </c>
      <c r="AS256" s="81" t="b">
        <v>0</v>
      </c>
      <c r="AT256" s="81" t="b">
        <v>1</v>
      </c>
      <c r="AU256" s="81"/>
      <c r="AV256" s="81">
        <v>72</v>
      </c>
      <c r="AW256" s="88" t="str">
        <f>HYPERLINK("https://abs.twimg.com/images/themes/theme5/bg.gif")</f>
        <v>https://abs.twimg.com/images/themes/theme5/bg.gif</v>
      </c>
      <c r="AX256" s="81" t="b">
        <v>1</v>
      </c>
      <c r="AY256" s="81" t="s">
        <v>2883</v>
      </c>
      <c r="AZ256" s="88" t="str">
        <f>HYPERLINK("https://twitter.com/brxad")</f>
        <v>https://twitter.com/brxad</v>
      </c>
      <c r="BA256" s="81" t="s">
        <v>66</v>
      </c>
      <c r="BB256" s="81" t="str">
        <f>REPLACE(INDEX(GroupVertices[Group],MATCH(Vertices[[#This Row],[Vertex]],GroupVertices[Vertex],0)),1,1,"")</f>
        <v>1</v>
      </c>
      <c r="BC256" s="49" t="s">
        <v>3588</v>
      </c>
      <c r="BD256" s="49" t="s">
        <v>3588</v>
      </c>
      <c r="BE256" s="49" t="s">
        <v>3605</v>
      </c>
      <c r="BF256" s="49" t="s">
        <v>3605</v>
      </c>
      <c r="BG256" s="49" t="s">
        <v>3637</v>
      </c>
      <c r="BH256" s="49" t="s">
        <v>3673</v>
      </c>
      <c r="BI256" s="113" t="s">
        <v>3795</v>
      </c>
      <c r="BJ256" s="113" t="s">
        <v>3849</v>
      </c>
      <c r="BK256" s="113" t="s">
        <v>3971</v>
      </c>
      <c r="BL256" s="113" t="s">
        <v>3971</v>
      </c>
      <c r="BM256" s="113">
        <v>1</v>
      </c>
      <c r="BN256" s="116">
        <v>2.9411764705882355</v>
      </c>
      <c r="BO256" s="113">
        <v>0</v>
      </c>
      <c r="BP256" s="116">
        <v>0</v>
      </c>
      <c r="BQ256" s="113">
        <v>0</v>
      </c>
      <c r="BR256" s="116">
        <v>0</v>
      </c>
      <c r="BS256" s="113">
        <v>33</v>
      </c>
      <c r="BT256" s="116">
        <v>97.05882352941177</v>
      </c>
      <c r="BU256" s="113">
        <v>34</v>
      </c>
      <c r="BV256" s="2"/>
      <c r="BW256" s="3"/>
      <c r="BX256" s="3"/>
      <c r="BY256" s="3"/>
      <c r="BZ256" s="3"/>
    </row>
    <row r="257" spans="1:78" ht="41.45" customHeight="1">
      <c r="A257" s="66" t="s">
        <v>423</v>
      </c>
      <c r="C257" s="67"/>
      <c r="D257" s="67" t="s">
        <v>64</v>
      </c>
      <c r="E257" s="68">
        <v>162.03562699159298</v>
      </c>
      <c r="F257" s="70">
        <v>99.99992316742625</v>
      </c>
      <c r="G257" s="106" t="str">
        <f>HYPERLINK("https://pbs.twimg.com/profile_images/1415261073259761664/kcGgzayx_normal.jpg")</f>
        <v>https://pbs.twimg.com/profile_images/1415261073259761664/kcGgzayx_normal.jpg</v>
      </c>
      <c r="H257" s="67"/>
      <c r="I257" s="71" t="s">
        <v>423</v>
      </c>
      <c r="J257" s="72"/>
      <c r="K257" s="72"/>
      <c r="L257" s="71" t="s">
        <v>3137</v>
      </c>
      <c r="M257" s="75">
        <v>1.0256057357481165</v>
      </c>
      <c r="N257" s="76">
        <v>3873.869140625</v>
      </c>
      <c r="O257" s="76">
        <v>7724.00830078125</v>
      </c>
      <c r="P257" s="77"/>
      <c r="Q257" s="78"/>
      <c r="R257" s="78"/>
      <c r="S257" s="92"/>
      <c r="T257" s="49">
        <v>1</v>
      </c>
      <c r="U257" s="49">
        <v>1</v>
      </c>
      <c r="V257" s="50">
        <v>0</v>
      </c>
      <c r="W257" s="50">
        <v>0</v>
      </c>
      <c r="X257" s="50">
        <v>0</v>
      </c>
      <c r="Y257" s="50">
        <v>0.999998</v>
      </c>
      <c r="Z257" s="50">
        <v>0</v>
      </c>
      <c r="AA257" s="50">
        <v>0</v>
      </c>
      <c r="AB257" s="73">
        <v>257</v>
      </c>
      <c r="AC257" s="73"/>
      <c r="AD257" s="74"/>
      <c r="AE257" s="81" t="s">
        <v>2169</v>
      </c>
      <c r="AF257" s="86" t="s">
        <v>2436</v>
      </c>
      <c r="AG257" s="81">
        <v>1568</v>
      </c>
      <c r="AH257" s="81">
        <v>192</v>
      </c>
      <c r="AI257" s="81">
        <v>562</v>
      </c>
      <c r="AJ257" s="81">
        <v>474</v>
      </c>
      <c r="AK257" s="81"/>
      <c r="AL257" s="81" t="s">
        <v>2702</v>
      </c>
      <c r="AM257" s="81" t="s">
        <v>2870</v>
      </c>
      <c r="AN257" s="88" t="str">
        <f>HYPERLINK("https://t.co/EjsZPmT6Md")</f>
        <v>https://t.co/EjsZPmT6Md</v>
      </c>
      <c r="AO257" s="81"/>
      <c r="AP257" s="83">
        <v>44375.66290509259</v>
      </c>
      <c r="AQ257" s="88" t="str">
        <f>HYPERLINK("https://pbs.twimg.com/profile_banners/1409540709732990983/1624896158")</f>
        <v>https://pbs.twimg.com/profile_banners/1409540709732990983/1624896158</v>
      </c>
      <c r="AR257" s="81" t="b">
        <v>1</v>
      </c>
      <c r="AS257" s="81" t="b">
        <v>0</v>
      </c>
      <c r="AT257" s="81" t="b">
        <v>0</v>
      </c>
      <c r="AU257" s="81"/>
      <c r="AV257" s="81">
        <v>1</v>
      </c>
      <c r="AW257" s="81"/>
      <c r="AX257" s="81" t="b">
        <v>0</v>
      </c>
      <c r="AY257" s="81" t="s">
        <v>2883</v>
      </c>
      <c r="AZ257" s="88" t="str">
        <f>HYPERLINK("https://twitter.com/cusuperbugs")</f>
        <v>https://twitter.com/cusuperbugs</v>
      </c>
      <c r="BA257" s="81" t="s">
        <v>66</v>
      </c>
      <c r="BB257" s="81" t="str">
        <f>REPLACE(INDEX(GroupVertices[Group],MATCH(Vertices[[#This Row],[Vertex]],GroupVertices[Vertex],0)),1,1,"")</f>
        <v>1</v>
      </c>
      <c r="BC257" s="49" t="s">
        <v>3589</v>
      </c>
      <c r="BD257" s="49" t="s">
        <v>3589</v>
      </c>
      <c r="BE257" s="49" t="s">
        <v>943</v>
      </c>
      <c r="BF257" s="49" t="s">
        <v>943</v>
      </c>
      <c r="BG257" s="49" t="s">
        <v>1116</v>
      </c>
      <c r="BH257" s="49" t="s">
        <v>1116</v>
      </c>
      <c r="BI257" s="113" t="s">
        <v>3796</v>
      </c>
      <c r="BJ257" s="113" t="s">
        <v>3796</v>
      </c>
      <c r="BK257" s="113" t="s">
        <v>3972</v>
      </c>
      <c r="BL257" s="113" t="s">
        <v>3972</v>
      </c>
      <c r="BM257" s="113">
        <v>0</v>
      </c>
      <c r="BN257" s="116">
        <v>0</v>
      </c>
      <c r="BO257" s="113">
        <v>0</v>
      </c>
      <c r="BP257" s="116">
        <v>0</v>
      </c>
      <c r="BQ257" s="113">
        <v>0</v>
      </c>
      <c r="BR257" s="116">
        <v>0</v>
      </c>
      <c r="BS257" s="113">
        <v>31</v>
      </c>
      <c r="BT257" s="116">
        <v>100</v>
      </c>
      <c r="BU257" s="113">
        <v>31</v>
      </c>
      <c r="BV257" s="2"/>
      <c r="BW257" s="3"/>
      <c r="BX257" s="3"/>
      <c r="BY257" s="3"/>
      <c r="BZ257" s="3"/>
    </row>
    <row r="258" spans="1:78" ht="41.45" customHeight="1">
      <c r="A258" s="66" t="s">
        <v>424</v>
      </c>
      <c r="C258" s="67"/>
      <c r="D258" s="67" t="s">
        <v>64</v>
      </c>
      <c r="E258" s="68">
        <v>162.07049997278185</v>
      </c>
      <c r="F258" s="70">
        <v>99.9998479609387</v>
      </c>
      <c r="G258" s="106" t="str">
        <f>HYPERLINK("https://pbs.twimg.com/profile_images/785911643448410117/WcyzliVt_normal.jpg")</f>
        <v>https://pbs.twimg.com/profile_images/785911643448410117/WcyzliVt_normal.jpg</v>
      </c>
      <c r="H258" s="67"/>
      <c r="I258" s="71" t="s">
        <v>424</v>
      </c>
      <c r="J258" s="72"/>
      <c r="K258" s="72"/>
      <c r="L258" s="71" t="s">
        <v>3138</v>
      </c>
      <c r="M258" s="75">
        <v>1.0506695511629396</v>
      </c>
      <c r="N258" s="76">
        <v>8975.1015625</v>
      </c>
      <c r="O258" s="76">
        <v>2000.8963623046875</v>
      </c>
      <c r="P258" s="77"/>
      <c r="Q258" s="78"/>
      <c r="R258" s="78"/>
      <c r="S258" s="92"/>
      <c r="T258" s="49">
        <v>0</v>
      </c>
      <c r="U258" s="49">
        <v>1</v>
      </c>
      <c r="V258" s="50">
        <v>0</v>
      </c>
      <c r="W258" s="50">
        <v>1</v>
      </c>
      <c r="X258" s="50">
        <v>0</v>
      </c>
      <c r="Y258" s="50">
        <v>0.999998</v>
      </c>
      <c r="Z258" s="50">
        <v>0</v>
      </c>
      <c r="AA258" s="50">
        <v>0</v>
      </c>
      <c r="AB258" s="73">
        <v>258</v>
      </c>
      <c r="AC258" s="73"/>
      <c r="AD258" s="74"/>
      <c r="AE258" s="81" t="s">
        <v>2170</v>
      </c>
      <c r="AF258" s="86" t="s">
        <v>2437</v>
      </c>
      <c r="AG258" s="81">
        <v>444</v>
      </c>
      <c r="AH258" s="81">
        <v>377</v>
      </c>
      <c r="AI258" s="81">
        <v>908</v>
      </c>
      <c r="AJ258" s="81">
        <v>540</v>
      </c>
      <c r="AK258" s="81"/>
      <c r="AL258" s="81" t="s">
        <v>2703</v>
      </c>
      <c r="AM258" s="81"/>
      <c r="AN258" s="81"/>
      <c r="AO258" s="81"/>
      <c r="AP258" s="83">
        <v>42634.88502314815</v>
      </c>
      <c r="AQ258" s="88" t="str">
        <f>HYPERLINK("https://pbs.twimg.com/profile_banners/778703958499926016/1630884394")</f>
        <v>https://pbs.twimg.com/profile_banners/778703958499926016/1630884394</v>
      </c>
      <c r="AR258" s="81" t="b">
        <v>1</v>
      </c>
      <c r="AS258" s="81" t="b">
        <v>0</v>
      </c>
      <c r="AT258" s="81" t="b">
        <v>0</v>
      </c>
      <c r="AU258" s="81"/>
      <c r="AV258" s="81">
        <v>8</v>
      </c>
      <c r="AW258" s="81"/>
      <c r="AX258" s="81" t="b">
        <v>0</v>
      </c>
      <c r="AY258" s="81" t="s">
        <v>2883</v>
      </c>
      <c r="AZ258" s="88" t="str">
        <f>HYPERLINK("https://twitter.com/abimbola_pharm")</f>
        <v>https://twitter.com/abimbola_pharm</v>
      </c>
      <c r="BA258" s="81" t="s">
        <v>66</v>
      </c>
      <c r="BB258" s="81" t="str">
        <f>REPLACE(INDEX(GroupVertices[Group],MATCH(Vertices[[#This Row],[Vertex]],GroupVertices[Vertex],0)),1,1,"")</f>
        <v>15</v>
      </c>
      <c r="BC258" s="49" t="s">
        <v>3274</v>
      </c>
      <c r="BD258" s="49" t="s">
        <v>3274</v>
      </c>
      <c r="BE258" s="49" t="s">
        <v>914</v>
      </c>
      <c r="BF258" s="49" t="s">
        <v>914</v>
      </c>
      <c r="BG258" s="49" t="s">
        <v>1117</v>
      </c>
      <c r="BH258" s="49" t="s">
        <v>1117</v>
      </c>
      <c r="BI258" s="113" t="s">
        <v>3797</v>
      </c>
      <c r="BJ258" s="113" t="s">
        <v>3797</v>
      </c>
      <c r="BK258" s="113" t="s">
        <v>3973</v>
      </c>
      <c r="BL258" s="113" t="s">
        <v>3973</v>
      </c>
      <c r="BM258" s="113">
        <v>1</v>
      </c>
      <c r="BN258" s="116">
        <v>9.090909090909092</v>
      </c>
      <c r="BO258" s="113">
        <v>0</v>
      </c>
      <c r="BP258" s="116">
        <v>0</v>
      </c>
      <c r="BQ258" s="113">
        <v>0</v>
      </c>
      <c r="BR258" s="116">
        <v>0</v>
      </c>
      <c r="BS258" s="113">
        <v>10</v>
      </c>
      <c r="BT258" s="116">
        <v>90.9090909090909</v>
      </c>
      <c r="BU258" s="113">
        <v>11</v>
      </c>
      <c r="BV258" s="2"/>
      <c r="BW258" s="3"/>
      <c r="BX258" s="3"/>
      <c r="BY258" s="3"/>
      <c r="BZ258" s="3"/>
    </row>
    <row r="259" spans="1:78" ht="41.45" customHeight="1">
      <c r="A259" s="66" t="s">
        <v>526</v>
      </c>
      <c r="C259" s="67"/>
      <c r="D259" s="67" t="s">
        <v>64</v>
      </c>
      <c r="E259" s="68">
        <v>162.1293127843004</v>
      </c>
      <c r="F259" s="70">
        <v>99.99972112621376</v>
      </c>
      <c r="G259" s="106" t="str">
        <f>HYPERLINK("https://pbs.twimg.com/profile_images/968371806200565760/58csJuNv_normal.jpg")</f>
        <v>https://pbs.twimg.com/profile_images/968371806200565760/58csJuNv_normal.jpg</v>
      </c>
      <c r="H259" s="67"/>
      <c r="I259" s="71" t="s">
        <v>526</v>
      </c>
      <c r="J259" s="72"/>
      <c r="K259" s="72"/>
      <c r="L259" s="71" t="s">
        <v>3139</v>
      </c>
      <c r="M259" s="75">
        <v>1.0929393371598304</v>
      </c>
      <c r="N259" s="76">
        <v>8975.1015625</v>
      </c>
      <c r="O259" s="76">
        <v>1617.162841796875</v>
      </c>
      <c r="P259" s="77"/>
      <c r="Q259" s="78"/>
      <c r="R259" s="78"/>
      <c r="S259" s="92"/>
      <c r="T259" s="49">
        <v>1</v>
      </c>
      <c r="U259" s="49">
        <v>0</v>
      </c>
      <c r="V259" s="50">
        <v>0</v>
      </c>
      <c r="W259" s="50">
        <v>1</v>
      </c>
      <c r="X259" s="50">
        <v>0</v>
      </c>
      <c r="Y259" s="50">
        <v>0.999998</v>
      </c>
      <c r="Z259" s="50">
        <v>0</v>
      </c>
      <c r="AA259" s="50">
        <v>0</v>
      </c>
      <c r="AB259" s="73">
        <v>259</v>
      </c>
      <c r="AC259" s="73"/>
      <c r="AD259" s="74"/>
      <c r="AE259" s="81" t="s">
        <v>2171</v>
      </c>
      <c r="AF259" s="86" t="s">
        <v>2438</v>
      </c>
      <c r="AG259" s="81">
        <v>305</v>
      </c>
      <c r="AH259" s="81">
        <v>689</v>
      </c>
      <c r="AI259" s="81">
        <v>401</v>
      </c>
      <c r="AJ259" s="81">
        <v>403</v>
      </c>
      <c r="AK259" s="81"/>
      <c r="AL259" s="81" t="s">
        <v>2704</v>
      </c>
      <c r="AM259" s="81" t="s">
        <v>2871</v>
      </c>
      <c r="AN259" s="81"/>
      <c r="AO259" s="81"/>
      <c r="AP259" s="83">
        <v>42952.86592592593</v>
      </c>
      <c r="AQ259" s="88" t="str">
        <f>HYPERLINK("https://pbs.twimg.com/profile_banners/893936379851362306/1539842751")</f>
        <v>https://pbs.twimg.com/profile_banners/893936379851362306/1539842751</v>
      </c>
      <c r="AR259" s="81" t="b">
        <v>1</v>
      </c>
      <c r="AS259" s="81" t="b">
        <v>0</v>
      </c>
      <c r="AT259" s="81" t="b">
        <v>1</v>
      </c>
      <c r="AU259" s="81"/>
      <c r="AV259" s="81">
        <v>4</v>
      </c>
      <c r="AW259" s="81"/>
      <c r="AX259" s="81" t="b">
        <v>0</v>
      </c>
      <c r="AY259" s="81" t="s">
        <v>2883</v>
      </c>
      <c r="AZ259" s="88" t="str">
        <f>HYPERLINK("https://twitter.com/bthftpharm")</f>
        <v>https://twitter.com/bthftpharm</v>
      </c>
      <c r="BA259" s="81" t="s">
        <v>65</v>
      </c>
      <c r="BB259" s="81" t="str">
        <f>REPLACE(INDEX(GroupVertices[Group],MATCH(Vertices[[#This Row],[Vertex]],GroupVertices[Vertex],0)),1,1,"")</f>
        <v>15</v>
      </c>
      <c r="BC259" s="49"/>
      <c r="BD259" s="49"/>
      <c r="BE259" s="49"/>
      <c r="BF259" s="49"/>
      <c r="BG259" s="49"/>
      <c r="BH259" s="49"/>
      <c r="BI259" s="49"/>
      <c r="BJ259" s="49"/>
      <c r="BK259" s="49"/>
      <c r="BL259" s="49"/>
      <c r="BM259" s="49"/>
      <c r="BN259" s="50"/>
      <c r="BO259" s="49"/>
      <c r="BP259" s="50"/>
      <c r="BQ259" s="49"/>
      <c r="BR259" s="50"/>
      <c r="BS259" s="49"/>
      <c r="BT259" s="50"/>
      <c r="BU259" s="49"/>
      <c r="BV259" s="2"/>
      <c r="BW259" s="3"/>
      <c r="BX259" s="3"/>
      <c r="BY259" s="3"/>
      <c r="BZ259" s="3"/>
    </row>
    <row r="260" spans="1:78" ht="41.45" customHeight="1">
      <c r="A260" s="66" t="s">
        <v>425</v>
      </c>
      <c r="C260" s="67"/>
      <c r="D260" s="67" t="s">
        <v>64</v>
      </c>
      <c r="E260" s="68">
        <v>163.68747528433974</v>
      </c>
      <c r="F260" s="70">
        <v>99.99636081904607</v>
      </c>
      <c r="G260" s="106" t="str">
        <f>HYPERLINK("https://pbs.twimg.com/profile_images/1460171283728056322/G4ey4F6z_normal.jpg")</f>
        <v>https://pbs.twimg.com/profile_images/1460171283728056322/G4ey4F6z_normal.jpg</v>
      </c>
      <c r="H260" s="67"/>
      <c r="I260" s="71" t="s">
        <v>425</v>
      </c>
      <c r="J260" s="72"/>
      <c r="K260" s="72"/>
      <c r="L260" s="71" t="s">
        <v>3140</v>
      </c>
      <c r="M260" s="75">
        <v>2.2128177059107896</v>
      </c>
      <c r="N260" s="76">
        <v>746.3868408203125</v>
      </c>
      <c r="O260" s="76">
        <v>2274.99169921875</v>
      </c>
      <c r="P260" s="77"/>
      <c r="Q260" s="78"/>
      <c r="R260" s="78"/>
      <c r="S260" s="92"/>
      <c r="T260" s="49">
        <v>1</v>
      </c>
      <c r="U260" s="49">
        <v>1</v>
      </c>
      <c r="V260" s="50">
        <v>0</v>
      </c>
      <c r="W260" s="50">
        <v>0</v>
      </c>
      <c r="X260" s="50">
        <v>0</v>
      </c>
      <c r="Y260" s="50">
        <v>0.999998</v>
      </c>
      <c r="Z260" s="50">
        <v>0</v>
      </c>
      <c r="AA260" s="50">
        <v>0</v>
      </c>
      <c r="AB260" s="73">
        <v>260</v>
      </c>
      <c r="AC260" s="73"/>
      <c r="AD260" s="74"/>
      <c r="AE260" s="81" t="s">
        <v>2172</v>
      </c>
      <c r="AF260" s="86" t="s">
        <v>2439</v>
      </c>
      <c r="AG260" s="81">
        <v>207</v>
      </c>
      <c r="AH260" s="81">
        <v>8955</v>
      </c>
      <c r="AI260" s="81">
        <v>8348</v>
      </c>
      <c r="AJ260" s="81">
        <v>82</v>
      </c>
      <c r="AK260" s="81"/>
      <c r="AL260" s="81" t="s">
        <v>2705</v>
      </c>
      <c r="AM260" s="81" t="s">
        <v>2872</v>
      </c>
      <c r="AN260" s="88" t="str">
        <f>HYPERLINK("https://t.co/RBGs4YUs5n")</f>
        <v>https://t.co/RBGs4YUs5n</v>
      </c>
      <c r="AO260" s="81"/>
      <c r="AP260" s="83">
        <v>40827.6159837963</v>
      </c>
      <c r="AQ260" s="88" t="str">
        <f>HYPERLINK("https://pbs.twimg.com/profile_banners/388903275/1631522534")</f>
        <v>https://pbs.twimg.com/profile_banners/388903275/1631522534</v>
      </c>
      <c r="AR260" s="81" t="b">
        <v>0</v>
      </c>
      <c r="AS260" s="81" t="b">
        <v>0</v>
      </c>
      <c r="AT260" s="81" t="b">
        <v>0</v>
      </c>
      <c r="AU260" s="81"/>
      <c r="AV260" s="81">
        <v>124</v>
      </c>
      <c r="AW260" s="88" t="str">
        <f>HYPERLINK("https://abs.twimg.com/images/themes/theme1/bg.png")</f>
        <v>https://abs.twimg.com/images/themes/theme1/bg.png</v>
      </c>
      <c r="AX260" s="81" t="b">
        <v>1</v>
      </c>
      <c r="AY260" s="81" t="s">
        <v>2883</v>
      </c>
      <c r="AZ260" s="88" t="str">
        <f>HYPERLINK("https://twitter.com/dgnhs")</f>
        <v>https://twitter.com/dgnhs</v>
      </c>
      <c r="BA260" s="81" t="s">
        <v>66</v>
      </c>
      <c r="BB260" s="81" t="str">
        <f>REPLACE(INDEX(GroupVertices[Group],MATCH(Vertices[[#This Row],[Vertex]],GroupVertices[Vertex],0)),1,1,"")</f>
        <v>1</v>
      </c>
      <c r="BC260" s="49"/>
      <c r="BD260" s="49"/>
      <c r="BE260" s="49"/>
      <c r="BF260" s="49"/>
      <c r="BG260" s="49" t="s">
        <v>1118</v>
      </c>
      <c r="BH260" s="49" t="s">
        <v>1118</v>
      </c>
      <c r="BI260" s="113" t="s">
        <v>3798</v>
      </c>
      <c r="BJ260" s="113" t="s">
        <v>3798</v>
      </c>
      <c r="BK260" s="113" t="s">
        <v>3974</v>
      </c>
      <c r="BL260" s="113" t="s">
        <v>3974</v>
      </c>
      <c r="BM260" s="113">
        <v>0</v>
      </c>
      <c r="BN260" s="116">
        <v>0</v>
      </c>
      <c r="BO260" s="113">
        <v>1</v>
      </c>
      <c r="BP260" s="116">
        <v>3.0303030303030303</v>
      </c>
      <c r="BQ260" s="113">
        <v>0</v>
      </c>
      <c r="BR260" s="116">
        <v>0</v>
      </c>
      <c r="BS260" s="113">
        <v>32</v>
      </c>
      <c r="BT260" s="116">
        <v>96.96969696969697</v>
      </c>
      <c r="BU260" s="113">
        <v>33</v>
      </c>
      <c r="BV260" s="2"/>
      <c r="BW260" s="3"/>
      <c r="BX260" s="3"/>
      <c r="BY260" s="3"/>
      <c r="BZ260" s="3"/>
    </row>
    <row r="261" spans="1:78" ht="41.45" customHeight="1">
      <c r="A261" s="66" t="s">
        <v>426</v>
      </c>
      <c r="C261" s="67"/>
      <c r="D261" s="67" t="s">
        <v>64</v>
      </c>
      <c r="E261" s="68">
        <v>162.04260158783075</v>
      </c>
      <c r="F261" s="70">
        <v>99.99990812612873</v>
      </c>
      <c r="G261" s="106" t="str">
        <f>HYPERLINK("https://pbs.twimg.com/profile_images/1461985907347804162/z4UlM1mx_normal.jpg")</f>
        <v>https://pbs.twimg.com/profile_images/1461985907347804162/z4UlM1mx_normal.jpg</v>
      </c>
      <c r="H261" s="67"/>
      <c r="I261" s="71" t="s">
        <v>426</v>
      </c>
      <c r="J261" s="72"/>
      <c r="K261" s="72"/>
      <c r="L261" s="71" t="s">
        <v>3141</v>
      </c>
      <c r="M261" s="75">
        <v>1.0306184988310811</v>
      </c>
      <c r="N261" s="76">
        <v>355.4516296386719</v>
      </c>
      <c r="O261" s="76">
        <v>6945.5771484375</v>
      </c>
      <c r="P261" s="77"/>
      <c r="Q261" s="78"/>
      <c r="R261" s="78"/>
      <c r="S261" s="92"/>
      <c r="T261" s="49">
        <v>1</v>
      </c>
      <c r="U261" s="49">
        <v>1</v>
      </c>
      <c r="V261" s="50">
        <v>0</v>
      </c>
      <c r="W261" s="50">
        <v>0</v>
      </c>
      <c r="X261" s="50">
        <v>0</v>
      </c>
      <c r="Y261" s="50">
        <v>0.999998</v>
      </c>
      <c r="Z261" s="50">
        <v>0</v>
      </c>
      <c r="AA261" s="50">
        <v>0</v>
      </c>
      <c r="AB261" s="73">
        <v>261</v>
      </c>
      <c r="AC261" s="73"/>
      <c r="AD261" s="74"/>
      <c r="AE261" s="81" t="s">
        <v>2173</v>
      </c>
      <c r="AF261" s="86" t="s">
        <v>2440</v>
      </c>
      <c r="AG261" s="81">
        <v>252</v>
      </c>
      <c r="AH261" s="81">
        <v>229</v>
      </c>
      <c r="AI261" s="81">
        <v>712</v>
      </c>
      <c r="AJ261" s="81">
        <v>1284</v>
      </c>
      <c r="AK261" s="81"/>
      <c r="AL261" s="81" t="s">
        <v>2706</v>
      </c>
      <c r="AM261" s="81"/>
      <c r="AN261" s="81"/>
      <c r="AO261" s="81"/>
      <c r="AP261" s="83">
        <v>42344.719201388885</v>
      </c>
      <c r="AQ261" s="88" t="str">
        <f>HYPERLINK("https://pbs.twimg.com/profile_banners/4396079182/1632761813")</f>
        <v>https://pbs.twimg.com/profile_banners/4396079182/1632761813</v>
      </c>
      <c r="AR261" s="81" t="b">
        <v>1</v>
      </c>
      <c r="AS261" s="81" t="b">
        <v>0</v>
      </c>
      <c r="AT261" s="81" t="b">
        <v>0</v>
      </c>
      <c r="AU261" s="81"/>
      <c r="AV261" s="81">
        <v>0</v>
      </c>
      <c r="AW261" s="88" t="str">
        <f>HYPERLINK("https://abs.twimg.com/images/themes/theme1/bg.png")</f>
        <v>https://abs.twimg.com/images/themes/theme1/bg.png</v>
      </c>
      <c r="AX261" s="81" t="b">
        <v>0</v>
      </c>
      <c r="AY261" s="81" t="s">
        <v>2883</v>
      </c>
      <c r="AZ261" s="88" t="str">
        <f>HYPERLINK("https://twitter.com/drloudunsmure")</f>
        <v>https://twitter.com/drloudunsmure</v>
      </c>
      <c r="BA261" s="81" t="s">
        <v>66</v>
      </c>
      <c r="BB261" s="81" t="str">
        <f>REPLACE(INDEX(GroupVertices[Group],MATCH(Vertices[[#This Row],[Vertex]],GroupVertices[Vertex],0)),1,1,"")</f>
        <v>1</v>
      </c>
      <c r="BC261" s="49"/>
      <c r="BD261" s="49"/>
      <c r="BE261" s="49"/>
      <c r="BF261" s="49"/>
      <c r="BG261" s="49" t="s">
        <v>1119</v>
      </c>
      <c r="BH261" s="49" t="s">
        <v>1119</v>
      </c>
      <c r="BI261" s="113" t="s">
        <v>3799</v>
      </c>
      <c r="BJ261" s="113" t="s">
        <v>3799</v>
      </c>
      <c r="BK261" s="113" t="s">
        <v>3975</v>
      </c>
      <c r="BL261" s="113" t="s">
        <v>3975</v>
      </c>
      <c r="BM261" s="113">
        <v>0</v>
      </c>
      <c r="BN261" s="116">
        <v>0</v>
      </c>
      <c r="BO261" s="113">
        <v>0</v>
      </c>
      <c r="BP261" s="116">
        <v>0</v>
      </c>
      <c r="BQ261" s="113">
        <v>0</v>
      </c>
      <c r="BR261" s="116">
        <v>0</v>
      </c>
      <c r="BS261" s="113">
        <v>3</v>
      </c>
      <c r="BT261" s="116">
        <v>100</v>
      </c>
      <c r="BU261" s="113">
        <v>3</v>
      </c>
      <c r="BV261" s="2"/>
      <c r="BW261" s="3"/>
      <c r="BX261" s="3"/>
      <c r="BY261" s="3"/>
      <c r="BZ261" s="3"/>
    </row>
    <row r="262" spans="1:78" ht="41.45" customHeight="1">
      <c r="A262" s="66" t="s">
        <v>428</v>
      </c>
      <c r="C262" s="67"/>
      <c r="D262" s="67" t="s">
        <v>64</v>
      </c>
      <c r="E262" s="68">
        <v>167.27675331038012</v>
      </c>
      <c r="F262" s="70">
        <v>99.98862024213102</v>
      </c>
      <c r="G262" s="106" t="str">
        <f>HYPERLINK("https://pbs.twimg.com/profile_images/1285591427271946240/srvRqs8E_normal.jpg")</f>
        <v>https://pbs.twimg.com/profile_images/1285591427271946240/srvRqs8E_normal.jpg</v>
      </c>
      <c r="H262" s="67"/>
      <c r="I262" s="71" t="s">
        <v>428</v>
      </c>
      <c r="J262" s="72"/>
      <c r="K262" s="72"/>
      <c r="L262" s="71" t="s">
        <v>3142</v>
      </c>
      <c r="M262" s="75">
        <v>4.792493972471037</v>
      </c>
      <c r="N262" s="76">
        <v>3091.998291015625</v>
      </c>
      <c r="O262" s="76">
        <v>1496.5609130859375</v>
      </c>
      <c r="P262" s="77"/>
      <c r="Q262" s="78"/>
      <c r="R262" s="78"/>
      <c r="S262" s="92"/>
      <c r="T262" s="49">
        <v>1</v>
      </c>
      <c r="U262" s="49">
        <v>1</v>
      </c>
      <c r="V262" s="50">
        <v>0</v>
      </c>
      <c r="W262" s="50">
        <v>0</v>
      </c>
      <c r="X262" s="50">
        <v>0</v>
      </c>
      <c r="Y262" s="50">
        <v>0.999998</v>
      </c>
      <c r="Z262" s="50">
        <v>0</v>
      </c>
      <c r="AA262" s="50">
        <v>0</v>
      </c>
      <c r="AB262" s="73">
        <v>262</v>
      </c>
      <c r="AC262" s="73"/>
      <c r="AD262" s="74"/>
      <c r="AE262" s="81" t="s">
        <v>2174</v>
      </c>
      <c r="AF262" s="86" t="s">
        <v>2441</v>
      </c>
      <c r="AG262" s="81">
        <v>580</v>
      </c>
      <c r="AH262" s="81">
        <v>27996</v>
      </c>
      <c r="AI262" s="81">
        <v>14805</v>
      </c>
      <c r="AJ262" s="81">
        <v>3375</v>
      </c>
      <c r="AK262" s="81"/>
      <c r="AL262" s="81" t="s">
        <v>2707</v>
      </c>
      <c r="AM262" s="81" t="s">
        <v>2873</v>
      </c>
      <c r="AN262" s="88" t="str">
        <f>HYPERLINK("https://t.co/RzGlKnK0TE")</f>
        <v>https://t.co/RzGlKnK0TE</v>
      </c>
      <c r="AO262" s="81"/>
      <c r="AP262" s="83">
        <v>40355.519270833334</v>
      </c>
      <c r="AQ262" s="88" t="str">
        <f>HYPERLINK("https://pbs.twimg.com/profile_banners/159822837/1625256241")</f>
        <v>https://pbs.twimg.com/profile_banners/159822837/1625256241</v>
      </c>
      <c r="AR262" s="81" t="b">
        <v>0</v>
      </c>
      <c r="AS262" s="81" t="b">
        <v>0</v>
      </c>
      <c r="AT262" s="81" t="b">
        <v>1</v>
      </c>
      <c r="AU262" s="81"/>
      <c r="AV262" s="81">
        <v>534</v>
      </c>
      <c r="AW262" s="88" t="str">
        <f>HYPERLINK("https://abs.twimg.com/images/themes/theme9/bg.gif")</f>
        <v>https://abs.twimg.com/images/themes/theme9/bg.gif</v>
      </c>
      <c r="AX262" s="81" t="b">
        <v>1</v>
      </c>
      <c r="AY262" s="81" t="s">
        <v>2883</v>
      </c>
      <c r="AZ262" s="88" t="str">
        <f>HYPERLINK("https://twitter.com/chipublichealth")</f>
        <v>https://twitter.com/chipublichealth</v>
      </c>
      <c r="BA262" s="81" t="s">
        <v>66</v>
      </c>
      <c r="BB262" s="81" t="str">
        <f>REPLACE(INDEX(GroupVertices[Group],MATCH(Vertices[[#This Row],[Vertex]],GroupVertices[Vertex],0)),1,1,"")</f>
        <v>1</v>
      </c>
      <c r="BC262" s="49" t="s">
        <v>3545</v>
      </c>
      <c r="BD262" s="49" t="s">
        <v>3545</v>
      </c>
      <c r="BE262" s="49" t="s">
        <v>903</v>
      </c>
      <c r="BF262" s="49" t="s">
        <v>903</v>
      </c>
      <c r="BG262" s="49" t="s">
        <v>3638</v>
      </c>
      <c r="BH262" s="49" t="s">
        <v>3674</v>
      </c>
      <c r="BI262" s="113" t="s">
        <v>3800</v>
      </c>
      <c r="BJ262" s="113" t="s">
        <v>3813</v>
      </c>
      <c r="BK262" s="113" t="s">
        <v>3976</v>
      </c>
      <c r="BL262" s="113" t="s">
        <v>3869</v>
      </c>
      <c r="BM262" s="113">
        <v>1</v>
      </c>
      <c r="BN262" s="116">
        <v>1.694915254237288</v>
      </c>
      <c r="BO262" s="113">
        <v>1</v>
      </c>
      <c r="BP262" s="116">
        <v>1.694915254237288</v>
      </c>
      <c r="BQ262" s="113">
        <v>0</v>
      </c>
      <c r="BR262" s="116">
        <v>0</v>
      </c>
      <c r="BS262" s="113">
        <v>57</v>
      </c>
      <c r="BT262" s="116">
        <v>96.61016949152543</v>
      </c>
      <c r="BU262" s="113">
        <v>59</v>
      </c>
      <c r="BV262" s="2"/>
      <c r="BW262" s="3"/>
      <c r="BX262" s="3"/>
      <c r="BY262" s="3"/>
      <c r="BZ262" s="3"/>
    </row>
    <row r="263" spans="1:78" ht="41.45" customHeight="1">
      <c r="A263" s="66" t="s">
        <v>431</v>
      </c>
      <c r="C263" s="67"/>
      <c r="D263" s="67" t="s">
        <v>64</v>
      </c>
      <c r="E263" s="68">
        <v>163.20264659451382</v>
      </c>
      <c r="F263" s="70">
        <v>99.99740639248368</v>
      </c>
      <c r="G263" s="106" t="str">
        <f>HYPERLINK("https://pbs.twimg.com/profile_images/875434742916710400/waxta_Yl_normal.jpg")</f>
        <v>https://pbs.twimg.com/profile_images/875434742916710400/waxta_Yl_normal.jpg</v>
      </c>
      <c r="H263" s="67"/>
      <c r="I263" s="71" t="s">
        <v>431</v>
      </c>
      <c r="J263" s="72"/>
      <c r="K263" s="72"/>
      <c r="L263" s="71" t="s">
        <v>3143</v>
      </c>
      <c r="M263" s="75">
        <v>1.8643629316030874</v>
      </c>
      <c r="N263" s="76">
        <v>2310.1279296875</v>
      </c>
      <c r="O263" s="76">
        <v>3053.422607421875</v>
      </c>
      <c r="P263" s="77"/>
      <c r="Q263" s="78"/>
      <c r="R263" s="78"/>
      <c r="S263" s="92"/>
      <c r="T263" s="49">
        <v>1</v>
      </c>
      <c r="U263" s="49">
        <v>1</v>
      </c>
      <c r="V263" s="50">
        <v>0</v>
      </c>
      <c r="W263" s="50">
        <v>0</v>
      </c>
      <c r="X263" s="50">
        <v>0</v>
      </c>
      <c r="Y263" s="50">
        <v>0.999998</v>
      </c>
      <c r="Z263" s="50">
        <v>0</v>
      </c>
      <c r="AA263" s="50">
        <v>0</v>
      </c>
      <c r="AB263" s="73">
        <v>263</v>
      </c>
      <c r="AC263" s="73"/>
      <c r="AD263" s="74"/>
      <c r="AE263" s="81" t="s">
        <v>2175</v>
      </c>
      <c r="AF263" s="86" t="s">
        <v>2442</v>
      </c>
      <c r="AG263" s="81">
        <v>1061</v>
      </c>
      <c r="AH263" s="81">
        <v>6383</v>
      </c>
      <c r="AI263" s="81">
        <v>5577</v>
      </c>
      <c r="AJ263" s="81">
        <v>590</v>
      </c>
      <c r="AK263" s="81"/>
      <c r="AL263" s="81" t="s">
        <v>2708</v>
      </c>
      <c r="AM263" s="81" t="s">
        <v>2734</v>
      </c>
      <c r="AN263" s="88" t="str">
        <f>HYPERLINK("http://t.co/VaDiooK8Vw")</f>
        <v>http://t.co/VaDiooK8Vw</v>
      </c>
      <c r="AO263" s="81"/>
      <c r="AP263" s="83">
        <v>42101.7896412037</v>
      </c>
      <c r="AQ263" s="88" t="str">
        <f>HYPERLINK("https://pbs.twimg.com/profile_banners/3145168942/1522084555")</f>
        <v>https://pbs.twimg.com/profile_banners/3145168942/1522084555</v>
      </c>
      <c r="AR263" s="81" t="b">
        <v>1</v>
      </c>
      <c r="AS263" s="81" t="b">
        <v>0</v>
      </c>
      <c r="AT263" s="81" t="b">
        <v>0</v>
      </c>
      <c r="AU263" s="81"/>
      <c r="AV263" s="81">
        <v>97</v>
      </c>
      <c r="AW263" s="88" t="str">
        <f>HYPERLINK("https://abs.twimg.com/images/themes/theme1/bg.png")</f>
        <v>https://abs.twimg.com/images/themes/theme1/bg.png</v>
      </c>
      <c r="AX263" s="81" t="b">
        <v>1</v>
      </c>
      <c r="AY263" s="81" t="s">
        <v>2883</v>
      </c>
      <c r="AZ263" s="88" t="str">
        <f>HYPERLINK("https://twitter.com/cdc_tb")</f>
        <v>https://twitter.com/cdc_tb</v>
      </c>
      <c r="BA263" s="81" t="s">
        <v>66</v>
      </c>
      <c r="BB263" s="81" t="str">
        <f>REPLACE(INDEX(GroupVertices[Group],MATCH(Vertices[[#This Row],[Vertex]],GroupVertices[Vertex],0)),1,1,"")</f>
        <v>1</v>
      </c>
      <c r="BC263" s="49" t="s">
        <v>3590</v>
      </c>
      <c r="BD263" s="49" t="s">
        <v>3590</v>
      </c>
      <c r="BE263" s="49" t="s">
        <v>945</v>
      </c>
      <c r="BF263" s="49" t="s">
        <v>945</v>
      </c>
      <c r="BG263" s="49" t="s">
        <v>1127</v>
      </c>
      <c r="BH263" s="49" t="s">
        <v>1127</v>
      </c>
      <c r="BI263" s="113" t="s">
        <v>3801</v>
      </c>
      <c r="BJ263" s="113" t="s">
        <v>3850</v>
      </c>
      <c r="BK263" s="113" t="s">
        <v>3977</v>
      </c>
      <c r="BL263" s="113" t="s">
        <v>4008</v>
      </c>
      <c r="BM263" s="113">
        <v>1</v>
      </c>
      <c r="BN263" s="116">
        <v>1.8867924528301887</v>
      </c>
      <c r="BO263" s="113">
        <v>2</v>
      </c>
      <c r="BP263" s="116">
        <v>3.7735849056603774</v>
      </c>
      <c r="BQ263" s="113">
        <v>0</v>
      </c>
      <c r="BR263" s="116">
        <v>0</v>
      </c>
      <c r="BS263" s="113">
        <v>50</v>
      </c>
      <c r="BT263" s="116">
        <v>94.33962264150944</v>
      </c>
      <c r="BU263" s="113">
        <v>53</v>
      </c>
      <c r="BV263" s="2"/>
      <c r="BW263" s="3"/>
      <c r="BX263" s="3"/>
      <c r="BY263" s="3"/>
      <c r="BZ263" s="3"/>
    </row>
    <row r="264" spans="1:78" ht="41.45" customHeight="1">
      <c r="A264" s="66" t="s">
        <v>432</v>
      </c>
      <c r="C264" s="67"/>
      <c r="D264" s="67" t="s">
        <v>64</v>
      </c>
      <c r="E264" s="68">
        <v>164.47918620862785</v>
      </c>
      <c r="F264" s="70">
        <v>99.99465342851809</v>
      </c>
      <c r="G264" s="106" t="str">
        <f>HYPERLINK("https://pbs.twimg.com/profile_images/1377682594817576960/3NgpR8iN_normal.jpg")</f>
        <v>https://pbs.twimg.com/profile_images/1377682594817576960/3NgpR8iN_normal.jpg</v>
      </c>
      <c r="H264" s="67"/>
      <c r="I264" s="71" t="s">
        <v>432</v>
      </c>
      <c r="J264" s="72"/>
      <c r="K264" s="72"/>
      <c r="L264" s="71" t="s">
        <v>3144</v>
      </c>
      <c r="M264" s="75">
        <v>2.7818340558689347</v>
      </c>
      <c r="N264" s="76">
        <v>3482.93359375</v>
      </c>
      <c r="O264" s="76">
        <v>2274.99169921875</v>
      </c>
      <c r="P264" s="77"/>
      <c r="Q264" s="78"/>
      <c r="R264" s="78"/>
      <c r="S264" s="92"/>
      <c r="T264" s="49">
        <v>1</v>
      </c>
      <c r="U264" s="49">
        <v>1</v>
      </c>
      <c r="V264" s="50">
        <v>0</v>
      </c>
      <c r="W264" s="50">
        <v>0</v>
      </c>
      <c r="X264" s="50">
        <v>0</v>
      </c>
      <c r="Y264" s="50">
        <v>0.999998</v>
      </c>
      <c r="Z264" s="50">
        <v>0</v>
      </c>
      <c r="AA264" s="50">
        <v>0</v>
      </c>
      <c r="AB264" s="73">
        <v>264</v>
      </c>
      <c r="AC264" s="73"/>
      <c r="AD264" s="74"/>
      <c r="AE264" s="81" t="s">
        <v>2176</v>
      </c>
      <c r="AF264" s="86" t="s">
        <v>2443</v>
      </c>
      <c r="AG264" s="81">
        <v>832</v>
      </c>
      <c r="AH264" s="81">
        <v>13155</v>
      </c>
      <c r="AI264" s="81">
        <v>15025</v>
      </c>
      <c r="AJ264" s="81">
        <v>7145</v>
      </c>
      <c r="AK264" s="81"/>
      <c r="AL264" s="81" t="s">
        <v>2709</v>
      </c>
      <c r="AM264" s="81" t="s">
        <v>2762</v>
      </c>
      <c r="AN264" s="88" t="str">
        <f>HYPERLINK("https://t.co/8Hr0kiFOEz")</f>
        <v>https://t.co/8Hr0kiFOEz</v>
      </c>
      <c r="AO264" s="81"/>
      <c r="AP264" s="83">
        <v>39755.890081018515</v>
      </c>
      <c r="AQ264" s="88" t="str">
        <f>HYPERLINK("https://pbs.twimg.com/profile_banners/17140902/1634235101")</f>
        <v>https://pbs.twimg.com/profile_banners/17140902/1634235101</v>
      </c>
      <c r="AR264" s="81" t="b">
        <v>0</v>
      </c>
      <c r="AS264" s="81" t="b">
        <v>0</v>
      </c>
      <c r="AT264" s="81" t="b">
        <v>0</v>
      </c>
      <c r="AU264" s="81"/>
      <c r="AV264" s="81">
        <v>234</v>
      </c>
      <c r="AW264" s="88" t="str">
        <f>HYPERLINK("https://abs.twimg.com/images/themes/theme1/bg.png")</f>
        <v>https://abs.twimg.com/images/themes/theme1/bg.png</v>
      </c>
      <c r="AX264" s="81" t="b">
        <v>0</v>
      </c>
      <c r="AY264" s="81" t="s">
        <v>2883</v>
      </c>
      <c r="AZ264" s="88" t="str">
        <f>HYPERLINK("https://twitter.com/apic")</f>
        <v>https://twitter.com/apic</v>
      </c>
      <c r="BA264" s="81" t="s">
        <v>66</v>
      </c>
      <c r="BB264" s="81" t="str">
        <f>REPLACE(INDEX(GroupVertices[Group],MATCH(Vertices[[#This Row],[Vertex]],GroupVertices[Vertex],0)),1,1,"")</f>
        <v>1</v>
      </c>
      <c r="BC264" s="49" t="s">
        <v>3591</v>
      </c>
      <c r="BD264" s="49" t="s">
        <v>3591</v>
      </c>
      <c r="BE264" s="49" t="s">
        <v>3606</v>
      </c>
      <c r="BF264" s="49" t="s">
        <v>3606</v>
      </c>
      <c r="BG264" s="49" t="s">
        <v>3639</v>
      </c>
      <c r="BH264" s="49" t="s">
        <v>3675</v>
      </c>
      <c r="BI264" s="113" t="s">
        <v>3802</v>
      </c>
      <c r="BJ264" s="113" t="s">
        <v>3851</v>
      </c>
      <c r="BK264" s="113" t="s">
        <v>3978</v>
      </c>
      <c r="BL264" s="113" t="s">
        <v>3978</v>
      </c>
      <c r="BM264" s="113">
        <v>5</v>
      </c>
      <c r="BN264" s="116">
        <v>4.385964912280702</v>
      </c>
      <c r="BO264" s="113">
        <v>3</v>
      </c>
      <c r="BP264" s="116">
        <v>2.6315789473684212</v>
      </c>
      <c r="BQ264" s="113">
        <v>0</v>
      </c>
      <c r="BR264" s="116">
        <v>0</v>
      </c>
      <c r="BS264" s="113">
        <v>106</v>
      </c>
      <c r="BT264" s="116">
        <v>92.98245614035088</v>
      </c>
      <c r="BU264" s="113">
        <v>114</v>
      </c>
      <c r="BV264" s="2"/>
      <c r="BW264" s="3"/>
      <c r="BX264" s="3"/>
      <c r="BY264" s="3"/>
      <c r="BZ264" s="3"/>
    </row>
    <row r="265" spans="1:78" ht="41.45" customHeight="1">
      <c r="A265" s="66" t="s">
        <v>433</v>
      </c>
      <c r="C265" s="67"/>
      <c r="D265" s="67" t="s">
        <v>64</v>
      </c>
      <c r="E265" s="68">
        <v>162.01790774709698</v>
      </c>
      <c r="F265" s="70">
        <v>99.99996138045235</v>
      </c>
      <c r="G265" s="106" t="str">
        <f>HYPERLINK("https://pbs.twimg.com/profile_images/814930408928329728/rCOtWcsb_normal.jpg")</f>
        <v>https://pbs.twimg.com/profile_images/814930408928329728/rCOtWcsb_normal.jpg</v>
      </c>
      <c r="H265" s="67"/>
      <c r="I265" s="71" t="s">
        <v>433</v>
      </c>
      <c r="J265" s="72"/>
      <c r="K265" s="72"/>
      <c r="L265" s="71" t="s">
        <v>3145</v>
      </c>
      <c r="M265" s="75">
        <v>1.01287060791572</v>
      </c>
      <c r="N265" s="76">
        <v>355.4516296386719</v>
      </c>
      <c r="O265" s="76">
        <v>7724.00830078125</v>
      </c>
      <c r="P265" s="77"/>
      <c r="Q265" s="78"/>
      <c r="R265" s="78"/>
      <c r="S265" s="92"/>
      <c r="T265" s="49">
        <v>1</v>
      </c>
      <c r="U265" s="49">
        <v>1</v>
      </c>
      <c r="V265" s="50">
        <v>0</v>
      </c>
      <c r="W265" s="50">
        <v>0</v>
      </c>
      <c r="X265" s="50">
        <v>0</v>
      </c>
      <c r="Y265" s="50">
        <v>0.999998</v>
      </c>
      <c r="Z265" s="50">
        <v>0</v>
      </c>
      <c r="AA265" s="50">
        <v>0</v>
      </c>
      <c r="AB265" s="73">
        <v>265</v>
      </c>
      <c r="AC265" s="73"/>
      <c r="AD265" s="74"/>
      <c r="AE265" s="81" t="s">
        <v>2177</v>
      </c>
      <c r="AF265" s="86" t="s">
        <v>2444</v>
      </c>
      <c r="AG265" s="81">
        <v>316</v>
      </c>
      <c r="AH265" s="81">
        <v>98</v>
      </c>
      <c r="AI265" s="81">
        <v>652</v>
      </c>
      <c r="AJ265" s="81">
        <v>556</v>
      </c>
      <c r="AK265" s="81"/>
      <c r="AL265" s="81" t="s">
        <v>2710</v>
      </c>
      <c r="AM265" s="81" t="s">
        <v>2874</v>
      </c>
      <c r="AN265" s="81"/>
      <c r="AO265" s="81"/>
      <c r="AP265" s="83">
        <v>42734.8453125</v>
      </c>
      <c r="AQ265" s="88" t="str">
        <f>HYPERLINK("https://pbs.twimg.com/profile_banners/814928355015454720/1540241325")</f>
        <v>https://pbs.twimg.com/profile_banners/814928355015454720/1540241325</v>
      </c>
      <c r="AR265" s="81" t="b">
        <v>1</v>
      </c>
      <c r="AS265" s="81" t="b">
        <v>0</v>
      </c>
      <c r="AT265" s="81" t="b">
        <v>1</v>
      </c>
      <c r="AU265" s="81"/>
      <c r="AV265" s="81">
        <v>0</v>
      </c>
      <c r="AW265" s="81"/>
      <c r="AX265" s="81" t="b">
        <v>0</v>
      </c>
      <c r="AY265" s="81" t="s">
        <v>2883</v>
      </c>
      <c r="AZ265" s="88" t="str">
        <f>HYPERLINK("https://twitter.com/alinaveed143p")</f>
        <v>https://twitter.com/alinaveed143p</v>
      </c>
      <c r="BA265" s="81" t="s">
        <v>66</v>
      </c>
      <c r="BB265" s="81" t="str">
        <f>REPLACE(INDEX(GroupVertices[Group],MATCH(Vertices[[#This Row],[Vertex]],GroupVertices[Vertex],0)),1,1,"")</f>
        <v>1</v>
      </c>
      <c r="BC265" s="49"/>
      <c r="BD265" s="49"/>
      <c r="BE265" s="49"/>
      <c r="BF265" s="49"/>
      <c r="BG265" s="49" t="s">
        <v>949</v>
      </c>
      <c r="BH265" s="49" t="s">
        <v>949</v>
      </c>
      <c r="BI265" s="113" t="s">
        <v>3681</v>
      </c>
      <c r="BJ265" s="113" t="s">
        <v>3681</v>
      </c>
      <c r="BK265" s="113" t="s">
        <v>3858</v>
      </c>
      <c r="BL265" s="113" t="s">
        <v>3858</v>
      </c>
      <c r="BM265" s="113">
        <v>0</v>
      </c>
      <c r="BN265" s="116">
        <v>0</v>
      </c>
      <c r="BO265" s="113">
        <v>4</v>
      </c>
      <c r="BP265" s="116">
        <v>14.285714285714286</v>
      </c>
      <c r="BQ265" s="113">
        <v>0</v>
      </c>
      <c r="BR265" s="116">
        <v>0</v>
      </c>
      <c r="BS265" s="113">
        <v>24</v>
      </c>
      <c r="BT265" s="116">
        <v>85.71428571428571</v>
      </c>
      <c r="BU265" s="113">
        <v>28</v>
      </c>
      <c r="BV265" s="2"/>
      <c r="BW265" s="3"/>
      <c r="BX265" s="3"/>
      <c r="BY265" s="3"/>
      <c r="BZ265" s="3"/>
    </row>
    <row r="266" spans="1:78" ht="41.45" customHeight="1">
      <c r="A266" s="66" t="s">
        <v>434</v>
      </c>
      <c r="C266" s="67"/>
      <c r="D266" s="67" t="s">
        <v>64</v>
      </c>
      <c r="E266" s="68">
        <v>162.00999063785412</v>
      </c>
      <c r="F266" s="70">
        <v>99.99997845435762</v>
      </c>
      <c r="G266" s="106" t="str">
        <f>HYPERLINK("https://pbs.twimg.com/profile_images/378800000273969907/61dd9834adb541125e036c3e18f5bad9_normal.png")</f>
        <v>https://pbs.twimg.com/profile_images/378800000273969907/61dd9834adb541125e036c3e18f5bad9_normal.png</v>
      </c>
      <c r="H266" s="67"/>
      <c r="I266" s="71" t="s">
        <v>434</v>
      </c>
      <c r="J266" s="72"/>
      <c r="K266" s="72"/>
      <c r="L266" s="71" t="s">
        <v>3146</v>
      </c>
      <c r="M266" s="75">
        <v>1.0071804444161385</v>
      </c>
      <c r="N266" s="76">
        <v>1528.2574462890625</v>
      </c>
      <c r="O266" s="76">
        <v>8502.439453125</v>
      </c>
      <c r="P266" s="77"/>
      <c r="Q266" s="78"/>
      <c r="R266" s="78"/>
      <c r="S266" s="92"/>
      <c r="T266" s="49">
        <v>1</v>
      </c>
      <c r="U266" s="49">
        <v>1</v>
      </c>
      <c r="V266" s="50">
        <v>0</v>
      </c>
      <c r="W266" s="50">
        <v>0</v>
      </c>
      <c r="X266" s="50">
        <v>0</v>
      </c>
      <c r="Y266" s="50">
        <v>0.999998</v>
      </c>
      <c r="Z266" s="50">
        <v>0</v>
      </c>
      <c r="AA266" s="50">
        <v>0</v>
      </c>
      <c r="AB266" s="73">
        <v>266</v>
      </c>
      <c r="AC266" s="73"/>
      <c r="AD266" s="74"/>
      <c r="AE266" s="81" t="s">
        <v>2178</v>
      </c>
      <c r="AF266" s="86" t="s">
        <v>2445</v>
      </c>
      <c r="AG266" s="81">
        <v>235</v>
      </c>
      <c r="AH266" s="81">
        <v>56</v>
      </c>
      <c r="AI266" s="81">
        <v>8637</v>
      </c>
      <c r="AJ266" s="81">
        <v>5313</v>
      </c>
      <c r="AK266" s="81"/>
      <c r="AL266" s="81" t="s">
        <v>2711</v>
      </c>
      <c r="AM266" s="81" t="s">
        <v>2875</v>
      </c>
      <c r="AN266" s="81"/>
      <c r="AO266" s="81"/>
      <c r="AP266" s="83">
        <v>40022.93267361111</v>
      </c>
      <c r="AQ266" s="81"/>
      <c r="AR266" s="81" t="b">
        <v>1</v>
      </c>
      <c r="AS266" s="81" t="b">
        <v>0</v>
      </c>
      <c r="AT266" s="81" t="b">
        <v>0</v>
      </c>
      <c r="AU266" s="81"/>
      <c r="AV266" s="81">
        <v>0</v>
      </c>
      <c r="AW266" s="88" t="str">
        <f>HYPERLINK("https://abs.twimg.com/images/themes/theme1/bg.png")</f>
        <v>https://abs.twimg.com/images/themes/theme1/bg.png</v>
      </c>
      <c r="AX266" s="81" t="b">
        <v>0</v>
      </c>
      <c r="AY266" s="81" t="s">
        <v>2883</v>
      </c>
      <c r="AZ266" s="88" t="str">
        <f>HYPERLINK("https://twitter.com/daisydumble")</f>
        <v>https://twitter.com/daisydumble</v>
      </c>
      <c r="BA266" s="81" t="s">
        <v>66</v>
      </c>
      <c r="BB266" s="81" t="str">
        <f>REPLACE(INDEX(GroupVertices[Group],MATCH(Vertices[[#This Row],[Vertex]],GroupVertices[Vertex],0)),1,1,"")</f>
        <v>1</v>
      </c>
      <c r="BC266" s="49"/>
      <c r="BD266" s="49"/>
      <c r="BE266" s="49"/>
      <c r="BF266" s="49"/>
      <c r="BG266" s="49" t="s">
        <v>1130</v>
      </c>
      <c r="BH266" s="49" t="s">
        <v>1130</v>
      </c>
      <c r="BI266" s="113" t="s">
        <v>3803</v>
      </c>
      <c r="BJ266" s="113" t="s">
        <v>3803</v>
      </c>
      <c r="BK266" s="113" t="s">
        <v>3979</v>
      </c>
      <c r="BL266" s="113" t="s">
        <v>3979</v>
      </c>
      <c r="BM266" s="113">
        <v>0</v>
      </c>
      <c r="BN266" s="116">
        <v>0</v>
      </c>
      <c r="BO266" s="113">
        <v>0</v>
      </c>
      <c r="BP266" s="116">
        <v>0</v>
      </c>
      <c r="BQ266" s="113">
        <v>0</v>
      </c>
      <c r="BR266" s="116">
        <v>0</v>
      </c>
      <c r="BS266" s="113">
        <v>36</v>
      </c>
      <c r="BT266" s="116">
        <v>100</v>
      </c>
      <c r="BU266" s="113">
        <v>36</v>
      </c>
      <c r="BV266" s="2"/>
      <c r="BW266" s="3"/>
      <c r="BX266" s="3"/>
      <c r="BY266" s="3"/>
      <c r="BZ266" s="3"/>
    </row>
    <row r="267" spans="1:78" ht="41.45" customHeight="1">
      <c r="A267" s="66" t="s">
        <v>435</v>
      </c>
      <c r="C267" s="67"/>
      <c r="D267" s="67" t="s">
        <v>64</v>
      </c>
      <c r="E267" s="68">
        <v>169.8058927082785</v>
      </c>
      <c r="F267" s="70">
        <v>99.98316594243722</v>
      </c>
      <c r="G267" s="106" t="str">
        <f>HYPERLINK("https://pbs.twimg.com/profile_images/1046703737438437377/yhI1br33_normal.jpg")</f>
        <v>https://pbs.twimg.com/profile_images/1046703737438437377/yhI1br33_normal.jpg</v>
      </c>
      <c r="H267" s="67"/>
      <c r="I267" s="71" t="s">
        <v>435</v>
      </c>
      <c r="J267" s="72"/>
      <c r="K267" s="72"/>
      <c r="L267" s="71" t="s">
        <v>3147</v>
      </c>
      <c r="M267" s="75">
        <v>6.610230250420665</v>
      </c>
      <c r="N267" s="76">
        <v>355.4516296386719</v>
      </c>
      <c r="O267" s="76">
        <v>718.1299438476562</v>
      </c>
      <c r="P267" s="77"/>
      <c r="Q267" s="78"/>
      <c r="R267" s="78"/>
      <c r="S267" s="92"/>
      <c r="T267" s="49">
        <v>1</v>
      </c>
      <c r="U267" s="49">
        <v>1</v>
      </c>
      <c r="V267" s="50">
        <v>0</v>
      </c>
      <c r="W267" s="50">
        <v>0</v>
      </c>
      <c r="X267" s="50">
        <v>0</v>
      </c>
      <c r="Y267" s="50">
        <v>0.999998</v>
      </c>
      <c r="Z267" s="50">
        <v>0</v>
      </c>
      <c r="AA267" s="50">
        <v>0</v>
      </c>
      <c r="AB267" s="73">
        <v>267</v>
      </c>
      <c r="AC267" s="73"/>
      <c r="AD267" s="74"/>
      <c r="AE267" s="81" t="s">
        <v>2179</v>
      </c>
      <c r="AF267" s="86" t="s">
        <v>2446</v>
      </c>
      <c r="AG267" s="81">
        <v>347</v>
      </c>
      <c r="AH267" s="81">
        <v>41413</v>
      </c>
      <c r="AI267" s="81">
        <v>8008</v>
      </c>
      <c r="AJ267" s="81">
        <v>2572</v>
      </c>
      <c r="AK267" s="81"/>
      <c r="AL267" s="81" t="s">
        <v>2712</v>
      </c>
      <c r="AM267" s="81" t="s">
        <v>2876</v>
      </c>
      <c r="AN267" s="88" t="str">
        <f>HYPERLINK("https://t.co/2iJKf7s730")</f>
        <v>https://t.co/2iJKf7s730</v>
      </c>
      <c r="AO267" s="81"/>
      <c r="AP267" s="83">
        <v>40109.535625</v>
      </c>
      <c r="AQ267" s="88" t="str">
        <f>HYPERLINK("https://pbs.twimg.com/profile_banners/84582815/1605777002")</f>
        <v>https://pbs.twimg.com/profile_banners/84582815/1605777002</v>
      </c>
      <c r="AR267" s="81" t="b">
        <v>0</v>
      </c>
      <c r="AS267" s="81" t="b">
        <v>0</v>
      </c>
      <c r="AT267" s="81" t="b">
        <v>1</v>
      </c>
      <c r="AU267" s="81"/>
      <c r="AV267" s="81">
        <v>0</v>
      </c>
      <c r="AW267" s="88" t="str">
        <f>HYPERLINK("https://abs.twimg.com/images/themes/theme1/bg.png")</f>
        <v>https://abs.twimg.com/images/themes/theme1/bg.png</v>
      </c>
      <c r="AX267" s="81" t="b">
        <v>1</v>
      </c>
      <c r="AY267" s="81" t="s">
        <v>2883</v>
      </c>
      <c r="AZ267" s="88" t="str">
        <f>HYPERLINK("https://twitter.com/efsa_eu")</f>
        <v>https://twitter.com/efsa_eu</v>
      </c>
      <c r="BA267" s="81" t="s">
        <v>66</v>
      </c>
      <c r="BB267" s="81" t="str">
        <f>REPLACE(INDEX(GroupVertices[Group],MATCH(Vertices[[#This Row],[Vertex]],GroupVertices[Vertex],0)),1,1,"")</f>
        <v>1</v>
      </c>
      <c r="BC267" s="49" t="s">
        <v>3209</v>
      </c>
      <c r="BD267" s="49" t="s">
        <v>3209</v>
      </c>
      <c r="BE267" s="49" t="s">
        <v>915</v>
      </c>
      <c r="BF267" s="49" t="s">
        <v>915</v>
      </c>
      <c r="BG267" s="49" t="s">
        <v>3640</v>
      </c>
      <c r="BH267" s="49" t="s">
        <v>3676</v>
      </c>
      <c r="BI267" s="113" t="s">
        <v>3804</v>
      </c>
      <c r="BJ267" s="113" t="s">
        <v>3852</v>
      </c>
      <c r="BK267" s="113" t="s">
        <v>3980</v>
      </c>
      <c r="BL267" s="113" t="s">
        <v>4009</v>
      </c>
      <c r="BM267" s="113">
        <v>3</v>
      </c>
      <c r="BN267" s="116">
        <v>3.3707865168539324</v>
      </c>
      <c r="BO267" s="113">
        <v>4</v>
      </c>
      <c r="BP267" s="116">
        <v>4.49438202247191</v>
      </c>
      <c r="BQ267" s="113">
        <v>0</v>
      </c>
      <c r="BR267" s="116">
        <v>0</v>
      </c>
      <c r="BS267" s="113">
        <v>82</v>
      </c>
      <c r="BT267" s="116">
        <v>92.13483146067416</v>
      </c>
      <c r="BU267" s="113">
        <v>89</v>
      </c>
      <c r="BV267" s="2"/>
      <c r="BW267" s="3"/>
      <c r="BX267" s="3"/>
      <c r="BY267" s="3"/>
      <c r="BZ267" s="3"/>
    </row>
    <row r="268" spans="1:78" ht="41.45" customHeight="1">
      <c r="A268" s="66" t="s">
        <v>436</v>
      </c>
      <c r="C268" s="67"/>
      <c r="D268" s="67" t="s">
        <v>64</v>
      </c>
      <c r="E268" s="68">
        <v>162.64411338768866</v>
      </c>
      <c r="F268" s="70">
        <v>99.99861091584903</v>
      </c>
      <c r="G268" s="106" t="str">
        <f>HYPERLINK("https://pbs.twimg.com/profile_images/1257632466627682304/lpBjSD0q_normal.jpg")</f>
        <v>https://pbs.twimg.com/profile_images/1257632466627682304/lpBjSD0q_normal.jpg</v>
      </c>
      <c r="H268" s="67"/>
      <c r="I268" s="71" t="s">
        <v>436</v>
      </c>
      <c r="J268" s="72"/>
      <c r="K268" s="72"/>
      <c r="L268" s="71" t="s">
        <v>3148</v>
      </c>
      <c r="M268" s="75">
        <v>1.4629354447159482</v>
      </c>
      <c r="N268" s="76">
        <v>1919.192626953125</v>
      </c>
      <c r="O268" s="76">
        <v>3831.853515625</v>
      </c>
      <c r="P268" s="77"/>
      <c r="Q268" s="78"/>
      <c r="R268" s="78"/>
      <c r="S268" s="92"/>
      <c r="T268" s="49">
        <v>1</v>
      </c>
      <c r="U268" s="49">
        <v>1</v>
      </c>
      <c r="V268" s="50">
        <v>0</v>
      </c>
      <c r="W268" s="50">
        <v>0</v>
      </c>
      <c r="X268" s="50">
        <v>0</v>
      </c>
      <c r="Y268" s="50">
        <v>0.999998</v>
      </c>
      <c r="Z268" s="50">
        <v>0</v>
      </c>
      <c r="AA268" s="50">
        <v>0</v>
      </c>
      <c r="AB268" s="73">
        <v>268</v>
      </c>
      <c r="AC268" s="73"/>
      <c r="AD268" s="74"/>
      <c r="AE268" s="81" t="s">
        <v>2180</v>
      </c>
      <c r="AF268" s="86" t="s">
        <v>1825</v>
      </c>
      <c r="AG268" s="81">
        <v>171</v>
      </c>
      <c r="AH268" s="81">
        <v>3420</v>
      </c>
      <c r="AI268" s="81">
        <v>6478</v>
      </c>
      <c r="AJ268" s="81">
        <v>195</v>
      </c>
      <c r="AK268" s="81"/>
      <c r="AL268" s="81" t="s">
        <v>2713</v>
      </c>
      <c r="AM268" s="81"/>
      <c r="AN268" s="88" t="str">
        <f>HYPERLINK("https://t.co/uyzyUgmxqX")</f>
        <v>https://t.co/uyzyUgmxqX</v>
      </c>
      <c r="AO268" s="81"/>
      <c r="AP268" s="83">
        <v>41746.49730324074</v>
      </c>
      <c r="AQ268" s="88" t="str">
        <f>HYPERLINK("https://pbs.twimg.com/profile_banners/2449608931/1588677921")</f>
        <v>https://pbs.twimg.com/profile_banners/2449608931/1588677921</v>
      </c>
      <c r="AR268" s="81" t="b">
        <v>1</v>
      </c>
      <c r="AS268" s="81" t="b">
        <v>0</v>
      </c>
      <c r="AT268" s="81" t="b">
        <v>0</v>
      </c>
      <c r="AU268" s="81"/>
      <c r="AV268" s="81">
        <v>39</v>
      </c>
      <c r="AW268" s="88" t="str">
        <f>HYPERLINK("https://abs.twimg.com/images/themes/theme1/bg.png")</f>
        <v>https://abs.twimg.com/images/themes/theme1/bg.png</v>
      </c>
      <c r="AX268" s="81" t="b">
        <v>1</v>
      </c>
      <c r="AY268" s="81" t="s">
        <v>2883</v>
      </c>
      <c r="AZ268" s="88" t="str">
        <f>HYPERLINK("https://twitter.com/countydurhamccg")</f>
        <v>https://twitter.com/countydurhamccg</v>
      </c>
      <c r="BA268" s="81" t="s">
        <v>66</v>
      </c>
      <c r="BB268" s="81" t="str">
        <f>REPLACE(INDEX(GroupVertices[Group],MATCH(Vertices[[#This Row],[Vertex]],GroupVertices[Vertex],0)),1,1,"")</f>
        <v>1</v>
      </c>
      <c r="BC268" s="49"/>
      <c r="BD268" s="49"/>
      <c r="BE268" s="49"/>
      <c r="BF268" s="49"/>
      <c r="BG268" s="49" t="s">
        <v>3641</v>
      </c>
      <c r="BH268" s="49" t="s">
        <v>3677</v>
      </c>
      <c r="BI268" s="113" t="s">
        <v>3805</v>
      </c>
      <c r="BJ268" s="113" t="s">
        <v>3853</v>
      </c>
      <c r="BK268" s="113" t="s">
        <v>3981</v>
      </c>
      <c r="BL268" s="113" t="s">
        <v>3981</v>
      </c>
      <c r="BM268" s="113">
        <v>0</v>
      </c>
      <c r="BN268" s="116">
        <v>0</v>
      </c>
      <c r="BO268" s="113">
        <v>4</v>
      </c>
      <c r="BP268" s="116">
        <v>4.597701149425287</v>
      </c>
      <c r="BQ268" s="113">
        <v>1</v>
      </c>
      <c r="BR268" s="116">
        <v>1.1494252873563218</v>
      </c>
      <c r="BS268" s="113">
        <v>83</v>
      </c>
      <c r="BT268" s="116">
        <v>95.40229885057471</v>
      </c>
      <c r="BU268" s="113">
        <v>87</v>
      </c>
      <c r="BV268" s="2"/>
      <c r="BW268" s="3"/>
      <c r="BX268" s="3"/>
      <c r="BY268" s="3"/>
      <c r="BZ268" s="3"/>
    </row>
    <row r="269" spans="1:78" ht="41.45" customHeight="1">
      <c r="A269" s="66" t="s">
        <v>437</v>
      </c>
      <c r="C269" s="67"/>
      <c r="D269" s="67" t="s">
        <v>64</v>
      </c>
      <c r="E269" s="68">
        <v>164.32706460960392</v>
      </c>
      <c r="F269" s="70">
        <v>99.9949814914124</v>
      </c>
      <c r="G269" s="106" t="str">
        <f>HYPERLINK("https://pbs.twimg.com/profile_images/1463800966180917251/eiwqD501_normal.jpg")</f>
        <v>https://pbs.twimg.com/profile_images/1463800966180917251/eiwqD501_normal.jpg</v>
      </c>
      <c r="H269" s="67"/>
      <c r="I269" s="71" t="s">
        <v>437</v>
      </c>
      <c r="J269" s="72"/>
      <c r="K269" s="72"/>
      <c r="L269" s="71" t="s">
        <v>3149</v>
      </c>
      <c r="M269" s="75">
        <v>2.6725016286269767</v>
      </c>
      <c r="N269" s="76">
        <v>3091.998291015625</v>
      </c>
      <c r="O269" s="76">
        <v>2274.99169921875</v>
      </c>
      <c r="P269" s="77"/>
      <c r="Q269" s="78"/>
      <c r="R269" s="78"/>
      <c r="S269" s="92"/>
      <c r="T269" s="49">
        <v>1</v>
      </c>
      <c r="U269" s="49">
        <v>1</v>
      </c>
      <c r="V269" s="50">
        <v>0</v>
      </c>
      <c r="W269" s="50">
        <v>0</v>
      </c>
      <c r="X269" s="50">
        <v>0</v>
      </c>
      <c r="Y269" s="50">
        <v>0.999998</v>
      </c>
      <c r="Z269" s="50">
        <v>0</v>
      </c>
      <c r="AA269" s="50">
        <v>0</v>
      </c>
      <c r="AB269" s="73">
        <v>269</v>
      </c>
      <c r="AC269" s="73"/>
      <c r="AD269" s="74"/>
      <c r="AE269" s="81" t="s">
        <v>2181</v>
      </c>
      <c r="AF269" s="86" t="s">
        <v>2447</v>
      </c>
      <c r="AG269" s="81">
        <v>1769</v>
      </c>
      <c r="AH269" s="81">
        <v>12348</v>
      </c>
      <c r="AI269" s="81">
        <v>6603</v>
      </c>
      <c r="AJ269" s="81">
        <v>5472</v>
      </c>
      <c r="AK269" s="81"/>
      <c r="AL269" s="81" t="s">
        <v>2714</v>
      </c>
      <c r="AM269" s="81" t="s">
        <v>2817</v>
      </c>
      <c r="AN269" s="88" t="str">
        <f>HYPERLINK("https://t.co/skns0DBSEb")</f>
        <v>https://t.co/skns0DBSEb</v>
      </c>
      <c r="AO269" s="81"/>
      <c r="AP269" s="83">
        <v>40372.423368055555</v>
      </c>
      <c r="AQ269" s="88" t="str">
        <f>HYPERLINK("https://pbs.twimg.com/profile_banners/166106255/1637831928")</f>
        <v>https://pbs.twimg.com/profile_banners/166106255/1637831928</v>
      </c>
      <c r="AR269" s="81" t="b">
        <v>0</v>
      </c>
      <c r="AS269" s="81" t="b">
        <v>0</v>
      </c>
      <c r="AT269" s="81" t="b">
        <v>1</v>
      </c>
      <c r="AU269" s="81"/>
      <c r="AV269" s="81">
        <v>81</v>
      </c>
      <c r="AW269" s="88" t="str">
        <f>HYPERLINK("https://abs.twimg.com/images/themes/theme1/bg.png")</f>
        <v>https://abs.twimg.com/images/themes/theme1/bg.png</v>
      </c>
      <c r="AX269" s="81" t="b">
        <v>0</v>
      </c>
      <c r="AY269" s="81" t="s">
        <v>2883</v>
      </c>
      <c r="AZ269" s="88" t="str">
        <f>HYPERLINK("https://twitter.com/cppeengland")</f>
        <v>https://twitter.com/cppeengland</v>
      </c>
      <c r="BA269" s="81" t="s">
        <v>66</v>
      </c>
      <c r="BB269" s="81" t="str">
        <f>REPLACE(INDEX(GroupVertices[Group],MATCH(Vertices[[#This Row],[Vertex]],GroupVertices[Vertex],0)),1,1,"")</f>
        <v>1</v>
      </c>
      <c r="BC269" s="49"/>
      <c r="BD269" s="49"/>
      <c r="BE269" s="49"/>
      <c r="BF269" s="49"/>
      <c r="BG269" s="49" t="s">
        <v>955</v>
      </c>
      <c r="BH269" s="49" t="s">
        <v>955</v>
      </c>
      <c r="BI269" s="113" t="s">
        <v>3683</v>
      </c>
      <c r="BJ269" s="113" t="s">
        <v>3683</v>
      </c>
      <c r="BK269" s="113" t="s">
        <v>3860</v>
      </c>
      <c r="BL269" s="113" t="s">
        <v>3860</v>
      </c>
      <c r="BM269" s="113">
        <v>0</v>
      </c>
      <c r="BN269" s="116">
        <v>0</v>
      </c>
      <c r="BO269" s="113">
        <v>2</v>
      </c>
      <c r="BP269" s="116">
        <v>6.0606060606060606</v>
      </c>
      <c r="BQ269" s="113">
        <v>0</v>
      </c>
      <c r="BR269" s="116">
        <v>0</v>
      </c>
      <c r="BS269" s="113">
        <v>31</v>
      </c>
      <c r="BT269" s="116">
        <v>93.93939393939394</v>
      </c>
      <c r="BU269" s="113">
        <v>33</v>
      </c>
      <c r="BV269" s="2"/>
      <c r="BW269" s="3"/>
      <c r="BX269" s="3"/>
      <c r="BY269" s="3"/>
      <c r="BZ269" s="3"/>
    </row>
    <row r="270" spans="1:78" ht="41.45" customHeight="1">
      <c r="A270" s="66" t="s">
        <v>438</v>
      </c>
      <c r="C270" s="67"/>
      <c r="D270" s="67" t="s">
        <v>64</v>
      </c>
      <c r="E270" s="68">
        <v>162.48068163260348</v>
      </c>
      <c r="F270" s="70">
        <v>99.99896337003658</v>
      </c>
      <c r="G270" s="106" t="str">
        <f>HYPERLINK("https://pbs.twimg.com/profile_images/1423274036637802502/6wtCgaqA_normal.jpg")</f>
        <v>https://pbs.twimg.com/profile_images/1423274036637802502/6wtCgaqA_normal.jpg</v>
      </c>
      <c r="H270" s="67"/>
      <c r="I270" s="71" t="s">
        <v>438</v>
      </c>
      <c r="J270" s="72"/>
      <c r="K270" s="72"/>
      <c r="L270" s="71" t="s">
        <v>3150</v>
      </c>
      <c r="M270" s="75">
        <v>1.3454742124745882</v>
      </c>
      <c r="N270" s="76">
        <v>7001.96630859375</v>
      </c>
      <c r="O270" s="76">
        <v>8795.9052734375</v>
      </c>
      <c r="P270" s="77"/>
      <c r="Q270" s="78"/>
      <c r="R270" s="78"/>
      <c r="S270" s="92"/>
      <c r="T270" s="49">
        <v>1</v>
      </c>
      <c r="U270" s="49">
        <v>2</v>
      </c>
      <c r="V270" s="50">
        <v>0</v>
      </c>
      <c r="W270" s="50">
        <v>0.004673</v>
      </c>
      <c r="X270" s="50">
        <v>0.009406</v>
      </c>
      <c r="Y270" s="50">
        <v>0.782032</v>
      </c>
      <c r="Z270" s="50">
        <v>0</v>
      </c>
      <c r="AA270" s="50">
        <v>0</v>
      </c>
      <c r="AB270" s="73">
        <v>270</v>
      </c>
      <c r="AC270" s="73"/>
      <c r="AD270" s="74"/>
      <c r="AE270" s="81" t="s">
        <v>2182</v>
      </c>
      <c r="AF270" s="86" t="s">
        <v>2448</v>
      </c>
      <c r="AG270" s="81">
        <v>2132</v>
      </c>
      <c r="AH270" s="81">
        <v>2553</v>
      </c>
      <c r="AI270" s="81">
        <v>1146</v>
      </c>
      <c r="AJ270" s="81">
        <v>982</v>
      </c>
      <c r="AK270" s="81"/>
      <c r="AL270" s="81" t="s">
        <v>2715</v>
      </c>
      <c r="AM270" s="81" t="s">
        <v>2780</v>
      </c>
      <c r="AN270" s="88" t="str">
        <f>HYPERLINK("https://t.co/4CXmyc5TQO")</f>
        <v>https://t.co/4CXmyc5TQO</v>
      </c>
      <c r="AO270" s="81"/>
      <c r="AP270" s="83">
        <v>40891.84237268518</v>
      </c>
      <c r="AQ270" s="88" t="str">
        <f>HYPERLINK("https://pbs.twimg.com/profile_banners/436969570/1628169951")</f>
        <v>https://pbs.twimg.com/profile_banners/436969570/1628169951</v>
      </c>
      <c r="AR270" s="81" t="b">
        <v>1</v>
      </c>
      <c r="AS270" s="81" t="b">
        <v>0</v>
      </c>
      <c r="AT270" s="81" t="b">
        <v>0</v>
      </c>
      <c r="AU270" s="81"/>
      <c r="AV270" s="81">
        <v>38</v>
      </c>
      <c r="AW270" s="88" t="str">
        <f>HYPERLINK("https://abs.twimg.com/images/themes/theme1/bg.png")</f>
        <v>https://abs.twimg.com/images/themes/theme1/bg.png</v>
      </c>
      <c r="AX270" s="81" t="b">
        <v>0</v>
      </c>
      <c r="AY270" s="81" t="s">
        <v>2883</v>
      </c>
      <c r="AZ270" s="88" t="str">
        <f>HYPERLINK("https://twitter.com/curafdn")</f>
        <v>https://twitter.com/curafdn</v>
      </c>
      <c r="BA270" s="81" t="s">
        <v>66</v>
      </c>
      <c r="BB270" s="81" t="str">
        <f>REPLACE(INDEX(GroupVertices[Group],MATCH(Vertices[[#This Row],[Vertex]],GroupVertices[Vertex],0)),1,1,"")</f>
        <v>2</v>
      </c>
      <c r="BC270" s="49"/>
      <c r="BD270" s="49"/>
      <c r="BE270" s="49"/>
      <c r="BF270" s="49"/>
      <c r="BG270" s="49" t="s">
        <v>3642</v>
      </c>
      <c r="BH270" s="49" t="s">
        <v>1137</v>
      </c>
      <c r="BI270" s="113" t="s">
        <v>3806</v>
      </c>
      <c r="BJ270" s="113" t="s">
        <v>3854</v>
      </c>
      <c r="BK270" s="113" t="s">
        <v>3982</v>
      </c>
      <c r="BL270" s="113" t="s">
        <v>4010</v>
      </c>
      <c r="BM270" s="113">
        <v>5</v>
      </c>
      <c r="BN270" s="116">
        <v>4.854368932038835</v>
      </c>
      <c r="BO270" s="113">
        <v>4</v>
      </c>
      <c r="BP270" s="116">
        <v>3.883495145631068</v>
      </c>
      <c r="BQ270" s="113">
        <v>0</v>
      </c>
      <c r="BR270" s="116">
        <v>0</v>
      </c>
      <c r="BS270" s="113">
        <v>94</v>
      </c>
      <c r="BT270" s="116">
        <v>91.2621359223301</v>
      </c>
      <c r="BU270" s="113">
        <v>103</v>
      </c>
      <c r="BV270" s="2"/>
      <c r="BW270" s="3"/>
      <c r="BX270" s="3"/>
      <c r="BY270" s="3"/>
      <c r="BZ270" s="3"/>
    </row>
    <row r="271" spans="1:78" ht="41.45" customHeight="1">
      <c r="A271" s="66" t="s">
        <v>439</v>
      </c>
      <c r="C271" s="67"/>
      <c r="D271" s="67" t="s">
        <v>64</v>
      </c>
      <c r="E271" s="68">
        <v>162.00603208323267</v>
      </c>
      <c r="F271" s="70">
        <v>99.99998699131027</v>
      </c>
      <c r="G271" s="106" t="str">
        <f>HYPERLINK("https://pbs.twimg.com/profile_images/1409534721663590406/5GK_tNGQ_normal.jpg")</f>
        <v>https://pbs.twimg.com/profile_images/1409534721663590406/5GK_tNGQ_normal.jpg</v>
      </c>
      <c r="H271" s="67"/>
      <c r="I271" s="71" t="s">
        <v>439</v>
      </c>
      <c r="J271" s="72"/>
      <c r="K271" s="72"/>
      <c r="L271" s="71" t="s">
        <v>3151</v>
      </c>
      <c r="M271" s="75">
        <v>1.0043353626663478</v>
      </c>
      <c r="N271" s="76">
        <v>3873.869140625</v>
      </c>
      <c r="O271" s="76">
        <v>9280.87109375</v>
      </c>
      <c r="P271" s="77"/>
      <c r="Q271" s="78"/>
      <c r="R271" s="78"/>
      <c r="S271" s="92"/>
      <c r="T271" s="49">
        <v>1</v>
      </c>
      <c r="U271" s="49">
        <v>1</v>
      </c>
      <c r="V271" s="50">
        <v>0</v>
      </c>
      <c r="W271" s="50">
        <v>0</v>
      </c>
      <c r="X271" s="50">
        <v>0</v>
      </c>
      <c r="Y271" s="50">
        <v>0.999998</v>
      </c>
      <c r="Z271" s="50">
        <v>0</v>
      </c>
      <c r="AA271" s="50">
        <v>0</v>
      </c>
      <c r="AB271" s="73">
        <v>271</v>
      </c>
      <c r="AC271" s="73"/>
      <c r="AD271" s="74"/>
      <c r="AE271" s="81" t="s">
        <v>2183</v>
      </c>
      <c r="AF271" s="86" t="s">
        <v>2449</v>
      </c>
      <c r="AG271" s="81">
        <v>35</v>
      </c>
      <c r="AH271" s="81">
        <v>35</v>
      </c>
      <c r="AI271" s="81">
        <v>42</v>
      </c>
      <c r="AJ271" s="81">
        <v>13</v>
      </c>
      <c r="AK271" s="81"/>
      <c r="AL271" s="81" t="s">
        <v>2716</v>
      </c>
      <c r="AM271" s="81" t="s">
        <v>2877</v>
      </c>
      <c r="AN271" s="88" t="str">
        <f>HYPERLINK("https://t.co/2q2YeIniw3")</f>
        <v>https://t.co/2q2YeIniw3</v>
      </c>
      <c r="AO271" s="81"/>
      <c r="AP271" s="83">
        <v>44375.64587962963</v>
      </c>
      <c r="AQ271" s="88" t="str">
        <f>HYPERLINK("https://pbs.twimg.com/profile_banners/1409534534962630662/1625565849")</f>
        <v>https://pbs.twimg.com/profile_banners/1409534534962630662/1625565849</v>
      </c>
      <c r="AR271" s="81" t="b">
        <v>1</v>
      </c>
      <c r="AS271" s="81" t="b">
        <v>0</v>
      </c>
      <c r="AT271" s="81" t="b">
        <v>0</v>
      </c>
      <c r="AU271" s="81"/>
      <c r="AV271" s="81">
        <v>0</v>
      </c>
      <c r="AW271" s="81"/>
      <c r="AX271" s="81" t="b">
        <v>0</v>
      </c>
      <c r="AY271" s="81" t="s">
        <v>2883</v>
      </c>
      <c r="AZ271" s="88" t="str">
        <f>HYPERLINK("https://twitter.com/devshealth")</f>
        <v>https://twitter.com/devshealth</v>
      </c>
      <c r="BA271" s="81" t="s">
        <v>66</v>
      </c>
      <c r="BB271" s="81" t="str">
        <f>REPLACE(INDEX(GroupVertices[Group],MATCH(Vertices[[#This Row],[Vertex]],GroupVertices[Vertex],0)),1,1,"")</f>
        <v>1</v>
      </c>
      <c r="BC271" s="49"/>
      <c r="BD271" s="49"/>
      <c r="BE271" s="49"/>
      <c r="BF271" s="49"/>
      <c r="BG271" s="49" t="s">
        <v>1138</v>
      </c>
      <c r="BH271" s="49" t="s">
        <v>1138</v>
      </c>
      <c r="BI271" s="113" t="s">
        <v>3807</v>
      </c>
      <c r="BJ271" s="113" t="s">
        <v>3807</v>
      </c>
      <c r="BK271" s="113" t="s">
        <v>3983</v>
      </c>
      <c r="BL271" s="113" t="s">
        <v>3983</v>
      </c>
      <c r="BM271" s="113">
        <v>1</v>
      </c>
      <c r="BN271" s="116">
        <v>2.2222222222222223</v>
      </c>
      <c r="BO271" s="113">
        <v>2</v>
      </c>
      <c r="BP271" s="116">
        <v>4.444444444444445</v>
      </c>
      <c r="BQ271" s="113">
        <v>0</v>
      </c>
      <c r="BR271" s="116">
        <v>0</v>
      </c>
      <c r="BS271" s="113">
        <v>42</v>
      </c>
      <c r="BT271" s="116">
        <v>93.33333333333333</v>
      </c>
      <c r="BU271" s="113">
        <v>45</v>
      </c>
      <c r="BV271" s="2"/>
      <c r="BW271" s="3"/>
      <c r="BX271" s="3"/>
      <c r="BY271" s="3"/>
      <c r="BZ271" s="3"/>
    </row>
    <row r="272" spans="1:78" ht="41.45" customHeight="1">
      <c r="A272" s="66" t="s">
        <v>440</v>
      </c>
      <c r="C272" s="67"/>
      <c r="D272" s="67" t="s">
        <v>64</v>
      </c>
      <c r="E272" s="68">
        <v>167.73311810745187</v>
      </c>
      <c r="F272" s="70">
        <v>99.9876360534481</v>
      </c>
      <c r="G272" s="106" t="str">
        <f>HYPERLINK("https://pbs.twimg.com/profile_images/1460192724573999104/u5XIc1lo_normal.jpg")</f>
        <v>https://pbs.twimg.com/profile_images/1460192724573999104/u5XIc1lo_normal.jpg</v>
      </c>
      <c r="H272" s="67"/>
      <c r="I272" s="71" t="s">
        <v>440</v>
      </c>
      <c r="J272" s="72"/>
      <c r="K272" s="72"/>
      <c r="L272" s="71" t="s">
        <v>3152</v>
      </c>
      <c r="M272" s="75">
        <v>5.120491254196912</v>
      </c>
      <c r="N272" s="76">
        <v>3482.93359375</v>
      </c>
      <c r="O272" s="76">
        <v>1496.5609130859375</v>
      </c>
      <c r="P272" s="77"/>
      <c r="Q272" s="78"/>
      <c r="R272" s="78"/>
      <c r="S272" s="92"/>
      <c r="T272" s="49">
        <v>1</v>
      </c>
      <c r="U272" s="49">
        <v>1</v>
      </c>
      <c r="V272" s="50">
        <v>0</v>
      </c>
      <c r="W272" s="50">
        <v>0</v>
      </c>
      <c r="X272" s="50">
        <v>0</v>
      </c>
      <c r="Y272" s="50">
        <v>0.999998</v>
      </c>
      <c r="Z272" s="50">
        <v>0</v>
      </c>
      <c r="AA272" s="50">
        <v>0</v>
      </c>
      <c r="AB272" s="73">
        <v>272</v>
      </c>
      <c r="AC272" s="73"/>
      <c r="AD272" s="74"/>
      <c r="AE272" s="81" t="s">
        <v>2184</v>
      </c>
      <c r="AF272" s="86" t="s">
        <v>2450</v>
      </c>
      <c r="AG272" s="81">
        <v>1186</v>
      </c>
      <c r="AH272" s="81">
        <v>30417</v>
      </c>
      <c r="AI272" s="81">
        <v>28559</v>
      </c>
      <c r="AJ272" s="81">
        <v>3727</v>
      </c>
      <c r="AK272" s="81"/>
      <c r="AL272" s="81" t="s">
        <v>2717</v>
      </c>
      <c r="AM272" s="81" t="s">
        <v>2878</v>
      </c>
      <c r="AN272" s="88" t="str">
        <f>HYPERLINK("https://t.co/C9qJoUC8DL")</f>
        <v>https://t.co/C9qJoUC8DL</v>
      </c>
      <c r="AO272" s="81"/>
      <c r="AP272" s="83">
        <v>40472.37893518519</v>
      </c>
      <c r="AQ272" s="88" t="str">
        <f>HYPERLINK("https://pbs.twimg.com/profile_banners/205636848/1638807414")</f>
        <v>https://pbs.twimg.com/profile_banners/205636848/1638807414</v>
      </c>
      <c r="AR272" s="81" t="b">
        <v>0</v>
      </c>
      <c r="AS272" s="81" t="b">
        <v>0</v>
      </c>
      <c r="AT272" s="81" t="b">
        <v>1</v>
      </c>
      <c r="AU272" s="81"/>
      <c r="AV272" s="81">
        <v>0</v>
      </c>
      <c r="AW272" s="88" t="str">
        <f>HYPERLINK("https://abs.twimg.com/images/themes/theme1/bg.png")</f>
        <v>https://abs.twimg.com/images/themes/theme1/bg.png</v>
      </c>
      <c r="AX272" s="81" t="b">
        <v>1</v>
      </c>
      <c r="AY272" s="81" t="s">
        <v>2883</v>
      </c>
      <c r="AZ272" s="88" t="str">
        <f>HYPERLINK("https://twitter.com/cheshireeast")</f>
        <v>https://twitter.com/cheshireeast</v>
      </c>
      <c r="BA272" s="81" t="s">
        <v>66</v>
      </c>
      <c r="BB272" s="81" t="str">
        <f>REPLACE(INDEX(GroupVertices[Group],MATCH(Vertices[[#This Row],[Vertex]],GroupVertices[Vertex],0)),1,1,"")</f>
        <v>1</v>
      </c>
      <c r="BC272" s="49"/>
      <c r="BD272" s="49"/>
      <c r="BE272" s="49"/>
      <c r="BF272" s="49"/>
      <c r="BG272" s="49" t="s">
        <v>955</v>
      </c>
      <c r="BH272" s="49" t="s">
        <v>955</v>
      </c>
      <c r="BI272" s="113" t="s">
        <v>3683</v>
      </c>
      <c r="BJ272" s="113" t="s">
        <v>3683</v>
      </c>
      <c r="BK272" s="113" t="s">
        <v>3860</v>
      </c>
      <c r="BL272" s="113" t="s">
        <v>3860</v>
      </c>
      <c r="BM272" s="113">
        <v>0</v>
      </c>
      <c r="BN272" s="116">
        <v>0</v>
      </c>
      <c r="BO272" s="113">
        <v>2</v>
      </c>
      <c r="BP272" s="116">
        <v>6.0606060606060606</v>
      </c>
      <c r="BQ272" s="113">
        <v>0</v>
      </c>
      <c r="BR272" s="116">
        <v>0</v>
      </c>
      <c r="BS272" s="113">
        <v>31</v>
      </c>
      <c r="BT272" s="116">
        <v>93.93939393939394</v>
      </c>
      <c r="BU272" s="113">
        <v>33</v>
      </c>
      <c r="BV272" s="2"/>
      <c r="BW272" s="3"/>
      <c r="BX272" s="3"/>
      <c r="BY272" s="3"/>
      <c r="BZ272" s="3"/>
    </row>
    <row r="273" spans="1:78" ht="41.45" customHeight="1">
      <c r="A273" s="66" t="s">
        <v>442</v>
      </c>
      <c r="C273" s="67"/>
      <c r="D273" s="67" t="s">
        <v>64</v>
      </c>
      <c r="E273" s="68">
        <v>162.0235628251276</v>
      </c>
      <c r="F273" s="70">
        <v>99.99994918480571</v>
      </c>
      <c r="G273" s="106" t="str">
        <f>HYPERLINK("https://pbs.twimg.com/profile_images/1439622484920356865/5oBgu2Sy_normal.jpg")</f>
        <v>https://pbs.twimg.com/profile_images/1439622484920356865/5oBgu2Sy_normal.jpg</v>
      </c>
      <c r="H273" s="67"/>
      <c r="I273" s="71" t="s">
        <v>442</v>
      </c>
      <c r="J273" s="72"/>
      <c r="K273" s="72"/>
      <c r="L273" s="71" t="s">
        <v>3153</v>
      </c>
      <c r="M273" s="75">
        <v>1.016935010415421</v>
      </c>
      <c r="N273" s="76">
        <v>1528.2574462890625</v>
      </c>
      <c r="O273" s="76">
        <v>7724.00830078125</v>
      </c>
      <c r="P273" s="77"/>
      <c r="Q273" s="78"/>
      <c r="R273" s="78"/>
      <c r="S273" s="92"/>
      <c r="T273" s="49">
        <v>1</v>
      </c>
      <c r="U273" s="49">
        <v>1</v>
      </c>
      <c r="V273" s="50">
        <v>0</v>
      </c>
      <c r="W273" s="50">
        <v>0</v>
      </c>
      <c r="X273" s="50">
        <v>0</v>
      </c>
      <c r="Y273" s="50">
        <v>0.999998</v>
      </c>
      <c r="Z273" s="50">
        <v>0</v>
      </c>
      <c r="AA273" s="50">
        <v>0</v>
      </c>
      <c r="AB273" s="73">
        <v>273</v>
      </c>
      <c r="AC273" s="73"/>
      <c r="AD273" s="74"/>
      <c r="AE273" s="81" t="s">
        <v>2185</v>
      </c>
      <c r="AF273" s="86" t="s">
        <v>2451</v>
      </c>
      <c r="AG273" s="81">
        <v>36</v>
      </c>
      <c r="AH273" s="81">
        <v>128</v>
      </c>
      <c r="AI273" s="81">
        <v>167</v>
      </c>
      <c r="AJ273" s="81">
        <v>89</v>
      </c>
      <c r="AK273" s="81"/>
      <c r="AL273" s="81" t="s">
        <v>2718</v>
      </c>
      <c r="AM273" s="81" t="s">
        <v>2879</v>
      </c>
      <c r="AN273" s="88" t="str">
        <f>HYPERLINK("https://t.co/0CXu573nXv")</f>
        <v>https://t.co/0CXu573nXv</v>
      </c>
      <c r="AO273" s="81"/>
      <c r="AP273" s="83">
        <v>42570.524675925924</v>
      </c>
      <c r="AQ273" s="88" t="str">
        <f>HYPERLINK("https://pbs.twimg.com/profile_banners/755380548739166208/1632067723")</f>
        <v>https://pbs.twimg.com/profile_banners/755380548739166208/1632067723</v>
      </c>
      <c r="AR273" s="81" t="b">
        <v>1</v>
      </c>
      <c r="AS273" s="81" t="b">
        <v>0</v>
      </c>
      <c r="AT273" s="81" t="b">
        <v>1</v>
      </c>
      <c r="AU273" s="81"/>
      <c r="AV273" s="81">
        <v>0</v>
      </c>
      <c r="AW273" s="81"/>
      <c r="AX273" s="81" t="b">
        <v>0</v>
      </c>
      <c r="AY273" s="81" t="s">
        <v>2883</v>
      </c>
      <c r="AZ273" s="88" t="str">
        <f>HYPERLINK("https://twitter.com/arsl_raza")</f>
        <v>https://twitter.com/arsl_raza</v>
      </c>
      <c r="BA273" s="81" t="s">
        <v>66</v>
      </c>
      <c r="BB273" s="81" t="str">
        <f>REPLACE(INDEX(GroupVertices[Group],MATCH(Vertices[[#This Row],[Vertex]],GroupVertices[Vertex],0)),1,1,"")</f>
        <v>1</v>
      </c>
      <c r="BC273" s="49" t="s">
        <v>3207</v>
      </c>
      <c r="BD273" s="49" t="s">
        <v>3207</v>
      </c>
      <c r="BE273" s="49" t="s">
        <v>914</v>
      </c>
      <c r="BF273" s="49" t="s">
        <v>914</v>
      </c>
      <c r="BG273" s="49" t="s">
        <v>966</v>
      </c>
      <c r="BH273" s="49" t="s">
        <v>966</v>
      </c>
      <c r="BI273" s="113" t="s">
        <v>3808</v>
      </c>
      <c r="BJ273" s="113" t="s">
        <v>3808</v>
      </c>
      <c r="BK273" s="113" t="s">
        <v>3984</v>
      </c>
      <c r="BL273" s="113" t="s">
        <v>3984</v>
      </c>
      <c r="BM273" s="113">
        <v>0</v>
      </c>
      <c r="BN273" s="116">
        <v>0</v>
      </c>
      <c r="BO273" s="113">
        <v>1</v>
      </c>
      <c r="BP273" s="116">
        <v>11.11111111111111</v>
      </c>
      <c r="BQ273" s="113">
        <v>0</v>
      </c>
      <c r="BR273" s="116">
        <v>0</v>
      </c>
      <c r="BS273" s="113">
        <v>8</v>
      </c>
      <c r="BT273" s="116">
        <v>88.88888888888889</v>
      </c>
      <c r="BU273" s="113">
        <v>9</v>
      </c>
      <c r="BV273" s="2"/>
      <c r="BW273" s="3"/>
      <c r="BX273" s="3"/>
      <c r="BY273" s="3"/>
      <c r="BZ273" s="3"/>
    </row>
    <row r="274" spans="1:78" ht="41.45" customHeight="1">
      <c r="A274" s="66" t="s">
        <v>443</v>
      </c>
      <c r="C274" s="67"/>
      <c r="D274" s="67" t="s">
        <v>64</v>
      </c>
      <c r="E274" s="68">
        <v>162.04335559823483</v>
      </c>
      <c r="F274" s="70">
        <v>99.99990650004251</v>
      </c>
      <c r="G274" s="106" t="str">
        <f>HYPERLINK("https://pbs.twimg.com/profile_images/903770110900482052/85m5GTap_normal.jpg")</f>
        <v>https://pbs.twimg.com/profile_images/903770110900482052/85m5GTap_normal.jpg</v>
      </c>
      <c r="H274" s="67"/>
      <c r="I274" s="71" t="s">
        <v>443</v>
      </c>
      <c r="J274" s="72"/>
      <c r="K274" s="72"/>
      <c r="L274" s="71" t="s">
        <v>3154</v>
      </c>
      <c r="M274" s="75">
        <v>1.0311604191643746</v>
      </c>
      <c r="N274" s="76">
        <v>746.3868408203125</v>
      </c>
      <c r="O274" s="76">
        <v>6945.5771484375</v>
      </c>
      <c r="P274" s="77"/>
      <c r="Q274" s="78"/>
      <c r="R274" s="78"/>
      <c r="S274" s="92"/>
      <c r="T274" s="49">
        <v>1</v>
      </c>
      <c r="U274" s="49">
        <v>1</v>
      </c>
      <c r="V274" s="50">
        <v>0</v>
      </c>
      <c r="W274" s="50">
        <v>0</v>
      </c>
      <c r="X274" s="50">
        <v>0</v>
      </c>
      <c r="Y274" s="50">
        <v>0.999998</v>
      </c>
      <c r="Z274" s="50">
        <v>0</v>
      </c>
      <c r="AA274" s="50">
        <v>0</v>
      </c>
      <c r="AB274" s="73">
        <v>274</v>
      </c>
      <c r="AC274" s="73"/>
      <c r="AD274" s="74"/>
      <c r="AE274" s="81" t="s">
        <v>2186</v>
      </c>
      <c r="AF274" s="86" t="s">
        <v>2452</v>
      </c>
      <c r="AG274" s="81">
        <v>186</v>
      </c>
      <c r="AH274" s="81">
        <v>233</v>
      </c>
      <c r="AI274" s="81">
        <v>357</v>
      </c>
      <c r="AJ274" s="81">
        <v>138</v>
      </c>
      <c r="AK274" s="81"/>
      <c r="AL274" s="81" t="s">
        <v>2719</v>
      </c>
      <c r="AM274" s="81" t="s">
        <v>2880</v>
      </c>
      <c r="AN274" s="81"/>
      <c r="AO274" s="81"/>
      <c r="AP274" s="83">
        <v>42979.99435185185</v>
      </c>
      <c r="AQ274" s="88" t="str">
        <f>HYPERLINK("https://pbs.twimg.com/profile_banners/903767393956220928/1533397677")</f>
        <v>https://pbs.twimg.com/profile_banners/903767393956220928/1533397677</v>
      </c>
      <c r="AR274" s="81" t="b">
        <v>1</v>
      </c>
      <c r="AS274" s="81" t="b">
        <v>0</v>
      </c>
      <c r="AT274" s="81" t="b">
        <v>0</v>
      </c>
      <c r="AU274" s="81"/>
      <c r="AV274" s="81">
        <v>1</v>
      </c>
      <c r="AW274" s="81"/>
      <c r="AX274" s="81" t="b">
        <v>0</v>
      </c>
      <c r="AY274" s="81" t="s">
        <v>2883</v>
      </c>
      <c r="AZ274" s="88" t="str">
        <f>HYPERLINK("https://twitter.com/alinfectdis")</f>
        <v>https://twitter.com/alinfectdis</v>
      </c>
      <c r="BA274" s="81" t="s">
        <v>66</v>
      </c>
      <c r="BB274" s="81" t="str">
        <f>REPLACE(INDEX(GroupVertices[Group],MATCH(Vertices[[#This Row],[Vertex]],GroupVertices[Vertex],0)),1,1,"")</f>
        <v>1</v>
      </c>
      <c r="BC274" s="49"/>
      <c r="BD274" s="49"/>
      <c r="BE274" s="49"/>
      <c r="BF274" s="49"/>
      <c r="BG274" s="49" t="s">
        <v>1143</v>
      </c>
      <c r="BH274" s="49" t="s">
        <v>1143</v>
      </c>
      <c r="BI274" s="113" t="s">
        <v>3809</v>
      </c>
      <c r="BJ274" s="113" t="s">
        <v>3809</v>
      </c>
      <c r="BK274" s="113" t="s">
        <v>3985</v>
      </c>
      <c r="BL274" s="113" t="s">
        <v>3985</v>
      </c>
      <c r="BM274" s="113">
        <v>0</v>
      </c>
      <c r="BN274" s="116">
        <v>0</v>
      </c>
      <c r="BO274" s="113">
        <v>3</v>
      </c>
      <c r="BP274" s="116">
        <v>7.894736842105263</v>
      </c>
      <c r="BQ274" s="113">
        <v>0</v>
      </c>
      <c r="BR274" s="116">
        <v>0</v>
      </c>
      <c r="BS274" s="113">
        <v>35</v>
      </c>
      <c r="BT274" s="116">
        <v>92.10526315789474</v>
      </c>
      <c r="BU274" s="113">
        <v>38</v>
      </c>
      <c r="BV274" s="2"/>
      <c r="BW274" s="3"/>
      <c r="BX274" s="3"/>
      <c r="BY274" s="3"/>
      <c r="BZ274" s="3"/>
    </row>
    <row r="275" spans="1:78" ht="41.45" customHeight="1">
      <c r="A275" s="66" t="s">
        <v>444</v>
      </c>
      <c r="C275" s="67"/>
      <c r="D275" s="67" t="s">
        <v>64</v>
      </c>
      <c r="E275" s="68">
        <v>162.17606142935358</v>
      </c>
      <c r="F275" s="70">
        <v>99.9996203088683</v>
      </c>
      <c r="G275" s="106" t="str">
        <f>HYPERLINK("https://pbs.twimg.com/profile_images/1116718535215144962/i7HACQmy_normal.png")</f>
        <v>https://pbs.twimg.com/profile_images/1116718535215144962/i7HACQmy_normal.png</v>
      </c>
      <c r="H275" s="67"/>
      <c r="I275" s="71" t="s">
        <v>444</v>
      </c>
      <c r="J275" s="72"/>
      <c r="K275" s="72"/>
      <c r="L275" s="71" t="s">
        <v>3155</v>
      </c>
      <c r="M275" s="75">
        <v>1.1265383978240255</v>
      </c>
      <c r="N275" s="76">
        <v>1919.192626953125</v>
      </c>
      <c r="O275" s="76">
        <v>5388.71533203125</v>
      </c>
      <c r="P275" s="77"/>
      <c r="Q275" s="78"/>
      <c r="R275" s="78"/>
      <c r="S275" s="92"/>
      <c r="T275" s="49">
        <v>1</v>
      </c>
      <c r="U275" s="49">
        <v>1</v>
      </c>
      <c r="V275" s="50">
        <v>0</v>
      </c>
      <c r="W275" s="50">
        <v>0</v>
      </c>
      <c r="X275" s="50">
        <v>0</v>
      </c>
      <c r="Y275" s="50">
        <v>0.999998</v>
      </c>
      <c r="Z275" s="50">
        <v>0</v>
      </c>
      <c r="AA275" s="50">
        <v>0</v>
      </c>
      <c r="AB275" s="73">
        <v>275</v>
      </c>
      <c r="AC275" s="73"/>
      <c r="AD275" s="74"/>
      <c r="AE275" s="81" t="s">
        <v>2187</v>
      </c>
      <c r="AF275" s="86" t="s">
        <v>2453</v>
      </c>
      <c r="AG275" s="81">
        <v>1993</v>
      </c>
      <c r="AH275" s="81">
        <v>937</v>
      </c>
      <c r="AI275" s="81">
        <v>12091</v>
      </c>
      <c r="AJ275" s="81">
        <v>345</v>
      </c>
      <c r="AK275" s="81"/>
      <c r="AL275" s="81" t="s">
        <v>2720</v>
      </c>
      <c r="AM275" s="81" t="s">
        <v>2881</v>
      </c>
      <c r="AN275" s="88" t="str">
        <f>HYPERLINK("http://t.co/S6Fc0GbGLa")</f>
        <v>http://t.co/S6Fc0GbGLa</v>
      </c>
      <c r="AO275" s="81"/>
      <c r="AP275" s="83">
        <v>41974.78388888889</v>
      </c>
      <c r="AQ275" s="88" t="str">
        <f>HYPERLINK("https://pbs.twimg.com/profile_banners/2900998659/1556801253")</f>
        <v>https://pbs.twimg.com/profile_banners/2900998659/1556801253</v>
      </c>
      <c r="AR275" s="81" t="b">
        <v>0</v>
      </c>
      <c r="AS275" s="81" t="b">
        <v>0</v>
      </c>
      <c r="AT275" s="81" t="b">
        <v>0</v>
      </c>
      <c r="AU275" s="81"/>
      <c r="AV275" s="81">
        <v>46</v>
      </c>
      <c r="AW275" s="88" t="str">
        <f>HYPERLINK("https://abs.twimg.com/images/themes/theme1/bg.png")</f>
        <v>https://abs.twimg.com/images/themes/theme1/bg.png</v>
      </c>
      <c r="AX275" s="81" t="b">
        <v>0</v>
      </c>
      <c r="AY275" s="81" t="s">
        <v>2883</v>
      </c>
      <c r="AZ275" s="88" t="str">
        <f>HYPERLINK("https://twitter.com/ebpcooh")</f>
        <v>https://twitter.com/ebpcooh</v>
      </c>
      <c r="BA275" s="81" t="s">
        <v>66</v>
      </c>
      <c r="BB275" s="81" t="str">
        <f>REPLACE(INDEX(GroupVertices[Group],MATCH(Vertices[[#This Row],[Vertex]],GroupVertices[Vertex],0)),1,1,"")</f>
        <v>1</v>
      </c>
      <c r="BC275" s="49" t="s">
        <v>3208</v>
      </c>
      <c r="BD275" s="49" t="s">
        <v>3208</v>
      </c>
      <c r="BE275" s="49" t="s">
        <v>921</v>
      </c>
      <c r="BF275" s="49" t="s">
        <v>921</v>
      </c>
      <c r="BG275" s="49" t="s">
        <v>1007</v>
      </c>
      <c r="BH275" s="49" t="s">
        <v>1007</v>
      </c>
      <c r="BI275" s="113" t="s">
        <v>3730</v>
      </c>
      <c r="BJ275" s="113" t="s">
        <v>3730</v>
      </c>
      <c r="BK275" s="113" t="s">
        <v>3907</v>
      </c>
      <c r="BL275" s="113" t="s">
        <v>3907</v>
      </c>
      <c r="BM275" s="113">
        <v>1</v>
      </c>
      <c r="BN275" s="116">
        <v>3.125</v>
      </c>
      <c r="BO275" s="113">
        <v>0</v>
      </c>
      <c r="BP275" s="116">
        <v>0</v>
      </c>
      <c r="BQ275" s="113">
        <v>0</v>
      </c>
      <c r="BR275" s="116">
        <v>0</v>
      </c>
      <c r="BS275" s="113">
        <v>31</v>
      </c>
      <c r="BT275" s="116">
        <v>96.875</v>
      </c>
      <c r="BU275" s="113">
        <v>32</v>
      </c>
      <c r="BV275" s="2"/>
      <c r="BW275" s="3"/>
      <c r="BX275" s="3"/>
      <c r="BY275" s="3"/>
      <c r="BZ275" s="3"/>
    </row>
    <row r="276" spans="1:78" ht="41.45" customHeight="1">
      <c r="A276" s="66" t="s">
        <v>445</v>
      </c>
      <c r="C276" s="67"/>
      <c r="D276" s="67" t="s">
        <v>64</v>
      </c>
      <c r="E276" s="68">
        <v>165.04356299608463</v>
      </c>
      <c r="F276" s="70">
        <v>99.99343630298458</v>
      </c>
      <c r="G276" s="106" t="str">
        <f>HYPERLINK("https://pbs.twimg.com/profile_images/783718012146835456/tI0Xt5Nk_normal.jpg")</f>
        <v>https://pbs.twimg.com/profile_images/783718012146835456/tI0Xt5Nk_normal.jpg</v>
      </c>
      <c r="H276" s="67"/>
      <c r="I276" s="71" t="s">
        <v>445</v>
      </c>
      <c r="J276" s="72"/>
      <c r="K276" s="72"/>
      <c r="L276" s="71" t="s">
        <v>3156</v>
      </c>
      <c r="M276" s="75">
        <v>3.187461425339098</v>
      </c>
      <c r="N276" s="76">
        <v>5046.6748046875</v>
      </c>
      <c r="O276" s="76">
        <v>2274.99169921875</v>
      </c>
      <c r="P276" s="77"/>
      <c r="Q276" s="78"/>
      <c r="R276" s="78"/>
      <c r="S276" s="92"/>
      <c r="T276" s="49">
        <v>1</v>
      </c>
      <c r="U276" s="49">
        <v>1</v>
      </c>
      <c r="V276" s="50">
        <v>0</v>
      </c>
      <c r="W276" s="50">
        <v>0</v>
      </c>
      <c r="X276" s="50">
        <v>0</v>
      </c>
      <c r="Y276" s="50">
        <v>0.999998</v>
      </c>
      <c r="Z276" s="50">
        <v>0</v>
      </c>
      <c r="AA276" s="50">
        <v>0</v>
      </c>
      <c r="AB276" s="73">
        <v>276</v>
      </c>
      <c r="AC276" s="73"/>
      <c r="AD276" s="74"/>
      <c r="AE276" s="81" t="s">
        <v>2188</v>
      </c>
      <c r="AF276" s="86" t="s">
        <v>2454</v>
      </c>
      <c r="AG276" s="81">
        <v>413</v>
      </c>
      <c r="AH276" s="81">
        <v>16149</v>
      </c>
      <c r="AI276" s="81">
        <v>3351</v>
      </c>
      <c r="AJ276" s="81">
        <v>700</v>
      </c>
      <c r="AK276" s="81"/>
      <c r="AL276" s="81" t="s">
        <v>2721</v>
      </c>
      <c r="AM276" s="81"/>
      <c r="AN276" s="88" t="str">
        <f>HYPERLINK("https://t.co/72u3E1OFj8")</f>
        <v>https://t.co/72u3E1OFj8</v>
      </c>
      <c r="AO276" s="81"/>
      <c r="AP276" s="83">
        <v>41305.70715277778</v>
      </c>
      <c r="AQ276" s="88" t="str">
        <f>HYPERLINK("https://pbs.twimg.com/profile_banners/1137399061/1493149591")</f>
        <v>https://pbs.twimg.com/profile_banners/1137399061/1493149591</v>
      </c>
      <c r="AR276" s="81" t="b">
        <v>0</v>
      </c>
      <c r="AS276" s="81" t="b">
        <v>0</v>
      </c>
      <c r="AT276" s="81" t="b">
        <v>0</v>
      </c>
      <c r="AU276" s="81"/>
      <c r="AV276" s="81">
        <v>33</v>
      </c>
      <c r="AW276" s="88" t="str">
        <f>HYPERLINK("https://abs.twimg.com/images/themes/theme1/bg.png")</f>
        <v>https://abs.twimg.com/images/themes/theme1/bg.png</v>
      </c>
      <c r="AX276" s="81" t="b">
        <v>0</v>
      </c>
      <c r="AY276" s="81" t="s">
        <v>2883</v>
      </c>
      <c r="AZ276" s="88" t="str">
        <f>HYPERLINK("https://twitter.com/awg_news")</f>
        <v>https://twitter.com/awg_news</v>
      </c>
      <c r="BA276" s="81" t="s">
        <v>66</v>
      </c>
      <c r="BB276" s="81" t="str">
        <f>REPLACE(INDEX(GroupVertices[Group],MATCH(Vertices[[#This Row],[Vertex]],GroupVertices[Vertex],0)),1,1,"")</f>
        <v>1</v>
      </c>
      <c r="BC276" s="49" t="s">
        <v>3592</v>
      </c>
      <c r="BD276" s="49" t="s">
        <v>3592</v>
      </c>
      <c r="BE276" s="49" t="s">
        <v>903</v>
      </c>
      <c r="BF276" s="49" t="s">
        <v>903</v>
      </c>
      <c r="BG276" s="49" t="s">
        <v>1144</v>
      </c>
      <c r="BH276" s="49" t="s">
        <v>1144</v>
      </c>
      <c r="BI276" s="113" t="s">
        <v>3810</v>
      </c>
      <c r="BJ276" s="113" t="s">
        <v>3810</v>
      </c>
      <c r="BK276" s="113" t="s">
        <v>3986</v>
      </c>
      <c r="BL276" s="113" t="s">
        <v>3986</v>
      </c>
      <c r="BM276" s="113">
        <v>1</v>
      </c>
      <c r="BN276" s="116">
        <v>3.125</v>
      </c>
      <c r="BO276" s="113">
        <v>1</v>
      </c>
      <c r="BP276" s="116">
        <v>3.125</v>
      </c>
      <c r="BQ276" s="113">
        <v>0</v>
      </c>
      <c r="BR276" s="116">
        <v>0</v>
      </c>
      <c r="BS276" s="113">
        <v>30</v>
      </c>
      <c r="BT276" s="116">
        <v>93.75</v>
      </c>
      <c r="BU276" s="113">
        <v>32</v>
      </c>
      <c r="BV276" s="2"/>
      <c r="BW276" s="3"/>
      <c r="BX276" s="3"/>
      <c r="BY276" s="3"/>
      <c r="BZ276" s="3"/>
    </row>
    <row r="277" spans="1:78" ht="41.45" customHeight="1">
      <c r="A277" s="66" t="s">
        <v>446</v>
      </c>
      <c r="C277" s="67"/>
      <c r="D277" s="67" t="s">
        <v>64</v>
      </c>
      <c r="E277" s="68">
        <v>162.00056550780306</v>
      </c>
      <c r="F277" s="70">
        <v>99.99999878043533</v>
      </c>
      <c r="G277" s="106" t="str">
        <f>HYPERLINK("https://abs.twimg.com/sticky/default_profile_images/default_profile_normal.png")</f>
        <v>https://abs.twimg.com/sticky/default_profile_images/default_profile_normal.png</v>
      </c>
      <c r="H277" s="67"/>
      <c r="I277" s="71" t="s">
        <v>446</v>
      </c>
      <c r="J277" s="72"/>
      <c r="K277" s="72"/>
      <c r="L277" s="71" t="s">
        <v>3157</v>
      </c>
      <c r="M277" s="75">
        <v>1.0004064402499702</v>
      </c>
      <c r="N277" s="76">
        <v>1528.2574462890625</v>
      </c>
      <c r="O277" s="76">
        <v>9280.87109375</v>
      </c>
      <c r="P277" s="77"/>
      <c r="Q277" s="78"/>
      <c r="R277" s="78"/>
      <c r="S277" s="92"/>
      <c r="T277" s="49">
        <v>1</v>
      </c>
      <c r="U277" s="49">
        <v>1</v>
      </c>
      <c r="V277" s="50">
        <v>0</v>
      </c>
      <c r="W277" s="50">
        <v>0</v>
      </c>
      <c r="X277" s="50">
        <v>0</v>
      </c>
      <c r="Y277" s="50">
        <v>0.999998</v>
      </c>
      <c r="Z277" s="50">
        <v>0</v>
      </c>
      <c r="AA277" s="50">
        <v>0</v>
      </c>
      <c r="AB277" s="73">
        <v>277</v>
      </c>
      <c r="AC277" s="73"/>
      <c r="AD277" s="74"/>
      <c r="AE277" s="81" t="s">
        <v>2189</v>
      </c>
      <c r="AF277" s="86" t="s">
        <v>2455</v>
      </c>
      <c r="AG277" s="81">
        <v>17</v>
      </c>
      <c r="AH277" s="81">
        <v>6</v>
      </c>
      <c r="AI277" s="81">
        <v>8</v>
      </c>
      <c r="AJ277" s="81">
        <v>3</v>
      </c>
      <c r="AK277" s="81"/>
      <c r="AL277" s="81"/>
      <c r="AM277" s="81"/>
      <c r="AN277" s="81"/>
      <c r="AO277" s="81"/>
      <c r="AP277" s="83">
        <v>41334.87053240741</v>
      </c>
      <c r="AQ277" s="81"/>
      <c r="AR277" s="81" t="b">
        <v>1</v>
      </c>
      <c r="AS277" s="81" t="b">
        <v>1</v>
      </c>
      <c r="AT277" s="81" t="b">
        <v>0</v>
      </c>
      <c r="AU277" s="81"/>
      <c r="AV277" s="81">
        <v>0</v>
      </c>
      <c r="AW277" s="88" t="str">
        <f>HYPERLINK("https://abs.twimg.com/images/themes/theme1/bg.png")</f>
        <v>https://abs.twimg.com/images/themes/theme1/bg.png</v>
      </c>
      <c r="AX277" s="81" t="b">
        <v>0</v>
      </c>
      <c r="AY277" s="81" t="s">
        <v>2883</v>
      </c>
      <c r="AZ277" s="88" t="str">
        <f>HYPERLINK("https://twitter.com/dse22")</f>
        <v>https://twitter.com/dse22</v>
      </c>
      <c r="BA277" s="81" t="s">
        <v>66</v>
      </c>
      <c r="BB277" s="81" t="str">
        <f>REPLACE(INDEX(GroupVertices[Group],MATCH(Vertices[[#This Row],[Vertex]],GroupVertices[Vertex],0)),1,1,"")</f>
        <v>1</v>
      </c>
      <c r="BC277" s="49"/>
      <c r="BD277" s="49"/>
      <c r="BE277" s="49"/>
      <c r="BF277" s="49"/>
      <c r="BG277" s="49" t="s">
        <v>955</v>
      </c>
      <c r="BH277" s="49" t="s">
        <v>955</v>
      </c>
      <c r="BI277" s="113" t="s">
        <v>3683</v>
      </c>
      <c r="BJ277" s="113" t="s">
        <v>3683</v>
      </c>
      <c r="BK277" s="113" t="s">
        <v>3860</v>
      </c>
      <c r="BL277" s="113" t="s">
        <v>3860</v>
      </c>
      <c r="BM277" s="113">
        <v>0</v>
      </c>
      <c r="BN277" s="116">
        <v>0</v>
      </c>
      <c r="BO277" s="113">
        <v>2</v>
      </c>
      <c r="BP277" s="116">
        <v>6.0606060606060606</v>
      </c>
      <c r="BQ277" s="113">
        <v>0</v>
      </c>
      <c r="BR277" s="116">
        <v>0</v>
      </c>
      <c r="BS277" s="113">
        <v>31</v>
      </c>
      <c r="BT277" s="116">
        <v>93.93939393939394</v>
      </c>
      <c r="BU277" s="113">
        <v>33</v>
      </c>
      <c r="BV277" s="2"/>
      <c r="BW277" s="3"/>
      <c r="BX277" s="3"/>
      <c r="BY277" s="3"/>
      <c r="BZ277" s="3"/>
    </row>
    <row r="278" spans="1:78" ht="41.45" customHeight="1">
      <c r="A278" s="93" t="s">
        <v>447</v>
      </c>
      <c r="C278" s="94"/>
      <c r="D278" s="94" t="s">
        <v>64</v>
      </c>
      <c r="E278" s="95">
        <v>162.14345047937695</v>
      </c>
      <c r="F278" s="96">
        <v>99.99969063709719</v>
      </c>
      <c r="G278" s="107" t="str">
        <f>HYPERLINK("https://pbs.twimg.com/profile_images/1177617189412556801/QzwTbZzI_normal.jpg")</f>
        <v>https://pbs.twimg.com/profile_images/1177617189412556801/QzwTbZzI_normal.jpg</v>
      </c>
      <c r="H278" s="94"/>
      <c r="I278" s="97" t="s">
        <v>447</v>
      </c>
      <c r="J278" s="98"/>
      <c r="K278" s="98"/>
      <c r="L278" s="97" t="s">
        <v>3158</v>
      </c>
      <c r="M278" s="99">
        <v>1.103100343409083</v>
      </c>
      <c r="N278" s="100">
        <v>3873.869140625</v>
      </c>
      <c r="O278" s="100">
        <v>6167.146484375</v>
      </c>
      <c r="P278" s="101"/>
      <c r="Q278" s="102"/>
      <c r="R278" s="102"/>
      <c r="S278" s="103"/>
      <c r="T278" s="49">
        <v>1</v>
      </c>
      <c r="U278" s="49">
        <v>1</v>
      </c>
      <c r="V278" s="50">
        <v>0</v>
      </c>
      <c r="W278" s="50">
        <v>0</v>
      </c>
      <c r="X278" s="50">
        <v>0</v>
      </c>
      <c r="Y278" s="50">
        <v>0.999998</v>
      </c>
      <c r="Z278" s="50">
        <v>0</v>
      </c>
      <c r="AA278" s="50">
        <v>0</v>
      </c>
      <c r="AB278" s="104">
        <v>278</v>
      </c>
      <c r="AC278" s="104"/>
      <c r="AD278" s="105"/>
      <c r="AE278" s="81" t="s">
        <v>2190</v>
      </c>
      <c r="AF278" s="86" t="s">
        <v>2456</v>
      </c>
      <c r="AG278" s="81">
        <v>241</v>
      </c>
      <c r="AH278" s="81">
        <v>764</v>
      </c>
      <c r="AI278" s="81">
        <v>398</v>
      </c>
      <c r="AJ278" s="81">
        <v>892</v>
      </c>
      <c r="AK278" s="81"/>
      <c r="AL278" s="81" t="s">
        <v>2722</v>
      </c>
      <c r="AM278" s="81"/>
      <c r="AN278" s="81"/>
      <c r="AO278" s="81"/>
      <c r="AP278" s="83">
        <v>43734.83521990741</v>
      </c>
      <c r="AQ278" s="88" t="str">
        <f>HYPERLINK("https://pbs.twimg.com/profile_banners/1177311688434966528/1569610863")</f>
        <v>https://pbs.twimg.com/profile_banners/1177311688434966528/1569610863</v>
      </c>
      <c r="AR278" s="81" t="b">
        <v>1</v>
      </c>
      <c r="AS278" s="81" t="b">
        <v>0</v>
      </c>
      <c r="AT278" s="81" t="b">
        <v>0</v>
      </c>
      <c r="AU278" s="81"/>
      <c r="AV278" s="81">
        <v>10</v>
      </c>
      <c r="AW278" s="81"/>
      <c r="AX278" s="81" t="b">
        <v>0</v>
      </c>
      <c r="AY278" s="81" t="s">
        <v>2883</v>
      </c>
      <c r="AZ278" s="88" t="str">
        <f>HYPERLINK("https://twitter.com/arlgnetwork")</f>
        <v>https://twitter.com/arlgnetwork</v>
      </c>
      <c r="BA278" s="81" t="s">
        <v>66</v>
      </c>
      <c r="BB278" s="81" t="str">
        <f>REPLACE(INDEX(GroupVertices[Group],MATCH(Vertices[[#This Row],[Vertex]],GroupVertices[Vertex],0)),1,1,"")</f>
        <v>1</v>
      </c>
      <c r="BC278" s="49" t="s">
        <v>3204</v>
      </c>
      <c r="BD278" s="49" t="s">
        <v>3204</v>
      </c>
      <c r="BE278" s="49" t="s">
        <v>903</v>
      </c>
      <c r="BF278" s="49" t="s">
        <v>903</v>
      </c>
      <c r="BG278" s="49" t="s">
        <v>954</v>
      </c>
      <c r="BH278" s="49" t="s">
        <v>954</v>
      </c>
      <c r="BI278" s="113" t="s">
        <v>3685</v>
      </c>
      <c r="BJ278" s="113" t="s">
        <v>3685</v>
      </c>
      <c r="BK278" s="113" t="s">
        <v>3862</v>
      </c>
      <c r="BL278" s="113" t="s">
        <v>3862</v>
      </c>
      <c r="BM278" s="113">
        <v>0</v>
      </c>
      <c r="BN278" s="116">
        <v>0</v>
      </c>
      <c r="BO278" s="113">
        <v>1</v>
      </c>
      <c r="BP278" s="116">
        <v>3.0303030303030303</v>
      </c>
      <c r="BQ278" s="113">
        <v>0</v>
      </c>
      <c r="BR278" s="116">
        <v>0</v>
      </c>
      <c r="BS278" s="113">
        <v>32</v>
      </c>
      <c r="BT278" s="116">
        <v>96.96969696969697</v>
      </c>
      <c r="BU278" s="113">
        <v>33</v>
      </c>
      <c r="BV278" s="2"/>
      <c r="BW278" s="3"/>
      <c r="BX278" s="3"/>
      <c r="BY278" s="3"/>
      <c r="BZ27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78"/>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7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7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7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7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78"/>
    <dataValidation allowBlank="1" showInputMessage="1" promptTitle="Vertex Tooltip" prompt="Enter optional text that will pop up when the mouse is hovered over the vertex." errorTitle="Invalid Vertex Image Key" sqref="L3:L27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7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7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78"/>
    <dataValidation allowBlank="1" showInputMessage="1" promptTitle="Vertex Label Fill Color" prompt="To select an optional fill color for the Label shape, right-click and select Select Color on the right-click menu." sqref="J3:J278"/>
    <dataValidation allowBlank="1" showInputMessage="1" promptTitle="Vertex Image File" prompt="Enter the path to an image file.  Hover over the column header for examples." errorTitle="Invalid Vertex Image Key" sqref="G3:G278"/>
    <dataValidation allowBlank="1" showInputMessage="1" promptTitle="Vertex Color" prompt="To select an optional vertex color, right-click and select Select Color on the right-click menu." sqref="C3:C278"/>
    <dataValidation allowBlank="1" showInputMessage="1" promptTitle="Vertex Opacity" prompt="Enter an optional vertex opacity between 0 (transparent) and 100 (opaque)." errorTitle="Invalid Vertex Opacity" error="The optional vertex opacity must be a whole number between 0 and 10." sqref="F3:F278"/>
    <dataValidation type="list" allowBlank="1" showInputMessage="1" showErrorMessage="1" promptTitle="Vertex Shape" prompt="Select an optional vertex shape." errorTitle="Invalid Vertex Shape" error="You have entered an invalid vertex shape.  Try selecting from the drop-down list instead." sqref="D3:D27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7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78">
      <formula1>ValidVertexLabelPositions</formula1>
    </dataValidation>
    <dataValidation allowBlank="1" showInputMessage="1" showErrorMessage="1" promptTitle="Vertex Name" prompt="Enter the name of the vertex." sqref="A3:A278"/>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2.00390625" style="0" bestFit="1" customWidth="1"/>
    <col min="26" max="26" width="13.140625" style="0" bestFit="1" customWidth="1"/>
    <col min="27" max="27" width="13.421875" style="0" bestFit="1" customWidth="1"/>
    <col min="28" max="28" width="11.421875" style="0" bestFit="1" customWidth="1"/>
    <col min="29" max="29" width="13.28125" style="0" bestFit="1" customWidth="1"/>
    <col min="30" max="30" width="12.28125" style="0" bestFit="1" customWidth="1"/>
    <col min="31" max="31" width="15.00390625" style="0" bestFit="1" customWidth="1"/>
    <col min="32" max="32" width="9.7109375" style="0" bestFit="1" customWidth="1"/>
    <col min="33" max="33" width="16.7109375" style="0" bestFit="1" customWidth="1"/>
    <col min="34" max="34" width="20.7109375" style="0" bestFit="1" customWidth="1"/>
    <col min="35" max="35" width="16.7109375" style="0" bestFit="1" customWidth="1"/>
    <col min="36" max="36" width="20.7109375" style="0" bestFit="1" customWidth="1"/>
    <col min="37" max="37" width="16.7109375" style="0" bestFit="1" customWidth="1"/>
    <col min="38" max="38" width="20.7109375" style="0" bestFit="1" customWidth="1"/>
    <col min="39" max="39" width="15.8515625" style="0" bestFit="1" customWidth="1"/>
    <col min="40" max="40" width="19.140625" style="0" bestFit="1" customWidth="1"/>
    <col min="41" max="41" width="14.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3266</v>
      </c>
      <c r="Z2" s="13" t="s">
        <v>3293</v>
      </c>
      <c r="AA2" s="13" t="s">
        <v>3342</v>
      </c>
      <c r="AB2" s="13" t="s">
        <v>3394</v>
      </c>
      <c r="AC2" s="13" t="s">
        <v>3459</v>
      </c>
      <c r="AD2" s="13" t="s">
        <v>3489</v>
      </c>
      <c r="AE2" s="13" t="s">
        <v>3491</v>
      </c>
      <c r="AF2" s="13" t="s">
        <v>3516</v>
      </c>
      <c r="AG2" s="54" t="s">
        <v>4464</v>
      </c>
      <c r="AH2" s="54" t="s">
        <v>4465</v>
      </c>
      <c r="AI2" s="54" t="s">
        <v>4466</v>
      </c>
      <c r="AJ2" s="54" t="s">
        <v>4467</v>
      </c>
      <c r="AK2" s="54" t="s">
        <v>4468</v>
      </c>
      <c r="AL2" s="54" t="s">
        <v>4469</v>
      </c>
      <c r="AM2" s="54" t="s">
        <v>4470</v>
      </c>
      <c r="AN2" s="54" t="s">
        <v>4471</v>
      </c>
      <c r="AO2" s="54" t="s">
        <v>4474</v>
      </c>
    </row>
    <row r="3" spans="1:41" ht="15">
      <c r="A3" s="66" t="s">
        <v>3161</v>
      </c>
      <c r="B3" s="67" t="s">
        <v>3187</v>
      </c>
      <c r="C3" s="67" t="s">
        <v>56</v>
      </c>
      <c r="D3" s="109"/>
      <c r="E3" s="14"/>
      <c r="F3" s="15" t="s">
        <v>4518</v>
      </c>
      <c r="G3" s="64"/>
      <c r="H3" s="64"/>
      <c r="I3" s="110">
        <v>3</v>
      </c>
      <c r="J3" s="51"/>
      <c r="K3" s="49">
        <v>147</v>
      </c>
      <c r="L3" s="49">
        <v>114</v>
      </c>
      <c r="M3" s="49">
        <v>100</v>
      </c>
      <c r="N3" s="49">
        <v>214</v>
      </c>
      <c r="O3" s="49">
        <v>214</v>
      </c>
      <c r="P3" s="50" t="s">
        <v>3202</v>
      </c>
      <c r="Q3" s="50" t="s">
        <v>3202</v>
      </c>
      <c r="R3" s="49">
        <v>147</v>
      </c>
      <c r="S3" s="49">
        <v>147</v>
      </c>
      <c r="T3" s="49">
        <v>1</v>
      </c>
      <c r="U3" s="49">
        <v>12</v>
      </c>
      <c r="V3" s="49">
        <v>0</v>
      </c>
      <c r="W3" s="50">
        <v>0</v>
      </c>
      <c r="X3" s="50">
        <v>0</v>
      </c>
      <c r="Y3" s="81" t="s">
        <v>3267</v>
      </c>
      <c r="Z3" s="81" t="s">
        <v>3294</v>
      </c>
      <c r="AA3" s="81" t="s">
        <v>3343</v>
      </c>
      <c r="AB3" s="86" t="s">
        <v>3395</v>
      </c>
      <c r="AC3" s="86" t="s">
        <v>3460</v>
      </c>
      <c r="AD3" s="86"/>
      <c r="AE3" s="86"/>
      <c r="AF3" s="86" t="s">
        <v>3517</v>
      </c>
      <c r="AG3" s="113">
        <v>85</v>
      </c>
      <c r="AH3" s="116">
        <v>1.4988538176688415</v>
      </c>
      <c r="AI3" s="113">
        <v>268</v>
      </c>
      <c r="AJ3" s="116">
        <v>4.72579791923823</v>
      </c>
      <c r="AK3" s="113">
        <v>3</v>
      </c>
      <c r="AL3" s="116">
        <v>0.05290072297654735</v>
      </c>
      <c r="AM3" s="113">
        <v>5318</v>
      </c>
      <c r="AN3" s="116">
        <v>93.77534826309292</v>
      </c>
      <c r="AO3" s="113">
        <v>5671</v>
      </c>
    </row>
    <row r="4" spans="1:41" ht="15">
      <c r="A4" s="66" t="s">
        <v>3162</v>
      </c>
      <c r="B4" s="67" t="s">
        <v>3188</v>
      </c>
      <c r="C4" s="67" t="s">
        <v>56</v>
      </c>
      <c r="D4" s="109"/>
      <c r="E4" s="14"/>
      <c r="F4" s="15" t="s">
        <v>4519</v>
      </c>
      <c r="G4" s="64"/>
      <c r="H4" s="64"/>
      <c r="I4" s="110">
        <v>4</v>
      </c>
      <c r="J4" s="79"/>
      <c r="K4" s="49">
        <v>15</v>
      </c>
      <c r="L4" s="49">
        <v>18</v>
      </c>
      <c r="M4" s="49">
        <v>23</v>
      </c>
      <c r="N4" s="49">
        <v>41</v>
      </c>
      <c r="O4" s="49">
        <v>18</v>
      </c>
      <c r="P4" s="50">
        <v>0</v>
      </c>
      <c r="Q4" s="50">
        <v>0</v>
      </c>
      <c r="R4" s="49">
        <v>1</v>
      </c>
      <c r="S4" s="49">
        <v>0</v>
      </c>
      <c r="T4" s="49">
        <v>15</v>
      </c>
      <c r="U4" s="49">
        <v>41</v>
      </c>
      <c r="V4" s="49">
        <v>5</v>
      </c>
      <c r="W4" s="50">
        <v>2.577778</v>
      </c>
      <c r="X4" s="50">
        <v>0.08095238095238096</v>
      </c>
      <c r="Y4" s="81" t="s">
        <v>3268</v>
      </c>
      <c r="Z4" s="81" t="s">
        <v>3295</v>
      </c>
      <c r="AA4" s="81" t="s">
        <v>3344</v>
      </c>
      <c r="AB4" s="86" t="s">
        <v>3396</v>
      </c>
      <c r="AC4" s="86" t="s">
        <v>3461</v>
      </c>
      <c r="AD4" s="86" t="s">
        <v>441</v>
      </c>
      <c r="AE4" s="86" t="s">
        <v>3492</v>
      </c>
      <c r="AF4" s="86" t="s">
        <v>3518</v>
      </c>
      <c r="AG4" s="113">
        <v>18</v>
      </c>
      <c r="AH4" s="116">
        <v>2.586206896551724</v>
      </c>
      <c r="AI4" s="113">
        <v>27</v>
      </c>
      <c r="AJ4" s="116">
        <v>3.8793103448275863</v>
      </c>
      <c r="AK4" s="113">
        <v>0</v>
      </c>
      <c r="AL4" s="116">
        <v>0</v>
      </c>
      <c r="AM4" s="113">
        <v>651</v>
      </c>
      <c r="AN4" s="116">
        <v>93.53448275862068</v>
      </c>
      <c r="AO4" s="113">
        <v>696</v>
      </c>
    </row>
    <row r="5" spans="1:41" ht="15">
      <c r="A5" s="66" t="s">
        <v>3163</v>
      </c>
      <c r="B5" s="67" t="s">
        <v>3189</v>
      </c>
      <c r="C5" s="67" t="s">
        <v>56</v>
      </c>
      <c r="D5" s="109"/>
      <c r="E5" s="14"/>
      <c r="F5" s="15" t="s">
        <v>4520</v>
      </c>
      <c r="G5" s="64"/>
      <c r="H5" s="64"/>
      <c r="I5" s="110">
        <v>5</v>
      </c>
      <c r="J5" s="79"/>
      <c r="K5" s="49">
        <v>15</v>
      </c>
      <c r="L5" s="49">
        <v>14</v>
      </c>
      <c r="M5" s="49">
        <v>5</v>
      </c>
      <c r="N5" s="49">
        <v>19</v>
      </c>
      <c r="O5" s="49">
        <v>3</v>
      </c>
      <c r="P5" s="50">
        <v>0</v>
      </c>
      <c r="Q5" s="50">
        <v>0</v>
      </c>
      <c r="R5" s="49">
        <v>1</v>
      </c>
      <c r="S5" s="49">
        <v>0</v>
      </c>
      <c r="T5" s="49">
        <v>15</v>
      </c>
      <c r="U5" s="49">
        <v>19</v>
      </c>
      <c r="V5" s="49">
        <v>4</v>
      </c>
      <c r="W5" s="50">
        <v>2.435556</v>
      </c>
      <c r="X5" s="50">
        <v>0.07142857142857142</v>
      </c>
      <c r="Y5" s="81" t="s">
        <v>3269</v>
      </c>
      <c r="Z5" s="81" t="s">
        <v>3296</v>
      </c>
      <c r="AA5" s="81" t="s">
        <v>3345</v>
      </c>
      <c r="AB5" s="86" t="s">
        <v>3397</v>
      </c>
      <c r="AC5" s="86" t="s">
        <v>3462</v>
      </c>
      <c r="AD5" s="86" t="s">
        <v>3490</v>
      </c>
      <c r="AE5" s="86" t="s">
        <v>3493</v>
      </c>
      <c r="AF5" s="86" t="s">
        <v>3519</v>
      </c>
      <c r="AG5" s="113">
        <v>4</v>
      </c>
      <c r="AH5" s="116">
        <v>1.7621145374449338</v>
      </c>
      <c r="AI5" s="113">
        <v>7</v>
      </c>
      <c r="AJ5" s="116">
        <v>3.0837004405286343</v>
      </c>
      <c r="AK5" s="113">
        <v>1</v>
      </c>
      <c r="AL5" s="116">
        <v>0.44052863436123346</v>
      </c>
      <c r="AM5" s="113">
        <v>216</v>
      </c>
      <c r="AN5" s="116">
        <v>95.15418502202643</v>
      </c>
      <c r="AO5" s="113">
        <v>227</v>
      </c>
    </row>
    <row r="6" spans="1:41" ht="15">
      <c r="A6" s="66" t="s">
        <v>3164</v>
      </c>
      <c r="B6" s="67" t="s">
        <v>3190</v>
      </c>
      <c r="C6" s="67" t="s">
        <v>56</v>
      </c>
      <c r="D6" s="109"/>
      <c r="E6" s="14"/>
      <c r="F6" s="15" t="s">
        <v>4521</v>
      </c>
      <c r="G6" s="64"/>
      <c r="H6" s="64"/>
      <c r="I6" s="110">
        <v>6</v>
      </c>
      <c r="J6" s="79"/>
      <c r="K6" s="49">
        <v>13</v>
      </c>
      <c r="L6" s="49">
        <v>11</v>
      </c>
      <c r="M6" s="49">
        <v>45</v>
      </c>
      <c r="N6" s="49">
        <v>56</v>
      </c>
      <c r="O6" s="49">
        <v>40</v>
      </c>
      <c r="P6" s="50">
        <v>0</v>
      </c>
      <c r="Q6" s="50">
        <v>0</v>
      </c>
      <c r="R6" s="49">
        <v>1</v>
      </c>
      <c r="S6" s="49">
        <v>0</v>
      </c>
      <c r="T6" s="49">
        <v>13</v>
      </c>
      <c r="U6" s="49">
        <v>56</v>
      </c>
      <c r="V6" s="49">
        <v>2</v>
      </c>
      <c r="W6" s="50">
        <v>1.704142</v>
      </c>
      <c r="X6" s="50">
        <v>0.07692307692307693</v>
      </c>
      <c r="Y6" s="81" t="s">
        <v>3270</v>
      </c>
      <c r="Z6" s="81" t="s">
        <v>3297</v>
      </c>
      <c r="AA6" s="81" t="s">
        <v>3346</v>
      </c>
      <c r="AB6" s="86" t="s">
        <v>3398</v>
      </c>
      <c r="AC6" s="86" t="s">
        <v>3463</v>
      </c>
      <c r="AD6" s="86"/>
      <c r="AE6" s="86" t="s">
        <v>3494</v>
      </c>
      <c r="AF6" s="86" t="s">
        <v>3520</v>
      </c>
      <c r="AG6" s="113">
        <v>40</v>
      </c>
      <c r="AH6" s="116">
        <v>2.8308563340410475</v>
      </c>
      <c r="AI6" s="113">
        <v>26</v>
      </c>
      <c r="AJ6" s="116">
        <v>1.8400566171266808</v>
      </c>
      <c r="AK6" s="113">
        <v>0</v>
      </c>
      <c r="AL6" s="116">
        <v>0</v>
      </c>
      <c r="AM6" s="113">
        <v>1347</v>
      </c>
      <c r="AN6" s="116">
        <v>95.32908704883228</v>
      </c>
      <c r="AO6" s="113">
        <v>1413</v>
      </c>
    </row>
    <row r="7" spans="1:41" ht="15">
      <c r="A7" s="66" t="s">
        <v>3165</v>
      </c>
      <c r="B7" s="67" t="s">
        <v>3191</v>
      </c>
      <c r="C7" s="67" t="s">
        <v>56</v>
      </c>
      <c r="D7" s="109"/>
      <c r="E7" s="14"/>
      <c r="F7" s="15" t="s">
        <v>4522</v>
      </c>
      <c r="G7" s="64"/>
      <c r="H7" s="64"/>
      <c r="I7" s="110">
        <v>7</v>
      </c>
      <c r="J7" s="79"/>
      <c r="K7" s="49">
        <v>10</v>
      </c>
      <c r="L7" s="49">
        <v>10</v>
      </c>
      <c r="M7" s="49">
        <v>11</v>
      </c>
      <c r="N7" s="49">
        <v>21</v>
      </c>
      <c r="O7" s="49">
        <v>12</v>
      </c>
      <c r="P7" s="50">
        <v>0</v>
      </c>
      <c r="Q7" s="50">
        <v>0</v>
      </c>
      <c r="R7" s="49">
        <v>1</v>
      </c>
      <c r="S7" s="49">
        <v>0</v>
      </c>
      <c r="T7" s="49">
        <v>10</v>
      </c>
      <c r="U7" s="49">
        <v>21</v>
      </c>
      <c r="V7" s="49">
        <v>3</v>
      </c>
      <c r="W7" s="50">
        <v>1.86</v>
      </c>
      <c r="X7" s="50">
        <v>0.1</v>
      </c>
      <c r="Y7" s="81" t="s">
        <v>3271</v>
      </c>
      <c r="Z7" s="81" t="s">
        <v>3298</v>
      </c>
      <c r="AA7" s="81" t="s">
        <v>3347</v>
      </c>
      <c r="AB7" s="86" t="s">
        <v>3399</v>
      </c>
      <c r="AC7" s="86" t="s">
        <v>3464</v>
      </c>
      <c r="AD7" s="86"/>
      <c r="AE7" s="86" t="s">
        <v>3495</v>
      </c>
      <c r="AF7" s="86" t="s">
        <v>3521</v>
      </c>
      <c r="AG7" s="113">
        <v>15</v>
      </c>
      <c r="AH7" s="116">
        <v>2.4</v>
      </c>
      <c r="AI7" s="113">
        <v>27</v>
      </c>
      <c r="AJ7" s="116">
        <v>4.32</v>
      </c>
      <c r="AK7" s="113">
        <v>0</v>
      </c>
      <c r="AL7" s="116">
        <v>0</v>
      </c>
      <c r="AM7" s="113">
        <v>583</v>
      </c>
      <c r="AN7" s="116">
        <v>93.28</v>
      </c>
      <c r="AO7" s="113">
        <v>625</v>
      </c>
    </row>
    <row r="8" spans="1:41" ht="15">
      <c r="A8" s="66" t="s">
        <v>3166</v>
      </c>
      <c r="B8" s="67" t="s">
        <v>3192</v>
      </c>
      <c r="C8" s="67" t="s">
        <v>56</v>
      </c>
      <c r="D8" s="109"/>
      <c r="E8" s="14"/>
      <c r="F8" s="15" t="s">
        <v>4523</v>
      </c>
      <c r="G8" s="64"/>
      <c r="H8" s="64"/>
      <c r="I8" s="110">
        <v>8</v>
      </c>
      <c r="J8" s="79"/>
      <c r="K8" s="49">
        <v>9</v>
      </c>
      <c r="L8" s="49">
        <v>9</v>
      </c>
      <c r="M8" s="49">
        <v>2</v>
      </c>
      <c r="N8" s="49">
        <v>11</v>
      </c>
      <c r="O8" s="49">
        <v>1</v>
      </c>
      <c r="P8" s="50">
        <v>0.125</v>
      </c>
      <c r="Q8" s="50">
        <v>0.2222222222222222</v>
      </c>
      <c r="R8" s="49">
        <v>1</v>
      </c>
      <c r="S8" s="49">
        <v>0</v>
      </c>
      <c r="T8" s="49">
        <v>9</v>
      </c>
      <c r="U8" s="49">
        <v>11</v>
      </c>
      <c r="V8" s="49">
        <v>2</v>
      </c>
      <c r="W8" s="50">
        <v>1.580247</v>
      </c>
      <c r="X8" s="50">
        <v>0.125</v>
      </c>
      <c r="Y8" s="81" t="s">
        <v>3272</v>
      </c>
      <c r="Z8" s="81" t="s">
        <v>914</v>
      </c>
      <c r="AA8" s="81" t="s">
        <v>3348</v>
      </c>
      <c r="AB8" s="86" t="s">
        <v>3400</v>
      </c>
      <c r="AC8" s="86" t="s">
        <v>3465</v>
      </c>
      <c r="AD8" s="86" t="s">
        <v>409</v>
      </c>
      <c r="AE8" s="86" t="s">
        <v>3496</v>
      </c>
      <c r="AF8" s="86" t="s">
        <v>3522</v>
      </c>
      <c r="AG8" s="113">
        <v>8</v>
      </c>
      <c r="AH8" s="116">
        <v>7.407407407407407</v>
      </c>
      <c r="AI8" s="113">
        <v>1</v>
      </c>
      <c r="AJ8" s="116">
        <v>0.9259259259259259</v>
      </c>
      <c r="AK8" s="113">
        <v>0</v>
      </c>
      <c r="AL8" s="116">
        <v>0</v>
      </c>
      <c r="AM8" s="113">
        <v>99</v>
      </c>
      <c r="AN8" s="116">
        <v>91.66666666666667</v>
      </c>
      <c r="AO8" s="113">
        <v>108</v>
      </c>
    </row>
    <row r="9" spans="1:41" ht="15">
      <c r="A9" s="66" t="s">
        <v>3167</v>
      </c>
      <c r="B9" s="67" t="s">
        <v>3193</v>
      </c>
      <c r="C9" s="67" t="s">
        <v>56</v>
      </c>
      <c r="D9" s="109"/>
      <c r="E9" s="14"/>
      <c r="F9" s="15" t="s">
        <v>3167</v>
      </c>
      <c r="G9" s="64"/>
      <c r="H9" s="64"/>
      <c r="I9" s="110">
        <v>9</v>
      </c>
      <c r="J9" s="79"/>
      <c r="K9" s="49">
        <v>7</v>
      </c>
      <c r="L9" s="49">
        <v>6</v>
      </c>
      <c r="M9" s="49">
        <v>0</v>
      </c>
      <c r="N9" s="49">
        <v>6</v>
      </c>
      <c r="O9" s="49">
        <v>0</v>
      </c>
      <c r="P9" s="50">
        <v>0</v>
      </c>
      <c r="Q9" s="50">
        <v>0</v>
      </c>
      <c r="R9" s="49">
        <v>1</v>
      </c>
      <c r="S9" s="49">
        <v>0</v>
      </c>
      <c r="T9" s="49">
        <v>7</v>
      </c>
      <c r="U9" s="49">
        <v>6</v>
      </c>
      <c r="V9" s="49">
        <v>2</v>
      </c>
      <c r="W9" s="50">
        <v>1.469388</v>
      </c>
      <c r="X9" s="50">
        <v>0.14285714285714285</v>
      </c>
      <c r="Y9" s="81"/>
      <c r="Z9" s="81"/>
      <c r="AA9" s="81" t="s">
        <v>1024</v>
      </c>
      <c r="AB9" s="86" t="s">
        <v>1815</v>
      </c>
      <c r="AC9" s="86" t="s">
        <v>1815</v>
      </c>
      <c r="AD9" s="86"/>
      <c r="AE9" s="86" t="s">
        <v>3497</v>
      </c>
      <c r="AF9" s="86" t="s">
        <v>3523</v>
      </c>
      <c r="AG9" s="113">
        <v>0</v>
      </c>
      <c r="AH9" s="116">
        <v>0</v>
      </c>
      <c r="AI9" s="113">
        <v>0</v>
      </c>
      <c r="AJ9" s="116">
        <v>0</v>
      </c>
      <c r="AK9" s="113">
        <v>0</v>
      </c>
      <c r="AL9" s="116">
        <v>0</v>
      </c>
      <c r="AM9" s="113">
        <v>28</v>
      </c>
      <c r="AN9" s="116">
        <v>100</v>
      </c>
      <c r="AO9" s="113">
        <v>28</v>
      </c>
    </row>
    <row r="10" spans="1:41" ht="14.25" customHeight="1">
      <c r="A10" s="66" t="s">
        <v>3168</v>
      </c>
      <c r="B10" s="67" t="s">
        <v>3194</v>
      </c>
      <c r="C10" s="67" t="s">
        <v>56</v>
      </c>
      <c r="D10" s="109"/>
      <c r="E10" s="14"/>
      <c r="F10" s="15" t="s">
        <v>4524</v>
      </c>
      <c r="G10" s="64"/>
      <c r="H10" s="64"/>
      <c r="I10" s="110">
        <v>10</v>
      </c>
      <c r="J10" s="79"/>
      <c r="K10" s="49">
        <v>7</v>
      </c>
      <c r="L10" s="49">
        <v>3</v>
      </c>
      <c r="M10" s="49">
        <v>6</v>
      </c>
      <c r="N10" s="49">
        <v>9</v>
      </c>
      <c r="O10" s="49">
        <v>0</v>
      </c>
      <c r="P10" s="50">
        <v>0</v>
      </c>
      <c r="Q10" s="50">
        <v>0</v>
      </c>
      <c r="R10" s="49">
        <v>1</v>
      </c>
      <c r="S10" s="49">
        <v>0</v>
      </c>
      <c r="T10" s="49">
        <v>7</v>
      </c>
      <c r="U10" s="49">
        <v>9</v>
      </c>
      <c r="V10" s="49">
        <v>2</v>
      </c>
      <c r="W10" s="50">
        <v>1.469388</v>
      </c>
      <c r="X10" s="50">
        <v>0.14285714285714285</v>
      </c>
      <c r="Y10" s="81"/>
      <c r="Z10" s="81"/>
      <c r="AA10" s="81" t="s">
        <v>970</v>
      </c>
      <c r="AB10" s="86" t="s">
        <v>3401</v>
      </c>
      <c r="AC10" s="86" t="s">
        <v>3456</v>
      </c>
      <c r="AD10" s="86"/>
      <c r="AE10" s="86" t="s">
        <v>3498</v>
      </c>
      <c r="AF10" s="86" t="s">
        <v>3524</v>
      </c>
      <c r="AG10" s="113">
        <v>2</v>
      </c>
      <c r="AH10" s="116">
        <v>4.081632653061225</v>
      </c>
      <c r="AI10" s="113">
        <v>2</v>
      </c>
      <c r="AJ10" s="116">
        <v>4.081632653061225</v>
      </c>
      <c r="AK10" s="113">
        <v>0</v>
      </c>
      <c r="AL10" s="116">
        <v>0</v>
      </c>
      <c r="AM10" s="113">
        <v>45</v>
      </c>
      <c r="AN10" s="116">
        <v>91.83673469387755</v>
      </c>
      <c r="AO10" s="113">
        <v>49</v>
      </c>
    </row>
    <row r="11" spans="1:41" ht="15">
      <c r="A11" s="66" t="s">
        <v>3169</v>
      </c>
      <c r="B11" s="67" t="s">
        <v>3195</v>
      </c>
      <c r="C11" s="67" t="s">
        <v>56</v>
      </c>
      <c r="D11" s="109"/>
      <c r="E11" s="14"/>
      <c r="F11" s="15" t="s">
        <v>4525</v>
      </c>
      <c r="G11" s="64"/>
      <c r="H11" s="64"/>
      <c r="I11" s="110">
        <v>11</v>
      </c>
      <c r="J11" s="79"/>
      <c r="K11" s="49">
        <v>6</v>
      </c>
      <c r="L11" s="49">
        <v>5</v>
      </c>
      <c r="M11" s="49">
        <v>0</v>
      </c>
      <c r="N11" s="49">
        <v>5</v>
      </c>
      <c r="O11" s="49">
        <v>0</v>
      </c>
      <c r="P11" s="50">
        <v>0</v>
      </c>
      <c r="Q11" s="50">
        <v>0</v>
      </c>
      <c r="R11" s="49">
        <v>1</v>
      </c>
      <c r="S11" s="49">
        <v>0</v>
      </c>
      <c r="T11" s="49">
        <v>6</v>
      </c>
      <c r="U11" s="49">
        <v>5</v>
      </c>
      <c r="V11" s="49">
        <v>2</v>
      </c>
      <c r="W11" s="50">
        <v>1.388889</v>
      </c>
      <c r="X11" s="50">
        <v>0.16666666666666666</v>
      </c>
      <c r="Y11" s="81"/>
      <c r="Z11" s="81"/>
      <c r="AA11" s="81" t="s">
        <v>3349</v>
      </c>
      <c r="AB11" s="86" t="s">
        <v>3367</v>
      </c>
      <c r="AC11" s="86" t="s">
        <v>1815</v>
      </c>
      <c r="AD11" s="86"/>
      <c r="AE11" s="86" t="s">
        <v>3499</v>
      </c>
      <c r="AF11" s="86" t="s">
        <v>3525</v>
      </c>
      <c r="AG11" s="113">
        <v>0</v>
      </c>
      <c r="AH11" s="116">
        <v>0</v>
      </c>
      <c r="AI11" s="113">
        <v>0</v>
      </c>
      <c r="AJ11" s="116">
        <v>0</v>
      </c>
      <c r="AK11" s="113">
        <v>0</v>
      </c>
      <c r="AL11" s="116">
        <v>0</v>
      </c>
      <c r="AM11" s="113">
        <v>15</v>
      </c>
      <c r="AN11" s="116">
        <v>100</v>
      </c>
      <c r="AO11" s="113">
        <v>15</v>
      </c>
    </row>
    <row r="12" spans="1:41" ht="15">
      <c r="A12" s="66" t="s">
        <v>3170</v>
      </c>
      <c r="B12" s="67" t="s">
        <v>3196</v>
      </c>
      <c r="C12" s="67" t="s">
        <v>56</v>
      </c>
      <c r="D12" s="109"/>
      <c r="E12" s="14"/>
      <c r="F12" s="15" t="s">
        <v>3170</v>
      </c>
      <c r="G12" s="64"/>
      <c r="H12" s="64"/>
      <c r="I12" s="110">
        <v>12</v>
      </c>
      <c r="J12" s="79"/>
      <c r="K12" s="49">
        <v>6</v>
      </c>
      <c r="L12" s="49">
        <v>5</v>
      </c>
      <c r="M12" s="49">
        <v>0</v>
      </c>
      <c r="N12" s="49">
        <v>5</v>
      </c>
      <c r="O12" s="49">
        <v>0</v>
      </c>
      <c r="P12" s="50">
        <v>0</v>
      </c>
      <c r="Q12" s="50">
        <v>0</v>
      </c>
      <c r="R12" s="49">
        <v>1</v>
      </c>
      <c r="S12" s="49">
        <v>0</v>
      </c>
      <c r="T12" s="49">
        <v>6</v>
      </c>
      <c r="U12" s="49">
        <v>5</v>
      </c>
      <c r="V12" s="49">
        <v>2</v>
      </c>
      <c r="W12" s="50">
        <v>1.388889</v>
      </c>
      <c r="X12" s="50">
        <v>0.16666666666666666</v>
      </c>
      <c r="Y12" s="81" t="s">
        <v>3264</v>
      </c>
      <c r="Z12" s="81" t="s">
        <v>914</v>
      </c>
      <c r="AA12" s="81" t="s">
        <v>1002</v>
      </c>
      <c r="AB12" s="86" t="s">
        <v>1815</v>
      </c>
      <c r="AC12" s="86" t="s">
        <v>1815</v>
      </c>
      <c r="AD12" s="86"/>
      <c r="AE12" s="86" t="s">
        <v>3500</v>
      </c>
      <c r="AF12" s="86" t="s">
        <v>3526</v>
      </c>
      <c r="AG12" s="113">
        <v>1</v>
      </c>
      <c r="AH12" s="116">
        <v>3.4482758620689653</v>
      </c>
      <c r="AI12" s="113">
        <v>3</v>
      </c>
      <c r="AJ12" s="116">
        <v>10.344827586206897</v>
      </c>
      <c r="AK12" s="113">
        <v>0</v>
      </c>
      <c r="AL12" s="116">
        <v>0</v>
      </c>
      <c r="AM12" s="113">
        <v>25</v>
      </c>
      <c r="AN12" s="116">
        <v>86.20689655172414</v>
      </c>
      <c r="AO12" s="113">
        <v>29</v>
      </c>
    </row>
    <row r="13" spans="1:41" ht="15">
      <c r="A13" s="66" t="s">
        <v>3171</v>
      </c>
      <c r="B13" s="67" t="s">
        <v>3197</v>
      </c>
      <c r="C13" s="67" t="s">
        <v>56</v>
      </c>
      <c r="D13" s="109"/>
      <c r="E13" s="14"/>
      <c r="F13" s="15" t="s">
        <v>3171</v>
      </c>
      <c r="G13" s="64"/>
      <c r="H13" s="64"/>
      <c r="I13" s="110">
        <v>13</v>
      </c>
      <c r="J13" s="79"/>
      <c r="K13" s="49">
        <v>5</v>
      </c>
      <c r="L13" s="49">
        <v>4</v>
      </c>
      <c r="M13" s="49">
        <v>0</v>
      </c>
      <c r="N13" s="49">
        <v>4</v>
      </c>
      <c r="O13" s="49">
        <v>0</v>
      </c>
      <c r="P13" s="50">
        <v>0</v>
      </c>
      <c r="Q13" s="50">
        <v>0</v>
      </c>
      <c r="R13" s="49">
        <v>1</v>
      </c>
      <c r="S13" s="49">
        <v>0</v>
      </c>
      <c r="T13" s="49">
        <v>5</v>
      </c>
      <c r="U13" s="49">
        <v>4</v>
      </c>
      <c r="V13" s="49">
        <v>2</v>
      </c>
      <c r="W13" s="50">
        <v>1.28</v>
      </c>
      <c r="X13" s="50">
        <v>0.2</v>
      </c>
      <c r="Y13" s="81"/>
      <c r="Z13" s="81"/>
      <c r="AA13" s="81" t="s">
        <v>952</v>
      </c>
      <c r="AB13" s="86" t="s">
        <v>1815</v>
      </c>
      <c r="AC13" s="86" t="s">
        <v>1815</v>
      </c>
      <c r="AD13" s="86"/>
      <c r="AE13" s="86" t="s">
        <v>3501</v>
      </c>
      <c r="AF13" s="86" t="s">
        <v>3527</v>
      </c>
      <c r="AG13" s="113">
        <v>0</v>
      </c>
      <c r="AH13" s="116">
        <v>0</v>
      </c>
      <c r="AI13" s="113">
        <v>2</v>
      </c>
      <c r="AJ13" s="116">
        <v>6.25</v>
      </c>
      <c r="AK13" s="113">
        <v>0</v>
      </c>
      <c r="AL13" s="116">
        <v>0</v>
      </c>
      <c r="AM13" s="113">
        <v>30</v>
      </c>
      <c r="AN13" s="116">
        <v>93.75</v>
      </c>
      <c r="AO13" s="113">
        <v>32</v>
      </c>
    </row>
    <row r="14" spans="1:41" ht="15">
      <c r="A14" s="66" t="s">
        <v>3172</v>
      </c>
      <c r="B14" s="67" t="s">
        <v>3198</v>
      </c>
      <c r="C14" s="67" t="s">
        <v>56</v>
      </c>
      <c r="D14" s="109"/>
      <c r="E14" s="14"/>
      <c r="F14" s="15" t="s">
        <v>4526</v>
      </c>
      <c r="G14" s="64"/>
      <c r="H14" s="64"/>
      <c r="I14" s="110">
        <v>14</v>
      </c>
      <c r="J14" s="79"/>
      <c r="K14" s="49">
        <v>4</v>
      </c>
      <c r="L14" s="49">
        <v>4</v>
      </c>
      <c r="M14" s="49">
        <v>0</v>
      </c>
      <c r="N14" s="49">
        <v>4</v>
      </c>
      <c r="O14" s="49">
        <v>1</v>
      </c>
      <c r="P14" s="50">
        <v>0</v>
      </c>
      <c r="Q14" s="50">
        <v>0</v>
      </c>
      <c r="R14" s="49">
        <v>1</v>
      </c>
      <c r="S14" s="49">
        <v>0</v>
      </c>
      <c r="T14" s="49">
        <v>4</v>
      </c>
      <c r="U14" s="49">
        <v>4</v>
      </c>
      <c r="V14" s="49">
        <v>2</v>
      </c>
      <c r="W14" s="50">
        <v>1.125</v>
      </c>
      <c r="X14" s="50">
        <v>0.25</v>
      </c>
      <c r="Y14" s="81"/>
      <c r="Z14" s="81"/>
      <c r="AA14" s="81" t="s">
        <v>3350</v>
      </c>
      <c r="AB14" s="86" t="s">
        <v>3402</v>
      </c>
      <c r="AC14" s="86" t="s">
        <v>1815</v>
      </c>
      <c r="AD14" s="86" t="s">
        <v>389</v>
      </c>
      <c r="AE14" s="86" t="s">
        <v>3502</v>
      </c>
      <c r="AF14" s="86" t="s">
        <v>3528</v>
      </c>
      <c r="AG14" s="113">
        <v>2</v>
      </c>
      <c r="AH14" s="116">
        <v>3.278688524590164</v>
      </c>
      <c r="AI14" s="113">
        <v>4</v>
      </c>
      <c r="AJ14" s="116">
        <v>6.557377049180328</v>
      </c>
      <c r="AK14" s="113">
        <v>0</v>
      </c>
      <c r="AL14" s="116">
        <v>0</v>
      </c>
      <c r="AM14" s="113">
        <v>55</v>
      </c>
      <c r="AN14" s="116">
        <v>90.1639344262295</v>
      </c>
      <c r="AO14" s="113">
        <v>61</v>
      </c>
    </row>
    <row r="15" spans="1:41" ht="15">
      <c r="A15" s="66" t="s">
        <v>3173</v>
      </c>
      <c r="B15" s="67" t="s">
        <v>3187</v>
      </c>
      <c r="C15" s="67" t="s">
        <v>59</v>
      </c>
      <c r="D15" s="109"/>
      <c r="E15" s="14"/>
      <c r="F15" s="15" t="s">
        <v>4527</v>
      </c>
      <c r="G15" s="64"/>
      <c r="H15" s="64"/>
      <c r="I15" s="110">
        <v>15</v>
      </c>
      <c r="J15" s="79"/>
      <c r="K15" s="49">
        <v>4</v>
      </c>
      <c r="L15" s="49">
        <v>3</v>
      </c>
      <c r="M15" s="49">
        <v>0</v>
      </c>
      <c r="N15" s="49">
        <v>3</v>
      </c>
      <c r="O15" s="49">
        <v>0</v>
      </c>
      <c r="P15" s="50">
        <v>0</v>
      </c>
      <c r="Q15" s="50">
        <v>0</v>
      </c>
      <c r="R15" s="49">
        <v>1</v>
      </c>
      <c r="S15" s="49">
        <v>0</v>
      </c>
      <c r="T15" s="49">
        <v>4</v>
      </c>
      <c r="U15" s="49">
        <v>3</v>
      </c>
      <c r="V15" s="49">
        <v>3</v>
      </c>
      <c r="W15" s="50">
        <v>1.25</v>
      </c>
      <c r="X15" s="50">
        <v>0.25</v>
      </c>
      <c r="Y15" s="81"/>
      <c r="Z15" s="81"/>
      <c r="AA15" s="81" t="s">
        <v>3351</v>
      </c>
      <c r="AB15" s="86" t="s">
        <v>3403</v>
      </c>
      <c r="AC15" s="86" t="s">
        <v>1815</v>
      </c>
      <c r="AD15" s="86" t="s">
        <v>450</v>
      </c>
      <c r="AE15" s="86" t="s">
        <v>3503</v>
      </c>
      <c r="AF15" s="86" t="s">
        <v>3529</v>
      </c>
      <c r="AG15" s="113">
        <v>1</v>
      </c>
      <c r="AH15" s="116">
        <v>2.7027027027027026</v>
      </c>
      <c r="AI15" s="113">
        <v>0</v>
      </c>
      <c r="AJ15" s="116">
        <v>0</v>
      </c>
      <c r="AK15" s="113">
        <v>0</v>
      </c>
      <c r="AL15" s="116">
        <v>0</v>
      </c>
      <c r="AM15" s="113">
        <v>36</v>
      </c>
      <c r="AN15" s="116">
        <v>97.29729729729729</v>
      </c>
      <c r="AO15" s="113">
        <v>37</v>
      </c>
    </row>
    <row r="16" spans="1:41" ht="15">
      <c r="A16" s="66" t="s">
        <v>3174</v>
      </c>
      <c r="B16" s="67" t="s">
        <v>3188</v>
      </c>
      <c r="C16" s="67" t="s">
        <v>59</v>
      </c>
      <c r="D16" s="109"/>
      <c r="E16" s="14"/>
      <c r="F16" s="15" t="s">
        <v>4528</v>
      </c>
      <c r="G16" s="64"/>
      <c r="H16" s="64"/>
      <c r="I16" s="110">
        <v>16</v>
      </c>
      <c r="J16" s="79"/>
      <c r="K16" s="49">
        <v>4</v>
      </c>
      <c r="L16" s="49">
        <v>3</v>
      </c>
      <c r="M16" s="49">
        <v>0</v>
      </c>
      <c r="N16" s="49">
        <v>3</v>
      </c>
      <c r="O16" s="49">
        <v>0</v>
      </c>
      <c r="P16" s="50">
        <v>0</v>
      </c>
      <c r="Q16" s="50">
        <v>0</v>
      </c>
      <c r="R16" s="49">
        <v>1</v>
      </c>
      <c r="S16" s="49">
        <v>0</v>
      </c>
      <c r="T16" s="49">
        <v>4</v>
      </c>
      <c r="U16" s="49">
        <v>3</v>
      </c>
      <c r="V16" s="49">
        <v>2</v>
      </c>
      <c r="W16" s="50">
        <v>1.125</v>
      </c>
      <c r="X16" s="50">
        <v>0.25</v>
      </c>
      <c r="Y16" s="81" t="s">
        <v>3273</v>
      </c>
      <c r="Z16" s="81" t="s">
        <v>916</v>
      </c>
      <c r="AA16" s="81" t="s">
        <v>988</v>
      </c>
      <c r="AB16" s="86" t="s">
        <v>3404</v>
      </c>
      <c r="AC16" s="86" t="s">
        <v>1815</v>
      </c>
      <c r="AD16" s="86"/>
      <c r="AE16" s="86" t="s">
        <v>3504</v>
      </c>
      <c r="AF16" s="86" t="s">
        <v>3530</v>
      </c>
      <c r="AG16" s="113">
        <v>0</v>
      </c>
      <c r="AH16" s="116">
        <v>0</v>
      </c>
      <c r="AI16" s="113">
        <v>1</v>
      </c>
      <c r="AJ16" s="116">
        <v>3.8461538461538463</v>
      </c>
      <c r="AK16" s="113">
        <v>0</v>
      </c>
      <c r="AL16" s="116">
        <v>0</v>
      </c>
      <c r="AM16" s="113">
        <v>25</v>
      </c>
      <c r="AN16" s="116">
        <v>96.15384615384616</v>
      </c>
      <c r="AO16" s="113">
        <v>26</v>
      </c>
    </row>
    <row r="17" spans="1:41" ht="15">
      <c r="A17" s="66" t="s">
        <v>3175</v>
      </c>
      <c r="B17" s="67" t="s">
        <v>3189</v>
      </c>
      <c r="C17" s="67" t="s">
        <v>59</v>
      </c>
      <c r="D17" s="109"/>
      <c r="E17" s="14"/>
      <c r="F17" s="15" t="s">
        <v>3175</v>
      </c>
      <c r="G17" s="64"/>
      <c r="H17" s="64"/>
      <c r="I17" s="110">
        <v>17</v>
      </c>
      <c r="J17" s="79"/>
      <c r="K17" s="49">
        <v>2</v>
      </c>
      <c r="L17" s="49">
        <v>1</v>
      </c>
      <c r="M17" s="49">
        <v>0</v>
      </c>
      <c r="N17" s="49">
        <v>1</v>
      </c>
      <c r="O17" s="49">
        <v>0</v>
      </c>
      <c r="P17" s="50">
        <v>0</v>
      </c>
      <c r="Q17" s="50">
        <v>0</v>
      </c>
      <c r="R17" s="49">
        <v>1</v>
      </c>
      <c r="S17" s="49">
        <v>0</v>
      </c>
      <c r="T17" s="49">
        <v>2</v>
      </c>
      <c r="U17" s="49">
        <v>1</v>
      </c>
      <c r="V17" s="49">
        <v>1</v>
      </c>
      <c r="W17" s="50">
        <v>0.5</v>
      </c>
      <c r="X17" s="50">
        <v>0.5</v>
      </c>
      <c r="Y17" s="81" t="s">
        <v>3274</v>
      </c>
      <c r="Z17" s="81" t="s">
        <v>914</v>
      </c>
      <c r="AA17" s="81" t="s">
        <v>1117</v>
      </c>
      <c r="AB17" s="86" t="s">
        <v>1815</v>
      </c>
      <c r="AC17" s="86" t="s">
        <v>1815</v>
      </c>
      <c r="AD17" s="86"/>
      <c r="AE17" s="86" t="s">
        <v>526</v>
      </c>
      <c r="AF17" s="86" t="s">
        <v>3531</v>
      </c>
      <c r="AG17" s="113">
        <v>1</v>
      </c>
      <c r="AH17" s="116">
        <v>9.090909090909092</v>
      </c>
      <c r="AI17" s="113">
        <v>0</v>
      </c>
      <c r="AJ17" s="116">
        <v>0</v>
      </c>
      <c r="AK17" s="113">
        <v>0</v>
      </c>
      <c r="AL17" s="116">
        <v>0</v>
      </c>
      <c r="AM17" s="113">
        <v>10</v>
      </c>
      <c r="AN17" s="116">
        <v>90.9090909090909</v>
      </c>
      <c r="AO17" s="113">
        <v>11</v>
      </c>
    </row>
    <row r="18" spans="1:41" ht="15">
      <c r="A18" s="66" t="s">
        <v>3176</v>
      </c>
      <c r="B18" s="67" t="s">
        <v>3190</v>
      </c>
      <c r="C18" s="67" t="s">
        <v>59</v>
      </c>
      <c r="D18" s="109"/>
      <c r="E18" s="14"/>
      <c r="F18" s="15" t="s">
        <v>3176</v>
      </c>
      <c r="G18" s="64"/>
      <c r="H18" s="64"/>
      <c r="I18" s="110">
        <v>18</v>
      </c>
      <c r="J18" s="79"/>
      <c r="K18" s="49">
        <v>2</v>
      </c>
      <c r="L18" s="49">
        <v>1</v>
      </c>
      <c r="M18" s="49">
        <v>0</v>
      </c>
      <c r="N18" s="49">
        <v>1</v>
      </c>
      <c r="O18" s="49">
        <v>0</v>
      </c>
      <c r="P18" s="50">
        <v>0</v>
      </c>
      <c r="Q18" s="50">
        <v>0</v>
      </c>
      <c r="R18" s="49">
        <v>1</v>
      </c>
      <c r="S18" s="49">
        <v>0</v>
      </c>
      <c r="T18" s="49">
        <v>2</v>
      </c>
      <c r="U18" s="49">
        <v>1</v>
      </c>
      <c r="V18" s="49">
        <v>1</v>
      </c>
      <c r="W18" s="50">
        <v>0.5</v>
      </c>
      <c r="X18" s="50">
        <v>0.5</v>
      </c>
      <c r="Y18" s="81" t="s">
        <v>3275</v>
      </c>
      <c r="Z18" s="81" t="s">
        <v>924</v>
      </c>
      <c r="AA18" s="81" t="s">
        <v>1110</v>
      </c>
      <c r="AB18" s="86" t="s">
        <v>1815</v>
      </c>
      <c r="AC18" s="86" t="s">
        <v>1815</v>
      </c>
      <c r="AD18" s="86"/>
      <c r="AE18" s="86" t="s">
        <v>524</v>
      </c>
      <c r="AF18" s="86" t="s">
        <v>3532</v>
      </c>
      <c r="AG18" s="113">
        <v>0</v>
      </c>
      <c r="AH18" s="116">
        <v>0</v>
      </c>
      <c r="AI18" s="113">
        <v>1</v>
      </c>
      <c r="AJ18" s="116">
        <v>3.125</v>
      </c>
      <c r="AK18" s="113">
        <v>0</v>
      </c>
      <c r="AL18" s="116">
        <v>0</v>
      </c>
      <c r="AM18" s="113">
        <v>31</v>
      </c>
      <c r="AN18" s="116">
        <v>96.875</v>
      </c>
      <c r="AO18" s="113">
        <v>32</v>
      </c>
    </row>
    <row r="19" spans="1:41" ht="15">
      <c r="A19" s="66" t="s">
        <v>3177</v>
      </c>
      <c r="B19" s="67" t="s">
        <v>3191</v>
      </c>
      <c r="C19" s="67" t="s">
        <v>59</v>
      </c>
      <c r="D19" s="109"/>
      <c r="E19" s="14"/>
      <c r="F19" s="15" t="s">
        <v>3177</v>
      </c>
      <c r="G19" s="64"/>
      <c r="H19" s="64"/>
      <c r="I19" s="110">
        <v>19</v>
      </c>
      <c r="J19" s="79"/>
      <c r="K19" s="49">
        <v>2</v>
      </c>
      <c r="L19" s="49">
        <v>1</v>
      </c>
      <c r="M19" s="49">
        <v>0</v>
      </c>
      <c r="N19" s="49">
        <v>1</v>
      </c>
      <c r="O19" s="49">
        <v>0</v>
      </c>
      <c r="P19" s="50">
        <v>0</v>
      </c>
      <c r="Q19" s="50">
        <v>0</v>
      </c>
      <c r="R19" s="49">
        <v>1</v>
      </c>
      <c r="S19" s="49">
        <v>0</v>
      </c>
      <c r="T19" s="49">
        <v>2</v>
      </c>
      <c r="U19" s="49">
        <v>1</v>
      </c>
      <c r="V19" s="49">
        <v>1</v>
      </c>
      <c r="W19" s="50">
        <v>0.5</v>
      </c>
      <c r="X19" s="50">
        <v>0.5</v>
      </c>
      <c r="Y19" s="81" t="s">
        <v>3276</v>
      </c>
      <c r="Z19" s="81" t="s">
        <v>941</v>
      </c>
      <c r="AA19" s="81" t="s">
        <v>1109</v>
      </c>
      <c r="AB19" s="86" t="s">
        <v>1815</v>
      </c>
      <c r="AC19" s="86" t="s">
        <v>1815</v>
      </c>
      <c r="AD19" s="86"/>
      <c r="AE19" s="86" t="s">
        <v>523</v>
      </c>
      <c r="AF19" s="86" t="s">
        <v>3533</v>
      </c>
      <c r="AG19" s="113">
        <v>1</v>
      </c>
      <c r="AH19" s="116">
        <v>3.5714285714285716</v>
      </c>
      <c r="AI19" s="113">
        <v>0</v>
      </c>
      <c r="AJ19" s="116">
        <v>0</v>
      </c>
      <c r="AK19" s="113">
        <v>0</v>
      </c>
      <c r="AL19" s="116">
        <v>0</v>
      </c>
      <c r="AM19" s="113">
        <v>27</v>
      </c>
      <c r="AN19" s="116">
        <v>96.42857142857143</v>
      </c>
      <c r="AO19" s="113">
        <v>28</v>
      </c>
    </row>
    <row r="20" spans="1:41" ht="15">
      <c r="A20" s="66" t="s">
        <v>3178</v>
      </c>
      <c r="B20" s="67" t="s">
        <v>3192</v>
      </c>
      <c r="C20" s="67" t="s">
        <v>59</v>
      </c>
      <c r="D20" s="109"/>
      <c r="E20" s="14"/>
      <c r="F20" s="15" t="s">
        <v>3178</v>
      </c>
      <c r="G20" s="64"/>
      <c r="H20" s="64"/>
      <c r="I20" s="110">
        <v>20</v>
      </c>
      <c r="J20" s="79"/>
      <c r="K20" s="49">
        <v>2</v>
      </c>
      <c r="L20" s="49">
        <v>1</v>
      </c>
      <c r="M20" s="49">
        <v>0</v>
      </c>
      <c r="N20" s="49">
        <v>1</v>
      </c>
      <c r="O20" s="49">
        <v>0</v>
      </c>
      <c r="P20" s="50">
        <v>0</v>
      </c>
      <c r="Q20" s="50">
        <v>0</v>
      </c>
      <c r="R20" s="49">
        <v>1</v>
      </c>
      <c r="S20" s="49">
        <v>0</v>
      </c>
      <c r="T20" s="49">
        <v>2</v>
      </c>
      <c r="U20" s="49">
        <v>1</v>
      </c>
      <c r="V20" s="49">
        <v>1</v>
      </c>
      <c r="W20" s="50">
        <v>0.5</v>
      </c>
      <c r="X20" s="50">
        <v>0.5</v>
      </c>
      <c r="Y20" s="81"/>
      <c r="Z20" s="81"/>
      <c r="AA20" s="81" t="s">
        <v>1042</v>
      </c>
      <c r="AB20" s="86" t="s">
        <v>1815</v>
      </c>
      <c r="AC20" s="86" t="s">
        <v>1815</v>
      </c>
      <c r="AD20" s="86"/>
      <c r="AE20" s="86" t="s">
        <v>492</v>
      </c>
      <c r="AF20" s="86" t="s">
        <v>3534</v>
      </c>
      <c r="AG20" s="113">
        <v>1</v>
      </c>
      <c r="AH20" s="116">
        <v>4.3478260869565215</v>
      </c>
      <c r="AI20" s="113">
        <v>1</v>
      </c>
      <c r="AJ20" s="116">
        <v>4.3478260869565215</v>
      </c>
      <c r="AK20" s="113">
        <v>0</v>
      </c>
      <c r="AL20" s="116">
        <v>0</v>
      </c>
      <c r="AM20" s="113">
        <v>21</v>
      </c>
      <c r="AN20" s="116">
        <v>91.30434782608695</v>
      </c>
      <c r="AO20" s="113">
        <v>23</v>
      </c>
    </row>
    <row r="21" spans="1:41" ht="15">
      <c r="A21" s="66" t="s">
        <v>3179</v>
      </c>
      <c r="B21" s="67" t="s">
        <v>3193</v>
      </c>
      <c r="C21" s="67" t="s">
        <v>59</v>
      </c>
      <c r="D21" s="109"/>
      <c r="E21" s="14"/>
      <c r="F21" s="15" t="s">
        <v>3179</v>
      </c>
      <c r="G21" s="64"/>
      <c r="H21" s="64"/>
      <c r="I21" s="110">
        <v>21</v>
      </c>
      <c r="J21" s="79"/>
      <c r="K21" s="49">
        <v>2</v>
      </c>
      <c r="L21" s="49">
        <v>1</v>
      </c>
      <c r="M21" s="49">
        <v>0</v>
      </c>
      <c r="N21" s="49">
        <v>1</v>
      </c>
      <c r="O21" s="49">
        <v>0</v>
      </c>
      <c r="P21" s="50">
        <v>0</v>
      </c>
      <c r="Q21" s="50">
        <v>0</v>
      </c>
      <c r="R21" s="49">
        <v>1</v>
      </c>
      <c r="S21" s="49">
        <v>0</v>
      </c>
      <c r="T21" s="49">
        <v>2</v>
      </c>
      <c r="U21" s="49">
        <v>1</v>
      </c>
      <c r="V21" s="49">
        <v>1</v>
      </c>
      <c r="W21" s="50">
        <v>0.5</v>
      </c>
      <c r="X21" s="50">
        <v>0.5</v>
      </c>
      <c r="Y21" s="81" t="s">
        <v>3277</v>
      </c>
      <c r="Z21" s="81" t="s">
        <v>914</v>
      </c>
      <c r="AA21" s="81" t="s">
        <v>1039</v>
      </c>
      <c r="AB21" s="86" t="s">
        <v>1815</v>
      </c>
      <c r="AC21" s="86" t="s">
        <v>1815</v>
      </c>
      <c r="AD21" s="86"/>
      <c r="AE21" s="86" t="s">
        <v>491</v>
      </c>
      <c r="AF21" s="86" t="s">
        <v>3535</v>
      </c>
      <c r="AG21" s="113">
        <v>0</v>
      </c>
      <c r="AH21" s="116">
        <v>0</v>
      </c>
      <c r="AI21" s="113">
        <v>0</v>
      </c>
      <c r="AJ21" s="116">
        <v>0</v>
      </c>
      <c r="AK21" s="113">
        <v>0</v>
      </c>
      <c r="AL21" s="116">
        <v>0</v>
      </c>
      <c r="AM21" s="113">
        <v>9</v>
      </c>
      <c r="AN21" s="116">
        <v>100</v>
      </c>
      <c r="AO21" s="113">
        <v>9</v>
      </c>
    </row>
    <row r="22" spans="1:41" ht="15">
      <c r="A22" s="66" t="s">
        <v>3180</v>
      </c>
      <c r="B22" s="67" t="s">
        <v>3194</v>
      </c>
      <c r="C22" s="67" t="s">
        <v>59</v>
      </c>
      <c r="D22" s="109"/>
      <c r="E22" s="14"/>
      <c r="F22" s="15" t="s">
        <v>3180</v>
      </c>
      <c r="G22" s="64"/>
      <c r="H22" s="64"/>
      <c r="I22" s="110">
        <v>22</v>
      </c>
      <c r="J22" s="79"/>
      <c r="K22" s="49">
        <v>2</v>
      </c>
      <c r="L22" s="49">
        <v>1</v>
      </c>
      <c r="M22" s="49">
        <v>0</v>
      </c>
      <c r="N22" s="49">
        <v>1</v>
      </c>
      <c r="O22" s="49">
        <v>0</v>
      </c>
      <c r="P22" s="50">
        <v>0</v>
      </c>
      <c r="Q22" s="50">
        <v>0</v>
      </c>
      <c r="R22" s="49">
        <v>1</v>
      </c>
      <c r="S22" s="49">
        <v>0</v>
      </c>
      <c r="T22" s="49">
        <v>2</v>
      </c>
      <c r="U22" s="49">
        <v>1</v>
      </c>
      <c r="V22" s="49">
        <v>1</v>
      </c>
      <c r="W22" s="50">
        <v>0.5</v>
      </c>
      <c r="X22" s="50">
        <v>0.5</v>
      </c>
      <c r="Y22" s="81"/>
      <c r="Z22" s="81"/>
      <c r="AA22" s="81" t="s">
        <v>1038</v>
      </c>
      <c r="AB22" s="86" t="s">
        <v>1815</v>
      </c>
      <c r="AC22" s="86" t="s">
        <v>1815</v>
      </c>
      <c r="AD22" s="86"/>
      <c r="AE22" s="86" t="s">
        <v>490</v>
      </c>
      <c r="AF22" s="86" t="s">
        <v>3536</v>
      </c>
      <c r="AG22" s="113">
        <v>0</v>
      </c>
      <c r="AH22" s="116">
        <v>0</v>
      </c>
      <c r="AI22" s="113">
        <v>3</v>
      </c>
      <c r="AJ22" s="116">
        <v>8.108108108108109</v>
      </c>
      <c r="AK22" s="113">
        <v>0</v>
      </c>
      <c r="AL22" s="116">
        <v>0</v>
      </c>
      <c r="AM22" s="113">
        <v>34</v>
      </c>
      <c r="AN22" s="116">
        <v>91.89189189189189</v>
      </c>
      <c r="AO22" s="113">
        <v>37</v>
      </c>
    </row>
    <row r="23" spans="1:41" ht="15">
      <c r="A23" s="66" t="s">
        <v>3181</v>
      </c>
      <c r="B23" s="67" t="s">
        <v>3195</v>
      </c>
      <c r="C23" s="67" t="s">
        <v>59</v>
      </c>
      <c r="D23" s="109"/>
      <c r="E23" s="14"/>
      <c r="F23" s="15" t="s">
        <v>4529</v>
      </c>
      <c r="G23" s="64"/>
      <c r="H23" s="64"/>
      <c r="I23" s="110">
        <v>23</v>
      </c>
      <c r="J23" s="79"/>
      <c r="K23" s="49">
        <v>2</v>
      </c>
      <c r="L23" s="49">
        <v>1</v>
      </c>
      <c r="M23" s="49">
        <v>0</v>
      </c>
      <c r="N23" s="49">
        <v>1</v>
      </c>
      <c r="O23" s="49">
        <v>0</v>
      </c>
      <c r="P23" s="50">
        <v>0</v>
      </c>
      <c r="Q23" s="50">
        <v>0</v>
      </c>
      <c r="R23" s="49">
        <v>1</v>
      </c>
      <c r="S23" s="49">
        <v>0</v>
      </c>
      <c r="T23" s="49">
        <v>2</v>
      </c>
      <c r="U23" s="49">
        <v>1</v>
      </c>
      <c r="V23" s="49">
        <v>1</v>
      </c>
      <c r="W23" s="50">
        <v>0.5</v>
      </c>
      <c r="X23" s="50">
        <v>0.5</v>
      </c>
      <c r="Y23" s="81" t="s">
        <v>894</v>
      </c>
      <c r="Z23" s="81" t="s">
        <v>925</v>
      </c>
      <c r="AA23" s="81" t="s">
        <v>1026</v>
      </c>
      <c r="AB23" s="86" t="s">
        <v>3327</v>
      </c>
      <c r="AC23" s="86" t="s">
        <v>1815</v>
      </c>
      <c r="AD23" s="86"/>
      <c r="AE23" s="86" t="s">
        <v>489</v>
      </c>
      <c r="AF23" s="86" t="s">
        <v>3537</v>
      </c>
      <c r="AG23" s="113">
        <v>0</v>
      </c>
      <c r="AH23" s="116">
        <v>0</v>
      </c>
      <c r="AI23" s="113">
        <v>2</v>
      </c>
      <c r="AJ23" s="116">
        <v>10</v>
      </c>
      <c r="AK23" s="113">
        <v>0</v>
      </c>
      <c r="AL23" s="116">
        <v>0</v>
      </c>
      <c r="AM23" s="113">
        <v>18</v>
      </c>
      <c r="AN23" s="116">
        <v>90</v>
      </c>
      <c r="AO23" s="113">
        <v>20</v>
      </c>
    </row>
    <row r="24" spans="1:41" ht="15">
      <c r="A24" s="66" t="s">
        <v>3182</v>
      </c>
      <c r="B24" s="67" t="s">
        <v>3196</v>
      </c>
      <c r="C24" s="67" t="s">
        <v>59</v>
      </c>
      <c r="D24" s="109"/>
      <c r="E24" s="14"/>
      <c r="F24" s="15" t="s">
        <v>3182</v>
      </c>
      <c r="G24" s="64"/>
      <c r="H24" s="64"/>
      <c r="I24" s="110">
        <v>24</v>
      </c>
      <c r="J24" s="79"/>
      <c r="K24" s="49">
        <v>2</v>
      </c>
      <c r="L24" s="49">
        <v>1</v>
      </c>
      <c r="M24" s="49">
        <v>0</v>
      </c>
      <c r="N24" s="49">
        <v>1</v>
      </c>
      <c r="O24" s="49">
        <v>0</v>
      </c>
      <c r="P24" s="50">
        <v>0</v>
      </c>
      <c r="Q24" s="50">
        <v>0</v>
      </c>
      <c r="R24" s="49">
        <v>1</v>
      </c>
      <c r="S24" s="49">
        <v>0</v>
      </c>
      <c r="T24" s="49">
        <v>2</v>
      </c>
      <c r="U24" s="49">
        <v>1</v>
      </c>
      <c r="V24" s="49">
        <v>1</v>
      </c>
      <c r="W24" s="50">
        <v>0.5</v>
      </c>
      <c r="X24" s="50">
        <v>0.5</v>
      </c>
      <c r="Y24" s="81" t="s">
        <v>3278</v>
      </c>
      <c r="Z24" s="81" t="s">
        <v>912</v>
      </c>
      <c r="AA24" s="81" t="s">
        <v>998</v>
      </c>
      <c r="AB24" s="86" t="s">
        <v>1815</v>
      </c>
      <c r="AC24" s="86" t="s">
        <v>1815</v>
      </c>
      <c r="AD24" s="86"/>
      <c r="AE24" s="86" t="s">
        <v>467</v>
      </c>
      <c r="AF24" s="86" t="s">
        <v>3538</v>
      </c>
      <c r="AG24" s="113">
        <v>0</v>
      </c>
      <c r="AH24" s="116">
        <v>0</v>
      </c>
      <c r="AI24" s="113">
        <v>0</v>
      </c>
      <c r="AJ24" s="116">
        <v>0</v>
      </c>
      <c r="AK24" s="113">
        <v>0</v>
      </c>
      <c r="AL24" s="116">
        <v>0</v>
      </c>
      <c r="AM24" s="113">
        <v>25</v>
      </c>
      <c r="AN24" s="116">
        <v>100</v>
      </c>
      <c r="AO24" s="113">
        <v>25</v>
      </c>
    </row>
    <row r="25" spans="1:41" ht="15">
      <c r="A25" s="66" t="s">
        <v>3183</v>
      </c>
      <c r="B25" s="67" t="s">
        <v>3197</v>
      </c>
      <c r="C25" s="67" t="s">
        <v>59</v>
      </c>
      <c r="D25" s="109"/>
      <c r="E25" s="14"/>
      <c r="F25" s="15" t="s">
        <v>3183</v>
      </c>
      <c r="G25" s="64"/>
      <c r="H25" s="64"/>
      <c r="I25" s="110">
        <v>25</v>
      </c>
      <c r="J25" s="79"/>
      <c r="K25" s="49">
        <v>2</v>
      </c>
      <c r="L25" s="49">
        <v>1</v>
      </c>
      <c r="M25" s="49">
        <v>0</v>
      </c>
      <c r="N25" s="49">
        <v>1</v>
      </c>
      <c r="O25" s="49">
        <v>0</v>
      </c>
      <c r="P25" s="50">
        <v>0</v>
      </c>
      <c r="Q25" s="50">
        <v>0</v>
      </c>
      <c r="R25" s="49">
        <v>1</v>
      </c>
      <c r="S25" s="49">
        <v>0</v>
      </c>
      <c r="T25" s="49">
        <v>2</v>
      </c>
      <c r="U25" s="49">
        <v>1</v>
      </c>
      <c r="V25" s="49">
        <v>1</v>
      </c>
      <c r="W25" s="50">
        <v>0.5</v>
      </c>
      <c r="X25" s="50">
        <v>0.5</v>
      </c>
      <c r="Y25" s="81" t="s">
        <v>3279</v>
      </c>
      <c r="Z25" s="81" t="s">
        <v>914</v>
      </c>
      <c r="AA25" s="81" t="s">
        <v>991</v>
      </c>
      <c r="AB25" s="86" t="s">
        <v>1815</v>
      </c>
      <c r="AC25" s="86" t="s">
        <v>1815</v>
      </c>
      <c r="AD25" s="86"/>
      <c r="AE25" s="86" t="s">
        <v>463</v>
      </c>
      <c r="AF25" s="86" t="s">
        <v>3539</v>
      </c>
      <c r="AG25" s="113">
        <v>1</v>
      </c>
      <c r="AH25" s="116">
        <v>2.857142857142857</v>
      </c>
      <c r="AI25" s="113">
        <v>1</v>
      </c>
      <c r="AJ25" s="116">
        <v>2.857142857142857</v>
      </c>
      <c r="AK25" s="113">
        <v>0</v>
      </c>
      <c r="AL25" s="116">
        <v>0</v>
      </c>
      <c r="AM25" s="113">
        <v>33</v>
      </c>
      <c r="AN25" s="116">
        <v>94.28571428571429</v>
      </c>
      <c r="AO25" s="113">
        <v>35</v>
      </c>
    </row>
    <row r="26" spans="1:41" ht="15">
      <c r="A26" s="66" t="s">
        <v>3184</v>
      </c>
      <c r="B26" s="67" t="s">
        <v>3198</v>
      </c>
      <c r="C26" s="67" t="s">
        <v>59</v>
      </c>
      <c r="D26" s="109"/>
      <c r="E26" s="14"/>
      <c r="F26" s="15" t="s">
        <v>3184</v>
      </c>
      <c r="G26" s="64"/>
      <c r="H26" s="64"/>
      <c r="I26" s="110">
        <v>26</v>
      </c>
      <c r="J26" s="79"/>
      <c r="K26" s="49">
        <v>2</v>
      </c>
      <c r="L26" s="49">
        <v>1</v>
      </c>
      <c r="M26" s="49">
        <v>0</v>
      </c>
      <c r="N26" s="49">
        <v>1</v>
      </c>
      <c r="O26" s="49">
        <v>0</v>
      </c>
      <c r="P26" s="50">
        <v>0</v>
      </c>
      <c r="Q26" s="50">
        <v>0</v>
      </c>
      <c r="R26" s="49">
        <v>1</v>
      </c>
      <c r="S26" s="49">
        <v>0</v>
      </c>
      <c r="T26" s="49">
        <v>2</v>
      </c>
      <c r="U26" s="49">
        <v>1</v>
      </c>
      <c r="V26" s="49">
        <v>1</v>
      </c>
      <c r="W26" s="50">
        <v>0.5</v>
      </c>
      <c r="X26" s="50">
        <v>0.5</v>
      </c>
      <c r="Y26" s="81" t="s">
        <v>3204</v>
      </c>
      <c r="Z26" s="81" t="s">
        <v>903</v>
      </c>
      <c r="AA26" s="81" t="s">
        <v>954</v>
      </c>
      <c r="AB26" s="86" t="s">
        <v>1815</v>
      </c>
      <c r="AC26" s="86" t="s">
        <v>1815</v>
      </c>
      <c r="AD26" s="86"/>
      <c r="AE26" s="86" t="s">
        <v>462</v>
      </c>
      <c r="AF26" s="86" t="s">
        <v>3540</v>
      </c>
      <c r="AG26" s="113">
        <v>0</v>
      </c>
      <c r="AH26" s="116">
        <v>0</v>
      </c>
      <c r="AI26" s="113">
        <v>1</v>
      </c>
      <c r="AJ26" s="116">
        <v>3.0303030303030303</v>
      </c>
      <c r="AK26" s="113">
        <v>0</v>
      </c>
      <c r="AL26" s="116">
        <v>0</v>
      </c>
      <c r="AM26" s="113">
        <v>32</v>
      </c>
      <c r="AN26" s="116">
        <v>96.96969696969697</v>
      </c>
      <c r="AO26" s="113">
        <v>33</v>
      </c>
    </row>
    <row r="27" spans="1:41" ht="15">
      <c r="A27" s="66" t="s">
        <v>3185</v>
      </c>
      <c r="B27" s="67" t="s">
        <v>3187</v>
      </c>
      <c r="C27" s="67" t="s">
        <v>61</v>
      </c>
      <c r="D27" s="109"/>
      <c r="E27" s="14"/>
      <c r="F27" s="15" t="s">
        <v>4530</v>
      </c>
      <c r="G27" s="64"/>
      <c r="H27" s="64"/>
      <c r="I27" s="110">
        <v>27</v>
      </c>
      <c r="J27" s="79"/>
      <c r="K27" s="49">
        <v>2</v>
      </c>
      <c r="L27" s="49">
        <v>1</v>
      </c>
      <c r="M27" s="49">
        <v>3</v>
      </c>
      <c r="N27" s="49">
        <v>4</v>
      </c>
      <c r="O27" s="49">
        <v>3</v>
      </c>
      <c r="P27" s="50">
        <v>0</v>
      </c>
      <c r="Q27" s="50">
        <v>0</v>
      </c>
      <c r="R27" s="49">
        <v>1</v>
      </c>
      <c r="S27" s="49">
        <v>0</v>
      </c>
      <c r="T27" s="49">
        <v>2</v>
      </c>
      <c r="U27" s="49">
        <v>4</v>
      </c>
      <c r="V27" s="49">
        <v>1</v>
      </c>
      <c r="W27" s="50">
        <v>0.5</v>
      </c>
      <c r="X27" s="50">
        <v>0.5</v>
      </c>
      <c r="Y27" s="81" t="s">
        <v>3280</v>
      </c>
      <c r="Z27" s="81" t="s">
        <v>3299</v>
      </c>
      <c r="AA27" s="81" t="s">
        <v>3352</v>
      </c>
      <c r="AB27" s="86" t="s">
        <v>3405</v>
      </c>
      <c r="AC27" s="86" t="s">
        <v>3466</v>
      </c>
      <c r="AD27" s="86"/>
      <c r="AE27" s="86" t="s">
        <v>457</v>
      </c>
      <c r="AF27" s="86" t="s">
        <v>3541</v>
      </c>
      <c r="AG27" s="113">
        <v>3</v>
      </c>
      <c r="AH27" s="116">
        <v>2.830188679245283</v>
      </c>
      <c r="AI27" s="113">
        <v>8</v>
      </c>
      <c r="AJ27" s="116">
        <v>7.547169811320755</v>
      </c>
      <c r="AK27" s="113">
        <v>0</v>
      </c>
      <c r="AL27" s="116">
        <v>0</v>
      </c>
      <c r="AM27" s="113">
        <v>95</v>
      </c>
      <c r="AN27" s="116">
        <v>89.62264150943396</v>
      </c>
      <c r="AO27" s="113">
        <v>106</v>
      </c>
    </row>
    <row r="28" spans="1:41" ht="15">
      <c r="A28" s="66" t="s">
        <v>3186</v>
      </c>
      <c r="B28" s="67" t="s">
        <v>3188</v>
      </c>
      <c r="C28" s="67" t="s">
        <v>61</v>
      </c>
      <c r="D28" s="109"/>
      <c r="E28" s="14"/>
      <c r="F28" s="15" t="s">
        <v>3186</v>
      </c>
      <c r="G28" s="64"/>
      <c r="H28" s="64"/>
      <c r="I28" s="110">
        <v>28</v>
      </c>
      <c r="J28" s="79"/>
      <c r="K28" s="49">
        <v>2</v>
      </c>
      <c r="L28" s="49">
        <v>1</v>
      </c>
      <c r="M28" s="49">
        <v>0</v>
      </c>
      <c r="N28" s="49">
        <v>1</v>
      </c>
      <c r="O28" s="49">
        <v>0</v>
      </c>
      <c r="P28" s="50">
        <v>0</v>
      </c>
      <c r="Q28" s="50">
        <v>0</v>
      </c>
      <c r="R28" s="49">
        <v>1</v>
      </c>
      <c r="S28" s="49">
        <v>0</v>
      </c>
      <c r="T28" s="49">
        <v>2</v>
      </c>
      <c r="U28" s="49">
        <v>1</v>
      </c>
      <c r="V28" s="49">
        <v>1</v>
      </c>
      <c r="W28" s="50">
        <v>0.5</v>
      </c>
      <c r="X28" s="50">
        <v>0.5</v>
      </c>
      <c r="Y28" s="81"/>
      <c r="Z28" s="81"/>
      <c r="AA28" s="81" t="s">
        <v>1145</v>
      </c>
      <c r="AB28" s="86" t="s">
        <v>1815</v>
      </c>
      <c r="AC28" s="86" t="s">
        <v>1815</v>
      </c>
      <c r="AD28" s="86"/>
      <c r="AE28" s="86" t="s">
        <v>527</v>
      </c>
      <c r="AF28" s="86" t="s">
        <v>3542</v>
      </c>
      <c r="AG28" s="113">
        <v>1</v>
      </c>
      <c r="AH28" s="116">
        <v>3.4482758620689653</v>
      </c>
      <c r="AI28" s="113">
        <v>1</v>
      </c>
      <c r="AJ28" s="116">
        <v>3.4482758620689653</v>
      </c>
      <c r="AK28" s="113">
        <v>0</v>
      </c>
      <c r="AL28" s="116">
        <v>0</v>
      </c>
      <c r="AM28" s="113">
        <v>27</v>
      </c>
      <c r="AN28" s="116">
        <v>93.10344827586206</v>
      </c>
      <c r="AO28" s="113">
        <v>29</v>
      </c>
    </row>
  </sheetData>
  <dataValidations count="8">
    <dataValidation allowBlank="1" showInputMessage="1" promptTitle="Group Vertex Color" prompt="To select a color to use for all vertices in the group, right-click and select Select Color on the right-click menu." sqref="B3:B2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8">
      <formula1>ValidGroupShapes</formula1>
    </dataValidation>
    <dataValidation allowBlank="1" showInputMessage="1" showErrorMessage="1" promptTitle="Group Name" prompt="Enter the name of the group." sqref="A3:A2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8">
      <formula1>ValidBooleansDefaultFalse</formula1>
    </dataValidation>
    <dataValidation allowBlank="1" sqref="K3:K28"/>
    <dataValidation allowBlank="1" showInputMessage="1" showErrorMessage="1" promptTitle="Group Label" prompt="Enter an optional group label." errorTitle="Invalid Group Collapsed" error="You have entered an unrecognized &quot;group collapsed.&quot;  Try selecting from the drop-down list instead." sqref="F3:F2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7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3161</v>
      </c>
      <c r="B2" s="86" t="s">
        <v>252</v>
      </c>
      <c r="C2" s="81">
        <f>VLOOKUP(GroupVertices[[#This Row],[Vertex]],Vertices[],MATCH("ID",Vertices[[#Headers],[Vertex]:[Vertex Content Word Count]],0),FALSE)</f>
        <v>5</v>
      </c>
    </row>
    <row r="3" spans="1:3" ht="15">
      <c r="A3" s="82" t="s">
        <v>3161</v>
      </c>
      <c r="B3" s="86" t="s">
        <v>253</v>
      </c>
      <c r="C3" s="81">
        <f>VLOOKUP(GroupVertices[[#This Row],[Vertex]],Vertices[],MATCH("ID",Vertices[[#Headers],[Vertex]:[Vertex Content Word Count]],0),FALSE)</f>
        <v>6</v>
      </c>
    </row>
    <row r="4" spans="1:3" ht="15">
      <c r="A4" s="82" t="s">
        <v>3161</v>
      </c>
      <c r="B4" s="86" t="s">
        <v>255</v>
      </c>
      <c r="C4" s="81">
        <f>VLOOKUP(GroupVertices[[#This Row],[Vertex]],Vertices[],MATCH("ID",Vertices[[#Headers],[Vertex]:[Vertex Content Word Count]],0),FALSE)</f>
        <v>10</v>
      </c>
    </row>
    <row r="5" spans="1:3" ht="15">
      <c r="A5" s="82" t="s">
        <v>3161</v>
      </c>
      <c r="B5" s="86" t="s">
        <v>256</v>
      </c>
      <c r="C5" s="81">
        <f>VLOOKUP(GroupVertices[[#This Row],[Vertex]],Vertices[],MATCH("ID",Vertices[[#Headers],[Vertex]:[Vertex Content Word Count]],0),FALSE)</f>
        <v>11</v>
      </c>
    </row>
    <row r="6" spans="1:3" ht="15">
      <c r="A6" s="82" t="s">
        <v>3161</v>
      </c>
      <c r="B6" s="86" t="s">
        <v>257</v>
      </c>
      <c r="C6" s="81">
        <f>VLOOKUP(GroupVertices[[#This Row],[Vertex]],Vertices[],MATCH("ID",Vertices[[#Headers],[Vertex]:[Vertex Content Word Count]],0),FALSE)</f>
        <v>12</v>
      </c>
    </row>
    <row r="7" spans="1:3" ht="15">
      <c r="A7" s="82" t="s">
        <v>3161</v>
      </c>
      <c r="B7" s="86" t="s">
        <v>258</v>
      </c>
      <c r="C7" s="81">
        <f>VLOOKUP(GroupVertices[[#This Row],[Vertex]],Vertices[],MATCH("ID",Vertices[[#Headers],[Vertex]:[Vertex Content Word Count]],0),FALSE)</f>
        <v>13</v>
      </c>
    </row>
    <row r="8" spans="1:3" ht="15">
      <c r="A8" s="82" t="s">
        <v>3161</v>
      </c>
      <c r="B8" s="86" t="s">
        <v>259</v>
      </c>
      <c r="C8" s="81">
        <f>VLOOKUP(GroupVertices[[#This Row],[Vertex]],Vertices[],MATCH("ID",Vertices[[#Headers],[Vertex]:[Vertex Content Word Count]],0),FALSE)</f>
        <v>14</v>
      </c>
    </row>
    <row r="9" spans="1:3" ht="15">
      <c r="A9" s="82" t="s">
        <v>3161</v>
      </c>
      <c r="B9" s="86" t="s">
        <v>260</v>
      </c>
      <c r="C9" s="81">
        <f>VLOOKUP(GroupVertices[[#This Row],[Vertex]],Vertices[],MATCH("ID",Vertices[[#Headers],[Vertex]:[Vertex Content Word Count]],0),FALSE)</f>
        <v>15</v>
      </c>
    </row>
    <row r="10" spans="1:3" ht="15">
      <c r="A10" s="82" t="s">
        <v>3161</v>
      </c>
      <c r="B10" s="86" t="s">
        <v>261</v>
      </c>
      <c r="C10" s="81">
        <f>VLOOKUP(GroupVertices[[#This Row],[Vertex]],Vertices[],MATCH("ID",Vertices[[#Headers],[Vertex]:[Vertex Content Word Count]],0),FALSE)</f>
        <v>16</v>
      </c>
    </row>
    <row r="11" spans="1:3" ht="15">
      <c r="A11" s="82" t="s">
        <v>3161</v>
      </c>
      <c r="B11" s="86" t="s">
        <v>262</v>
      </c>
      <c r="C11" s="81">
        <f>VLOOKUP(GroupVertices[[#This Row],[Vertex]],Vertices[],MATCH("ID",Vertices[[#Headers],[Vertex]:[Vertex Content Word Count]],0),FALSE)</f>
        <v>17</v>
      </c>
    </row>
    <row r="12" spans="1:3" ht="15">
      <c r="A12" s="82" t="s">
        <v>3161</v>
      </c>
      <c r="B12" s="86" t="s">
        <v>263</v>
      </c>
      <c r="C12" s="81">
        <f>VLOOKUP(GroupVertices[[#This Row],[Vertex]],Vertices[],MATCH("ID",Vertices[[#Headers],[Vertex]:[Vertex Content Word Count]],0),FALSE)</f>
        <v>18</v>
      </c>
    </row>
    <row r="13" spans="1:3" ht="15">
      <c r="A13" s="82" t="s">
        <v>3161</v>
      </c>
      <c r="B13" s="86" t="s">
        <v>264</v>
      </c>
      <c r="C13" s="81">
        <f>VLOOKUP(GroupVertices[[#This Row],[Vertex]],Vertices[],MATCH("ID",Vertices[[#Headers],[Vertex]:[Vertex Content Word Count]],0),FALSE)</f>
        <v>19</v>
      </c>
    </row>
    <row r="14" spans="1:3" ht="15">
      <c r="A14" s="82" t="s">
        <v>3161</v>
      </c>
      <c r="B14" s="86" t="s">
        <v>265</v>
      </c>
      <c r="C14" s="81">
        <f>VLOOKUP(GroupVertices[[#This Row],[Vertex]],Vertices[],MATCH("ID",Vertices[[#Headers],[Vertex]:[Vertex Content Word Count]],0),FALSE)</f>
        <v>20</v>
      </c>
    </row>
    <row r="15" spans="1:3" ht="15">
      <c r="A15" s="82" t="s">
        <v>3161</v>
      </c>
      <c r="B15" s="86" t="s">
        <v>266</v>
      </c>
      <c r="C15" s="81">
        <f>VLOOKUP(GroupVertices[[#This Row],[Vertex]],Vertices[],MATCH("ID",Vertices[[#Headers],[Vertex]:[Vertex Content Word Count]],0),FALSE)</f>
        <v>21</v>
      </c>
    </row>
    <row r="16" spans="1:3" ht="15">
      <c r="A16" s="82" t="s">
        <v>3161</v>
      </c>
      <c r="B16" s="86" t="s">
        <v>267</v>
      </c>
      <c r="C16" s="81">
        <f>VLOOKUP(GroupVertices[[#This Row],[Vertex]],Vertices[],MATCH("ID",Vertices[[#Headers],[Vertex]:[Vertex Content Word Count]],0),FALSE)</f>
        <v>22</v>
      </c>
    </row>
    <row r="17" spans="1:3" ht="15">
      <c r="A17" s="82" t="s">
        <v>3161</v>
      </c>
      <c r="B17" s="86" t="s">
        <v>268</v>
      </c>
      <c r="C17" s="81">
        <f>VLOOKUP(GroupVertices[[#This Row],[Vertex]],Vertices[],MATCH("ID",Vertices[[#Headers],[Vertex]:[Vertex Content Word Count]],0),FALSE)</f>
        <v>23</v>
      </c>
    </row>
    <row r="18" spans="1:3" ht="15">
      <c r="A18" s="82" t="s">
        <v>3161</v>
      </c>
      <c r="B18" s="86" t="s">
        <v>269</v>
      </c>
      <c r="C18" s="81">
        <f>VLOOKUP(GroupVertices[[#This Row],[Vertex]],Vertices[],MATCH("ID",Vertices[[#Headers],[Vertex]:[Vertex Content Word Count]],0),FALSE)</f>
        <v>24</v>
      </c>
    </row>
    <row r="19" spans="1:3" ht="15">
      <c r="A19" s="82" t="s">
        <v>3161</v>
      </c>
      <c r="B19" s="86" t="s">
        <v>270</v>
      </c>
      <c r="C19" s="81">
        <f>VLOOKUP(GroupVertices[[#This Row],[Vertex]],Vertices[],MATCH("ID",Vertices[[#Headers],[Vertex]:[Vertex Content Word Count]],0),FALSE)</f>
        <v>25</v>
      </c>
    </row>
    <row r="20" spans="1:3" ht="15">
      <c r="A20" s="82" t="s">
        <v>3161</v>
      </c>
      <c r="B20" s="86" t="s">
        <v>271</v>
      </c>
      <c r="C20" s="81">
        <f>VLOOKUP(GroupVertices[[#This Row],[Vertex]],Vertices[],MATCH("ID",Vertices[[#Headers],[Vertex]:[Vertex Content Word Count]],0),FALSE)</f>
        <v>26</v>
      </c>
    </row>
    <row r="21" spans="1:3" ht="15">
      <c r="A21" s="82" t="s">
        <v>3161</v>
      </c>
      <c r="B21" s="86" t="s">
        <v>272</v>
      </c>
      <c r="C21" s="81">
        <f>VLOOKUP(GroupVertices[[#This Row],[Vertex]],Vertices[],MATCH("ID",Vertices[[#Headers],[Vertex]:[Vertex Content Word Count]],0),FALSE)</f>
        <v>27</v>
      </c>
    </row>
    <row r="22" spans="1:3" ht="15">
      <c r="A22" s="82" t="s">
        <v>3161</v>
      </c>
      <c r="B22" s="86" t="s">
        <v>273</v>
      </c>
      <c r="C22" s="81">
        <f>VLOOKUP(GroupVertices[[#This Row],[Vertex]],Vertices[],MATCH("ID",Vertices[[#Headers],[Vertex]:[Vertex Content Word Count]],0),FALSE)</f>
        <v>28</v>
      </c>
    </row>
    <row r="23" spans="1:3" ht="15">
      <c r="A23" s="82" t="s">
        <v>3161</v>
      </c>
      <c r="B23" s="86" t="s">
        <v>275</v>
      </c>
      <c r="C23" s="81">
        <f>VLOOKUP(GroupVertices[[#This Row],[Vertex]],Vertices[],MATCH("ID",Vertices[[#Headers],[Vertex]:[Vertex Content Word Count]],0),FALSE)</f>
        <v>36</v>
      </c>
    </row>
    <row r="24" spans="1:3" ht="15">
      <c r="A24" s="82" t="s">
        <v>3161</v>
      </c>
      <c r="B24" s="86" t="s">
        <v>276</v>
      </c>
      <c r="C24" s="81">
        <f>VLOOKUP(GroupVertices[[#This Row],[Vertex]],Vertices[],MATCH("ID",Vertices[[#Headers],[Vertex]:[Vertex Content Word Count]],0),FALSE)</f>
        <v>37</v>
      </c>
    </row>
    <row r="25" spans="1:3" ht="15">
      <c r="A25" s="82" t="s">
        <v>3161</v>
      </c>
      <c r="B25" s="86" t="s">
        <v>277</v>
      </c>
      <c r="C25" s="81">
        <f>VLOOKUP(GroupVertices[[#This Row],[Vertex]],Vertices[],MATCH("ID",Vertices[[#Headers],[Vertex]:[Vertex Content Word Count]],0),FALSE)</f>
        <v>38</v>
      </c>
    </row>
    <row r="26" spans="1:3" ht="15">
      <c r="A26" s="82" t="s">
        <v>3161</v>
      </c>
      <c r="B26" s="86" t="s">
        <v>278</v>
      </c>
      <c r="C26" s="81">
        <f>VLOOKUP(GroupVertices[[#This Row],[Vertex]],Vertices[],MATCH("ID",Vertices[[#Headers],[Vertex]:[Vertex Content Word Count]],0),FALSE)</f>
        <v>39</v>
      </c>
    </row>
    <row r="27" spans="1:3" ht="15">
      <c r="A27" s="82" t="s">
        <v>3161</v>
      </c>
      <c r="B27" s="86" t="s">
        <v>279</v>
      </c>
      <c r="C27" s="81">
        <f>VLOOKUP(GroupVertices[[#This Row],[Vertex]],Vertices[],MATCH("ID",Vertices[[#Headers],[Vertex]:[Vertex Content Word Count]],0),FALSE)</f>
        <v>40</v>
      </c>
    </row>
    <row r="28" spans="1:3" ht="15">
      <c r="A28" s="82" t="s">
        <v>3161</v>
      </c>
      <c r="B28" s="86" t="s">
        <v>280</v>
      </c>
      <c r="C28" s="81">
        <f>VLOOKUP(GroupVertices[[#This Row],[Vertex]],Vertices[],MATCH("ID",Vertices[[#Headers],[Vertex]:[Vertex Content Word Count]],0),FALSE)</f>
        <v>41</v>
      </c>
    </row>
    <row r="29" spans="1:3" ht="15">
      <c r="A29" s="82" t="s">
        <v>3161</v>
      </c>
      <c r="B29" s="86" t="s">
        <v>281</v>
      </c>
      <c r="C29" s="81">
        <f>VLOOKUP(GroupVertices[[#This Row],[Vertex]],Vertices[],MATCH("ID",Vertices[[#Headers],[Vertex]:[Vertex Content Word Count]],0),FALSE)</f>
        <v>42</v>
      </c>
    </row>
    <row r="30" spans="1:3" ht="15">
      <c r="A30" s="82" t="s">
        <v>3161</v>
      </c>
      <c r="B30" s="86" t="s">
        <v>282</v>
      </c>
      <c r="C30" s="81">
        <f>VLOOKUP(GroupVertices[[#This Row],[Vertex]],Vertices[],MATCH("ID",Vertices[[#Headers],[Vertex]:[Vertex Content Word Count]],0),FALSE)</f>
        <v>43</v>
      </c>
    </row>
    <row r="31" spans="1:3" ht="15">
      <c r="A31" s="82" t="s">
        <v>3161</v>
      </c>
      <c r="B31" s="86" t="s">
        <v>284</v>
      </c>
      <c r="C31" s="81">
        <f>VLOOKUP(GroupVertices[[#This Row],[Vertex]],Vertices[],MATCH("ID",Vertices[[#Headers],[Vertex]:[Vertex Content Word Count]],0),FALSE)</f>
        <v>46</v>
      </c>
    </row>
    <row r="32" spans="1:3" ht="15">
      <c r="A32" s="82" t="s">
        <v>3161</v>
      </c>
      <c r="B32" s="86" t="s">
        <v>285</v>
      </c>
      <c r="C32" s="81">
        <f>VLOOKUP(GroupVertices[[#This Row],[Vertex]],Vertices[],MATCH("ID",Vertices[[#Headers],[Vertex]:[Vertex Content Word Count]],0),FALSE)</f>
        <v>47</v>
      </c>
    </row>
    <row r="33" spans="1:3" ht="15">
      <c r="A33" s="82" t="s">
        <v>3161</v>
      </c>
      <c r="B33" s="86" t="s">
        <v>286</v>
      </c>
      <c r="C33" s="81">
        <f>VLOOKUP(GroupVertices[[#This Row],[Vertex]],Vertices[],MATCH("ID",Vertices[[#Headers],[Vertex]:[Vertex Content Word Count]],0),FALSE)</f>
        <v>48</v>
      </c>
    </row>
    <row r="34" spans="1:3" ht="15">
      <c r="A34" s="82" t="s">
        <v>3161</v>
      </c>
      <c r="B34" s="86" t="s">
        <v>291</v>
      </c>
      <c r="C34" s="81">
        <f>VLOOKUP(GroupVertices[[#This Row],[Vertex]],Vertices[],MATCH("ID",Vertices[[#Headers],[Vertex]:[Vertex Content Word Count]],0),FALSE)</f>
        <v>60</v>
      </c>
    </row>
    <row r="35" spans="1:3" ht="15">
      <c r="A35" s="82" t="s">
        <v>3161</v>
      </c>
      <c r="B35" s="86" t="s">
        <v>292</v>
      </c>
      <c r="C35" s="81">
        <f>VLOOKUP(GroupVertices[[#This Row],[Vertex]],Vertices[],MATCH("ID",Vertices[[#Headers],[Vertex]:[Vertex Content Word Count]],0),FALSE)</f>
        <v>61</v>
      </c>
    </row>
    <row r="36" spans="1:3" ht="15">
      <c r="A36" s="82" t="s">
        <v>3161</v>
      </c>
      <c r="B36" s="86" t="s">
        <v>293</v>
      </c>
      <c r="C36" s="81">
        <f>VLOOKUP(GroupVertices[[#This Row],[Vertex]],Vertices[],MATCH("ID",Vertices[[#Headers],[Vertex]:[Vertex Content Word Count]],0),FALSE)</f>
        <v>62</v>
      </c>
    </row>
    <row r="37" spans="1:3" ht="15">
      <c r="A37" s="82" t="s">
        <v>3161</v>
      </c>
      <c r="B37" s="86" t="s">
        <v>294</v>
      </c>
      <c r="C37" s="81">
        <f>VLOOKUP(GroupVertices[[#This Row],[Vertex]],Vertices[],MATCH("ID",Vertices[[#Headers],[Vertex]:[Vertex Content Word Count]],0),FALSE)</f>
        <v>63</v>
      </c>
    </row>
    <row r="38" spans="1:3" ht="15">
      <c r="A38" s="82" t="s">
        <v>3161</v>
      </c>
      <c r="B38" s="86" t="s">
        <v>295</v>
      </c>
      <c r="C38" s="81">
        <f>VLOOKUP(GroupVertices[[#This Row],[Vertex]],Vertices[],MATCH("ID",Vertices[[#Headers],[Vertex]:[Vertex Content Word Count]],0),FALSE)</f>
        <v>64</v>
      </c>
    </row>
    <row r="39" spans="1:3" ht="15">
      <c r="A39" s="82" t="s">
        <v>3161</v>
      </c>
      <c r="B39" s="86" t="s">
        <v>296</v>
      </c>
      <c r="C39" s="81">
        <f>VLOOKUP(GroupVertices[[#This Row],[Vertex]],Vertices[],MATCH("ID",Vertices[[#Headers],[Vertex]:[Vertex Content Word Count]],0),FALSE)</f>
        <v>65</v>
      </c>
    </row>
    <row r="40" spans="1:3" ht="15">
      <c r="A40" s="82" t="s">
        <v>3161</v>
      </c>
      <c r="B40" s="86" t="s">
        <v>298</v>
      </c>
      <c r="C40" s="81">
        <f>VLOOKUP(GroupVertices[[#This Row],[Vertex]],Vertices[],MATCH("ID",Vertices[[#Headers],[Vertex]:[Vertex Content Word Count]],0),FALSE)</f>
        <v>68</v>
      </c>
    </row>
    <row r="41" spans="1:3" ht="15">
      <c r="A41" s="82" t="s">
        <v>3161</v>
      </c>
      <c r="B41" s="86" t="s">
        <v>299</v>
      </c>
      <c r="C41" s="81">
        <f>VLOOKUP(GroupVertices[[#This Row],[Vertex]],Vertices[],MATCH("ID",Vertices[[#Headers],[Vertex]:[Vertex Content Word Count]],0),FALSE)</f>
        <v>69</v>
      </c>
    </row>
    <row r="42" spans="1:3" ht="15">
      <c r="A42" s="82" t="s">
        <v>3161</v>
      </c>
      <c r="B42" s="86" t="s">
        <v>301</v>
      </c>
      <c r="C42" s="81">
        <f>VLOOKUP(GroupVertices[[#This Row],[Vertex]],Vertices[],MATCH("ID",Vertices[[#Headers],[Vertex]:[Vertex Content Word Count]],0),FALSE)</f>
        <v>77</v>
      </c>
    </row>
    <row r="43" spans="1:3" ht="15">
      <c r="A43" s="82" t="s">
        <v>3161</v>
      </c>
      <c r="B43" s="86" t="s">
        <v>302</v>
      </c>
      <c r="C43" s="81">
        <f>VLOOKUP(GroupVertices[[#This Row],[Vertex]],Vertices[],MATCH("ID",Vertices[[#Headers],[Vertex]:[Vertex Content Word Count]],0),FALSE)</f>
        <v>78</v>
      </c>
    </row>
    <row r="44" spans="1:3" ht="15">
      <c r="A44" s="82" t="s">
        <v>3161</v>
      </c>
      <c r="B44" s="86" t="s">
        <v>303</v>
      </c>
      <c r="C44" s="81">
        <f>VLOOKUP(GroupVertices[[#This Row],[Vertex]],Vertices[],MATCH("ID",Vertices[[#Headers],[Vertex]:[Vertex Content Word Count]],0),FALSE)</f>
        <v>79</v>
      </c>
    </row>
    <row r="45" spans="1:3" ht="15">
      <c r="A45" s="82" t="s">
        <v>3161</v>
      </c>
      <c r="B45" s="86" t="s">
        <v>304</v>
      </c>
      <c r="C45" s="81">
        <f>VLOOKUP(GroupVertices[[#This Row],[Vertex]],Vertices[],MATCH("ID",Vertices[[#Headers],[Vertex]:[Vertex Content Word Count]],0),FALSE)</f>
        <v>80</v>
      </c>
    </row>
    <row r="46" spans="1:3" ht="15">
      <c r="A46" s="82" t="s">
        <v>3161</v>
      </c>
      <c r="B46" s="86" t="s">
        <v>306</v>
      </c>
      <c r="C46" s="81">
        <f>VLOOKUP(GroupVertices[[#This Row],[Vertex]],Vertices[],MATCH("ID",Vertices[[#Headers],[Vertex]:[Vertex Content Word Count]],0),FALSE)</f>
        <v>83</v>
      </c>
    </row>
    <row r="47" spans="1:3" ht="15">
      <c r="A47" s="82" t="s">
        <v>3161</v>
      </c>
      <c r="B47" s="86" t="s">
        <v>307</v>
      </c>
      <c r="C47" s="81">
        <f>VLOOKUP(GroupVertices[[#This Row],[Vertex]],Vertices[],MATCH("ID",Vertices[[#Headers],[Vertex]:[Vertex Content Word Count]],0),FALSE)</f>
        <v>84</v>
      </c>
    </row>
    <row r="48" spans="1:3" ht="15">
      <c r="A48" s="82" t="s">
        <v>3161</v>
      </c>
      <c r="B48" s="86" t="s">
        <v>308</v>
      </c>
      <c r="C48" s="81">
        <f>VLOOKUP(GroupVertices[[#This Row],[Vertex]],Vertices[],MATCH("ID",Vertices[[#Headers],[Vertex]:[Vertex Content Word Count]],0),FALSE)</f>
        <v>85</v>
      </c>
    </row>
    <row r="49" spans="1:3" ht="15">
      <c r="A49" s="82" t="s">
        <v>3161</v>
      </c>
      <c r="B49" s="86" t="s">
        <v>309</v>
      </c>
      <c r="C49" s="81">
        <f>VLOOKUP(GroupVertices[[#This Row],[Vertex]],Vertices[],MATCH("ID",Vertices[[#Headers],[Vertex]:[Vertex Content Word Count]],0),FALSE)</f>
        <v>86</v>
      </c>
    </row>
    <row r="50" spans="1:3" ht="15">
      <c r="A50" s="82" t="s">
        <v>3161</v>
      </c>
      <c r="B50" s="86" t="s">
        <v>313</v>
      </c>
      <c r="C50" s="81">
        <f>VLOOKUP(GroupVertices[[#This Row],[Vertex]],Vertices[],MATCH("ID",Vertices[[#Headers],[Vertex]:[Vertex Content Word Count]],0),FALSE)</f>
        <v>95</v>
      </c>
    </row>
    <row r="51" spans="1:3" ht="15">
      <c r="A51" s="82" t="s">
        <v>3161</v>
      </c>
      <c r="B51" s="86" t="s">
        <v>315</v>
      </c>
      <c r="C51" s="81">
        <f>VLOOKUP(GroupVertices[[#This Row],[Vertex]],Vertices[],MATCH("ID",Vertices[[#Headers],[Vertex]:[Vertex Content Word Count]],0),FALSE)</f>
        <v>101</v>
      </c>
    </row>
    <row r="52" spans="1:3" ht="15">
      <c r="A52" s="82" t="s">
        <v>3161</v>
      </c>
      <c r="B52" s="86" t="s">
        <v>316</v>
      </c>
      <c r="C52" s="81">
        <f>VLOOKUP(GroupVertices[[#This Row],[Vertex]],Vertices[],MATCH("ID",Vertices[[#Headers],[Vertex]:[Vertex Content Word Count]],0),FALSE)</f>
        <v>102</v>
      </c>
    </row>
    <row r="53" spans="1:3" ht="15">
      <c r="A53" s="82" t="s">
        <v>3161</v>
      </c>
      <c r="B53" s="86" t="s">
        <v>317</v>
      </c>
      <c r="C53" s="81">
        <f>VLOOKUP(GroupVertices[[#This Row],[Vertex]],Vertices[],MATCH("ID",Vertices[[#Headers],[Vertex]:[Vertex Content Word Count]],0),FALSE)</f>
        <v>103</v>
      </c>
    </row>
    <row r="54" spans="1:3" ht="15">
      <c r="A54" s="82" t="s">
        <v>3161</v>
      </c>
      <c r="B54" s="86" t="s">
        <v>318</v>
      </c>
      <c r="C54" s="81">
        <f>VLOOKUP(GroupVertices[[#This Row],[Vertex]],Vertices[],MATCH("ID",Vertices[[#Headers],[Vertex]:[Vertex Content Word Count]],0),FALSE)</f>
        <v>104</v>
      </c>
    </row>
    <row r="55" spans="1:3" ht="15">
      <c r="A55" s="82" t="s">
        <v>3161</v>
      </c>
      <c r="B55" s="86" t="s">
        <v>320</v>
      </c>
      <c r="C55" s="81">
        <f>VLOOKUP(GroupVertices[[#This Row],[Vertex]],Vertices[],MATCH("ID",Vertices[[#Headers],[Vertex]:[Vertex Content Word Count]],0),FALSE)</f>
        <v>106</v>
      </c>
    </row>
    <row r="56" spans="1:3" ht="15">
      <c r="A56" s="82" t="s">
        <v>3161</v>
      </c>
      <c r="B56" s="86" t="s">
        <v>321</v>
      </c>
      <c r="C56" s="81">
        <f>VLOOKUP(GroupVertices[[#This Row],[Vertex]],Vertices[],MATCH("ID",Vertices[[#Headers],[Vertex]:[Vertex Content Word Count]],0),FALSE)</f>
        <v>107</v>
      </c>
    </row>
    <row r="57" spans="1:3" ht="15">
      <c r="A57" s="82" t="s">
        <v>3161</v>
      </c>
      <c r="B57" s="86" t="s">
        <v>322</v>
      </c>
      <c r="C57" s="81">
        <f>VLOOKUP(GroupVertices[[#This Row],[Vertex]],Vertices[],MATCH("ID",Vertices[[#Headers],[Vertex]:[Vertex Content Word Count]],0),FALSE)</f>
        <v>108</v>
      </c>
    </row>
    <row r="58" spans="1:3" ht="15">
      <c r="A58" s="82" t="s">
        <v>3161</v>
      </c>
      <c r="B58" s="86" t="s">
        <v>323</v>
      </c>
      <c r="C58" s="81">
        <f>VLOOKUP(GroupVertices[[#This Row],[Vertex]],Vertices[],MATCH("ID",Vertices[[#Headers],[Vertex]:[Vertex Content Word Count]],0),FALSE)</f>
        <v>109</v>
      </c>
    </row>
    <row r="59" spans="1:3" ht="15">
      <c r="A59" s="82" t="s">
        <v>3161</v>
      </c>
      <c r="B59" s="86" t="s">
        <v>326</v>
      </c>
      <c r="C59" s="81">
        <f>VLOOKUP(GroupVertices[[#This Row],[Vertex]],Vertices[],MATCH("ID",Vertices[[#Headers],[Vertex]:[Vertex Content Word Count]],0),FALSE)</f>
        <v>117</v>
      </c>
    </row>
    <row r="60" spans="1:3" ht="15">
      <c r="A60" s="82" t="s">
        <v>3161</v>
      </c>
      <c r="B60" s="86" t="s">
        <v>327</v>
      </c>
      <c r="C60" s="81">
        <f>VLOOKUP(GroupVertices[[#This Row],[Vertex]],Vertices[],MATCH("ID",Vertices[[#Headers],[Vertex]:[Vertex Content Word Count]],0),FALSE)</f>
        <v>118</v>
      </c>
    </row>
    <row r="61" spans="1:3" ht="15">
      <c r="A61" s="82" t="s">
        <v>3161</v>
      </c>
      <c r="B61" s="86" t="s">
        <v>328</v>
      </c>
      <c r="C61" s="81">
        <f>VLOOKUP(GroupVertices[[#This Row],[Vertex]],Vertices[],MATCH("ID",Vertices[[#Headers],[Vertex]:[Vertex Content Word Count]],0),FALSE)</f>
        <v>119</v>
      </c>
    </row>
    <row r="62" spans="1:3" ht="15">
      <c r="A62" s="82" t="s">
        <v>3161</v>
      </c>
      <c r="B62" s="86" t="s">
        <v>329</v>
      </c>
      <c r="C62" s="81">
        <f>VLOOKUP(GroupVertices[[#This Row],[Vertex]],Vertices[],MATCH("ID",Vertices[[#Headers],[Vertex]:[Vertex Content Word Count]],0),FALSE)</f>
        <v>120</v>
      </c>
    </row>
    <row r="63" spans="1:3" ht="15">
      <c r="A63" s="82" t="s">
        <v>3161</v>
      </c>
      <c r="B63" s="86" t="s">
        <v>330</v>
      </c>
      <c r="C63" s="81">
        <f>VLOOKUP(GroupVertices[[#This Row],[Vertex]],Vertices[],MATCH("ID",Vertices[[#Headers],[Vertex]:[Vertex Content Word Count]],0),FALSE)</f>
        <v>121</v>
      </c>
    </row>
    <row r="64" spans="1:3" ht="15">
      <c r="A64" s="82" t="s">
        <v>3161</v>
      </c>
      <c r="B64" s="86" t="s">
        <v>331</v>
      </c>
      <c r="C64" s="81">
        <f>VLOOKUP(GroupVertices[[#This Row],[Vertex]],Vertices[],MATCH("ID",Vertices[[#Headers],[Vertex]:[Vertex Content Word Count]],0),FALSE)</f>
        <v>122</v>
      </c>
    </row>
    <row r="65" spans="1:3" ht="15">
      <c r="A65" s="82" t="s">
        <v>3161</v>
      </c>
      <c r="B65" s="86" t="s">
        <v>332</v>
      </c>
      <c r="C65" s="81">
        <f>VLOOKUP(GroupVertices[[#This Row],[Vertex]],Vertices[],MATCH("ID",Vertices[[#Headers],[Vertex]:[Vertex Content Word Count]],0),FALSE)</f>
        <v>123</v>
      </c>
    </row>
    <row r="66" spans="1:3" ht="15">
      <c r="A66" s="82" t="s">
        <v>3161</v>
      </c>
      <c r="B66" s="86" t="s">
        <v>333</v>
      </c>
      <c r="C66" s="81">
        <f>VLOOKUP(GroupVertices[[#This Row],[Vertex]],Vertices[],MATCH("ID",Vertices[[#Headers],[Vertex]:[Vertex Content Word Count]],0),FALSE)</f>
        <v>124</v>
      </c>
    </row>
    <row r="67" spans="1:3" ht="15">
      <c r="A67" s="82" t="s">
        <v>3161</v>
      </c>
      <c r="B67" s="86" t="s">
        <v>334</v>
      </c>
      <c r="C67" s="81">
        <f>VLOOKUP(GroupVertices[[#This Row],[Vertex]],Vertices[],MATCH("ID",Vertices[[#Headers],[Vertex]:[Vertex Content Word Count]],0),FALSE)</f>
        <v>125</v>
      </c>
    </row>
    <row r="68" spans="1:3" ht="15">
      <c r="A68" s="82" t="s">
        <v>3161</v>
      </c>
      <c r="B68" s="86" t="s">
        <v>335</v>
      </c>
      <c r="C68" s="81">
        <f>VLOOKUP(GroupVertices[[#This Row],[Vertex]],Vertices[],MATCH("ID",Vertices[[#Headers],[Vertex]:[Vertex Content Word Count]],0),FALSE)</f>
        <v>126</v>
      </c>
    </row>
    <row r="69" spans="1:3" ht="15">
      <c r="A69" s="82" t="s">
        <v>3161</v>
      </c>
      <c r="B69" s="86" t="s">
        <v>336</v>
      </c>
      <c r="C69" s="81">
        <f>VLOOKUP(GroupVertices[[#This Row],[Vertex]],Vertices[],MATCH("ID",Vertices[[#Headers],[Vertex]:[Vertex Content Word Count]],0),FALSE)</f>
        <v>127</v>
      </c>
    </row>
    <row r="70" spans="1:3" ht="15">
      <c r="A70" s="82" t="s">
        <v>3161</v>
      </c>
      <c r="B70" s="86" t="s">
        <v>337</v>
      </c>
      <c r="C70" s="81">
        <f>VLOOKUP(GroupVertices[[#This Row],[Vertex]],Vertices[],MATCH("ID",Vertices[[#Headers],[Vertex]:[Vertex Content Word Count]],0),FALSE)</f>
        <v>128</v>
      </c>
    </row>
    <row r="71" spans="1:3" ht="15">
      <c r="A71" s="82" t="s">
        <v>3161</v>
      </c>
      <c r="B71" s="86" t="s">
        <v>338</v>
      </c>
      <c r="C71" s="81">
        <f>VLOOKUP(GroupVertices[[#This Row],[Vertex]],Vertices[],MATCH("ID",Vertices[[#Headers],[Vertex]:[Vertex Content Word Count]],0),FALSE)</f>
        <v>129</v>
      </c>
    </row>
    <row r="72" spans="1:3" ht="15">
      <c r="A72" s="82" t="s">
        <v>3161</v>
      </c>
      <c r="B72" s="86" t="s">
        <v>339</v>
      </c>
      <c r="C72" s="81">
        <f>VLOOKUP(GroupVertices[[#This Row],[Vertex]],Vertices[],MATCH("ID",Vertices[[#Headers],[Vertex]:[Vertex Content Word Count]],0),FALSE)</f>
        <v>130</v>
      </c>
    </row>
    <row r="73" spans="1:3" ht="15">
      <c r="A73" s="82" t="s">
        <v>3161</v>
      </c>
      <c r="B73" s="86" t="s">
        <v>340</v>
      </c>
      <c r="C73" s="81">
        <f>VLOOKUP(GroupVertices[[#This Row],[Vertex]],Vertices[],MATCH("ID",Vertices[[#Headers],[Vertex]:[Vertex Content Word Count]],0),FALSE)</f>
        <v>131</v>
      </c>
    </row>
    <row r="74" spans="1:3" ht="15">
      <c r="A74" s="82" t="s">
        <v>3161</v>
      </c>
      <c r="B74" s="86" t="s">
        <v>341</v>
      </c>
      <c r="C74" s="81">
        <f>VLOOKUP(GroupVertices[[#This Row],[Vertex]],Vertices[],MATCH("ID",Vertices[[#Headers],[Vertex]:[Vertex Content Word Count]],0),FALSE)</f>
        <v>132</v>
      </c>
    </row>
    <row r="75" spans="1:3" ht="15">
      <c r="A75" s="82" t="s">
        <v>3161</v>
      </c>
      <c r="B75" s="86" t="s">
        <v>342</v>
      </c>
      <c r="C75" s="81">
        <f>VLOOKUP(GroupVertices[[#This Row],[Vertex]],Vertices[],MATCH("ID",Vertices[[#Headers],[Vertex]:[Vertex Content Word Count]],0),FALSE)</f>
        <v>133</v>
      </c>
    </row>
    <row r="76" spans="1:3" ht="15">
      <c r="A76" s="82" t="s">
        <v>3161</v>
      </c>
      <c r="B76" s="86" t="s">
        <v>344</v>
      </c>
      <c r="C76" s="81">
        <f>VLOOKUP(GroupVertices[[#This Row],[Vertex]],Vertices[],MATCH("ID",Vertices[[#Headers],[Vertex]:[Vertex Content Word Count]],0),FALSE)</f>
        <v>137</v>
      </c>
    </row>
    <row r="77" spans="1:3" ht="15">
      <c r="A77" s="82" t="s">
        <v>3161</v>
      </c>
      <c r="B77" s="86" t="s">
        <v>345</v>
      </c>
      <c r="C77" s="81">
        <f>VLOOKUP(GroupVertices[[#This Row],[Vertex]],Vertices[],MATCH("ID",Vertices[[#Headers],[Vertex]:[Vertex Content Word Count]],0),FALSE)</f>
        <v>138</v>
      </c>
    </row>
    <row r="78" spans="1:3" ht="15">
      <c r="A78" s="82" t="s">
        <v>3161</v>
      </c>
      <c r="B78" s="86" t="s">
        <v>346</v>
      </c>
      <c r="C78" s="81">
        <f>VLOOKUP(GroupVertices[[#This Row],[Vertex]],Vertices[],MATCH("ID",Vertices[[#Headers],[Vertex]:[Vertex Content Word Count]],0),FALSE)</f>
        <v>139</v>
      </c>
    </row>
    <row r="79" spans="1:3" ht="15">
      <c r="A79" s="82" t="s">
        <v>3161</v>
      </c>
      <c r="B79" s="86" t="s">
        <v>348</v>
      </c>
      <c r="C79" s="81">
        <f>VLOOKUP(GroupVertices[[#This Row],[Vertex]],Vertices[],MATCH("ID",Vertices[[#Headers],[Vertex]:[Vertex Content Word Count]],0),FALSE)</f>
        <v>147</v>
      </c>
    </row>
    <row r="80" spans="1:3" ht="15">
      <c r="A80" s="82" t="s">
        <v>3161</v>
      </c>
      <c r="B80" s="86" t="s">
        <v>350</v>
      </c>
      <c r="C80" s="81">
        <f>VLOOKUP(GroupVertices[[#This Row],[Vertex]],Vertices[],MATCH("ID",Vertices[[#Headers],[Vertex]:[Vertex Content Word Count]],0),FALSE)</f>
        <v>150</v>
      </c>
    </row>
    <row r="81" spans="1:3" ht="15">
      <c r="A81" s="82" t="s">
        <v>3161</v>
      </c>
      <c r="B81" s="86" t="s">
        <v>351</v>
      </c>
      <c r="C81" s="81">
        <f>VLOOKUP(GroupVertices[[#This Row],[Vertex]],Vertices[],MATCH("ID",Vertices[[#Headers],[Vertex]:[Vertex Content Word Count]],0),FALSE)</f>
        <v>151</v>
      </c>
    </row>
    <row r="82" spans="1:3" ht="15">
      <c r="A82" s="82" t="s">
        <v>3161</v>
      </c>
      <c r="B82" s="86" t="s">
        <v>353</v>
      </c>
      <c r="C82" s="81">
        <f>VLOOKUP(GroupVertices[[#This Row],[Vertex]],Vertices[],MATCH("ID",Vertices[[#Headers],[Vertex]:[Vertex Content Word Count]],0),FALSE)</f>
        <v>154</v>
      </c>
    </row>
    <row r="83" spans="1:3" ht="15">
      <c r="A83" s="82" t="s">
        <v>3161</v>
      </c>
      <c r="B83" s="86" t="s">
        <v>354</v>
      </c>
      <c r="C83" s="81">
        <f>VLOOKUP(GroupVertices[[#This Row],[Vertex]],Vertices[],MATCH("ID",Vertices[[#Headers],[Vertex]:[Vertex Content Word Count]],0),FALSE)</f>
        <v>155</v>
      </c>
    </row>
    <row r="84" spans="1:3" ht="15">
      <c r="A84" s="82" t="s">
        <v>3161</v>
      </c>
      <c r="B84" s="86" t="s">
        <v>355</v>
      </c>
      <c r="C84" s="81">
        <f>VLOOKUP(GroupVertices[[#This Row],[Vertex]],Vertices[],MATCH("ID",Vertices[[#Headers],[Vertex]:[Vertex Content Word Count]],0),FALSE)</f>
        <v>156</v>
      </c>
    </row>
    <row r="85" spans="1:3" ht="15">
      <c r="A85" s="82" t="s">
        <v>3161</v>
      </c>
      <c r="B85" s="86" t="s">
        <v>356</v>
      </c>
      <c r="C85" s="81">
        <f>VLOOKUP(GroupVertices[[#This Row],[Vertex]],Vertices[],MATCH("ID",Vertices[[#Headers],[Vertex]:[Vertex Content Word Count]],0),FALSE)</f>
        <v>157</v>
      </c>
    </row>
    <row r="86" spans="1:3" ht="15">
      <c r="A86" s="82" t="s">
        <v>3161</v>
      </c>
      <c r="B86" s="86" t="s">
        <v>357</v>
      </c>
      <c r="C86" s="81">
        <f>VLOOKUP(GroupVertices[[#This Row],[Vertex]],Vertices[],MATCH("ID",Vertices[[#Headers],[Vertex]:[Vertex Content Word Count]],0),FALSE)</f>
        <v>158</v>
      </c>
    </row>
    <row r="87" spans="1:3" ht="15">
      <c r="A87" s="82" t="s">
        <v>3161</v>
      </c>
      <c r="B87" s="86" t="s">
        <v>358</v>
      </c>
      <c r="C87" s="81">
        <f>VLOOKUP(GroupVertices[[#This Row],[Vertex]],Vertices[],MATCH("ID",Vertices[[#Headers],[Vertex]:[Vertex Content Word Count]],0),FALSE)</f>
        <v>159</v>
      </c>
    </row>
    <row r="88" spans="1:3" ht="15">
      <c r="A88" s="82" t="s">
        <v>3161</v>
      </c>
      <c r="B88" s="86" t="s">
        <v>359</v>
      </c>
      <c r="C88" s="81">
        <f>VLOOKUP(GroupVertices[[#This Row],[Vertex]],Vertices[],MATCH("ID",Vertices[[#Headers],[Vertex]:[Vertex Content Word Count]],0),FALSE)</f>
        <v>160</v>
      </c>
    </row>
    <row r="89" spans="1:3" ht="15">
      <c r="A89" s="82" t="s">
        <v>3161</v>
      </c>
      <c r="B89" s="86" t="s">
        <v>360</v>
      </c>
      <c r="C89" s="81">
        <f>VLOOKUP(GroupVertices[[#This Row],[Vertex]],Vertices[],MATCH("ID",Vertices[[#Headers],[Vertex]:[Vertex Content Word Count]],0),FALSE)</f>
        <v>161</v>
      </c>
    </row>
    <row r="90" spans="1:3" ht="15">
      <c r="A90" s="82" t="s">
        <v>3161</v>
      </c>
      <c r="B90" s="86" t="s">
        <v>361</v>
      </c>
      <c r="C90" s="81">
        <f>VLOOKUP(GroupVertices[[#This Row],[Vertex]],Vertices[],MATCH("ID",Vertices[[#Headers],[Vertex]:[Vertex Content Word Count]],0),FALSE)</f>
        <v>162</v>
      </c>
    </row>
    <row r="91" spans="1:3" ht="15">
      <c r="A91" s="82" t="s">
        <v>3161</v>
      </c>
      <c r="B91" s="86" t="s">
        <v>362</v>
      </c>
      <c r="C91" s="81">
        <f>VLOOKUP(GroupVertices[[#This Row],[Vertex]],Vertices[],MATCH("ID",Vertices[[#Headers],[Vertex]:[Vertex Content Word Count]],0),FALSE)</f>
        <v>163</v>
      </c>
    </row>
    <row r="92" spans="1:3" ht="15">
      <c r="A92" s="82" t="s">
        <v>3161</v>
      </c>
      <c r="B92" s="86" t="s">
        <v>363</v>
      </c>
      <c r="C92" s="81">
        <f>VLOOKUP(GroupVertices[[#This Row],[Vertex]],Vertices[],MATCH("ID",Vertices[[#Headers],[Vertex]:[Vertex Content Word Count]],0),FALSE)</f>
        <v>164</v>
      </c>
    </row>
    <row r="93" spans="1:3" ht="15">
      <c r="A93" s="82" t="s">
        <v>3161</v>
      </c>
      <c r="B93" s="86" t="s">
        <v>364</v>
      </c>
      <c r="C93" s="81">
        <f>VLOOKUP(GroupVertices[[#This Row],[Vertex]],Vertices[],MATCH("ID",Vertices[[#Headers],[Vertex]:[Vertex Content Word Count]],0),FALSE)</f>
        <v>165</v>
      </c>
    </row>
    <row r="94" spans="1:3" ht="15">
      <c r="A94" s="82" t="s">
        <v>3161</v>
      </c>
      <c r="B94" s="86" t="s">
        <v>366</v>
      </c>
      <c r="C94" s="81">
        <f>VLOOKUP(GroupVertices[[#This Row],[Vertex]],Vertices[],MATCH("ID",Vertices[[#Headers],[Vertex]:[Vertex Content Word Count]],0),FALSE)</f>
        <v>166</v>
      </c>
    </row>
    <row r="95" spans="1:3" ht="15">
      <c r="A95" s="82" t="s">
        <v>3161</v>
      </c>
      <c r="B95" s="86" t="s">
        <v>368</v>
      </c>
      <c r="C95" s="81">
        <f>VLOOKUP(GroupVertices[[#This Row],[Vertex]],Vertices[],MATCH("ID",Vertices[[#Headers],[Vertex]:[Vertex Content Word Count]],0),FALSE)</f>
        <v>169</v>
      </c>
    </row>
    <row r="96" spans="1:3" ht="15">
      <c r="A96" s="82" t="s">
        <v>3161</v>
      </c>
      <c r="B96" s="86" t="s">
        <v>369</v>
      </c>
      <c r="C96" s="81">
        <f>VLOOKUP(GroupVertices[[#This Row],[Vertex]],Vertices[],MATCH("ID",Vertices[[#Headers],[Vertex]:[Vertex Content Word Count]],0),FALSE)</f>
        <v>170</v>
      </c>
    </row>
    <row r="97" spans="1:3" ht="15">
      <c r="A97" s="82" t="s">
        <v>3161</v>
      </c>
      <c r="B97" s="86" t="s">
        <v>371</v>
      </c>
      <c r="C97" s="81">
        <f>VLOOKUP(GroupVertices[[#This Row],[Vertex]],Vertices[],MATCH("ID",Vertices[[#Headers],[Vertex]:[Vertex Content Word Count]],0),FALSE)</f>
        <v>173</v>
      </c>
    </row>
    <row r="98" spans="1:3" ht="15">
      <c r="A98" s="82" t="s">
        <v>3161</v>
      </c>
      <c r="B98" s="86" t="s">
        <v>373</v>
      </c>
      <c r="C98" s="81">
        <f>VLOOKUP(GroupVertices[[#This Row],[Vertex]],Vertices[],MATCH("ID",Vertices[[#Headers],[Vertex]:[Vertex Content Word Count]],0),FALSE)</f>
        <v>176</v>
      </c>
    </row>
    <row r="99" spans="1:3" ht="15">
      <c r="A99" s="82" t="s">
        <v>3161</v>
      </c>
      <c r="B99" s="86" t="s">
        <v>374</v>
      </c>
      <c r="C99" s="81">
        <f>VLOOKUP(GroupVertices[[#This Row],[Vertex]],Vertices[],MATCH("ID",Vertices[[#Headers],[Vertex]:[Vertex Content Word Count]],0),FALSE)</f>
        <v>177</v>
      </c>
    </row>
    <row r="100" spans="1:3" ht="15">
      <c r="A100" s="82" t="s">
        <v>3161</v>
      </c>
      <c r="B100" s="86" t="s">
        <v>375</v>
      </c>
      <c r="C100" s="81">
        <f>VLOOKUP(GroupVertices[[#This Row],[Vertex]],Vertices[],MATCH("ID",Vertices[[#Headers],[Vertex]:[Vertex Content Word Count]],0),FALSE)</f>
        <v>178</v>
      </c>
    </row>
    <row r="101" spans="1:3" ht="15">
      <c r="A101" s="82" t="s">
        <v>3161</v>
      </c>
      <c r="B101" s="86" t="s">
        <v>376</v>
      </c>
      <c r="C101" s="81">
        <f>VLOOKUP(GroupVertices[[#This Row],[Vertex]],Vertices[],MATCH("ID",Vertices[[#Headers],[Vertex]:[Vertex Content Word Count]],0),FALSE)</f>
        <v>179</v>
      </c>
    </row>
    <row r="102" spans="1:3" ht="15">
      <c r="A102" s="82" t="s">
        <v>3161</v>
      </c>
      <c r="B102" s="86" t="s">
        <v>377</v>
      </c>
      <c r="C102" s="81">
        <f>VLOOKUP(GroupVertices[[#This Row],[Vertex]],Vertices[],MATCH("ID",Vertices[[#Headers],[Vertex]:[Vertex Content Word Count]],0),FALSE)</f>
        <v>180</v>
      </c>
    </row>
    <row r="103" spans="1:3" ht="15">
      <c r="A103" s="82" t="s">
        <v>3161</v>
      </c>
      <c r="B103" s="86" t="s">
        <v>378</v>
      </c>
      <c r="C103" s="81">
        <f>VLOOKUP(GroupVertices[[#This Row],[Vertex]],Vertices[],MATCH("ID",Vertices[[#Headers],[Vertex]:[Vertex Content Word Count]],0),FALSE)</f>
        <v>181</v>
      </c>
    </row>
    <row r="104" spans="1:3" ht="15">
      <c r="A104" s="82" t="s">
        <v>3161</v>
      </c>
      <c r="B104" s="86" t="s">
        <v>379</v>
      </c>
      <c r="C104" s="81">
        <f>VLOOKUP(GroupVertices[[#This Row],[Vertex]],Vertices[],MATCH("ID",Vertices[[#Headers],[Vertex]:[Vertex Content Word Count]],0),FALSE)</f>
        <v>182</v>
      </c>
    </row>
    <row r="105" spans="1:3" ht="15">
      <c r="A105" s="82" t="s">
        <v>3161</v>
      </c>
      <c r="B105" s="86" t="s">
        <v>382</v>
      </c>
      <c r="C105" s="81">
        <f>VLOOKUP(GroupVertices[[#This Row],[Vertex]],Vertices[],MATCH("ID",Vertices[[#Headers],[Vertex]:[Vertex Content Word Count]],0),FALSE)</f>
        <v>187</v>
      </c>
    </row>
    <row r="106" spans="1:3" ht="15">
      <c r="A106" s="82" t="s">
        <v>3161</v>
      </c>
      <c r="B106" s="86" t="s">
        <v>383</v>
      </c>
      <c r="C106" s="81">
        <f>VLOOKUP(GroupVertices[[#This Row],[Vertex]],Vertices[],MATCH("ID",Vertices[[#Headers],[Vertex]:[Vertex Content Word Count]],0),FALSE)</f>
        <v>188</v>
      </c>
    </row>
    <row r="107" spans="1:3" ht="15">
      <c r="A107" s="82" t="s">
        <v>3161</v>
      </c>
      <c r="B107" s="86" t="s">
        <v>384</v>
      </c>
      <c r="C107" s="81">
        <f>VLOOKUP(GroupVertices[[#This Row],[Vertex]],Vertices[],MATCH("ID",Vertices[[#Headers],[Vertex]:[Vertex Content Word Count]],0),FALSE)</f>
        <v>189</v>
      </c>
    </row>
    <row r="108" spans="1:3" ht="15">
      <c r="A108" s="82" t="s">
        <v>3161</v>
      </c>
      <c r="B108" s="86" t="s">
        <v>390</v>
      </c>
      <c r="C108" s="81">
        <f>VLOOKUP(GroupVertices[[#This Row],[Vertex]],Vertices[],MATCH("ID",Vertices[[#Headers],[Vertex]:[Vertex Content Word Count]],0),FALSE)</f>
        <v>209</v>
      </c>
    </row>
    <row r="109" spans="1:3" ht="15">
      <c r="A109" s="82" t="s">
        <v>3161</v>
      </c>
      <c r="B109" s="86" t="s">
        <v>393</v>
      </c>
      <c r="C109" s="81">
        <f>VLOOKUP(GroupVertices[[#This Row],[Vertex]],Vertices[],MATCH("ID",Vertices[[#Headers],[Vertex]:[Vertex Content Word Count]],0),FALSE)</f>
        <v>218</v>
      </c>
    </row>
    <row r="110" spans="1:3" ht="15">
      <c r="A110" s="82" t="s">
        <v>3161</v>
      </c>
      <c r="B110" s="86" t="s">
        <v>394</v>
      </c>
      <c r="C110" s="81">
        <f>VLOOKUP(GroupVertices[[#This Row],[Vertex]],Vertices[],MATCH("ID",Vertices[[#Headers],[Vertex]:[Vertex Content Word Count]],0),FALSE)</f>
        <v>219</v>
      </c>
    </row>
    <row r="111" spans="1:3" ht="15">
      <c r="A111" s="82" t="s">
        <v>3161</v>
      </c>
      <c r="B111" s="86" t="s">
        <v>395</v>
      </c>
      <c r="C111" s="81">
        <f>VLOOKUP(GroupVertices[[#This Row],[Vertex]],Vertices[],MATCH("ID",Vertices[[#Headers],[Vertex]:[Vertex Content Word Count]],0),FALSE)</f>
        <v>220</v>
      </c>
    </row>
    <row r="112" spans="1:3" ht="15">
      <c r="A112" s="82" t="s">
        <v>3161</v>
      </c>
      <c r="B112" s="86" t="s">
        <v>396</v>
      </c>
      <c r="C112" s="81">
        <f>VLOOKUP(GroupVertices[[#This Row],[Vertex]],Vertices[],MATCH("ID",Vertices[[#Headers],[Vertex]:[Vertex Content Word Count]],0),FALSE)</f>
        <v>221</v>
      </c>
    </row>
    <row r="113" spans="1:3" ht="15">
      <c r="A113" s="82" t="s">
        <v>3161</v>
      </c>
      <c r="B113" s="86" t="s">
        <v>397</v>
      </c>
      <c r="C113" s="81">
        <f>VLOOKUP(GroupVertices[[#This Row],[Vertex]],Vertices[],MATCH("ID",Vertices[[#Headers],[Vertex]:[Vertex Content Word Count]],0),FALSE)</f>
        <v>222</v>
      </c>
    </row>
    <row r="114" spans="1:3" ht="15">
      <c r="A114" s="82" t="s">
        <v>3161</v>
      </c>
      <c r="B114" s="86" t="s">
        <v>398</v>
      </c>
      <c r="C114" s="81">
        <f>VLOOKUP(GroupVertices[[#This Row],[Vertex]],Vertices[],MATCH("ID",Vertices[[#Headers],[Vertex]:[Vertex Content Word Count]],0),FALSE)</f>
        <v>223</v>
      </c>
    </row>
    <row r="115" spans="1:3" ht="15">
      <c r="A115" s="82" t="s">
        <v>3161</v>
      </c>
      <c r="B115" s="86" t="s">
        <v>399</v>
      </c>
      <c r="C115" s="81">
        <f>VLOOKUP(GroupVertices[[#This Row],[Vertex]],Vertices[],MATCH("ID",Vertices[[#Headers],[Vertex]:[Vertex Content Word Count]],0),FALSE)</f>
        <v>224</v>
      </c>
    </row>
    <row r="116" spans="1:3" ht="15">
      <c r="A116" s="82" t="s">
        <v>3161</v>
      </c>
      <c r="B116" s="86" t="s">
        <v>401</v>
      </c>
      <c r="C116" s="81">
        <f>VLOOKUP(GroupVertices[[#This Row],[Vertex]],Vertices[],MATCH("ID",Vertices[[#Headers],[Vertex]:[Vertex Content Word Count]],0),FALSE)</f>
        <v>226</v>
      </c>
    </row>
    <row r="117" spans="1:3" ht="15">
      <c r="A117" s="82" t="s">
        <v>3161</v>
      </c>
      <c r="B117" s="86" t="s">
        <v>403</v>
      </c>
      <c r="C117" s="81">
        <f>VLOOKUP(GroupVertices[[#This Row],[Vertex]],Vertices[],MATCH("ID",Vertices[[#Headers],[Vertex]:[Vertex Content Word Count]],0),FALSE)</f>
        <v>228</v>
      </c>
    </row>
    <row r="118" spans="1:3" ht="15">
      <c r="A118" s="82" t="s">
        <v>3161</v>
      </c>
      <c r="B118" s="86" t="s">
        <v>405</v>
      </c>
      <c r="C118" s="81">
        <f>VLOOKUP(GroupVertices[[#This Row],[Vertex]],Vertices[],MATCH("ID",Vertices[[#Headers],[Vertex]:[Vertex Content Word Count]],0),FALSE)</f>
        <v>229</v>
      </c>
    </row>
    <row r="119" spans="1:3" ht="15">
      <c r="A119" s="82" t="s">
        <v>3161</v>
      </c>
      <c r="B119" s="86" t="s">
        <v>406</v>
      </c>
      <c r="C119" s="81">
        <f>VLOOKUP(GroupVertices[[#This Row],[Vertex]],Vertices[],MATCH("ID",Vertices[[#Headers],[Vertex]:[Vertex Content Word Count]],0),FALSE)</f>
        <v>230</v>
      </c>
    </row>
    <row r="120" spans="1:3" ht="15">
      <c r="A120" s="82" t="s">
        <v>3161</v>
      </c>
      <c r="B120" s="86" t="s">
        <v>407</v>
      </c>
      <c r="C120" s="81">
        <f>VLOOKUP(GroupVertices[[#This Row],[Vertex]],Vertices[],MATCH("ID",Vertices[[#Headers],[Vertex]:[Vertex Content Word Count]],0),FALSE)</f>
        <v>231</v>
      </c>
    </row>
    <row r="121" spans="1:3" ht="15">
      <c r="A121" s="82" t="s">
        <v>3161</v>
      </c>
      <c r="B121" s="86" t="s">
        <v>411</v>
      </c>
      <c r="C121" s="81">
        <f>VLOOKUP(GroupVertices[[#This Row],[Vertex]],Vertices[],MATCH("ID",Vertices[[#Headers],[Vertex]:[Vertex Content Word Count]],0),FALSE)</f>
        <v>243</v>
      </c>
    </row>
    <row r="122" spans="1:3" ht="15">
      <c r="A122" s="82" t="s">
        <v>3161</v>
      </c>
      <c r="B122" s="86" t="s">
        <v>412</v>
      </c>
      <c r="C122" s="81">
        <f>VLOOKUP(GroupVertices[[#This Row],[Vertex]],Vertices[],MATCH("ID",Vertices[[#Headers],[Vertex]:[Vertex Content Word Count]],0),FALSE)</f>
        <v>244</v>
      </c>
    </row>
    <row r="123" spans="1:3" ht="15">
      <c r="A123" s="82" t="s">
        <v>3161</v>
      </c>
      <c r="B123" s="86" t="s">
        <v>413</v>
      </c>
      <c r="C123" s="81">
        <f>VLOOKUP(GroupVertices[[#This Row],[Vertex]],Vertices[],MATCH("ID",Vertices[[#Headers],[Vertex]:[Vertex Content Word Count]],0),FALSE)</f>
        <v>245</v>
      </c>
    </row>
    <row r="124" spans="1:3" ht="15">
      <c r="A124" s="82" t="s">
        <v>3161</v>
      </c>
      <c r="B124" s="86" t="s">
        <v>414</v>
      </c>
      <c r="C124" s="81">
        <f>VLOOKUP(GroupVertices[[#This Row],[Vertex]],Vertices[],MATCH("ID",Vertices[[#Headers],[Vertex]:[Vertex Content Word Count]],0),FALSE)</f>
        <v>246</v>
      </c>
    </row>
    <row r="125" spans="1:3" ht="15">
      <c r="A125" s="82" t="s">
        <v>3161</v>
      </c>
      <c r="B125" s="86" t="s">
        <v>415</v>
      </c>
      <c r="C125" s="81">
        <f>VLOOKUP(GroupVertices[[#This Row],[Vertex]],Vertices[],MATCH("ID",Vertices[[#Headers],[Vertex]:[Vertex Content Word Count]],0),FALSE)</f>
        <v>247</v>
      </c>
    </row>
    <row r="126" spans="1:3" ht="15">
      <c r="A126" s="82" t="s">
        <v>3161</v>
      </c>
      <c r="B126" s="86" t="s">
        <v>416</v>
      </c>
      <c r="C126" s="81">
        <f>VLOOKUP(GroupVertices[[#This Row],[Vertex]],Vertices[],MATCH("ID",Vertices[[#Headers],[Vertex]:[Vertex Content Word Count]],0),FALSE)</f>
        <v>248</v>
      </c>
    </row>
    <row r="127" spans="1:3" ht="15">
      <c r="A127" s="82" t="s">
        <v>3161</v>
      </c>
      <c r="B127" s="86" t="s">
        <v>419</v>
      </c>
      <c r="C127" s="81">
        <f>VLOOKUP(GroupVertices[[#This Row],[Vertex]],Vertices[],MATCH("ID",Vertices[[#Headers],[Vertex]:[Vertex Content Word Count]],0),FALSE)</f>
        <v>253</v>
      </c>
    </row>
    <row r="128" spans="1:3" ht="15">
      <c r="A128" s="82" t="s">
        <v>3161</v>
      </c>
      <c r="B128" s="86" t="s">
        <v>421</v>
      </c>
      <c r="C128" s="81">
        <f>VLOOKUP(GroupVertices[[#This Row],[Vertex]],Vertices[],MATCH("ID",Vertices[[#Headers],[Vertex]:[Vertex Content Word Count]],0),FALSE)</f>
        <v>255</v>
      </c>
    </row>
    <row r="129" spans="1:3" ht="15">
      <c r="A129" s="82" t="s">
        <v>3161</v>
      </c>
      <c r="B129" s="86" t="s">
        <v>422</v>
      </c>
      <c r="C129" s="81">
        <f>VLOOKUP(GroupVertices[[#This Row],[Vertex]],Vertices[],MATCH("ID",Vertices[[#Headers],[Vertex]:[Vertex Content Word Count]],0),FALSE)</f>
        <v>256</v>
      </c>
    </row>
    <row r="130" spans="1:3" ht="15">
      <c r="A130" s="82" t="s">
        <v>3161</v>
      </c>
      <c r="B130" s="86" t="s">
        <v>423</v>
      </c>
      <c r="C130" s="81">
        <f>VLOOKUP(GroupVertices[[#This Row],[Vertex]],Vertices[],MATCH("ID",Vertices[[#Headers],[Vertex]:[Vertex Content Word Count]],0),FALSE)</f>
        <v>257</v>
      </c>
    </row>
    <row r="131" spans="1:3" ht="15">
      <c r="A131" s="82" t="s">
        <v>3161</v>
      </c>
      <c r="B131" s="86" t="s">
        <v>425</v>
      </c>
      <c r="C131" s="81">
        <f>VLOOKUP(GroupVertices[[#This Row],[Vertex]],Vertices[],MATCH("ID",Vertices[[#Headers],[Vertex]:[Vertex Content Word Count]],0),FALSE)</f>
        <v>260</v>
      </c>
    </row>
    <row r="132" spans="1:3" ht="15">
      <c r="A132" s="82" t="s">
        <v>3161</v>
      </c>
      <c r="B132" s="86" t="s">
        <v>426</v>
      </c>
      <c r="C132" s="81">
        <f>VLOOKUP(GroupVertices[[#This Row],[Vertex]],Vertices[],MATCH("ID",Vertices[[#Headers],[Vertex]:[Vertex Content Word Count]],0),FALSE)</f>
        <v>261</v>
      </c>
    </row>
    <row r="133" spans="1:3" ht="15">
      <c r="A133" s="82" t="s">
        <v>3161</v>
      </c>
      <c r="B133" s="86" t="s">
        <v>428</v>
      </c>
      <c r="C133" s="81">
        <f>VLOOKUP(GroupVertices[[#This Row],[Vertex]],Vertices[],MATCH("ID",Vertices[[#Headers],[Vertex]:[Vertex Content Word Count]],0),FALSE)</f>
        <v>262</v>
      </c>
    </row>
    <row r="134" spans="1:3" ht="15">
      <c r="A134" s="82" t="s">
        <v>3161</v>
      </c>
      <c r="B134" s="86" t="s">
        <v>431</v>
      </c>
      <c r="C134" s="81">
        <f>VLOOKUP(GroupVertices[[#This Row],[Vertex]],Vertices[],MATCH("ID",Vertices[[#Headers],[Vertex]:[Vertex Content Word Count]],0),FALSE)</f>
        <v>263</v>
      </c>
    </row>
    <row r="135" spans="1:3" ht="15">
      <c r="A135" s="82" t="s">
        <v>3161</v>
      </c>
      <c r="B135" s="86" t="s">
        <v>432</v>
      </c>
      <c r="C135" s="81">
        <f>VLOOKUP(GroupVertices[[#This Row],[Vertex]],Vertices[],MATCH("ID",Vertices[[#Headers],[Vertex]:[Vertex Content Word Count]],0),FALSE)</f>
        <v>264</v>
      </c>
    </row>
    <row r="136" spans="1:3" ht="15">
      <c r="A136" s="82" t="s">
        <v>3161</v>
      </c>
      <c r="B136" s="86" t="s">
        <v>433</v>
      </c>
      <c r="C136" s="81">
        <f>VLOOKUP(GroupVertices[[#This Row],[Vertex]],Vertices[],MATCH("ID",Vertices[[#Headers],[Vertex]:[Vertex Content Word Count]],0),FALSE)</f>
        <v>265</v>
      </c>
    </row>
    <row r="137" spans="1:3" ht="15">
      <c r="A137" s="82" t="s">
        <v>3161</v>
      </c>
      <c r="B137" s="86" t="s">
        <v>434</v>
      </c>
      <c r="C137" s="81">
        <f>VLOOKUP(GroupVertices[[#This Row],[Vertex]],Vertices[],MATCH("ID",Vertices[[#Headers],[Vertex]:[Vertex Content Word Count]],0),FALSE)</f>
        <v>266</v>
      </c>
    </row>
    <row r="138" spans="1:3" ht="15">
      <c r="A138" s="82" t="s">
        <v>3161</v>
      </c>
      <c r="B138" s="86" t="s">
        <v>435</v>
      </c>
      <c r="C138" s="81">
        <f>VLOOKUP(GroupVertices[[#This Row],[Vertex]],Vertices[],MATCH("ID",Vertices[[#Headers],[Vertex]:[Vertex Content Word Count]],0),FALSE)</f>
        <v>267</v>
      </c>
    </row>
    <row r="139" spans="1:3" ht="15">
      <c r="A139" s="82" t="s">
        <v>3161</v>
      </c>
      <c r="B139" s="86" t="s">
        <v>436</v>
      </c>
      <c r="C139" s="81">
        <f>VLOOKUP(GroupVertices[[#This Row],[Vertex]],Vertices[],MATCH("ID",Vertices[[#Headers],[Vertex]:[Vertex Content Word Count]],0),FALSE)</f>
        <v>268</v>
      </c>
    </row>
    <row r="140" spans="1:3" ht="15">
      <c r="A140" s="82" t="s">
        <v>3161</v>
      </c>
      <c r="B140" s="86" t="s">
        <v>437</v>
      </c>
      <c r="C140" s="81">
        <f>VLOOKUP(GroupVertices[[#This Row],[Vertex]],Vertices[],MATCH("ID",Vertices[[#Headers],[Vertex]:[Vertex Content Word Count]],0),FALSE)</f>
        <v>269</v>
      </c>
    </row>
    <row r="141" spans="1:3" ht="15">
      <c r="A141" s="82" t="s">
        <v>3161</v>
      </c>
      <c r="B141" s="86" t="s">
        <v>439</v>
      </c>
      <c r="C141" s="81">
        <f>VLOOKUP(GroupVertices[[#This Row],[Vertex]],Vertices[],MATCH("ID",Vertices[[#Headers],[Vertex]:[Vertex Content Word Count]],0),FALSE)</f>
        <v>271</v>
      </c>
    </row>
    <row r="142" spans="1:3" ht="15">
      <c r="A142" s="82" t="s">
        <v>3161</v>
      </c>
      <c r="B142" s="86" t="s">
        <v>440</v>
      </c>
      <c r="C142" s="81">
        <f>VLOOKUP(GroupVertices[[#This Row],[Vertex]],Vertices[],MATCH("ID",Vertices[[#Headers],[Vertex]:[Vertex Content Word Count]],0),FALSE)</f>
        <v>272</v>
      </c>
    </row>
    <row r="143" spans="1:3" ht="15">
      <c r="A143" s="82" t="s">
        <v>3161</v>
      </c>
      <c r="B143" s="86" t="s">
        <v>442</v>
      </c>
      <c r="C143" s="81">
        <f>VLOOKUP(GroupVertices[[#This Row],[Vertex]],Vertices[],MATCH("ID",Vertices[[#Headers],[Vertex]:[Vertex Content Word Count]],0),FALSE)</f>
        <v>273</v>
      </c>
    </row>
    <row r="144" spans="1:3" ht="15">
      <c r="A144" s="82" t="s">
        <v>3161</v>
      </c>
      <c r="B144" s="86" t="s">
        <v>443</v>
      </c>
      <c r="C144" s="81">
        <f>VLOOKUP(GroupVertices[[#This Row],[Vertex]],Vertices[],MATCH("ID",Vertices[[#Headers],[Vertex]:[Vertex Content Word Count]],0),FALSE)</f>
        <v>274</v>
      </c>
    </row>
    <row r="145" spans="1:3" ht="15">
      <c r="A145" s="82" t="s">
        <v>3161</v>
      </c>
      <c r="B145" s="86" t="s">
        <v>444</v>
      </c>
      <c r="C145" s="81">
        <f>VLOOKUP(GroupVertices[[#This Row],[Vertex]],Vertices[],MATCH("ID",Vertices[[#Headers],[Vertex]:[Vertex Content Word Count]],0),FALSE)</f>
        <v>275</v>
      </c>
    </row>
    <row r="146" spans="1:3" ht="15">
      <c r="A146" s="82" t="s">
        <v>3161</v>
      </c>
      <c r="B146" s="86" t="s">
        <v>445</v>
      </c>
      <c r="C146" s="81">
        <f>VLOOKUP(GroupVertices[[#This Row],[Vertex]],Vertices[],MATCH("ID",Vertices[[#Headers],[Vertex]:[Vertex Content Word Count]],0),FALSE)</f>
        <v>276</v>
      </c>
    </row>
    <row r="147" spans="1:3" ht="15">
      <c r="A147" s="82" t="s">
        <v>3161</v>
      </c>
      <c r="B147" s="86" t="s">
        <v>446</v>
      </c>
      <c r="C147" s="81">
        <f>VLOOKUP(GroupVertices[[#This Row],[Vertex]],Vertices[],MATCH("ID",Vertices[[#Headers],[Vertex]:[Vertex Content Word Count]],0),FALSE)</f>
        <v>277</v>
      </c>
    </row>
    <row r="148" spans="1:3" ht="15">
      <c r="A148" s="82" t="s">
        <v>3161</v>
      </c>
      <c r="B148" s="86" t="s">
        <v>447</v>
      </c>
      <c r="C148" s="81">
        <f>VLOOKUP(GroupVertices[[#This Row],[Vertex]],Vertices[],MATCH("ID",Vertices[[#Headers],[Vertex]:[Vertex Content Word Count]],0),FALSE)</f>
        <v>278</v>
      </c>
    </row>
    <row r="149" spans="1:3" ht="15">
      <c r="A149" s="82" t="s">
        <v>3162</v>
      </c>
      <c r="B149" s="86" t="s">
        <v>438</v>
      </c>
      <c r="C149" s="81">
        <f>VLOOKUP(GroupVertices[[#This Row],[Vertex]],Vertices[],MATCH("ID",Vertices[[#Headers],[Vertex]:[Vertex Content Word Count]],0),FALSE)</f>
        <v>270</v>
      </c>
    </row>
    <row r="150" spans="1:3" ht="15">
      <c r="A150" s="82" t="s">
        <v>3162</v>
      </c>
      <c r="B150" s="86" t="s">
        <v>504</v>
      </c>
      <c r="C150" s="81">
        <f>VLOOKUP(GroupVertices[[#This Row],[Vertex]],Vertices[],MATCH("ID",Vertices[[#Headers],[Vertex]:[Vertex Content Word Count]],0),FALSE)</f>
        <v>204</v>
      </c>
    </row>
    <row r="151" spans="1:3" ht="15">
      <c r="A151" s="82" t="s">
        <v>3162</v>
      </c>
      <c r="B151" s="86" t="s">
        <v>392</v>
      </c>
      <c r="C151" s="81">
        <f>VLOOKUP(GroupVertices[[#This Row],[Vertex]],Vertices[],MATCH("ID",Vertices[[#Headers],[Vertex]:[Vertex Content Word Count]],0),FALSE)</f>
        <v>216</v>
      </c>
    </row>
    <row r="152" spans="1:3" ht="15">
      <c r="A152" s="82" t="s">
        <v>3162</v>
      </c>
      <c r="B152" s="86" t="s">
        <v>512</v>
      </c>
      <c r="C152" s="81">
        <f>VLOOKUP(GroupVertices[[#This Row],[Vertex]],Vertices[],MATCH("ID",Vertices[[#Headers],[Vertex]:[Vertex Content Word Count]],0),FALSE)</f>
        <v>217</v>
      </c>
    </row>
    <row r="153" spans="1:3" ht="15">
      <c r="A153" s="82" t="s">
        <v>3162</v>
      </c>
      <c r="B153" s="86" t="s">
        <v>429</v>
      </c>
      <c r="C153" s="81">
        <f>VLOOKUP(GroupVertices[[#This Row],[Vertex]],Vertices[],MATCH("ID",Vertices[[#Headers],[Vertex]:[Vertex Content Word Count]],0),FALSE)</f>
        <v>75</v>
      </c>
    </row>
    <row r="154" spans="1:3" ht="15">
      <c r="A154" s="82" t="s">
        <v>3162</v>
      </c>
      <c r="B154" s="86" t="s">
        <v>441</v>
      </c>
      <c r="C154" s="81">
        <f>VLOOKUP(GroupVertices[[#This Row],[Vertex]],Vertices[],MATCH("ID",Vertices[[#Headers],[Vertex]:[Vertex Content Word Count]],0),FALSE)</f>
        <v>186</v>
      </c>
    </row>
    <row r="155" spans="1:3" ht="15">
      <c r="A155" s="82" t="s">
        <v>3162</v>
      </c>
      <c r="B155" s="86" t="s">
        <v>430</v>
      </c>
      <c r="C155" s="81">
        <f>VLOOKUP(GroupVertices[[#This Row],[Vertex]],Vertices[],MATCH("ID",Vertices[[#Headers],[Vertex]:[Vertex Content Word Count]],0),FALSE)</f>
        <v>74</v>
      </c>
    </row>
    <row r="156" spans="1:3" ht="15">
      <c r="A156" s="82" t="s">
        <v>3162</v>
      </c>
      <c r="B156" s="86" t="s">
        <v>380</v>
      </c>
      <c r="C156" s="81">
        <f>VLOOKUP(GroupVertices[[#This Row],[Vertex]],Vertices[],MATCH("ID",Vertices[[#Headers],[Vertex]:[Vertex Content Word Count]],0),FALSE)</f>
        <v>183</v>
      </c>
    </row>
    <row r="157" spans="1:3" ht="15">
      <c r="A157" s="82" t="s">
        <v>3162</v>
      </c>
      <c r="B157" s="86" t="s">
        <v>381</v>
      </c>
      <c r="C157" s="81">
        <f>VLOOKUP(GroupVertices[[#This Row],[Vertex]],Vertices[],MATCH("ID",Vertices[[#Headers],[Vertex]:[Vertex Content Word Count]],0),FALSE)</f>
        <v>185</v>
      </c>
    </row>
    <row r="158" spans="1:3" ht="15">
      <c r="A158" s="82" t="s">
        <v>3162</v>
      </c>
      <c r="B158" s="86" t="s">
        <v>493</v>
      </c>
      <c r="C158" s="81">
        <f>VLOOKUP(GroupVertices[[#This Row],[Vertex]],Vertices[],MATCH("ID",Vertices[[#Headers],[Vertex]:[Vertex Content Word Count]],0),FALSE)</f>
        <v>184</v>
      </c>
    </row>
    <row r="159" spans="1:3" ht="15">
      <c r="A159" s="82" t="s">
        <v>3162</v>
      </c>
      <c r="B159" s="86" t="s">
        <v>365</v>
      </c>
      <c r="C159" s="81">
        <f>VLOOKUP(GroupVertices[[#This Row],[Vertex]],Vertices[],MATCH("ID",Vertices[[#Headers],[Vertex]:[Vertex Content Word Count]],0),FALSE)</f>
        <v>76</v>
      </c>
    </row>
    <row r="160" spans="1:3" ht="15">
      <c r="A160" s="82" t="s">
        <v>3162</v>
      </c>
      <c r="B160" s="86" t="s">
        <v>466</v>
      </c>
      <c r="C160" s="81">
        <f>VLOOKUP(GroupVertices[[#This Row],[Vertex]],Vertices[],MATCH("ID",Vertices[[#Headers],[Vertex]:[Vertex Content Word Count]],0),FALSE)</f>
        <v>73</v>
      </c>
    </row>
    <row r="161" spans="1:3" ht="15">
      <c r="A161" s="82" t="s">
        <v>3162</v>
      </c>
      <c r="B161" s="86" t="s">
        <v>300</v>
      </c>
      <c r="C161" s="81">
        <f>VLOOKUP(GroupVertices[[#This Row],[Vertex]],Vertices[],MATCH("ID",Vertices[[#Headers],[Vertex]:[Vertex Content Word Count]],0),FALSE)</f>
        <v>70</v>
      </c>
    </row>
    <row r="162" spans="1:3" ht="15">
      <c r="A162" s="82" t="s">
        <v>3162</v>
      </c>
      <c r="B162" s="86" t="s">
        <v>465</v>
      </c>
      <c r="C162" s="81">
        <f>VLOOKUP(GroupVertices[[#This Row],[Vertex]],Vertices[],MATCH("ID",Vertices[[#Headers],[Vertex]:[Vertex Content Word Count]],0),FALSE)</f>
        <v>72</v>
      </c>
    </row>
    <row r="163" spans="1:3" ht="15">
      <c r="A163" s="82" t="s">
        <v>3162</v>
      </c>
      <c r="B163" s="86" t="s">
        <v>464</v>
      </c>
      <c r="C163" s="81">
        <f>VLOOKUP(GroupVertices[[#This Row],[Vertex]],Vertices[],MATCH("ID",Vertices[[#Headers],[Vertex]:[Vertex Content Word Count]],0),FALSE)</f>
        <v>71</v>
      </c>
    </row>
    <row r="164" spans="1:3" ht="15">
      <c r="A164" s="82" t="s">
        <v>3163</v>
      </c>
      <c r="B164" s="86" t="s">
        <v>420</v>
      </c>
      <c r="C164" s="81">
        <f>VLOOKUP(GroupVertices[[#This Row],[Vertex]],Vertices[],MATCH("ID",Vertices[[#Headers],[Vertex]:[Vertex Content Word Count]],0),FALSE)</f>
        <v>51</v>
      </c>
    </row>
    <row r="165" spans="1:3" ht="15">
      <c r="A165" s="82" t="s">
        <v>3163</v>
      </c>
      <c r="B165" s="86" t="s">
        <v>525</v>
      </c>
      <c r="C165" s="81">
        <f>VLOOKUP(GroupVertices[[#This Row],[Vertex]],Vertices[],MATCH("ID",Vertices[[#Headers],[Vertex]:[Vertex Content Word Count]],0),FALSE)</f>
        <v>254</v>
      </c>
    </row>
    <row r="166" spans="1:3" ht="15">
      <c r="A166" s="82" t="s">
        <v>3163</v>
      </c>
      <c r="B166" s="86" t="s">
        <v>481</v>
      </c>
      <c r="C166" s="81">
        <f>VLOOKUP(GroupVertices[[#This Row],[Vertex]],Vertices[],MATCH("ID",Vertices[[#Headers],[Vertex]:[Vertex Content Word Count]],0),FALSE)</f>
        <v>115</v>
      </c>
    </row>
    <row r="167" spans="1:3" ht="15">
      <c r="A167" s="82" t="s">
        <v>3163</v>
      </c>
      <c r="B167" s="86" t="s">
        <v>324</v>
      </c>
      <c r="C167" s="81">
        <f>VLOOKUP(GroupVertices[[#This Row],[Vertex]],Vertices[],MATCH("ID",Vertices[[#Headers],[Vertex]:[Vertex Content Word Count]],0),FALSE)</f>
        <v>110</v>
      </c>
    </row>
    <row r="168" spans="1:3" ht="15">
      <c r="A168" s="82" t="s">
        <v>3163</v>
      </c>
      <c r="B168" s="86" t="s">
        <v>480</v>
      </c>
      <c r="C168" s="81">
        <f>VLOOKUP(GroupVertices[[#This Row],[Vertex]],Vertices[],MATCH("ID",Vertices[[#Headers],[Vertex]:[Vertex Content Word Count]],0),FALSE)</f>
        <v>114</v>
      </c>
    </row>
    <row r="169" spans="1:3" ht="15">
      <c r="A169" s="82" t="s">
        <v>3163</v>
      </c>
      <c r="B169" s="86" t="s">
        <v>479</v>
      </c>
      <c r="C169" s="81">
        <f>VLOOKUP(GroupVertices[[#This Row],[Vertex]],Vertices[],MATCH("ID",Vertices[[#Headers],[Vertex]:[Vertex Content Word Count]],0),FALSE)</f>
        <v>113</v>
      </c>
    </row>
    <row r="170" spans="1:3" ht="15">
      <c r="A170" s="82" t="s">
        <v>3163</v>
      </c>
      <c r="B170" s="86" t="s">
        <v>478</v>
      </c>
      <c r="C170" s="81">
        <f>VLOOKUP(GroupVertices[[#This Row],[Vertex]],Vertices[],MATCH("ID",Vertices[[#Headers],[Vertex]:[Vertex Content Word Count]],0),FALSE)</f>
        <v>112</v>
      </c>
    </row>
    <row r="171" spans="1:3" ht="15">
      <c r="A171" s="82" t="s">
        <v>3163</v>
      </c>
      <c r="B171" s="86" t="s">
        <v>477</v>
      </c>
      <c r="C171" s="81">
        <f>VLOOKUP(GroupVertices[[#This Row],[Vertex]],Vertices[],MATCH("ID",Vertices[[#Headers],[Vertex]:[Vertex Content Word Count]],0),FALSE)</f>
        <v>111</v>
      </c>
    </row>
    <row r="172" spans="1:3" ht="15">
      <c r="A172" s="82" t="s">
        <v>3163</v>
      </c>
      <c r="B172" s="86" t="s">
        <v>314</v>
      </c>
      <c r="C172" s="81">
        <f>VLOOKUP(GroupVertices[[#This Row],[Vertex]],Vertices[],MATCH("ID",Vertices[[#Headers],[Vertex]:[Vertex Content Word Count]],0),FALSE)</f>
        <v>96</v>
      </c>
    </row>
    <row r="173" spans="1:3" ht="15">
      <c r="A173" s="82" t="s">
        <v>3163</v>
      </c>
      <c r="B173" s="86" t="s">
        <v>476</v>
      </c>
      <c r="C173" s="81">
        <f>VLOOKUP(GroupVertices[[#This Row],[Vertex]],Vertices[],MATCH("ID",Vertices[[#Headers],[Vertex]:[Vertex Content Word Count]],0),FALSE)</f>
        <v>100</v>
      </c>
    </row>
    <row r="174" spans="1:3" ht="15">
      <c r="A174" s="82" t="s">
        <v>3163</v>
      </c>
      <c r="B174" s="86" t="s">
        <v>475</v>
      </c>
      <c r="C174" s="81">
        <f>VLOOKUP(GroupVertices[[#This Row],[Vertex]],Vertices[],MATCH("ID",Vertices[[#Headers],[Vertex]:[Vertex Content Word Count]],0),FALSE)</f>
        <v>99</v>
      </c>
    </row>
    <row r="175" spans="1:3" ht="15">
      <c r="A175" s="82" t="s">
        <v>3163</v>
      </c>
      <c r="B175" s="86" t="s">
        <v>474</v>
      </c>
      <c r="C175" s="81">
        <f>VLOOKUP(GroupVertices[[#This Row],[Vertex]],Vertices[],MATCH("ID",Vertices[[#Headers],[Vertex]:[Vertex Content Word Count]],0),FALSE)</f>
        <v>98</v>
      </c>
    </row>
    <row r="176" spans="1:3" ht="15">
      <c r="A176" s="82" t="s">
        <v>3163</v>
      </c>
      <c r="B176" s="86" t="s">
        <v>473</v>
      </c>
      <c r="C176" s="81">
        <f>VLOOKUP(GroupVertices[[#This Row],[Vertex]],Vertices[],MATCH("ID",Vertices[[#Headers],[Vertex]:[Vertex Content Word Count]],0),FALSE)</f>
        <v>97</v>
      </c>
    </row>
    <row r="177" spans="1:3" ht="15">
      <c r="A177" s="82" t="s">
        <v>3163</v>
      </c>
      <c r="B177" s="86" t="s">
        <v>458</v>
      </c>
      <c r="C177" s="81">
        <f>VLOOKUP(GroupVertices[[#This Row],[Vertex]],Vertices[],MATCH("ID",Vertices[[#Headers],[Vertex]:[Vertex Content Word Count]],0),FALSE)</f>
        <v>50</v>
      </c>
    </row>
    <row r="178" spans="1:3" ht="15">
      <c r="A178" s="82" t="s">
        <v>3163</v>
      </c>
      <c r="B178" s="86" t="s">
        <v>287</v>
      </c>
      <c r="C178" s="81">
        <f>VLOOKUP(GroupVertices[[#This Row],[Vertex]],Vertices[],MATCH("ID",Vertices[[#Headers],[Vertex]:[Vertex Content Word Count]],0),FALSE)</f>
        <v>49</v>
      </c>
    </row>
    <row r="179" spans="1:3" ht="15">
      <c r="A179" s="82" t="s">
        <v>3164</v>
      </c>
      <c r="B179" s="86" t="s">
        <v>385</v>
      </c>
      <c r="C179" s="81">
        <f>VLOOKUP(GroupVertices[[#This Row],[Vertex]],Vertices[],MATCH("ID",Vertices[[#Headers],[Vertex]:[Vertex Content Word Count]],0),FALSE)</f>
        <v>190</v>
      </c>
    </row>
    <row r="180" spans="1:3" ht="15">
      <c r="A180" s="82" t="s">
        <v>3164</v>
      </c>
      <c r="B180" s="86" t="s">
        <v>503</v>
      </c>
      <c r="C180" s="81">
        <f>VLOOKUP(GroupVertices[[#This Row],[Vertex]],Vertices[],MATCH("ID",Vertices[[#Headers],[Vertex]:[Vertex Content Word Count]],0),FALSE)</f>
        <v>202</v>
      </c>
    </row>
    <row r="181" spans="1:3" ht="15">
      <c r="A181" s="82" t="s">
        <v>3164</v>
      </c>
      <c r="B181" s="86" t="s">
        <v>502</v>
      </c>
      <c r="C181" s="81">
        <f>VLOOKUP(GroupVertices[[#This Row],[Vertex]],Vertices[],MATCH("ID",Vertices[[#Headers],[Vertex]:[Vertex Content Word Count]],0),FALSE)</f>
        <v>201</v>
      </c>
    </row>
    <row r="182" spans="1:3" ht="15">
      <c r="A182" s="82" t="s">
        <v>3164</v>
      </c>
      <c r="B182" s="86" t="s">
        <v>387</v>
      </c>
      <c r="C182" s="81">
        <f>VLOOKUP(GroupVertices[[#This Row],[Vertex]],Vertices[],MATCH("ID",Vertices[[#Headers],[Vertex]:[Vertex Content Word Count]],0),FALSE)</f>
        <v>200</v>
      </c>
    </row>
    <row r="183" spans="1:3" ht="15">
      <c r="A183" s="82" t="s">
        <v>3164</v>
      </c>
      <c r="B183" s="86" t="s">
        <v>501</v>
      </c>
      <c r="C183" s="81">
        <f>VLOOKUP(GroupVertices[[#This Row],[Vertex]],Vertices[],MATCH("ID",Vertices[[#Headers],[Vertex]:[Vertex Content Word Count]],0),FALSE)</f>
        <v>199</v>
      </c>
    </row>
    <row r="184" spans="1:3" ht="15">
      <c r="A184" s="82" t="s">
        <v>3164</v>
      </c>
      <c r="B184" s="86" t="s">
        <v>500</v>
      </c>
      <c r="C184" s="81">
        <f>VLOOKUP(GroupVertices[[#This Row],[Vertex]],Vertices[],MATCH("ID",Vertices[[#Headers],[Vertex]:[Vertex Content Word Count]],0),FALSE)</f>
        <v>198</v>
      </c>
    </row>
    <row r="185" spans="1:3" ht="15">
      <c r="A185" s="82" t="s">
        <v>3164</v>
      </c>
      <c r="B185" s="86" t="s">
        <v>499</v>
      </c>
      <c r="C185" s="81">
        <f>VLOOKUP(GroupVertices[[#This Row],[Vertex]],Vertices[],MATCH("ID",Vertices[[#Headers],[Vertex]:[Vertex Content Word Count]],0),FALSE)</f>
        <v>197</v>
      </c>
    </row>
    <row r="186" spans="1:3" ht="15">
      <c r="A186" s="82" t="s">
        <v>3164</v>
      </c>
      <c r="B186" s="86" t="s">
        <v>498</v>
      </c>
      <c r="C186" s="81">
        <f>VLOOKUP(GroupVertices[[#This Row],[Vertex]],Vertices[],MATCH("ID",Vertices[[#Headers],[Vertex]:[Vertex Content Word Count]],0),FALSE)</f>
        <v>196</v>
      </c>
    </row>
    <row r="187" spans="1:3" ht="15">
      <c r="A187" s="82" t="s">
        <v>3164</v>
      </c>
      <c r="B187" s="86" t="s">
        <v>497</v>
      </c>
      <c r="C187" s="81">
        <f>VLOOKUP(GroupVertices[[#This Row],[Vertex]],Vertices[],MATCH("ID",Vertices[[#Headers],[Vertex]:[Vertex Content Word Count]],0),FALSE)</f>
        <v>195</v>
      </c>
    </row>
    <row r="188" spans="1:3" ht="15">
      <c r="A188" s="82" t="s">
        <v>3164</v>
      </c>
      <c r="B188" s="86" t="s">
        <v>386</v>
      </c>
      <c r="C188" s="81">
        <f>VLOOKUP(GroupVertices[[#This Row],[Vertex]],Vertices[],MATCH("ID",Vertices[[#Headers],[Vertex]:[Vertex Content Word Count]],0),FALSE)</f>
        <v>194</v>
      </c>
    </row>
    <row r="189" spans="1:3" ht="15">
      <c r="A189" s="82" t="s">
        <v>3164</v>
      </c>
      <c r="B189" s="86" t="s">
        <v>496</v>
      </c>
      <c r="C189" s="81">
        <f>VLOOKUP(GroupVertices[[#This Row],[Vertex]],Vertices[],MATCH("ID",Vertices[[#Headers],[Vertex]:[Vertex Content Word Count]],0),FALSE)</f>
        <v>193</v>
      </c>
    </row>
    <row r="190" spans="1:3" ht="15">
      <c r="A190" s="82" t="s">
        <v>3164</v>
      </c>
      <c r="B190" s="86" t="s">
        <v>495</v>
      </c>
      <c r="C190" s="81">
        <f>VLOOKUP(GroupVertices[[#This Row],[Vertex]],Vertices[],MATCH("ID",Vertices[[#Headers],[Vertex]:[Vertex Content Word Count]],0),FALSE)</f>
        <v>192</v>
      </c>
    </row>
    <row r="191" spans="1:3" ht="15">
      <c r="A191" s="82" t="s">
        <v>3164</v>
      </c>
      <c r="B191" s="86" t="s">
        <v>494</v>
      </c>
      <c r="C191" s="81">
        <f>VLOOKUP(GroupVertices[[#This Row],[Vertex]],Vertices[],MATCH("ID",Vertices[[#Headers],[Vertex]:[Vertex Content Word Count]],0),FALSE)</f>
        <v>191</v>
      </c>
    </row>
    <row r="192" spans="1:3" ht="15">
      <c r="A192" s="82" t="s">
        <v>3165</v>
      </c>
      <c r="B192" s="86" t="s">
        <v>402</v>
      </c>
      <c r="C192" s="81">
        <f>VLOOKUP(GroupVertices[[#This Row],[Vertex]],Vertices[],MATCH("ID",Vertices[[#Headers],[Vertex]:[Vertex Content Word Count]],0),FALSE)</f>
        <v>227</v>
      </c>
    </row>
    <row r="193" spans="1:3" ht="15">
      <c r="A193" s="82" t="s">
        <v>3165</v>
      </c>
      <c r="B193" s="86" t="s">
        <v>427</v>
      </c>
      <c r="C193" s="81">
        <f>VLOOKUP(GroupVertices[[#This Row],[Vertex]],Vertices[],MATCH("ID",Vertices[[#Headers],[Vertex]:[Vertex Content Word Count]],0),FALSE)</f>
        <v>57</v>
      </c>
    </row>
    <row r="194" spans="1:3" ht="15">
      <c r="A194" s="82" t="s">
        <v>3165</v>
      </c>
      <c r="B194" s="86" t="s">
        <v>400</v>
      </c>
      <c r="C194" s="81">
        <f>VLOOKUP(GroupVertices[[#This Row],[Vertex]],Vertices[],MATCH("ID",Vertices[[#Headers],[Vertex]:[Vertex Content Word Count]],0),FALSE)</f>
        <v>225</v>
      </c>
    </row>
    <row r="195" spans="1:3" ht="15">
      <c r="A195" s="82" t="s">
        <v>3165</v>
      </c>
      <c r="B195" s="86" t="s">
        <v>404</v>
      </c>
      <c r="C195" s="81">
        <f>VLOOKUP(GroupVertices[[#This Row],[Vertex]],Vertices[],MATCH("ID",Vertices[[#Headers],[Vertex]:[Vertex Content Word Count]],0),FALSE)</f>
        <v>136</v>
      </c>
    </row>
    <row r="196" spans="1:3" ht="15">
      <c r="A196" s="82" t="s">
        <v>3165</v>
      </c>
      <c r="B196" s="86" t="s">
        <v>343</v>
      </c>
      <c r="C196" s="81">
        <f>VLOOKUP(GroupVertices[[#This Row],[Vertex]],Vertices[],MATCH("ID",Vertices[[#Headers],[Vertex]:[Vertex Content Word Count]],0),FALSE)</f>
        <v>134</v>
      </c>
    </row>
    <row r="197" spans="1:3" ht="15">
      <c r="A197" s="82" t="s">
        <v>3165</v>
      </c>
      <c r="B197" s="86" t="s">
        <v>482</v>
      </c>
      <c r="C197" s="81">
        <f>VLOOKUP(GroupVertices[[#This Row],[Vertex]],Vertices[],MATCH("ID",Vertices[[#Headers],[Vertex]:[Vertex Content Word Count]],0),FALSE)</f>
        <v>135</v>
      </c>
    </row>
    <row r="198" spans="1:3" ht="15">
      <c r="A198" s="82" t="s">
        <v>3165</v>
      </c>
      <c r="B198" s="86" t="s">
        <v>325</v>
      </c>
      <c r="C198" s="81">
        <f>VLOOKUP(GroupVertices[[#This Row],[Vertex]],Vertices[],MATCH("ID",Vertices[[#Headers],[Vertex]:[Vertex Content Word Count]],0),FALSE)</f>
        <v>116</v>
      </c>
    </row>
    <row r="199" spans="1:3" ht="15">
      <c r="A199" s="82" t="s">
        <v>3165</v>
      </c>
      <c r="B199" s="86" t="s">
        <v>319</v>
      </c>
      <c r="C199" s="81">
        <f>VLOOKUP(GroupVertices[[#This Row],[Vertex]],Vertices[],MATCH("ID",Vertices[[#Headers],[Vertex]:[Vertex Content Word Count]],0),FALSE)</f>
        <v>105</v>
      </c>
    </row>
    <row r="200" spans="1:3" ht="15">
      <c r="A200" s="82" t="s">
        <v>3165</v>
      </c>
      <c r="B200" s="86" t="s">
        <v>311</v>
      </c>
      <c r="C200" s="81">
        <f>VLOOKUP(GroupVertices[[#This Row],[Vertex]],Vertices[],MATCH("ID",Vertices[[#Headers],[Vertex]:[Vertex Content Word Count]],0),FALSE)</f>
        <v>88</v>
      </c>
    </row>
    <row r="201" spans="1:3" ht="15">
      <c r="A201" s="82" t="s">
        <v>3165</v>
      </c>
      <c r="B201" s="86" t="s">
        <v>289</v>
      </c>
      <c r="C201" s="81">
        <f>VLOOKUP(GroupVertices[[#This Row],[Vertex]],Vertices[],MATCH("ID",Vertices[[#Headers],[Vertex]:[Vertex Content Word Count]],0),FALSE)</f>
        <v>56</v>
      </c>
    </row>
    <row r="202" spans="1:3" ht="15">
      <c r="A202" s="82" t="s">
        <v>3166</v>
      </c>
      <c r="B202" s="86" t="s">
        <v>408</v>
      </c>
      <c r="C202" s="81">
        <f>VLOOKUP(GroupVertices[[#This Row],[Vertex]],Vertices[],MATCH("ID",Vertices[[#Headers],[Vertex]:[Vertex Content Word Count]],0),FALSE)</f>
        <v>153</v>
      </c>
    </row>
    <row r="203" spans="1:3" ht="15">
      <c r="A203" s="82" t="s">
        <v>3166</v>
      </c>
      <c r="B203" s="86" t="s">
        <v>518</v>
      </c>
      <c r="C203" s="81">
        <f>VLOOKUP(GroupVertices[[#This Row],[Vertex]],Vertices[],MATCH("ID",Vertices[[#Headers],[Vertex]:[Vertex Content Word Count]],0),FALSE)</f>
        <v>237</v>
      </c>
    </row>
    <row r="204" spans="1:3" ht="15">
      <c r="A204" s="82" t="s">
        <v>3166</v>
      </c>
      <c r="B204" s="86" t="s">
        <v>517</v>
      </c>
      <c r="C204" s="81">
        <f>VLOOKUP(GroupVertices[[#This Row],[Vertex]],Vertices[],MATCH("ID",Vertices[[#Headers],[Vertex]:[Vertex Content Word Count]],0),FALSE)</f>
        <v>236</v>
      </c>
    </row>
    <row r="205" spans="1:3" ht="15">
      <c r="A205" s="82" t="s">
        <v>3166</v>
      </c>
      <c r="B205" s="86" t="s">
        <v>516</v>
      </c>
      <c r="C205" s="81">
        <f>VLOOKUP(GroupVertices[[#This Row],[Vertex]],Vertices[],MATCH("ID",Vertices[[#Headers],[Vertex]:[Vertex Content Word Count]],0),FALSE)</f>
        <v>235</v>
      </c>
    </row>
    <row r="206" spans="1:3" ht="15">
      <c r="A206" s="82" t="s">
        <v>3166</v>
      </c>
      <c r="B206" s="86" t="s">
        <v>515</v>
      </c>
      <c r="C206" s="81">
        <f>VLOOKUP(GroupVertices[[#This Row],[Vertex]],Vertices[],MATCH("ID",Vertices[[#Headers],[Vertex]:[Vertex Content Word Count]],0),FALSE)</f>
        <v>234</v>
      </c>
    </row>
    <row r="207" spans="1:3" ht="15">
      <c r="A207" s="82" t="s">
        <v>3166</v>
      </c>
      <c r="B207" s="86" t="s">
        <v>514</v>
      </c>
      <c r="C207" s="81">
        <f>VLOOKUP(GroupVertices[[#This Row],[Vertex]],Vertices[],MATCH("ID",Vertices[[#Headers],[Vertex]:[Vertex Content Word Count]],0),FALSE)</f>
        <v>233</v>
      </c>
    </row>
    <row r="208" spans="1:3" ht="15">
      <c r="A208" s="82" t="s">
        <v>3166</v>
      </c>
      <c r="B208" s="86" t="s">
        <v>513</v>
      </c>
      <c r="C208" s="81">
        <f>VLOOKUP(GroupVertices[[#This Row],[Vertex]],Vertices[],MATCH("ID",Vertices[[#Headers],[Vertex]:[Vertex Content Word Count]],0),FALSE)</f>
        <v>232</v>
      </c>
    </row>
    <row r="209" spans="1:3" ht="15">
      <c r="A209" s="82" t="s">
        <v>3166</v>
      </c>
      <c r="B209" s="86" t="s">
        <v>409</v>
      </c>
      <c r="C209" s="81">
        <f>VLOOKUP(GroupVertices[[#This Row],[Vertex]],Vertices[],MATCH("ID",Vertices[[#Headers],[Vertex]:[Vertex Content Word Count]],0),FALSE)</f>
        <v>203</v>
      </c>
    </row>
    <row r="210" spans="1:3" ht="15">
      <c r="A210" s="82" t="s">
        <v>3166</v>
      </c>
      <c r="B210" s="86" t="s">
        <v>352</v>
      </c>
      <c r="C210" s="81">
        <f>VLOOKUP(GroupVertices[[#This Row],[Vertex]],Vertices[],MATCH("ID",Vertices[[#Headers],[Vertex]:[Vertex Content Word Count]],0),FALSE)</f>
        <v>152</v>
      </c>
    </row>
    <row r="211" spans="1:3" ht="15">
      <c r="A211" s="82" t="s">
        <v>3167</v>
      </c>
      <c r="B211" s="86" t="s">
        <v>347</v>
      </c>
      <c r="C211" s="81">
        <f>VLOOKUP(GroupVertices[[#This Row],[Vertex]],Vertices[],MATCH("ID",Vertices[[#Headers],[Vertex]:[Vertex Content Word Count]],0),FALSE)</f>
        <v>140</v>
      </c>
    </row>
    <row r="212" spans="1:3" ht="15">
      <c r="A212" s="82" t="s">
        <v>3167</v>
      </c>
      <c r="B212" s="86" t="s">
        <v>488</v>
      </c>
      <c r="C212" s="81">
        <f>VLOOKUP(GroupVertices[[#This Row],[Vertex]],Vertices[],MATCH("ID",Vertices[[#Headers],[Vertex]:[Vertex Content Word Count]],0),FALSE)</f>
        <v>146</v>
      </c>
    </row>
    <row r="213" spans="1:3" ht="15">
      <c r="A213" s="82" t="s">
        <v>3167</v>
      </c>
      <c r="B213" s="86" t="s">
        <v>487</v>
      </c>
      <c r="C213" s="81">
        <f>VLOOKUP(GroupVertices[[#This Row],[Vertex]],Vertices[],MATCH("ID",Vertices[[#Headers],[Vertex]:[Vertex Content Word Count]],0),FALSE)</f>
        <v>145</v>
      </c>
    </row>
    <row r="214" spans="1:3" ht="15">
      <c r="A214" s="82" t="s">
        <v>3167</v>
      </c>
      <c r="B214" s="86" t="s">
        <v>486</v>
      </c>
      <c r="C214" s="81">
        <f>VLOOKUP(GroupVertices[[#This Row],[Vertex]],Vertices[],MATCH("ID",Vertices[[#Headers],[Vertex]:[Vertex Content Word Count]],0),FALSE)</f>
        <v>144</v>
      </c>
    </row>
    <row r="215" spans="1:3" ht="15">
      <c r="A215" s="82" t="s">
        <v>3167</v>
      </c>
      <c r="B215" s="86" t="s">
        <v>485</v>
      </c>
      <c r="C215" s="81">
        <f>VLOOKUP(GroupVertices[[#This Row],[Vertex]],Vertices[],MATCH("ID",Vertices[[#Headers],[Vertex]:[Vertex Content Word Count]],0),FALSE)</f>
        <v>143</v>
      </c>
    </row>
    <row r="216" spans="1:3" ht="15">
      <c r="A216" s="82" t="s">
        <v>3167</v>
      </c>
      <c r="B216" s="86" t="s">
        <v>484</v>
      </c>
      <c r="C216" s="81">
        <f>VLOOKUP(GroupVertices[[#This Row],[Vertex]],Vertices[],MATCH("ID",Vertices[[#Headers],[Vertex]:[Vertex Content Word Count]],0),FALSE)</f>
        <v>142</v>
      </c>
    </row>
    <row r="217" spans="1:3" ht="15">
      <c r="A217" s="82" t="s">
        <v>3167</v>
      </c>
      <c r="B217" s="86" t="s">
        <v>483</v>
      </c>
      <c r="C217" s="81">
        <f>VLOOKUP(GroupVertices[[#This Row],[Vertex]],Vertices[],MATCH("ID",Vertices[[#Headers],[Vertex]:[Vertex Content Word Count]],0),FALSE)</f>
        <v>141</v>
      </c>
    </row>
    <row r="218" spans="1:3" ht="15">
      <c r="A218" s="82" t="s">
        <v>3168</v>
      </c>
      <c r="B218" s="86" t="s">
        <v>274</v>
      </c>
      <c r="C218" s="81">
        <f>VLOOKUP(GroupVertices[[#This Row],[Vertex]],Vertices[],MATCH("ID",Vertices[[#Headers],[Vertex]:[Vertex Content Word Count]],0),FALSE)</f>
        <v>29</v>
      </c>
    </row>
    <row r="219" spans="1:3" ht="15">
      <c r="A219" s="82" t="s">
        <v>3168</v>
      </c>
      <c r="B219" s="86" t="s">
        <v>456</v>
      </c>
      <c r="C219" s="81">
        <f>VLOOKUP(GroupVertices[[#This Row],[Vertex]],Vertices[],MATCH("ID",Vertices[[#Headers],[Vertex]:[Vertex Content Word Count]],0),FALSE)</f>
        <v>35</v>
      </c>
    </row>
    <row r="220" spans="1:3" ht="15">
      <c r="A220" s="82" t="s">
        <v>3168</v>
      </c>
      <c r="B220" s="86" t="s">
        <v>455</v>
      </c>
      <c r="C220" s="81">
        <f>VLOOKUP(GroupVertices[[#This Row],[Vertex]],Vertices[],MATCH("ID",Vertices[[#Headers],[Vertex]:[Vertex Content Word Count]],0),FALSE)</f>
        <v>34</v>
      </c>
    </row>
    <row r="221" spans="1:3" ht="15">
      <c r="A221" s="82" t="s">
        <v>3168</v>
      </c>
      <c r="B221" s="86" t="s">
        <v>454</v>
      </c>
      <c r="C221" s="81">
        <f>VLOOKUP(GroupVertices[[#This Row],[Vertex]],Vertices[],MATCH("ID",Vertices[[#Headers],[Vertex]:[Vertex Content Word Count]],0),FALSE)</f>
        <v>33</v>
      </c>
    </row>
    <row r="222" spans="1:3" ht="15">
      <c r="A222" s="82" t="s">
        <v>3168</v>
      </c>
      <c r="B222" s="86" t="s">
        <v>453</v>
      </c>
      <c r="C222" s="81">
        <f>VLOOKUP(GroupVertices[[#This Row],[Vertex]],Vertices[],MATCH("ID",Vertices[[#Headers],[Vertex]:[Vertex Content Word Count]],0),FALSE)</f>
        <v>32</v>
      </c>
    </row>
    <row r="223" spans="1:3" ht="15">
      <c r="A223" s="82" t="s">
        <v>3168</v>
      </c>
      <c r="B223" s="86" t="s">
        <v>452</v>
      </c>
      <c r="C223" s="81">
        <f>VLOOKUP(GroupVertices[[#This Row],[Vertex]],Vertices[],MATCH("ID",Vertices[[#Headers],[Vertex]:[Vertex Content Word Count]],0),FALSE)</f>
        <v>31</v>
      </c>
    </row>
    <row r="224" spans="1:3" ht="15">
      <c r="A224" s="82" t="s">
        <v>3168</v>
      </c>
      <c r="B224" s="86" t="s">
        <v>451</v>
      </c>
      <c r="C224" s="81">
        <f>VLOOKUP(GroupVertices[[#This Row],[Vertex]],Vertices[],MATCH("ID",Vertices[[#Headers],[Vertex]:[Vertex Content Word Count]],0),FALSE)</f>
        <v>30</v>
      </c>
    </row>
    <row r="225" spans="1:3" ht="15">
      <c r="A225" s="82" t="s">
        <v>3169</v>
      </c>
      <c r="B225" s="86" t="s">
        <v>391</v>
      </c>
      <c r="C225" s="81">
        <f>VLOOKUP(GroupVertices[[#This Row],[Vertex]],Vertices[],MATCH("ID",Vertices[[#Headers],[Vertex]:[Vertex Content Word Count]],0),FALSE)</f>
        <v>210</v>
      </c>
    </row>
    <row r="226" spans="1:3" ht="15">
      <c r="A226" s="82" t="s">
        <v>3169</v>
      </c>
      <c r="B226" s="86" t="s">
        <v>511</v>
      </c>
      <c r="C226" s="81">
        <f>VLOOKUP(GroupVertices[[#This Row],[Vertex]],Vertices[],MATCH("ID",Vertices[[#Headers],[Vertex]:[Vertex Content Word Count]],0),FALSE)</f>
        <v>215</v>
      </c>
    </row>
    <row r="227" spans="1:3" ht="15">
      <c r="A227" s="82" t="s">
        <v>3169</v>
      </c>
      <c r="B227" s="86" t="s">
        <v>510</v>
      </c>
      <c r="C227" s="81">
        <f>VLOOKUP(GroupVertices[[#This Row],[Vertex]],Vertices[],MATCH("ID",Vertices[[#Headers],[Vertex]:[Vertex Content Word Count]],0),FALSE)</f>
        <v>214</v>
      </c>
    </row>
    <row r="228" spans="1:3" ht="15">
      <c r="A228" s="82" t="s">
        <v>3169</v>
      </c>
      <c r="B228" s="86" t="s">
        <v>509</v>
      </c>
      <c r="C228" s="81">
        <f>VLOOKUP(GroupVertices[[#This Row],[Vertex]],Vertices[],MATCH("ID",Vertices[[#Headers],[Vertex]:[Vertex Content Word Count]],0),FALSE)</f>
        <v>213</v>
      </c>
    </row>
    <row r="229" spans="1:3" ht="15">
      <c r="A229" s="82" t="s">
        <v>3169</v>
      </c>
      <c r="B229" s="86" t="s">
        <v>508</v>
      </c>
      <c r="C229" s="81">
        <f>VLOOKUP(GroupVertices[[#This Row],[Vertex]],Vertices[],MATCH("ID",Vertices[[#Headers],[Vertex]:[Vertex Content Word Count]],0),FALSE)</f>
        <v>212</v>
      </c>
    </row>
    <row r="230" spans="1:3" ht="15">
      <c r="A230" s="82" t="s">
        <v>3169</v>
      </c>
      <c r="B230" s="86" t="s">
        <v>507</v>
      </c>
      <c r="C230" s="81">
        <f>VLOOKUP(GroupVertices[[#This Row],[Vertex]],Vertices[],MATCH("ID",Vertices[[#Headers],[Vertex]:[Vertex Content Word Count]],0),FALSE)</f>
        <v>211</v>
      </c>
    </row>
    <row r="231" spans="1:3" ht="15">
      <c r="A231" s="82" t="s">
        <v>3170</v>
      </c>
      <c r="B231" s="86" t="s">
        <v>312</v>
      </c>
      <c r="C231" s="81">
        <f>VLOOKUP(GroupVertices[[#This Row],[Vertex]],Vertices[],MATCH("ID",Vertices[[#Headers],[Vertex]:[Vertex Content Word Count]],0),FALSE)</f>
        <v>89</v>
      </c>
    </row>
    <row r="232" spans="1:3" ht="15">
      <c r="A232" s="82" t="s">
        <v>3170</v>
      </c>
      <c r="B232" s="86" t="s">
        <v>472</v>
      </c>
      <c r="C232" s="81">
        <f>VLOOKUP(GroupVertices[[#This Row],[Vertex]],Vertices[],MATCH("ID",Vertices[[#Headers],[Vertex]:[Vertex Content Word Count]],0),FALSE)</f>
        <v>94</v>
      </c>
    </row>
    <row r="233" spans="1:3" ht="15">
      <c r="A233" s="82" t="s">
        <v>3170</v>
      </c>
      <c r="B233" s="86" t="s">
        <v>471</v>
      </c>
      <c r="C233" s="81">
        <f>VLOOKUP(GroupVertices[[#This Row],[Vertex]],Vertices[],MATCH("ID",Vertices[[#Headers],[Vertex]:[Vertex Content Word Count]],0),FALSE)</f>
        <v>93</v>
      </c>
    </row>
    <row r="234" spans="1:3" ht="15">
      <c r="A234" s="82" t="s">
        <v>3170</v>
      </c>
      <c r="B234" s="86" t="s">
        <v>470</v>
      </c>
      <c r="C234" s="81">
        <f>VLOOKUP(GroupVertices[[#This Row],[Vertex]],Vertices[],MATCH("ID",Vertices[[#Headers],[Vertex]:[Vertex Content Word Count]],0),FALSE)</f>
        <v>92</v>
      </c>
    </row>
    <row r="235" spans="1:3" ht="15">
      <c r="A235" s="82" t="s">
        <v>3170</v>
      </c>
      <c r="B235" s="86" t="s">
        <v>469</v>
      </c>
      <c r="C235" s="81">
        <f>VLOOKUP(GroupVertices[[#This Row],[Vertex]],Vertices[],MATCH("ID",Vertices[[#Headers],[Vertex]:[Vertex Content Word Count]],0),FALSE)</f>
        <v>91</v>
      </c>
    </row>
    <row r="236" spans="1:3" ht="15">
      <c r="A236" s="82" t="s">
        <v>3170</v>
      </c>
      <c r="B236" s="86" t="s">
        <v>468</v>
      </c>
      <c r="C236" s="81">
        <f>VLOOKUP(GroupVertices[[#This Row],[Vertex]],Vertices[],MATCH("ID",Vertices[[#Headers],[Vertex]:[Vertex Content Word Count]],0),FALSE)</f>
        <v>90</v>
      </c>
    </row>
    <row r="237" spans="1:3" ht="15">
      <c r="A237" s="82" t="s">
        <v>3171</v>
      </c>
      <c r="B237" s="86" t="s">
        <v>410</v>
      </c>
      <c r="C237" s="81">
        <f>VLOOKUP(GroupVertices[[#This Row],[Vertex]],Vertices[],MATCH("ID",Vertices[[#Headers],[Vertex]:[Vertex Content Word Count]],0),FALSE)</f>
        <v>238</v>
      </c>
    </row>
    <row r="238" spans="1:3" ht="15">
      <c r="A238" s="82" t="s">
        <v>3171</v>
      </c>
      <c r="B238" s="86" t="s">
        <v>522</v>
      </c>
      <c r="C238" s="81">
        <f>VLOOKUP(GroupVertices[[#This Row],[Vertex]],Vertices[],MATCH("ID",Vertices[[#Headers],[Vertex]:[Vertex Content Word Count]],0),FALSE)</f>
        <v>242</v>
      </c>
    </row>
    <row r="239" spans="1:3" ht="15">
      <c r="A239" s="82" t="s">
        <v>3171</v>
      </c>
      <c r="B239" s="86" t="s">
        <v>521</v>
      </c>
      <c r="C239" s="81">
        <f>VLOOKUP(GroupVertices[[#This Row],[Vertex]],Vertices[],MATCH("ID",Vertices[[#Headers],[Vertex]:[Vertex Content Word Count]],0),FALSE)</f>
        <v>241</v>
      </c>
    </row>
    <row r="240" spans="1:3" ht="15">
      <c r="A240" s="82" t="s">
        <v>3171</v>
      </c>
      <c r="B240" s="86" t="s">
        <v>520</v>
      </c>
      <c r="C240" s="81">
        <f>VLOOKUP(GroupVertices[[#This Row],[Vertex]],Vertices[],MATCH("ID",Vertices[[#Headers],[Vertex]:[Vertex Content Word Count]],0),FALSE)</f>
        <v>240</v>
      </c>
    </row>
    <row r="241" spans="1:3" ht="15">
      <c r="A241" s="82" t="s">
        <v>3171</v>
      </c>
      <c r="B241" s="86" t="s">
        <v>519</v>
      </c>
      <c r="C241" s="81">
        <f>VLOOKUP(GroupVertices[[#This Row],[Vertex]],Vertices[],MATCH("ID",Vertices[[#Headers],[Vertex]:[Vertex Content Word Count]],0),FALSE)</f>
        <v>239</v>
      </c>
    </row>
    <row r="242" spans="1:3" ht="15">
      <c r="A242" s="82" t="s">
        <v>3172</v>
      </c>
      <c r="B242" s="86" t="s">
        <v>388</v>
      </c>
      <c r="C242" s="81">
        <f>VLOOKUP(GroupVertices[[#This Row],[Vertex]],Vertices[],MATCH("ID",Vertices[[#Headers],[Vertex]:[Vertex Content Word Count]],0),FALSE)</f>
        <v>205</v>
      </c>
    </row>
    <row r="243" spans="1:3" ht="15">
      <c r="A243" s="82" t="s">
        <v>3172</v>
      </c>
      <c r="B243" s="86" t="s">
        <v>389</v>
      </c>
      <c r="C243" s="81">
        <f>VLOOKUP(GroupVertices[[#This Row],[Vertex]],Vertices[],MATCH("ID",Vertices[[#Headers],[Vertex]:[Vertex Content Word Count]],0),FALSE)</f>
        <v>208</v>
      </c>
    </row>
    <row r="244" spans="1:3" ht="15">
      <c r="A244" s="82" t="s">
        <v>3172</v>
      </c>
      <c r="B244" s="86" t="s">
        <v>506</v>
      </c>
      <c r="C244" s="81">
        <f>VLOOKUP(GroupVertices[[#This Row],[Vertex]],Vertices[],MATCH("ID",Vertices[[#Headers],[Vertex]:[Vertex Content Word Count]],0),FALSE)</f>
        <v>207</v>
      </c>
    </row>
    <row r="245" spans="1:3" ht="15">
      <c r="A245" s="82" t="s">
        <v>3172</v>
      </c>
      <c r="B245" s="86" t="s">
        <v>505</v>
      </c>
      <c r="C245" s="81">
        <f>VLOOKUP(GroupVertices[[#This Row],[Vertex]],Vertices[],MATCH("ID",Vertices[[#Headers],[Vertex]:[Vertex Content Word Count]],0),FALSE)</f>
        <v>206</v>
      </c>
    </row>
    <row r="246" spans="1:3" ht="15">
      <c r="A246" s="82" t="s">
        <v>3173</v>
      </c>
      <c r="B246" s="86" t="s">
        <v>310</v>
      </c>
      <c r="C246" s="81">
        <f>VLOOKUP(GroupVertices[[#This Row],[Vertex]],Vertices[],MATCH("ID",Vertices[[#Headers],[Vertex]:[Vertex Content Word Count]],0),FALSE)</f>
        <v>87</v>
      </c>
    </row>
    <row r="247" spans="1:3" ht="15">
      <c r="A247" s="82" t="s">
        <v>3173</v>
      </c>
      <c r="B247" s="86" t="s">
        <v>450</v>
      </c>
      <c r="C247" s="81">
        <f>VLOOKUP(GroupVertices[[#This Row],[Vertex]],Vertices[],MATCH("ID",Vertices[[#Headers],[Vertex]:[Vertex Content Word Count]],0),FALSE)</f>
        <v>9</v>
      </c>
    </row>
    <row r="248" spans="1:3" ht="15">
      <c r="A248" s="82" t="s">
        <v>3173</v>
      </c>
      <c r="B248" s="86" t="s">
        <v>254</v>
      </c>
      <c r="C248" s="81">
        <f>VLOOKUP(GroupVertices[[#This Row],[Vertex]],Vertices[],MATCH("ID",Vertices[[#Headers],[Vertex]:[Vertex Content Word Count]],0),FALSE)</f>
        <v>7</v>
      </c>
    </row>
    <row r="249" spans="1:3" ht="15">
      <c r="A249" s="82" t="s">
        <v>3173</v>
      </c>
      <c r="B249" s="86" t="s">
        <v>449</v>
      </c>
      <c r="C249" s="81">
        <f>VLOOKUP(GroupVertices[[#This Row],[Vertex]],Vertices[],MATCH("ID",Vertices[[#Headers],[Vertex]:[Vertex Content Word Count]],0),FALSE)</f>
        <v>8</v>
      </c>
    </row>
    <row r="250" spans="1:3" ht="15">
      <c r="A250" s="82" t="s">
        <v>3174</v>
      </c>
      <c r="B250" s="86" t="s">
        <v>288</v>
      </c>
      <c r="C250" s="81">
        <f>VLOOKUP(GroupVertices[[#This Row],[Vertex]],Vertices[],MATCH("ID",Vertices[[#Headers],[Vertex]:[Vertex Content Word Count]],0),FALSE)</f>
        <v>52</v>
      </c>
    </row>
    <row r="251" spans="1:3" ht="15">
      <c r="A251" s="82" t="s">
        <v>3174</v>
      </c>
      <c r="B251" s="86" t="s">
        <v>461</v>
      </c>
      <c r="C251" s="81">
        <f>VLOOKUP(GroupVertices[[#This Row],[Vertex]],Vertices[],MATCH("ID",Vertices[[#Headers],[Vertex]:[Vertex Content Word Count]],0),FALSE)</f>
        <v>55</v>
      </c>
    </row>
    <row r="252" spans="1:3" ht="15">
      <c r="A252" s="82" t="s">
        <v>3174</v>
      </c>
      <c r="B252" s="86" t="s">
        <v>460</v>
      </c>
      <c r="C252" s="81">
        <f>VLOOKUP(GroupVertices[[#This Row],[Vertex]],Vertices[],MATCH("ID",Vertices[[#Headers],[Vertex]:[Vertex Content Word Count]],0),FALSE)</f>
        <v>54</v>
      </c>
    </row>
    <row r="253" spans="1:3" ht="15">
      <c r="A253" s="82" t="s">
        <v>3174</v>
      </c>
      <c r="B253" s="86" t="s">
        <v>459</v>
      </c>
      <c r="C253" s="81">
        <f>VLOOKUP(GroupVertices[[#This Row],[Vertex]],Vertices[],MATCH("ID",Vertices[[#Headers],[Vertex]:[Vertex Content Word Count]],0),FALSE)</f>
        <v>53</v>
      </c>
    </row>
    <row r="254" spans="1:3" ht="15">
      <c r="A254" s="82" t="s">
        <v>3175</v>
      </c>
      <c r="B254" s="86" t="s">
        <v>424</v>
      </c>
      <c r="C254" s="81">
        <f>VLOOKUP(GroupVertices[[#This Row],[Vertex]],Vertices[],MATCH("ID",Vertices[[#Headers],[Vertex]:[Vertex Content Word Count]],0),FALSE)</f>
        <v>258</v>
      </c>
    </row>
    <row r="255" spans="1:3" ht="15">
      <c r="A255" s="82" t="s">
        <v>3175</v>
      </c>
      <c r="B255" s="86" t="s">
        <v>526</v>
      </c>
      <c r="C255" s="81">
        <f>VLOOKUP(GroupVertices[[#This Row],[Vertex]],Vertices[],MATCH("ID",Vertices[[#Headers],[Vertex]:[Vertex Content Word Count]],0),FALSE)</f>
        <v>259</v>
      </c>
    </row>
    <row r="256" spans="1:3" ht="15">
      <c r="A256" s="82" t="s">
        <v>3176</v>
      </c>
      <c r="B256" s="86" t="s">
        <v>418</v>
      </c>
      <c r="C256" s="81">
        <f>VLOOKUP(GroupVertices[[#This Row],[Vertex]],Vertices[],MATCH("ID",Vertices[[#Headers],[Vertex]:[Vertex Content Word Count]],0),FALSE)</f>
        <v>251</v>
      </c>
    </row>
    <row r="257" spans="1:3" ht="15">
      <c r="A257" s="82" t="s">
        <v>3176</v>
      </c>
      <c r="B257" s="86" t="s">
        <v>524</v>
      </c>
      <c r="C257" s="81">
        <f>VLOOKUP(GroupVertices[[#This Row],[Vertex]],Vertices[],MATCH("ID",Vertices[[#Headers],[Vertex]:[Vertex Content Word Count]],0),FALSE)</f>
        <v>252</v>
      </c>
    </row>
    <row r="258" spans="1:3" ht="15">
      <c r="A258" s="82" t="s">
        <v>3177</v>
      </c>
      <c r="B258" s="86" t="s">
        <v>417</v>
      </c>
      <c r="C258" s="81">
        <f>VLOOKUP(GroupVertices[[#This Row],[Vertex]],Vertices[],MATCH("ID",Vertices[[#Headers],[Vertex]:[Vertex Content Word Count]],0),FALSE)</f>
        <v>249</v>
      </c>
    </row>
    <row r="259" spans="1:3" ht="15">
      <c r="A259" s="82" t="s">
        <v>3177</v>
      </c>
      <c r="B259" s="86" t="s">
        <v>523</v>
      </c>
      <c r="C259" s="81">
        <f>VLOOKUP(GroupVertices[[#This Row],[Vertex]],Vertices[],MATCH("ID",Vertices[[#Headers],[Vertex]:[Vertex Content Word Count]],0),FALSE)</f>
        <v>250</v>
      </c>
    </row>
    <row r="260" spans="1:3" ht="15">
      <c r="A260" s="82" t="s">
        <v>3178</v>
      </c>
      <c r="B260" s="86" t="s">
        <v>372</v>
      </c>
      <c r="C260" s="81">
        <f>VLOOKUP(GroupVertices[[#This Row],[Vertex]],Vertices[],MATCH("ID",Vertices[[#Headers],[Vertex]:[Vertex Content Word Count]],0),FALSE)</f>
        <v>174</v>
      </c>
    </row>
    <row r="261" spans="1:3" ht="15">
      <c r="A261" s="82" t="s">
        <v>3178</v>
      </c>
      <c r="B261" s="86" t="s">
        <v>492</v>
      </c>
      <c r="C261" s="81">
        <f>VLOOKUP(GroupVertices[[#This Row],[Vertex]],Vertices[],MATCH("ID",Vertices[[#Headers],[Vertex]:[Vertex Content Word Count]],0),FALSE)</f>
        <v>175</v>
      </c>
    </row>
    <row r="262" spans="1:3" ht="15">
      <c r="A262" s="82" t="s">
        <v>3179</v>
      </c>
      <c r="B262" s="86" t="s">
        <v>370</v>
      </c>
      <c r="C262" s="81">
        <f>VLOOKUP(GroupVertices[[#This Row],[Vertex]],Vertices[],MATCH("ID",Vertices[[#Headers],[Vertex]:[Vertex Content Word Count]],0),FALSE)</f>
        <v>171</v>
      </c>
    </row>
    <row r="263" spans="1:3" ht="15">
      <c r="A263" s="82" t="s">
        <v>3179</v>
      </c>
      <c r="B263" s="86" t="s">
        <v>491</v>
      </c>
      <c r="C263" s="81">
        <f>VLOOKUP(GroupVertices[[#This Row],[Vertex]],Vertices[],MATCH("ID",Vertices[[#Headers],[Vertex]:[Vertex Content Word Count]],0),FALSE)</f>
        <v>172</v>
      </c>
    </row>
    <row r="264" spans="1:3" ht="15">
      <c r="A264" s="82" t="s">
        <v>3180</v>
      </c>
      <c r="B264" s="86" t="s">
        <v>367</v>
      </c>
      <c r="C264" s="81">
        <f>VLOOKUP(GroupVertices[[#This Row],[Vertex]],Vertices[],MATCH("ID",Vertices[[#Headers],[Vertex]:[Vertex Content Word Count]],0),FALSE)</f>
        <v>167</v>
      </c>
    </row>
    <row r="265" spans="1:3" ht="15">
      <c r="A265" s="82" t="s">
        <v>3180</v>
      </c>
      <c r="B265" s="86" t="s">
        <v>490</v>
      </c>
      <c r="C265" s="81">
        <f>VLOOKUP(GroupVertices[[#This Row],[Vertex]],Vertices[],MATCH("ID",Vertices[[#Headers],[Vertex]:[Vertex Content Word Count]],0),FALSE)</f>
        <v>168</v>
      </c>
    </row>
    <row r="266" spans="1:3" ht="15">
      <c r="A266" s="82" t="s">
        <v>3181</v>
      </c>
      <c r="B266" s="86" t="s">
        <v>349</v>
      </c>
      <c r="C266" s="81">
        <f>VLOOKUP(GroupVertices[[#This Row],[Vertex]],Vertices[],MATCH("ID",Vertices[[#Headers],[Vertex]:[Vertex Content Word Count]],0),FALSE)</f>
        <v>148</v>
      </c>
    </row>
    <row r="267" spans="1:3" ht="15">
      <c r="A267" s="82" t="s">
        <v>3181</v>
      </c>
      <c r="B267" s="86" t="s">
        <v>489</v>
      </c>
      <c r="C267" s="81">
        <f>VLOOKUP(GroupVertices[[#This Row],[Vertex]],Vertices[],MATCH("ID",Vertices[[#Headers],[Vertex]:[Vertex Content Word Count]],0),FALSE)</f>
        <v>149</v>
      </c>
    </row>
    <row r="268" spans="1:3" ht="15">
      <c r="A268" s="82" t="s">
        <v>3182</v>
      </c>
      <c r="B268" s="86" t="s">
        <v>305</v>
      </c>
      <c r="C268" s="81">
        <f>VLOOKUP(GroupVertices[[#This Row],[Vertex]],Vertices[],MATCH("ID",Vertices[[#Headers],[Vertex]:[Vertex Content Word Count]],0),FALSE)</f>
        <v>81</v>
      </c>
    </row>
    <row r="269" spans="1:3" ht="15">
      <c r="A269" s="82" t="s">
        <v>3182</v>
      </c>
      <c r="B269" s="86" t="s">
        <v>467</v>
      </c>
      <c r="C269" s="81">
        <f>VLOOKUP(GroupVertices[[#This Row],[Vertex]],Vertices[],MATCH("ID",Vertices[[#Headers],[Vertex]:[Vertex Content Word Count]],0),FALSE)</f>
        <v>82</v>
      </c>
    </row>
    <row r="270" spans="1:3" ht="15">
      <c r="A270" s="82" t="s">
        <v>3183</v>
      </c>
      <c r="B270" s="86" t="s">
        <v>297</v>
      </c>
      <c r="C270" s="81">
        <f>VLOOKUP(GroupVertices[[#This Row],[Vertex]],Vertices[],MATCH("ID",Vertices[[#Headers],[Vertex]:[Vertex Content Word Count]],0),FALSE)</f>
        <v>66</v>
      </c>
    </row>
    <row r="271" spans="1:3" ht="15">
      <c r="A271" s="82" t="s">
        <v>3183</v>
      </c>
      <c r="B271" s="86" t="s">
        <v>463</v>
      </c>
      <c r="C271" s="81">
        <f>VLOOKUP(GroupVertices[[#This Row],[Vertex]],Vertices[],MATCH("ID",Vertices[[#Headers],[Vertex]:[Vertex Content Word Count]],0),FALSE)</f>
        <v>67</v>
      </c>
    </row>
    <row r="272" spans="1:3" ht="15">
      <c r="A272" s="82" t="s">
        <v>3184</v>
      </c>
      <c r="B272" s="86" t="s">
        <v>290</v>
      </c>
      <c r="C272" s="81">
        <f>VLOOKUP(GroupVertices[[#This Row],[Vertex]],Vertices[],MATCH("ID",Vertices[[#Headers],[Vertex]:[Vertex Content Word Count]],0),FALSE)</f>
        <v>58</v>
      </c>
    </row>
    <row r="273" spans="1:3" ht="15">
      <c r="A273" s="82" t="s">
        <v>3184</v>
      </c>
      <c r="B273" s="86" t="s">
        <v>462</v>
      </c>
      <c r="C273" s="81">
        <f>VLOOKUP(GroupVertices[[#This Row],[Vertex]],Vertices[],MATCH("ID",Vertices[[#Headers],[Vertex]:[Vertex Content Word Count]],0),FALSE)</f>
        <v>59</v>
      </c>
    </row>
    <row r="274" spans="1:3" ht="15">
      <c r="A274" s="82" t="s">
        <v>3185</v>
      </c>
      <c r="B274" s="86" t="s">
        <v>283</v>
      </c>
      <c r="C274" s="81">
        <f>VLOOKUP(GroupVertices[[#This Row],[Vertex]],Vertices[],MATCH("ID",Vertices[[#Headers],[Vertex]:[Vertex Content Word Count]],0),FALSE)</f>
        <v>44</v>
      </c>
    </row>
    <row r="275" spans="1:3" ht="15">
      <c r="A275" s="82" t="s">
        <v>3185</v>
      </c>
      <c r="B275" s="86" t="s">
        <v>457</v>
      </c>
      <c r="C275" s="81">
        <f>VLOOKUP(GroupVertices[[#This Row],[Vertex]],Vertices[],MATCH("ID",Vertices[[#Headers],[Vertex]:[Vertex Content Word Count]],0),FALSE)</f>
        <v>45</v>
      </c>
    </row>
    <row r="276" spans="1:3" ht="15">
      <c r="A276" s="82" t="s">
        <v>3186</v>
      </c>
      <c r="B276" s="86" t="s">
        <v>448</v>
      </c>
      <c r="C276" s="81">
        <f>VLOOKUP(GroupVertices[[#This Row],[Vertex]],Vertices[],MATCH("ID",Vertices[[#Headers],[Vertex]:[Vertex Content Word Count]],0),FALSE)</f>
        <v>3</v>
      </c>
    </row>
    <row r="277" spans="1:3" ht="15">
      <c r="A277" s="82" t="s">
        <v>3186</v>
      </c>
      <c r="B277" s="86" t="s">
        <v>527</v>
      </c>
      <c r="C277" s="81">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A277"/>
    <dataValidation allowBlank="1" showInputMessage="1" showErrorMessage="1" promptTitle="Vertex Name" prompt="Enter the name of a vertex to include in the group." sqref="B2:B277"/>
    <dataValidation allowBlank="1" showInputMessage="1" promptTitle="Vertex ID" prompt="This is the value of the hidden ID cell in the Vertices worksheet.  It gets filled in by the items on the NodeXL, Analysis, Groups menu." sqref="C2:C27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4478</v>
      </c>
      <c r="B2" s="35" t="s">
        <v>191</v>
      </c>
      <c r="D2" s="32">
        <f>MIN(Vertices[Degree])</f>
        <v>0</v>
      </c>
      <c r="E2" s="3">
        <f>COUNTIF(Vertices[Degree],"&gt;= "&amp;D2)-COUNTIF(Vertices[Degree],"&gt;="&amp;D3)</f>
        <v>0</v>
      </c>
      <c r="F2" s="38">
        <f>MIN(Vertices[In-Degree])</f>
        <v>0</v>
      </c>
      <c r="G2" s="39">
        <f>COUNTIF(Vertices[In-Degree],"&gt;= "&amp;F2)-COUNTIF(Vertices[In-Degree],"&gt;="&amp;F3)</f>
        <v>29</v>
      </c>
      <c r="H2" s="38">
        <f>MIN(Vertices[Out-Degree])</f>
        <v>0</v>
      </c>
      <c r="I2" s="39">
        <f>COUNTIF(Vertices[Out-Degree],"&gt;= "&amp;H2)-COUNTIF(Vertices[Out-Degree],"&gt;="&amp;H3)</f>
        <v>79</v>
      </c>
      <c r="J2" s="38">
        <f>MIN(Vertices[Betweenness Centrality])</f>
        <v>0</v>
      </c>
      <c r="K2" s="39">
        <f>COUNTIF(Vertices[Betweenness Centrality],"&gt;= "&amp;J2)-COUNTIF(Vertices[Betweenness Centrality],"&gt;="&amp;J3)</f>
        <v>262</v>
      </c>
      <c r="L2" s="38">
        <f>MIN(Vertices[Closeness Centrality])</f>
        <v>0</v>
      </c>
      <c r="M2" s="39">
        <f>COUNTIF(Vertices[Closeness Centrality],"&gt;= "&amp;L2)-COUNTIF(Vertices[Closeness Centrality],"&gt;="&amp;L3)</f>
        <v>199</v>
      </c>
      <c r="N2" s="38">
        <f>MIN(Vertices[Eigenvector Centrality])</f>
        <v>0</v>
      </c>
      <c r="O2" s="39">
        <f>COUNTIF(Vertices[Eigenvector Centrality],"&gt;= "&amp;N2)-COUNTIF(Vertices[Eigenvector Centrality],"&gt;="&amp;N3)</f>
        <v>237</v>
      </c>
      <c r="P2" s="38">
        <f>MIN(Vertices[PageRank])</f>
        <v>0.44027</v>
      </c>
      <c r="Q2" s="39">
        <f>COUNTIF(Vertices[PageRank],"&gt;= "&amp;P2)-COUNTIF(Vertices[PageRank],"&gt;="&amp;P3)</f>
        <v>45</v>
      </c>
      <c r="R2" s="38">
        <f>MIN(Vertices[Clustering Coefficient])</f>
        <v>0</v>
      </c>
      <c r="S2" s="44">
        <f>COUNTIF(Vertices[Clustering Coefficient],"&gt;= "&amp;R2)-COUNTIF(Vertices[Clustering Coefficient],"&gt;="&amp;R3)</f>
        <v>271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9"/>
      <c r="B3" s="119"/>
      <c r="D3" s="33">
        <f aca="true" t="shared" si="1" ref="D3:D35">D2+($D$36-$D$2)/BinDivisor</f>
        <v>0</v>
      </c>
      <c r="E3" s="3">
        <f>COUNTIF(Vertices[Degree],"&gt;= "&amp;D3)-COUNTIF(Vertices[Degree],"&gt;="&amp;D4)</f>
        <v>0</v>
      </c>
      <c r="F3" s="40">
        <f aca="true" t="shared" si="2" ref="F3:F35">F2+($F$36-$F$2)/BinDivisor</f>
        <v>0.23529411764705882</v>
      </c>
      <c r="G3" s="41">
        <f>COUNTIF(Vertices[In-Degree],"&gt;= "&amp;F3)-COUNTIF(Vertices[In-Degree],"&gt;="&amp;F4)</f>
        <v>0</v>
      </c>
      <c r="H3" s="40">
        <f aca="true" t="shared" si="3" ref="H3:H35">H2+($H$36-$H$2)/BinDivisor</f>
        <v>0.5294117647058824</v>
      </c>
      <c r="I3" s="41">
        <f>COUNTIF(Vertices[Out-Degree],"&gt;= "&amp;H3)-COUNTIF(Vertices[Out-Degree],"&gt;="&amp;H4)</f>
        <v>171</v>
      </c>
      <c r="J3" s="40">
        <f aca="true" t="shared" si="4" ref="J3:J35">J2+($J$36-$J$2)/BinDivisor</f>
        <v>54.754901970588236</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8</v>
      </c>
      <c r="N3" s="40">
        <f aca="true" t="shared" si="6" ref="N3:N35">N2+($N$36-$N$2)/BinDivisor</f>
        <v>0.004394470588235294</v>
      </c>
      <c r="O3" s="41">
        <f>COUNTIF(Vertices[Eigenvector Centrality],"&gt;= "&amp;N3)-COUNTIF(Vertices[Eigenvector Centrality],"&gt;="&amp;N4)</f>
        <v>15</v>
      </c>
      <c r="P3" s="40">
        <f aca="true" t="shared" si="7" ref="P3:P35">P2+($P$36-$P$2)/BinDivisor</f>
        <v>0.6230947058823529</v>
      </c>
      <c r="Q3" s="41">
        <f>COUNTIF(Vertices[PageRank],"&gt;= "&amp;P3)-COUNTIF(Vertices[PageRank],"&gt;="&amp;P4)</f>
        <v>26</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276</v>
      </c>
      <c r="D4" s="33">
        <f t="shared" si="1"/>
        <v>0</v>
      </c>
      <c r="E4" s="3">
        <f>COUNTIF(Vertices[Degree],"&gt;= "&amp;D4)-COUNTIF(Vertices[Degree],"&gt;="&amp;D5)</f>
        <v>0</v>
      </c>
      <c r="F4" s="38">
        <f t="shared" si="2"/>
        <v>0.47058823529411764</v>
      </c>
      <c r="G4" s="39">
        <f>COUNTIF(Vertices[In-Degree],"&gt;= "&amp;F4)-COUNTIF(Vertices[In-Degree],"&gt;="&amp;F5)</f>
        <v>0</v>
      </c>
      <c r="H4" s="38">
        <f t="shared" si="3"/>
        <v>1.0588235294117647</v>
      </c>
      <c r="I4" s="39">
        <f>COUNTIF(Vertices[Out-Degree],"&gt;= "&amp;H4)-COUNTIF(Vertices[Out-Degree],"&gt;="&amp;H5)</f>
        <v>0</v>
      </c>
      <c r="J4" s="38">
        <f t="shared" si="4"/>
        <v>109.50980394117647</v>
      </c>
      <c r="K4" s="39">
        <f>COUNTIF(Vertices[Betweenness Centrality],"&gt;= "&amp;J4)-COUNTIF(Vertices[Betweenness Centrality],"&gt;="&amp;J5)</f>
        <v>1</v>
      </c>
      <c r="L4" s="38">
        <f t="shared" si="5"/>
        <v>0.058823529411764705</v>
      </c>
      <c r="M4" s="39">
        <f>COUNTIF(Vertices[Closeness Centrality],"&gt;= "&amp;L4)-COUNTIF(Vertices[Closeness Centrality],"&gt;="&amp;L5)</f>
        <v>1</v>
      </c>
      <c r="N4" s="38">
        <f t="shared" si="6"/>
        <v>0.008788941176470588</v>
      </c>
      <c r="O4" s="39">
        <f>COUNTIF(Vertices[Eigenvector Centrality],"&gt;= "&amp;N4)-COUNTIF(Vertices[Eigenvector Centrality],"&gt;="&amp;N5)</f>
        <v>1</v>
      </c>
      <c r="P4" s="38">
        <f t="shared" si="7"/>
        <v>0.8059194117647059</v>
      </c>
      <c r="Q4" s="39">
        <f>COUNTIF(Vertices[PageRank],"&gt;= "&amp;P4)-COUNTIF(Vertices[PageRank],"&gt;="&amp;P5)</f>
        <v>11</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9"/>
      <c r="B5" s="119"/>
      <c r="D5" s="33">
        <f t="shared" si="1"/>
        <v>0</v>
      </c>
      <c r="E5" s="3">
        <f>COUNTIF(Vertices[Degree],"&gt;= "&amp;D5)-COUNTIF(Vertices[Degree],"&gt;="&amp;D6)</f>
        <v>0</v>
      </c>
      <c r="F5" s="40">
        <f t="shared" si="2"/>
        <v>0.7058823529411764</v>
      </c>
      <c r="G5" s="41">
        <f>COUNTIF(Vertices[In-Degree],"&gt;= "&amp;F5)-COUNTIF(Vertices[In-Degree],"&gt;="&amp;F6)</f>
        <v>0</v>
      </c>
      <c r="H5" s="40">
        <f t="shared" si="3"/>
        <v>1.5882352941176472</v>
      </c>
      <c r="I5" s="41">
        <f>COUNTIF(Vertices[Out-Degree],"&gt;= "&amp;H5)-COUNTIF(Vertices[Out-Degree],"&gt;="&amp;H6)</f>
        <v>11</v>
      </c>
      <c r="J5" s="40">
        <f t="shared" si="4"/>
        <v>164.2647059117647</v>
      </c>
      <c r="K5" s="41">
        <f>COUNTIF(Vertices[Betweenness Centrality],"&gt;= "&amp;J5)-COUNTIF(Vertices[Betweenness Centrality],"&gt;="&amp;J6)</f>
        <v>1</v>
      </c>
      <c r="L5" s="40">
        <f t="shared" si="5"/>
        <v>0.08823529411764705</v>
      </c>
      <c r="M5" s="41">
        <f>COUNTIF(Vertices[Closeness Centrality],"&gt;= "&amp;L5)-COUNTIF(Vertices[Closeness Centrality],"&gt;="&amp;L6)</f>
        <v>23</v>
      </c>
      <c r="N5" s="40">
        <f t="shared" si="6"/>
        <v>0.013183411764705881</v>
      </c>
      <c r="O5" s="41">
        <f>COUNTIF(Vertices[Eigenvector Centrality],"&gt;= "&amp;N5)-COUNTIF(Vertices[Eigenvector Centrality],"&gt;="&amp;N6)</f>
        <v>1</v>
      </c>
      <c r="P5" s="40">
        <f t="shared" si="7"/>
        <v>0.9887441176470588</v>
      </c>
      <c r="Q5" s="41">
        <f>COUNTIF(Vertices[PageRank],"&gt;= "&amp;P5)-COUNTIF(Vertices[PageRank],"&gt;="&amp;P6)</f>
        <v>172</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225</v>
      </c>
      <c r="D6" s="33">
        <f t="shared" si="1"/>
        <v>0</v>
      </c>
      <c r="E6" s="3">
        <f>COUNTIF(Vertices[Degree],"&gt;= "&amp;D6)-COUNTIF(Vertices[Degree],"&gt;="&amp;D7)</f>
        <v>0</v>
      </c>
      <c r="F6" s="38">
        <f t="shared" si="2"/>
        <v>0.9411764705882353</v>
      </c>
      <c r="G6" s="39">
        <f>COUNTIF(Vertices[In-Degree],"&gt;= "&amp;F6)-COUNTIF(Vertices[In-Degree],"&gt;="&amp;F7)</f>
        <v>230</v>
      </c>
      <c r="H6" s="38">
        <f t="shared" si="3"/>
        <v>2.1176470588235294</v>
      </c>
      <c r="I6" s="39">
        <f>COUNTIF(Vertices[Out-Degree],"&gt;= "&amp;H6)-COUNTIF(Vertices[Out-Degree],"&gt;="&amp;H7)</f>
        <v>0</v>
      </c>
      <c r="J6" s="38">
        <f t="shared" si="4"/>
        <v>219.01960788235294</v>
      </c>
      <c r="K6" s="39">
        <f>COUNTIF(Vertices[Betweenness Centrality],"&gt;= "&amp;J6)-COUNTIF(Vertices[Betweenness Centrality],"&gt;="&amp;J7)</f>
        <v>2</v>
      </c>
      <c r="L6" s="38">
        <f t="shared" si="5"/>
        <v>0.11764705882352941</v>
      </c>
      <c r="M6" s="39">
        <f>COUNTIF(Vertices[Closeness Centrality],"&gt;= "&amp;L6)-COUNTIF(Vertices[Closeness Centrality],"&gt;="&amp;L7)</f>
        <v>4</v>
      </c>
      <c r="N6" s="38">
        <f t="shared" si="6"/>
        <v>0.017577882352941176</v>
      </c>
      <c r="O6" s="39">
        <f>COUNTIF(Vertices[Eigenvector Centrality],"&gt;= "&amp;N6)-COUNTIF(Vertices[Eigenvector Centrality],"&gt;="&amp;N7)</f>
        <v>0</v>
      </c>
      <c r="P6" s="38">
        <f t="shared" si="7"/>
        <v>1.1715688235294117</v>
      </c>
      <c r="Q6" s="39">
        <f>COUNTIF(Vertices[PageRank],"&gt;= "&amp;P6)-COUNTIF(Vertices[PageRank],"&gt;="&amp;P7)</f>
        <v>4</v>
      </c>
      <c r="R6" s="38">
        <f t="shared" si="8"/>
        <v>0.058823529411764705</v>
      </c>
      <c r="S6" s="44">
        <f>COUNTIF(Vertices[Clustering Coefficient],"&gt;= "&amp;R6)-COUNTIF(Vertices[Clustering Coefficient],"&gt;="&amp;R7)</f>
        <v>1</v>
      </c>
      <c r="T6" s="38" t="e">
        <f ca="1" t="shared" si="9"/>
        <v>#REF!</v>
      </c>
      <c r="U6" s="39" t="e">
        <f ca="1" t="shared" si="0"/>
        <v>#REF!</v>
      </c>
    </row>
    <row r="7" spans="1:21" ht="15">
      <c r="A7" s="35" t="s">
        <v>149</v>
      </c>
      <c r="B7" s="35">
        <v>202</v>
      </c>
      <c r="D7" s="33">
        <f t="shared" si="1"/>
        <v>0</v>
      </c>
      <c r="E7" s="3">
        <f>COUNTIF(Vertices[Degree],"&gt;= "&amp;D7)-COUNTIF(Vertices[Degree],"&gt;="&amp;D8)</f>
        <v>0</v>
      </c>
      <c r="F7" s="40">
        <f t="shared" si="2"/>
        <v>1.1764705882352942</v>
      </c>
      <c r="G7" s="41">
        <f>COUNTIF(Vertices[In-Degree],"&gt;= "&amp;F7)-COUNTIF(Vertices[In-Degree],"&gt;="&amp;F8)</f>
        <v>0</v>
      </c>
      <c r="H7" s="40">
        <f t="shared" si="3"/>
        <v>2.6470588235294117</v>
      </c>
      <c r="I7" s="41">
        <f>COUNTIF(Vertices[Out-Degree],"&gt;= "&amp;H7)-COUNTIF(Vertices[Out-Degree],"&gt;="&amp;H8)</f>
        <v>4</v>
      </c>
      <c r="J7" s="40">
        <f t="shared" si="4"/>
        <v>273.77450985294115</v>
      </c>
      <c r="K7" s="41">
        <f>COUNTIF(Vertices[Betweenness Centrality],"&gt;= "&amp;J7)-COUNTIF(Vertices[Betweenness Centrality],"&gt;="&amp;J8)</f>
        <v>0</v>
      </c>
      <c r="L7" s="40">
        <f t="shared" si="5"/>
        <v>0.14705882352941177</v>
      </c>
      <c r="M7" s="41">
        <f>COUNTIF(Vertices[Closeness Centrality],"&gt;= "&amp;L7)-COUNTIF(Vertices[Closeness Centrality],"&gt;="&amp;L8)</f>
        <v>4</v>
      </c>
      <c r="N7" s="40">
        <f t="shared" si="6"/>
        <v>0.02197235294117647</v>
      </c>
      <c r="O7" s="41">
        <f>COUNTIF(Vertices[Eigenvector Centrality],"&gt;= "&amp;N7)-COUNTIF(Vertices[Eigenvector Centrality],"&gt;="&amp;N8)</f>
        <v>2</v>
      </c>
      <c r="P7" s="40">
        <f t="shared" si="7"/>
        <v>1.3543935294117646</v>
      </c>
      <c r="Q7" s="41">
        <f>COUNTIF(Vertices[PageRank],"&gt;= "&amp;P7)-COUNTIF(Vertices[PageRank],"&gt;="&amp;P8)</f>
        <v>1</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427</v>
      </c>
      <c r="D8" s="33">
        <f t="shared" si="1"/>
        <v>0</v>
      </c>
      <c r="E8" s="3">
        <f>COUNTIF(Vertices[Degree],"&gt;= "&amp;D8)-COUNTIF(Vertices[Degree],"&gt;="&amp;D9)</f>
        <v>0</v>
      </c>
      <c r="F8" s="38">
        <f t="shared" si="2"/>
        <v>1.411764705882353</v>
      </c>
      <c r="G8" s="39">
        <f>COUNTIF(Vertices[In-Degree],"&gt;= "&amp;F8)-COUNTIF(Vertices[In-Degree],"&gt;="&amp;F9)</f>
        <v>0</v>
      </c>
      <c r="H8" s="38">
        <f t="shared" si="3"/>
        <v>3.176470588235294</v>
      </c>
      <c r="I8" s="39">
        <f>COUNTIF(Vertices[Out-Degree],"&gt;= "&amp;H8)-COUNTIF(Vertices[Out-Degree],"&gt;="&amp;H9)</f>
        <v>0</v>
      </c>
      <c r="J8" s="38">
        <f t="shared" si="4"/>
        <v>328.52941182352936</v>
      </c>
      <c r="K8" s="39">
        <f>COUNTIF(Vertices[Betweenness Centrality],"&gt;= "&amp;J8)-COUNTIF(Vertices[Betweenness Centrality],"&gt;="&amp;J9)</f>
        <v>0</v>
      </c>
      <c r="L8" s="38">
        <f t="shared" si="5"/>
        <v>0.17647058823529413</v>
      </c>
      <c r="M8" s="39">
        <f>COUNTIF(Vertices[Closeness Centrality],"&gt;= "&amp;L8)-COUNTIF(Vertices[Closeness Centrality],"&gt;="&amp;L9)</f>
        <v>8</v>
      </c>
      <c r="N8" s="38">
        <f t="shared" si="6"/>
        <v>0.026366823529411765</v>
      </c>
      <c r="O8" s="39">
        <f>COUNTIF(Vertices[Eigenvector Centrality],"&gt;= "&amp;N8)-COUNTIF(Vertices[Eigenvector Centrality],"&gt;="&amp;N9)</f>
        <v>11</v>
      </c>
      <c r="P8" s="38">
        <f t="shared" si="7"/>
        <v>1.5372182352941175</v>
      </c>
      <c r="Q8" s="39">
        <f>COUNTIF(Vertices[PageRank],"&gt;= "&amp;P8)-COUNTIF(Vertices[PageRank],"&gt;="&amp;P9)</f>
        <v>3</v>
      </c>
      <c r="R8" s="38">
        <f t="shared" si="8"/>
        <v>0.08823529411764706</v>
      </c>
      <c r="S8" s="44">
        <f>COUNTIF(Vertices[Clustering Coefficient],"&gt;= "&amp;R8)-COUNTIF(Vertices[Clustering Coefficient],"&gt;="&amp;R9)</f>
        <v>1</v>
      </c>
      <c r="T8" s="38" t="e">
        <f ca="1" t="shared" si="9"/>
        <v>#REF!</v>
      </c>
      <c r="U8" s="39" t="e">
        <f ca="1" t="shared" si="0"/>
        <v>#REF!</v>
      </c>
    </row>
    <row r="9" spans="1:21" ht="15">
      <c r="A9" s="119"/>
      <c r="B9" s="119"/>
      <c r="D9" s="33">
        <f t="shared" si="1"/>
        <v>0</v>
      </c>
      <c r="E9" s="3">
        <f>COUNTIF(Vertices[Degree],"&gt;= "&amp;D9)-COUNTIF(Vertices[Degree],"&gt;="&amp;D10)</f>
        <v>0</v>
      </c>
      <c r="F9" s="40">
        <f t="shared" si="2"/>
        <v>1.647058823529412</v>
      </c>
      <c r="G9" s="41">
        <f>COUNTIF(Vertices[In-Degree],"&gt;= "&amp;F9)-COUNTIF(Vertices[In-Degree],"&gt;="&amp;F10)</f>
        <v>0</v>
      </c>
      <c r="H9" s="40">
        <f t="shared" si="3"/>
        <v>3.705882352941176</v>
      </c>
      <c r="I9" s="41">
        <f>COUNTIF(Vertices[Out-Degree],"&gt;= "&amp;H9)-COUNTIF(Vertices[Out-Degree],"&gt;="&amp;H10)</f>
        <v>1</v>
      </c>
      <c r="J9" s="40">
        <f t="shared" si="4"/>
        <v>383.28431379411757</v>
      </c>
      <c r="K9" s="41">
        <f>COUNTIF(Vertices[Betweenness Centrality],"&gt;= "&amp;J9)-COUNTIF(Vertices[Betweenness Centrality],"&gt;="&amp;J10)</f>
        <v>3</v>
      </c>
      <c r="L9" s="40">
        <f t="shared" si="5"/>
        <v>0.2058823529411765</v>
      </c>
      <c r="M9" s="41">
        <f>COUNTIF(Vertices[Closeness Centrality],"&gt;= "&amp;L9)-COUNTIF(Vertices[Closeness Centrality],"&gt;="&amp;L10)</f>
        <v>0</v>
      </c>
      <c r="N9" s="40">
        <f t="shared" si="6"/>
        <v>0.03076129411764706</v>
      </c>
      <c r="O9" s="41">
        <f>COUNTIF(Vertices[Eigenvector Centrality],"&gt;= "&amp;N9)-COUNTIF(Vertices[Eigenvector Centrality],"&gt;="&amp;N10)</f>
        <v>3</v>
      </c>
      <c r="P9" s="40">
        <f t="shared" si="7"/>
        <v>1.7200429411764704</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151</v>
      </c>
      <c r="B10" s="35">
        <v>292</v>
      </c>
      <c r="D10" s="33">
        <f t="shared" si="1"/>
        <v>0</v>
      </c>
      <c r="E10" s="3">
        <f>COUNTIF(Vertices[Degree],"&gt;= "&amp;D10)-COUNTIF(Vertices[Degree],"&gt;="&amp;D11)</f>
        <v>0</v>
      </c>
      <c r="F10" s="38">
        <f t="shared" si="2"/>
        <v>1.8823529411764708</v>
      </c>
      <c r="G10" s="39">
        <f>COUNTIF(Vertices[In-Degree],"&gt;= "&amp;F10)-COUNTIF(Vertices[In-Degree],"&gt;="&amp;F11)</f>
        <v>12</v>
      </c>
      <c r="H10" s="38">
        <f t="shared" si="3"/>
        <v>4.235294117647059</v>
      </c>
      <c r="I10" s="39">
        <f>COUNTIF(Vertices[Out-Degree],"&gt;= "&amp;H10)-COUNTIF(Vertices[Out-Degree],"&gt;="&amp;H11)</f>
        <v>0</v>
      </c>
      <c r="J10" s="38">
        <f t="shared" si="4"/>
        <v>438.0392157647058</v>
      </c>
      <c r="K10" s="39">
        <f>COUNTIF(Vertices[Betweenness Centrality],"&gt;= "&amp;J10)-COUNTIF(Vertices[Betweenness Centrality],"&gt;="&amp;J11)</f>
        <v>0</v>
      </c>
      <c r="L10" s="38">
        <f t="shared" si="5"/>
        <v>0.23529411764705885</v>
      </c>
      <c r="M10" s="39">
        <f>COUNTIF(Vertices[Closeness Centrality],"&gt;= "&amp;L10)-COUNTIF(Vertices[Closeness Centrality],"&gt;="&amp;L11)</f>
        <v>3</v>
      </c>
      <c r="N10" s="38">
        <f t="shared" si="6"/>
        <v>0.03515576470588235</v>
      </c>
      <c r="O10" s="39">
        <f>COUNTIF(Vertices[Eigenvector Centrality],"&gt;= "&amp;N10)-COUNTIF(Vertices[Eigenvector Centrality],"&gt;="&amp;N11)</f>
        <v>3</v>
      </c>
      <c r="P10" s="38">
        <f t="shared" si="7"/>
        <v>1.9028676470588233</v>
      </c>
      <c r="Q10" s="39">
        <f>COUNTIF(Vertices[PageRank],"&gt;= "&amp;P10)-COUNTIF(Vertices[PageRank],"&gt;="&amp;P11)</f>
        <v>3</v>
      </c>
      <c r="R10" s="38">
        <f t="shared" si="8"/>
        <v>0.11764705882352942</v>
      </c>
      <c r="S10" s="44">
        <f>COUNTIF(Vertices[Clustering Coefficient],"&gt;= "&amp;R10)-COUNTIF(Vertices[Clustering Coefficient],"&gt;="&amp;R11)</f>
        <v>0</v>
      </c>
      <c r="T10" s="38" t="e">
        <f ca="1" t="shared" si="9"/>
        <v>#REF!</v>
      </c>
      <c r="U10" s="39" t="e">
        <f ca="1" t="shared" si="0"/>
        <v>#REF!</v>
      </c>
    </row>
    <row r="11" spans="1:21" ht="15">
      <c r="A11" s="119"/>
      <c r="B11" s="119"/>
      <c r="D11" s="33">
        <f t="shared" si="1"/>
        <v>0</v>
      </c>
      <c r="E11" s="3">
        <f>COUNTIF(Vertices[Degree],"&gt;= "&amp;D11)-COUNTIF(Vertices[Degree],"&gt;="&amp;D12)</f>
        <v>0</v>
      </c>
      <c r="F11" s="40">
        <f t="shared" si="2"/>
        <v>2.1176470588235294</v>
      </c>
      <c r="G11" s="41">
        <f>COUNTIF(Vertices[In-Degree],"&gt;= "&amp;F11)-COUNTIF(Vertices[In-Degree],"&gt;="&amp;F12)</f>
        <v>0</v>
      </c>
      <c r="H11" s="40">
        <f t="shared" si="3"/>
        <v>4.764705882352941</v>
      </c>
      <c r="I11" s="41">
        <f>COUNTIF(Vertices[Out-Degree],"&gt;= "&amp;H11)-COUNTIF(Vertices[Out-Degree],"&gt;="&amp;H12)</f>
        <v>3</v>
      </c>
      <c r="J11" s="40">
        <f t="shared" si="4"/>
        <v>492.794117735294</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0.03955023529411764</v>
      </c>
      <c r="O11" s="41">
        <f>COUNTIF(Vertices[Eigenvector Centrality],"&gt;= "&amp;N11)-COUNTIF(Vertices[Eigenvector Centrality],"&gt;="&amp;N12)</f>
        <v>0</v>
      </c>
      <c r="P11" s="40">
        <f t="shared" si="7"/>
        <v>2.085692352941176</v>
      </c>
      <c r="Q11" s="41">
        <f>COUNTIF(Vertices[PageRank],"&gt;= "&amp;P11)-COUNTIF(Vertices[PageRank],"&gt;="&amp;P12)</f>
        <v>1</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170</v>
      </c>
      <c r="B12" s="35">
        <v>0.008771929824561403</v>
      </c>
      <c r="D12" s="33">
        <f t="shared" si="1"/>
        <v>0</v>
      </c>
      <c r="E12" s="3">
        <f>COUNTIF(Vertices[Degree],"&gt;= "&amp;D12)-COUNTIF(Vertices[Degree],"&gt;="&amp;D13)</f>
        <v>0</v>
      </c>
      <c r="F12" s="38">
        <f t="shared" si="2"/>
        <v>2.3529411764705883</v>
      </c>
      <c r="G12" s="39">
        <f>COUNTIF(Vertices[In-Degree],"&gt;= "&amp;F12)-COUNTIF(Vertices[In-Degree],"&gt;="&amp;F13)</f>
        <v>0</v>
      </c>
      <c r="H12" s="38">
        <f t="shared" si="3"/>
        <v>5.294117647058823</v>
      </c>
      <c r="I12" s="39">
        <f>COUNTIF(Vertices[Out-Degree],"&gt;= "&amp;H12)-COUNTIF(Vertices[Out-Degree],"&gt;="&amp;H13)</f>
        <v>0</v>
      </c>
      <c r="J12" s="38">
        <f t="shared" si="4"/>
        <v>547.5490197058822</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0.043944705882352934</v>
      </c>
      <c r="O12" s="39">
        <f>COUNTIF(Vertices[Eigenvector Centrality],"&gt;= "&amp;N12)-COUNTIF(Vertices[Eigenvector Centrality],"&gt;="&amp;N13)</f>
        <v>0</v>
      </c>
      <c r="P12" s="38">
        <f t="shared" si="7"/>
        <v>2.2685170588235293</v>
      </c>
      <c r="Q12" s="39">
        <f>COUNTIF(Vertices[PageRank],"&gt;= "&amp;P12)-COUNTIF(Vertices[PageRank],"&gt;="&amp;P13)</f>
        <v>1</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171</v>
      </c>
      <c r="B13" s="35">
        <v>0.017391304347826087</v>
      </c>
      <c r="D13" s="33">
        <f t="shared" si="1"/>
        <v>0</v>
      </c>
      <c r="E13" s="3">
        <f>COUNTIF(Vertices[Degree],"&gt;= "&amp;D13)-COUNTIF(Vertices[Degree],"&gt;="&amp;D14)</f>
        <v>0</v>
      </c>
      <c r="F13" s="40">
        <f t="shared" si="2"/>
        <v>2.588235294117647</v>
      </c>
      <c r="G13" s="41">
        <f>COUNTIF(Vertices[In-Degree],"&gt;= "&amp;F13)-COUNTIF(Vertices[In-Degree],"&gt;="&amp;F14)</f>
        <v>0</v>
      </c>
      <c r="H13" s="40">
        <f t="shared" si="3"/>
        <v>5.823529411764706</v>
      </c>
      <c r="I13" s="41">
        <f>COUNTIF(Vertices[Out-Degree],"&gt;= "&amp;H13)-COUNTIF(Vertices[Out-Degree],"&gt;="&amp;H14)</f>
        <v>5</v>
      </c>
      <c r="J13" s="40">
        <f t="shared" si="4"/>
        <v>602.3039216764704</v>
      </c>
      <c r="K13" s="41">
        <f>COUNTIF(Vertices[Betweenness Centrality],"&gt;= "&amp;J13)-COUNTIF(Vertices[Betweenness Centrality],"&gt;="&amp;J14)</f>
        <v>0</v>
      </c>
      <c r="L13" s="40">
        <f t="shared" si="5"/>
        <v>0.3235294117647059</v>
      </c>
      <c r="M13" s="41">
        <f>COUNTIF(Vertices[Closeness Centrality],"&gt;= "&amp;L13)-COUNTIF(Vertices[Closeness Centrality],"&gt;="&amp;L14)</f>
        <v>2</v>
      </c>
      <c r="N13" s="40">
        <f t="shared" si="6"/>
        <v>0.048339176470588226</v>
      </c>
      <c r="O13" s="41">
        <f>COUNTIF(Vertices[Eigenvector Centrality],"&gt;= "&amp;N13)-COUNTIF(Vertices[Eigenvector Centrality],"&gt;="&amp;N14)</f>
        <v>0</v>
      </c>
      <c r="P13" s="40">
        <f t="shared" si="7"/>
        <v>2.4513417647058824</v>
      </c>
      <c r="Q13" s="41">
        <f>COUNTIF(Vertices[PageRank],"&gt;= "&amp;P13)-COUNTIF(Vertices[PageRank],"&gt;="&amp;P14)</f>
        <v>1</v>
      </c>
      <c r="R13" s="40">
        <f t="shared" si="8"/>
        <v>0.16176470588235295</v>
      </c>
      <c r="S13" s="45">
        <f>COUNTIF(Vertices[Clustering Coefficient],"&gt;= "&amp;R13)-COUNTIF(Vertices[Clustering Coefficient],"&gt;="&amp;R14)</f>
        <v>1</v>
      </c>
      <c r="T13" s="40" t="e">
        <f ca="1" t="shared" si="9"/>
        <v>#REF!</v>
      </c>
      <c r="U13" s="41" t="e">
        <f ca="1" t="shared" si="0"/>
        <v>#REF!</v>
      </c>
    </row>
    <row r="14" spans="1:21" ht="15">
      <c r="A14" s="119"/>
      <c r="B14" s="119"/>
      <c r="D14" s="33">
        <f t="shared" si="1"/>
        <v>0</v>
      </c>
      <c r="E14" s="3">
        <f>COUNTIF(Vertices[Degree],"&gt;= "&amp;D14)-COUNTIF(Vertices[Degree],"&gt;="&amp;D15)</f>
        <v>0</v>
      </c>
      <c r="F14" s="38">
        <f t="shared" si="2"/>
        <v>2.823529411764706</v>
      </c>
      <c r="G14" s="39">
        <f>COUNTIF(Vertices[In-Degree],"&gt;= "&amp;F14)-COUNTIF(Vertices[In-Degree],"&gt;="&amp;F15)</f>
        <v>0</v>
      </c>
      <c r="H14" s="38">
        <f t="shared" si="3"/>
        <v>6.352941176470588</v>
      </c>
      <c r="I14" s="39">
        <f>COUNTIF(Vertices[Out-Degree],"&gt;= "&amp;H14)-COUNTIF(Vertices[Out-Degree],"&gt;="&amp;H15)</f>
        <v>0</v>
      </c>
      <c r="J14" s="38">
        <f t="shared" si="4"/>
        <v>657.0588236470586</v>
      </c>
      <c r="K14" s="39">
        <f>COUNTIF(Vertices[Betweenness Centrality],"&gt;= "&amp;J14)-COUNTIF(Vertices[Betweenness Centrality],"&gt;="&amp;J15)</f>
        <v>3</v>
      </c>
      <c r="L14" s="38">
        <f t="shared" si="5"/>
        <v>0.35294117647058826</v>
      </c>
      <c r="M14" s="39">
        <f>COUNTIF(Vertices[Closeness Centrality],"&gt;= "&amp;L14)-COUNTIF(Vertices[Closeness Centrality],"&gt;="&amp;L15)</f>
        <v>0</v>
      </c>
      <c r="N14" s="38">
        <f t="shared" si="6"/>
        <v>0.05273364705882352</v>
      </c>
      <c r="O14" s="39">
        <f>COUNTIF(Vertices[Eigenvector Centrality],"&gt;= "&amp;N14)-COUNTIF(Vertices[Eigenvector Centrality],"&gt;="&amp;N15)</f>
        <v>0</v>
      </c>
      <c r="P14" s="38">
        <f t="shared" si="7"/>
        <v>2.6341664705882355</v>
      </c>
      <c r="Q14" s="39">
        <f>COUNTIF(Vertices[PageRank],"&gt;= "&amp;P14)-COUNTIF(Vertices[PageRank],"&gt;="&amp;P15)</f>
        <v>1</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152</v>
      </c>
      <c r="B15" s="35">
        <v>169</v>
      </c>
      <c r="D15" s="33">
        <f t="shared" si="1"/>
        <v>0</v>
      </c>
      <c r="E15" s="3">
        <f>COUNTIF(Vertices[Degree],"&gt;= "&amp;D15)-COUNTIF(Vertices[Degree],"&gt;="&amp;D16)</f>
        <v>0</v>
      </c>
      <c r="F15" s="40">
        <f t="shared" si="2"/>
        <v>3.058823529411765</v>
      </c>
      <c r="G15" s="41">
        <f>COUNTIF(Vertices[In-Degree],"&gt;= "&amp;F15)-COUNTIF(Vertices[In-Degree],"&gt;="&amp;F16)</f>
        <v>0</v>
      </c>
      <c r="H15" s="40">
        <f t="shared" si="3"/>
        <v>6.88235294117647</v>
      </c>
      <c r="I15" s="41">
        <f>COUNTIF(Vertices[Out-Degree],"&gt;= "&amp;H15)-COUNTIF(Vertices[Out-Degree],"&gt;="&amp;H16)</f>
        <v>0</v>
      </c>
      <c r="J15" s="40">
        <f t="shared" si="4"/>
        <v>711.8137256176468</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0.05712811764705881</v>
      </c>
      <c r="O15" s="41">
        <f>COUNTIF(Vertices[Eigenvector Centrality],"&gt;= "&amp;N15)-COUNTIF(Vertices[Eigenvector Centrality],"&gt;="&amp;N16)</f>
        <v>0</v>
      </c>
      <c r="P15" s="40">
        <f t="shared" si="7"/>
        <v>2.8169911764705886</v>
      </c>
      <c r="Q15" s="41">
        <f>COUNTIF(Vertices[PageRank],"&gt;= "&amp;P15)-COUNTIF(Vertices[PageRank],"&gt;="&amp;P16)</f>
        <v>2</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153</v>
      </c>
      <c r="B16" s="35">
        <v>147</v>
      </c>
      <c r="D16" s="33">
        <f t="shared" si="1"/>
        <v>0</v>
      </c>
      <c r="E16" s="3">
        <f>COUNTIF(Vertices[Degree],"&gt;= "&amp;D16)-COUNTIF(Vertices[Degree],"&gt;="&amp;D17)</f>
        <v>0</v>
      </c>
      <c r="F16" s="38">
        <f t="shared" si="2"/>
        <v>3.294117647058824</v>
      </c>
      <c r="G16" s="39">
        <f>COUNTIF(Vertices[In-Degree],"&gt;= "&amp;F16)-COUNTIF(Vertices[In-Degree],"&gt;="&amp;F17)</f>
        <v>0</v>
      </c>
      <c r="H16" s="38">
        <f t="shared" si="3"/>
        <v>7.411764705882352</v>
      </c>
      <c r="I16" s="39">
        <f>COUNTIF(Vertices[Out-Degree],"&gt;= "&amp;H16)-COUNTIF(Vertices[Out-Degree],"&gt;="&amp;H17)</f>
        <v>0</v>
      </c>
      <c r="J16" s="38">
        <f t="shared" si="4"/>
        <v>766.568627588235</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0.0615225882352941</v>
      </c>
      <c r="O16" s="39">
        <f>COUNTIF(Vertices[Eigenvector Centrality],"&gt;= "&amp;N16)-COUNTIF(Vertices[Eigenvector Centrality],"&gt;="&amp;N17)</f>
        <v>0</v>
      </c>
      <c r="P16" s="38">
        <f t="shared" si="7"/>
        <v>2.9998158823529417</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35" t="s">
        <v>154</v>
      </c>
      <c r="B17" s="35">
        <v>52</v>
      </c>
      <c r="D17" s="33">
        <f t="shared" si="1"/>
        <v>0</v>
      </c>
      <c r="E17" s="3">
        <f>COUNTIF(Vertices[Degree],"&gt;= "&amp;D17)-COUNTIF(Vertices[Degree],"&gt;="&amp;D18)</f>
        <v>0</v>
      </c>
      <c r="F17" s="40">
        <f t="shared" si="2"/>
        <v>3.5294117647058827</v>
      </c>
      <c r="G17" s="41">
        <f>COUNTIF(Vertices[In-Degree],"&gt;= "&amp;F17)-COUNTIF(Vertices[In-Degree],"&gt;="&amp;F18)</f>
        <v>0</v>
      </c>
      <c r="H17" s="40">
        <f t="shared" si="3"/>
        <v>7.941176470588235</v>
      </c>
      <c r="I17" s="41">
        <f>COUNTIF(Vertices[Out-Degree],"&gt;= "&amp;H17)-COUNTIF(Vertices[Out-Degree],"&gt;="&amp;H18)</f>
        <v>1</v>
      </c>
      <c r="J17" s="40">
        <f t="shared" si="4"/>
        <v>821.3235295588232</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0.0659170588235294</v>
      </c>
      <c r="O17" s="41">
        <f>COUNTIF(Vertices[Eigenvector Centrality],"&gt;= "&amp;N17)-COUNTIF(Vertices[Eigenvector Centrality],"&gt;="&amp;N18)</f>
        <v>1</v>
      </c>
      <c r="P17" s="40">
        <f t="shared" si="7"/>
        <v>3.182640588235295</v>
      </c>
      <c r="Q17" s="41">
        <f>COUNTIF(Vertices[PageRank],"&gt;= "&amp;P17)-COUNTIF(Vertices[PageRank],"&gt;="&amp;P18)</f>
        <v>3</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155</v>
      </c>
      <c r="B18" s="35">
        <v>138</v>
      </c>
      <c r="D18" s="33">
        <f t="shared" si="1"/>
        <v>0</v>
      </c>
      <c r="E18" s="3">
        <f>COUNTIF(Vertices[Degree],"&gt;= "&amp;D18)-COUNTIF(Vertices[Degree],"&gt;="&amp;D19)</f>
        <v>0</v>
      </c>
      <c r="F18" s="38">
        <f t="shared" si="2"/>
        <v>3.7647058823529416</v>
      </c>
      <c r="G18" s="39">
        <f>COUNTIF(Vertices[In-Degree],"&gt;= "&amp;F18)-COUNTIF(Vertices[In-Degree],"&gt;="&amp;F19)</f>
        <v>0</v>
      </c>
      <c r="H18" s="38">
        <f t="shared" si="3"/>
        <v>8.470588235294118</v>
      </c>
      <c r="I18" s="39">
        <f>COUNTIF(Vertices[Out-Degree],"&gt;= "&amp;H18)-COUNTIF(Vertices[Out-Degree],"&gt;="&amp;H19)</f>
        <v>0</v>
      </c>
      <c r="J18" s="38">
        <f t="shared" si="4"/>
        <v>876.0784315294114</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0.07031152941176469</v>
      </c>
      <c r="O18" s="39">
        <f>COUNTIF(Vertices[Eigenvector Centrality],"&gt;= "&amp;N18)-COUNTIF(Vertices[Eigenvector Centrality],"&gt;="&amp;N19)</f>
        <v>1</v>
      </c>
      <c r="P18" s="38">
        <f t="shared" si="7"/>
        <v>3.365465294117648</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9"/>
      <c r="B19" s="119"/>
      <c r="D19" s="33">
        <f t="shared" si="1"/>
        <v>0</v>
      </c>
      <c r="E19" s="3">
        <f>COUNTIF(Vertices[Degree],"&gt;= "&amp;D19)-COUNTIF(Vertices[Degree],"&gt;="&amp;D20)</f>
        <v>0</v>
      </c>
      <c r="F19" s="40">
        <f t="shared" si="2"/>
        <v>4</v>
      </c>
      <c r="G19" s="41">
        <f>COUNTIF(Vertices[In-Degree],"&gt;= "&amp;F19)-COUNTIF(Vertices[In-Degree],"&gt;="&amp;F20)</f>
        <v>3</v>
      </c>
      <c r="H19" s="40">
        <f t="shared" si="3"/>
        <v>9</v>
      </c>
      <c r="I19" s="41">
        <f>COUNTIF(Vertices[Out-Degree],"&gt;= "&amp;H19)-COUNTIF(Vertices[Out-Degree],"&gt;="&amp;H20)</f>
        <v>0</v>
      </c>
      <c r="J19" s="40">
        <f t="shared" si="4"/>
        <v>930.8333334999996</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0.07470599999999998</v>
      </c>
      <c r="O19" s="41">
        <f>COUNTIF(Vertices[Eigenvector Centrality],"&gt;= "&amp;N19)-COUNTIF(Vertices[Eigenvector Centrality],"&gt;="&amp;N20)</f>
        <v>0</v>
      </c>
      <c r="P19" s="40">
        <f t="shared" si="7"/>
        <v>3.548290000000001</v>
      </c>
      <c r="Q19" s="41">
        <f>COUNTIF(Vertices[PageRank],"&gt;= "&amp;P19)-COUNTIF(Vertices[PageRank],"&gt;="&amp;P20)</f>
        <v>1</v>
      </c>
      <c r="R19" s="40">
        <f t="shared" si="8"/>
        <v>0.25</v>
      </c>
      <c r="S19" s="45">
        <f>COUNTIF(Vertices[Clustering Coefficient],"&gt;= "&amp;R19)-COUNTIF(Vertices[Clustering Coefficient],"&gt;="&amp;R20)</f>
        <v>0</v>
      </c>
      <c r="T19" s="40" t="e">
        <f ca="1" t="shared" si="9"/>
        <v>#REF!</v>
      </c>
      <c r="U19" s="41" t="e">
        <f ca="1" t="shared" si="0"/>
        <v>#REF!</v>
      </c>
    </row>
    <row r="20" spans="1:21" ht="15">
      <c r="A20" s="35" t="s">
        <v>156</v>
      </c>
      <c r="B20" s="35">
        <v>8</v>
      </c>
      <c r="D20" s="33">
        <f t="shared" si="1"/>
        <v>0</v>
      </c>
      <c r="E20" s="3">
        <f>COUNTIF(Vertices[Degree],"&gt;= "&amp;D20)-COUNTIF(Vertices[Degree],"&gt;="&amp;D21)</f>
        <v>0</v>
      </c>
      <c r="F20" s="38">
        <f t="shared" si="2"/>
        <v>4.235294117647059</v>
      </c>
      <c r="G20" s="39">
        <f>COUNTIF(Vertices[In-Degree],"&gt;= "&amp;F20)-COUNTIF(Vertices[In-Degree],"&gt;="&amp;F21)</f>
        <v>0</v>
      </c>
      <c r="H20" s="38">
        <f t="shared" si="3"/>
        <v>9.529411764705882</v>
      </c>
      <c r="I20" s="39">
        <f>COUNTIF(Vertices[Out-Degree],"&gt;= "&amp;H20)-COUNTIF(Vertices[Out-Degree],"&gt;="&amp;H21)</f>
        <v>0</v>
      </c>
      <c r="J20" s="38">
        <f t="shared" si="4"/>
        <v>985.5882354705878</v>
      </c>
      <c r="K20" s="39">
        <f>COUNTIF(Vertices[Betweenness Centrality],"&gt;= "&amp;J20)-COUNTIF(Vertices[Betweenness Centrality],"&gt;="&amp;J21)</f>
        <v>1</v>
      </c>
      <c r="L20" s="38">
        <f t="shared" si="5"/>
        <v>0.5294117647058824</v>
      </c>
      <c r="M20" s="39">
        <f>COUNTIF(Vertices[Closeness Centrality],"&gt;= "&amp;L20)-COUNTIF(Vertices[Closeness Centrality],"&gt;="&amp;L21)</f>
        <v>0</v>
      </c>
      <c r="N20" s="38">
        <f t="shared" si="6"/>
        <v>0.07910047058823527</v>
      </c>
      <c r="O20" s="39">
        <f>COUNTIF(Vertices[Eigenvector Centrality],"&gt;= "&amp;N20)-COUNTIF(Vertices[Eigenvector Centrality],"&gt;="&amp;N21)</f>
        <v>0</v>
      </c>
      <c r="P20" s="38">
        <f t="shared" si="7"/>
        <v>3.731114705882354</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157</v>
      </c>
      <c r="B21" s="35">
        <v>3.500308</v>
      </c>
      <c r="D21" s="33">
        <f t="shared" si="1"/>
        <v>0</v>
      </c>
      <c r="E21" s="3">
        <f>COUNTIF(Vertices[Degree],"&gt;= "&amp;D21)-COUNTIF(Vertices[Degree],"&gt;="&amp;D22)</f>
        <v>0</v>
      </c>
      <c r="F21" s="40">
        <f t="shared" si="2"/>
        <v>4.470588235294118</v>
      </c>
      <c r="G21" s="41">
        <f>COUNTIF(Vertices[In-Degree],"&gt;= "&amp;F21)-COUNTIF(Vertices[In-Degree],"&gt;="&amp;F22)</f>
        <v>0</v>
      </c>
      <c r="H21" s="40">
        <f t="shared" si="3"/>
        <v>10.058823529411764</v>
      </c>
      <c r="I21" s="41">
        <f>COUNTIF(Vertices[Out-Degree],"&gt;= "&amp;H21)-COUNTIF(Vertices[Out-Degree],"&gt;="&amp;H22)</f>
        <v>0</v>
      </c>
      <c r="J21" s="40">
        <f t="shared" si="4"/>
        <v>1040.3431374411762</v>
      </c>
      <c r="K21" s="41">
        <f>COUNTIF(Vertices[Betweenness Centrality],"&gt;= "&amp;J21)-COUNTIF(Vertices[Betweenness Centrality],"&gt;="&amp;J22)</f>
        <v>1</v>
      </c>
      <c r="L21" s="40">
        <f t="shared" si="5"/>
        <v>0.5588235294117647</v>
      </c>
      <c r="M21" s="41">
        <f>COUNTIF(Vertices[Closeness Centrality],"&gt;= "&amp;L21)-COUNTIF(Vertices[Closeness Centrality],"&gt;="&amp;L22)</f>
        <v>0</v>
      </c>
      <c r="N21" s="40">
        <f t="shared" si="6"/>
        <v>0.08349494117647056</v>
      </c>
      <c r="O21" s="41">
        <f>COUNTIF(Vertices[Eigenvector Centrality],"&gt;= "&amp;N21)-COUNTIF(Vertices[Eigenvector Centrality],"&gt;="&amp;N22)</f>
        <v>0</v>
      </c>
      <c r="P21" s="40">
        <f t="shared" si="7"/>
        <v>3.9139394117647073</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9"/>
      <c r="B22" s="119"/>
      <c r="D22" s="33">
        <f t="shared" si="1"/>
        <v>0</v>
      </c>
      <c r="E22" s="3">
        <f>COUNTIF(Vertices[Degree],"&gt;= "&amp;D22)-COUNTIF(Vertices[Degree],"&gt;="&amp;D23)</f>
        <v>0</v>
      </c>
      <c r="F22" s="38">
        <f t="shared" si="2"/>
        <v>4.705882352941177</v>
      </c>
      <c r="G22" s="39">
        <f>COUNTIF(Vertices[In-Degree],"&gt;= "&amp;F22)-COUNTIF(Vertices[In-Degree],"&gt;="&amp;F23)</f>
        <v>0</v>
      </c>
      <c r="H22" s="38">
        <f t="shared" si="3"/>
        <v>10.588235294117647</v>
      </c>
      <c r="I22" s="39">
        <f>COUNTIF(Vertices[Out-Degree],"&gt;= "&amp;H22)-COUNTIF(Vertices[Out-Degree],"&gt;="&amp;H23)</f>
        <v>0</v>
      </c>
      <c r="J22" s="38">
        <f t="shared" si="4"/>
        <v>1095.0980394117644</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0.08788941176470585</v>
      </c>
      <c r="O22" s="39">
        <f>COUNTIF(Vertices[Eigenvector Centrality],"&gt;= "&amp;N22)-COUNTIF(Vertices[Eigenvector Centrality],"&gt;="&amp;N23)</f>
        <v>0</v>
      </c>
      <c r="P22" s="38">
        <f t="shared" si="7"/>
        <v>4.09676411764706</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158</v>
      </c>
      <c r="B23" s="35">
        <v>0.0015151515151515152</v>
      </c>
      <c r="D23" s="33">
        <f t="shared" si="1"/>
        <v>0</v>
      </c>
      <c r="E23" s="3">
        <f>COUNTIF(Vertices[Degree],"&gt;= "&amp;D23)-COUNTIF(Vertices[Degree],"&gt;="&amp;D24)</f>
        <v>0</v>
      </c>
      <c r="F23" s="40">
        <f t="shared" si="2"/>
        <v>4.9411764705882355</v>
      </c>
      <c r="G23" s="41">
        <f>COUNTIF(Vertices[In-Degree],"&gt;= "&amp;F23)-COUNTIF(Vertices[In-Degree],"&gt;="&amp;F24)</f>
        <v>0</v>
      </c>
      <c r="H23" s="40">
        <f t="shared" si="3"/>
        <v>11.117647058823529</v>
      </c>
      <c r="I23" s="41">
        <f>COUNTIF(Vertices[Out-Degree],"&gt;= "&amp;H23)-COUNTIF(Vertices[Out-Degree],"&gt;="&amp;H24)</f>
        <v>0</v>
      </c>
      <c r="J23" s="40">
        <f t="shared" si="4"/>
        <v>1149.8529413823526</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0.09228388235294115</v>
      </c>
      <c r="O23" s="41">
        <f>COUNTIF(Vertices[Eigenvector Centrality],"&gt;= "&amp;N23)-COUNTIF(Vertices[Eigenvector Centrality],"&gt;="&amp;N24)</f>
        <v>0</v>
      </c>
      <c r="P23" s="40">
        <f t="shared" si="7"/>
        <v>4.279588823529413</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4479</v>
      </c>
      <c r="B24" s="35">
        <v>0.408828</v>
      </c>
      <c r="D24" s="33">
        <f t="shared" si="1"/>
        <v>0</v>
      </c>
      <c r="E24" s="3">
        <f>COUNTIF(Vertices[Degree],"&gt;= "&amp;D24)-COUNTIF(Vertices[Degree],"&gt;="&amp;D25)</f>
        <v>0</v>
      </c>
      <c r="F24" s="38">
        <f t="shared" si="2"/>
        <v>5.176470588235294</v>
      </c>
      <c r="G24" s="39">
        <f>COUNTIF(Vertices[In-Degree],"&gt;= "&amp;F24)-COUNTIF(Vertices[In-Degree],"&gt;="&amp;F25)</f>
        <v>0</v>
      </c>
      <c r="H24" s="38">
        <f t="shared" si="3"/>
        <v>11.647058823529411</v>
      </c>
      <c r="I24" s="39">
        <f>COUNTIF(Vertices[Out-Degree],"&gt;= "&amp;H24)-COUNTIF(Vertices[Out-Degree],"&gt;="&amp;H25)</f>
        <v>0</v>
      </c>
      <c r="J24" s="38">
        <f t="shared" si="4"/>
        <v>1204.6078433529408</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0.09667835294117644</v>
      </c>
      <c r="O24" s="39">
        <f>COUNTIF(Vertices[Eigenvector Centrality],"&gt;= "&amp;N24)-COUNTIF(Vertices[Eigenvector Centrality],"&gt;="&amp;N25)</f>
        <v>0</v>
      </c>
      <c r="P24" s="38">
        <f t="shared" si="7"/>
        <v>4.462413529411766</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119"/>
      <c r="B25" s="119"/>
      <c r="D25" s="33">
        <f t="shared" si="1"/>
        <v>0</v>
      </c>
      <c r="E25" s="3">
        <f>COUNTIF(Vertices[Degree],"&gt;= "&amp;D25)-COUNTIF(Vertices[Degree],"&gt;="&amp;D26)</f>
        <v>0</v>
      </c>
      <c r="F25" s="40">
        <f t="shared" si="2"/>
        <v>5.411764705882353</v>
      </c>
      <c r="G25" s="41">
        <f>COUNTIF(Vertices[In-Degree],"&gt;= "&amp;F25)-COUNTIF(Vertices[In-Degree],"&gt;="&amp;F26)</f>
        <v>0</v>
      </c>
      <c r="H25" s="40">
        <f t="shared" si="3"/>
        <v>12.176470588235293</v>
      </c>
      <c r="I25" s="41">
        <f>COUNTIF(Vertices[Out-Degree],"&gt;= "&amp;H25)-COUNTIF(Vertices[Out-Degree],"&gt;="&amp;H26)</f>
        <v>0</v>
      </c>
      <c r="J25" s="40">
        <f t="shared" si="4"/>
        <v>1259.362745323529</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0.10107282352941173</v>
      </c>
      <c r="O25" s="41">
        <f>COUNTIF(Vertices[Eigenvector Centrality],"&gt;= "&amp;N25)-COUNTIF(Vertices[Eigenvector Centrality],"&gt;="&amp;N26)</f>
        <v>0</v>
      </c>
      <c r="P25" s="40">
        <f t="shared" si="7"/>
        <v>4.645238235294118</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4480</v>
      </c>
      <c r="B26" s="35" t="s">
        <v>4495</v>
      </c>
      <c r="D26" s="33">
        <f t="shared" si="1"/>
        <v>0</v>
      </c>
      <c r="E26" s="3">
        <f>COUNTIF(Vertices[Degree],"&gt;= "&amp;D26)-COUNTIF(Vertices[Degree],"&gt;="&amp;D27)</f>
        <v>0</v>
      </c>
      <c r="F26" s="38">
        <f t="shared" si="2"/>
        <v>5.647058823529412</v>
      </c>
      <c r="G26" s="39">
        <f>COUNTIF(Vertices[In-Degree],"&gt;= "&amp;F26)-COUNTIF(Vertices[In-Degree],"&gt;="&amp;F27)</f>
        <v>0</v>
      </c>
      <c r="H26" s="38">
        <f t="shared" si="3"/>
        <v>12.705882352941176</v>
      </c>
      <c r="I26" s="39">
        <f>COUNTIF(Vertices[Out-Degree],"&gt;= "&amp;H26)-COUNTIF(Vertices[Out-Degree],"&gt;="&amp;H27)</f>
        <v>0</v>
      </c>
      <c r="J26" s="38">
        <f t="shared" si="4"/>
        <v>1314.1176472941172</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0.10546729411764702</v>
      </c>
      <c r="O26" s="39">
        <f>COUNTIF(Vertices[Eigenvector Centrality],"&gt;= "&amp;N26)-COUNTIF(Vertices[Eigenvector Centrality],"&gt;="&amp;N27)</f>
        <v>0</v>
      </c>
      <c r="P26" s="38">
        <f t="shared" si="7"/>
        <v>4.828062941176471</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9"/>
      <c r="B27" s="119"/>
      <c r="D27" s="33">
        <f t="shared" si="1"/>
        <v>0</v>
      </c>
      <c r="E27" s="3">
        <f>COUNTIF(Vertices[Degree],"&gt;= "&amp;D27)-COUNTIF(Vertices[Degree],"&gt;="&amp;D28)</f>
        <v>0</v>
      </c>
      <c r="F27" s="40">
        <f t="shared" si="2"/>
        <v>5.882352941176471</v>
      </c>
      <c r="G27" s="41">
        <f>COUNTIF(Vertices[In-Degree],"&gt;= "&amp;F27)-COUNTIF(Vertices[In-Degree],"&gt;="&amp;F28)</f>
        <v>1</v>
      </c>
      <c r="H27" s="40">
        <f t="shared" si="3"/>
        <v>13.235294117647058</v>
      </c>
      <c r="I27" s="41">
        <f>COUNTIF(Vertices[Out-Degree],"&gt;= "&amp;H27)-COUNTIF(Vertices[Out-Degree],"&gt;="&amp;H28)</f>
        <v>0</v>
      </c>
      <c r="J27" s="40">
        <f t="shared" si="4"/>
        <v>1368.8725492647054</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0.10986176470588231</v>
      </c>
      <c r="O27" s="41">
        <f>COUNTIF(Vertices[Eigenvector Centrality],"&gt;= "&amp;N27)-COUNTIF(Vertices[Eigenvector Centrality],"&gt;="&amp;N28)</f>
        <v>0</v>
      </c>
      <c r="P27" s="40">
        <f t="shared" si="7"/>
        <v>5.010887647058824</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4481</v>
      </c>
      <c r="B28" s="35" t="s">
        <v>4539</v>
      </c>
      <c r="D28" s="33">
        <f t="shared" si="1"/>
        <v>0</v>
      </c>
      <c r="E28" s="3">
        <f>COUNTIF(Vertices[Degree],"&gt;= "&amp;D28)-COUNTIF(Vertices[Degree],"&gt;="&amp;D29)</f>
        <v>0</v>
      </c>
      <c r="F28" s="38">
        <f t="shared" si="2"/>
        <v>6.11764705882353</v>
      </c>
      <c r="G28" s="39">
        <f>COUNTIF(Vertices[In-Degree],"&gt;= "&amp;F28)-COUNTIF(Vertices[In-Degree],"&gt;="&amp;F29)</f>
        <v>0</v>
      </c>
      <c r="H28" s="38">
        <f t="shared" si="3"/>
        <v>13.76470588235294</v>
      </c>
      <c r="I28" s="39">
        <f>COUNTIF(Vertices[Out-Degree],"&gt;= "&amp;H28)-COUNTIF(Vertices[Out-Degree],"&gt;="&amp;H29)</f>
        <v>0</v>
      </c>
      <c r="J28" s="38">
        <f t="shared" si="4"/>
        <v>1423.6274512352936</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0.1142562352941176</v>
      </c>
      <c r="O28" s="39">
        <f>COUNTIF(Vertices[Eigenvector Centrality],"&gt;= "&amp;N28)-COUNTIF(Vertices[Eigenvector Centrality],"&gt;="&amp;N29)</f>
        <v>0</v>
      </c>
      <c r="P28" s="38">
        <f t="shared" si="7"/>
        <v>5.193712352941176</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4482</v>
      </c>
      <c r="B29" s="35" t="s">
        <v>4540</v>
      </c>
      <c r="D29" s="33">
        <f t="shared" si="1"/>
        <v>0</v>
      </c>
      <c r="E29" s="3">
        <f>COUNTIF(Vertices[Degree],"&gt;= "&amp;D29)-COUNTIF(Vertices[Degree],"&gt;="&amp;D30)</f>
        <v>0</v>
      </c>
      <c r="F29" s="40">
        <f t="shared" si="2"/>
        <v>6.352941176470589</v>
      </c>
      <c r="G29" s="41">
        <f>COUNTIF(Vertices[In-Degree],"&gt;= "&amp;F29)-COUNTIF(Vertices[In-Degree],"&gt;="&amp;F30)</f>
        <v>0</v>
      </c>
      <c r="H29" s="40">
        <f t="shared" si="3"/>
        <v>14.294117647058822</v>
      </c>
      <c r="I29" s="41">
        <f>COUNTIF(Vertices[Out-Degree],"&gt;= "&amp;H29)-COUNTIF(Vertices[Out-Degree],"&gt;="&amp;H30)</f>
        <v>0</v>
      </c>
      <c r="J29" s="40">
        <f t="shared" si="4"/>
        <v>1478.3823532058818</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0.1186507058823529</v>
      </c>
      <c r="O29" s="41">
        <f>COUNTIF(Vertices[Eigenvector Centrality],"&gt;= "&amp;N29)-COUNTIF(Vertices[Eigenvector Centrality],"&gt;="&amp;N30)</f>
        <v>0</v>
      </c>
      <c r="P29" s="40">
        <f t="shared" si="7"/>
        <v>5.376537058823529</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9"/>
      <c r="B30" s="119"/>
      <c r="D30" s="33">
        <f t="shared" si="1"/>
        <v>0</v>
      </c>
      <c r="E30" s="3">
        <f>COUNTIF(Vertices[Degree],"&gt;= "&amp;D30)-COUNTIF(Vertices[Degree],"&gt;="&amp;D31)</f>
        <v>0</v>
      </c>
      <c r="F30" s="38">
        <f t="shared" si="2"/>
        <v>6.588235294117648</v>
      </c>
      <c r="G30" s="39">
        <f>COUNTIF(Vertices[In-Degree],"&gt;= "&amp;F30)-COUNTIF(Vertices[In-Degree],"&gt;="&amp;F31)</f>
        <v>0</v>
      </c>
      <c r="H30" s="38">
        <f t="shared" si="3"/>
        <v>14.823529411764705</v>
      </c>
      <c r="I30" s="39">
        <f>COUNTIF(Vertices[Out-Degree],"&gt;= "&amp;H30)-COUNTIF(Vertices[Out-Degree],"&gt;="&amp;H31)</f>
        <v>0</v>
      </c>
      <c r="J30" s="38">
        <f t="shared" si="4"/>
        <v>1533.13725517647</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0.12304517647058819</v>
      </c>
      <c r="O30" s="39">
        <f>COUNTIF(Vertices[Eigenvector Centrality],"&gt;= "&amp;N30)-COUNTIF(Vertices[Eigenvector Centrality],"&gt;="&amp;N31)</f>
        <v>0</v>
      </c>
      <c r="P30" s="38">
        <f t="shared" si="7"/>
        <v>5.559361764705882</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4483</v>
      </c>
      <c r="B31" s="35" t="s">
        <v>4534</v>
      </c>
      <c r="D31" s="33">
        <f t="shared" si="1"/>
        <v>0</v>
      </c>
      <c r="E31" s="3">
        <f>COUNTIF(Vertices[Degree],"&gt;= "&amp;D31)-COUNTIF(Vertices[Degree],"&gt;="&amp;D32)</f>
        <v>0</v>
      </c>
      <c r="F31" s="40">
        <f t="shared" si="2"/>
        <v>6.8235294117647065</v>
      </c>
      <c r="G31" s="41">
        <f>COUNTIF(Vertices[In-Degree],"&gt;= "&amp;F31)-COUNTIF(Vertices[In-Degree],"&gt;="&amp;F32)</f>
        <v>0</v>
      </c>
      <c r="H31" s="40">
        <f t="shared" si="3"/>
        <v>15.352941176470587</v>
      </c>
      <c r="I31" s="41">
        <f>COUNTIF(Vertices[Out-Degree],"&gt;= "&amp;H31)-COUNTIF(Vertices[Out-Degree],"&gt;="&amp;H32)</f>
        <v>0</v>
      </c>
      <c r="J31" s="40">
        <f t="shared" si="4"/>
        <v>1587.8921571470582</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0.1274396470588235</v>
      </c>
      <c r="O31" s="41">
        <f>COUNTIF(Vertices[Eigenvector Centrality],"&gt;= "&amp;N31)-COUNTIF(Vertices[Eigenvector Centrality],"&gt;="&amp;N32)</f>
        <v>0</v>
      </c>
      <c r="P31" s="40">
        <f t="shared" si="7"/>
        <v>5.742186470588234</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4484</v>
      </c>
      <c r="B32" s="35" t="s">
        <v>4535</v>
      </c>
      <c r="D32" s="33">
        <f t="shared" si="1"/>
        <v>0</v>
      </c>
      <c r="E32" s="3">
        <f>COUNTIF(Vertices[Degree],"&gt;= "&amp;D32)-COUNTIF(Vertices[Degree],"&gt;="&amp;D33)</f>
        <v>0</v>
      </c>
      <c r="F32" s="38">
        <f t="shared" si="2"/>
        <v>7.058823529411765</v>
      </c>
      <c r="G32" s="39">
        <f>COUNTIF(Vertices[In-Degree],"&gt;= "&amp;F32)-COUNTIF(Vertices[In-Degree],"&gt;="&amp;F33)</f>
        <v>0</v>
      </c>
      <c r="H32" s="38">
        <f t="shared" si="3"/>
        <v>15.88235294117647</v>
      </c>
      <c r="I32" s="39">
        <f>COUNTIF(Vertices[Out-Degree],"&gt;= "&amp;H32)-COUNTIF(Vertices[Out-Degree],"&gt;="&amp;H33)</f>
        <v>0</v>
      </c>
      <c r="J32" s="38">
        <f t="shared" si="4"/>
        <v>1642.6470591176464</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0.1318341176470588</v>
      </c>
      <c r="O32" s="39">
        <f>COUNTIF(Vertices[Eigenvector Centrality],"&gt;= "&amp;N32)-COUNTIF(Vertices[Eigenvector Centrality],"&gt;="&amp;N33)</f>
        <v>0</v>
      </c>
      <c r="P32" s="38">
        <f t="shared" si="7"/>
        <v>5.925011176470587</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409.5">
      <c r="A33" s="35" t="s">
        <v>4485</v>
      </c>
      <c r="B33" s="54" t="s">
        <v>4536</v>
      </c>
      <c r="D33" s="33">
        <f t="shared" si="1"/>
        <v>0</v>
      </c>
      <c r="E33" s="3">
        <f>COUNTIF(Vertices[Degree],"&gt;= "&amp;D33)-COUNTIF(Vertices[Degree],"&gt;="&amp;D34)</f>
        <v>0</v>
      </c>
      <c r="F33" s="40">
        <f t="shared" si="2"/>
        <v>7.294117647058824</v>
      </c>
      <c r="G33" s="41">
        <f>COUNTIF(Vertices[In-Degree],"&gt;= "&amp;F33)-COUNTIF(Vertices[In-Degree],"&gt;="&amp;F34)</f>
        <v>0</v>
      </c>
      <c r="H33" s="40">
        <f t="shared" si="3"/>
        <v>16.41176470588235</v>
      </c>
      <c r="I33" s="41">
        <f>COUNTIF(Vertices[Out-Degree],"&gt;= "&amp;H33)-COUNTIF(Vertices[Out-Degree],"&gt;="&amp;H34)</f>
        <v>0</v>
      </c>
      <c r="J33" s="40">
        <f t="shared" si="4"/>
        <v>1697.4019610882347</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0.1362285882352941</v>
      </c>
      <c r="O33" s="41">
        <f>COUNTIF(Vertices[Eigenvector Centrality],"&gt;= "&amp;N33)-COUNTIF(Vertices[Eigenvector Centrality],"&gt;="&amp;N34)</f>
        <v>0</v>
      </c>
      <c r="P33" s="40">
        <f t="shared" si="7"/>
        <v>6.10783588235294</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4486</v>
      </c>
      <c r="B34" s="35" t="s">
        <v>4537</v>
      </c>
      <c r="D34" s="33">
        <f t="shared" si="1"/>
        <v>0</v>
      </c>
      <c r="E34" s="3">
        <f>COUNTIF(Vertices[Degree],"&gt;= "&amp;D34)-COUNTIF(Vertices[Degree],"&gt;="&amp;D35)</f>
        <v>0</v>
      </c>
      <c r="F34" s="38">
        <f t="shared" si="2"/>
        <v>7.529411764705883</v>
      </c>
      <c r="G34" s="39">
        <f>COUNTIF(Vertices[In-Degree],"&gt;= "&amp;F34)-COUNTIF(Vertices[In-Degree],"&gt;="&amp;F35)</f>
        <v>0</v>
      </c>
      <c r="H34" s="38">
        <f t="shared" si="3"/>
        <v>16.941176470588236</v>
      </c>
      <c r="I34" s="39">
        <f>COUNTIF(Vertices[Out-Degree],"&gt;= "&amp;H34)-COUNTIF(Vertices[Out-Degree],"&gt;="&amp;H35)</f>
        <v>0</v>
      </c>
      <c r="J34" s="38">
        <f t="shared" si="4"/>
        <v>1752.1568630588229</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0.1406230588235294</v>
      </c>
      <c r="O34" s="39">
        <f>COUNTIF(Vertices[Eigenvector Centrality],"&gt;= "&amp;N34)-COUNTIF(Vertices[Eigenvector Centrality],"&gt;="&amp;N35)</f>
        <v>0</v>
      </c>
      <c r="P34" s="38">
        <f t="shared" si="7"/>
        <v>6.290660588235292</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35" t="s">
        <v>4487</v>
      </c>
      <c r="B35" s="35" t="s">
        <v>4538</v>
      </c>
      <c r="D35" s="33">
        <f t="shared" si="1"/>
        <v>0</v>
      </c>
      <c r="E35" s="3">
        <f>COUNTIF(Vertices[Degree],"&gt;= "&amp;D35)-COUNTIF(Vertices[Degree],"&gt;="&amp;D36)</f>
        <v>0</v>
      </c>
      <c r="F35" s="40">
        <f t="shared" si="2"/>
        <v>7.764705882352942</v>
      </c>
      <c r="G35" s="41">
        <f>COUNTIF(Vertices[In-Degree],"&gt;= "&amp;F35)-COUNTIF(Vertices[In-Degree],"&gt;="&amp;F36)</f>
        <v>0</v>
      </c>
      <c r="H35" s="40">
        <f t="shared" si="3"/>
        <v>17.47058823529412</v>
      </c>
      <c r="I35" s="41">
        <f>COUNTIF(Vertices[Out-Degree],"&gt;= "&amp;H35)-COUNTIF(Vertices[Out-Degree],"&gt;="&amp;H36)</f>
        <v>0</v>
      </c>
      <c r="J35" s="40">
        <f t="shared" si="4"/>
        <v>1806.911765029411</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0.1450175294117647</v>
      </c>
      <c r="O35" s="41">
        <f>COUNTIF(Vertices[Eigenvector Centrality],"&gt;= "&amp;N35)-COUNTIF(Vertices[Eigenvector Centrality],"&gt;="&amp;N36)</f>
        <v>0</v>
      </c>
      <c r="P35" s="40">
        <f t="shared" si="7"/>
        <v>6.473485294117645</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4488</v>
      </c>
      <c r="B36" s="35" t="s">
        <v>3160</v>
      </c>
      <c r="D36" s="33">
        <f>MAX(Vertices[Degree])</f>
        <v>0</v>
      </c>
      <c r="E36" s="3">
        <f>COUNTIF(Vertices[Degree],"&gt;= "&amp;D36)-COUNTIF(Vertices[Degree],"&gt;="&amp;#REF!)</f>
        <v>0</v>
      </c>
      <c r="F36" s="42">
        <f>MAX(Vertices[In-Degree])</f>
        <v>8</v>
      </c>
      <c r="G36" s="43">
        <f>COUNTIF(Vertices[In-Degree],"&gt;= "&amp;F36)-COUNTIF(Vertices[In-Degree],"&gt;="&amp;#REF!)</f>
        <v>1</v>
      </c>
      <c r="H36" s="42">
        <f>MAX(Vertices[Out-Degree])</f>
        <v>18</v>
      </c>
      <c r="I36" s="43">
        <f>COUNTIF(Vertices[Out-Degree],"&gt;= "&amp;H36)-COUNTIF(Vertices[Out-Degree],"&gt;="&amp;#REF!)</f>
        <v>1</v>
      </c>
      <c r="J36" s="42">
        <f>MAX(Vertices[Betweenness Centrality])</f>
        <v>1861.666667</v>
      </c>
      <c r="K36" s="43">
        <f>COUNTIF(Vertices[Betweenness Centrality],"&gt;= "&amp;J36)-COUNTIF(Vertices[Betweenness Centrality],"&gt;="&amp;#REF!)</f>
        <v>1</v>
      </c>
      <c r="L36" s="42">
        <f>MAX(Vertices[Closeness Centrality])</f>
        <v>1</v>
      </c>
      <c r="M36" s="43">
        <f>COUNTIF(Vertices[Closeness Centrality],"&gt;= "&amp;L36)-COUNTIF(Vertices[Closeness Centrality],"&gt;="&amp;#REF!)</f>
        <v>24</v>
      </c>
      <c r="N36" s="42">
        <f>MAX(Vertices[Eigenvector Centrality])</f>
        <v>0.149412</v>
      </c>
      <c r="O36" s="43">
        <f>COUNTIF(Vertices[Eigenvector Centrality],"&gt;= "&amp;N36)-COUNTIF(Vertices[Eigenvector Centrality],"&gt;="&amp;#REF!)</f>
        <v>1</v>
      </c>
      <c r="P36" s="42">
        <f>MAX(Vertices[PageRank])</f>
        <v>6.65631</v>
      </c>
      <c r="Q36" s="43">
        <f>COUNTIF(Vertices[PageRank],"&gt;= "&amp;P36)-COUNTIF(Vertices[PageRank],"&gt;="&amp;#REF!)</f>
        <v>1</v>
      </c>
      <c r="R36" s="42">
        <f>MAX(Vertices[Clustering Coefficient])</f>
        <v>0.5</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4489</v>
      </c>
      <c r="B37" s="35" t="s">
        <v>3160</v>
      </c>
    </row>
    <row r="38" spans="1:2" ht="15">
      <c r="A38" s="35" t="s">
        <v>4490</v>
      </c>
      <c r="B38" s="35" t="s">
        <v>3160</v>
      </c>
    </row>
    <row r="39" spans="1:2" ht="15">
      <c r="A39" s="35" t="s">
        <v>4491</v>
      </c>
      <c r="B39" s="35" t="s">
        <v>1898</v>
      </c>
    </row>
    <row r="40" spans="1:2" ht="15">
      <c r="A40" s="35" t="s">
        <v>21</v>
      </c>
      <c r="B40" s="35"/>
    </row>
    <row r="41" spans="1:2" ht="15">
      <c r="A41" s="35" t="s">
        <v>4492</v>
      </c>
      <c r="B41" s="35" t="s">
        <v>1898</v>
      </c>
    </row>
    <row r="42" spans="1:2" ht="15">
      <c r="A42" s="35" t="s">
        <v>4493</v>
      </c>
      <c r="B42" s="35"/>
    </row>
    <row r="43" spans="1:2" ht="15">
      <c r="A43" s="35" t="s">
        <v>4494</v>
      </c>
      <c r="B43"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8</v>
      </c>
    </row>
    <row r="83" spans="1:2" ht="15">
      <c r="A83" s="34" t="s">
        <v>90</v>
      </c>
      <c r="B83" s="48">
        <f>_xlfn.IFERROR(AVERAGE(Vertices[In-Degree]),NoMetricMessage)</f>
        <v>1.0144927536231885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18</v>
      </c>
    </row>
    <row r="97" spans="1:2" ht="15">
      <c r="A97" s="34" t="s">
        <v>96</v>
      </c>
      <c r="B97" s="48">
        <f>_xlfn.IFERROR(AVERAGE(Vertices[Out-Degree]),NoMetricMessage)</f>
        <v>1.0144927536231885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1861.666667</v>
      </c>
    </row>
    <row r="111" spans="1:2" ht="15">
      <c r="A111" s="34" t="s">
        <v>102</v>
      </c>
      <c r="B111" s="48">
        <f>_xlfn.IFERROR(AVERAGE(Vertices[Betweenness Centrality]),NoMetricMessage)</f>
        <v>30.369565224637682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0.11332453985507245</v>
      </c>
    </row>
    <row r="126" spans="1:2" ht="15">
      <c r="A126" s="34" t="s">
        <v>109</v>
      </c>
      <c r="B126" s="48">
        <f>_xlfn.IFERROR(MEDIAN(Vertices[Closeness Centrality]),NoMetricMessage)</f>
        <v>0</v>
      </c>
    </row>
    <row r="137" spans="1:2" ht="15">
      <c r="A137" s="34" t="s">
        <v>112</v>
      </c>
      <c r="B137" s="48">
        <f>IF(COUNT(Vertices[Eigenvector Centrality])&gt;0,N2,NoMetricMessage)</f>
        <v>0</v>
      </c>
    </row>
    <row r="138" spans="1:2" ht="15">
      <c r="A138" s="34" t="s">
        <v>113</v>
      </c>
      <c r="B138" s="48">
        <f>IF(COUNT(Vertices[Eigenvector Centrality])&gt;0,N36,NoMetricMessage)</f>
        <v>0.149412</v>
      </c>
    </row>
    <row r="139" spans="1:2" ht="15">
      <c r="A139" s="34" t="s">
        <v>114</v>
      </c>
      <c r="B139" s="48">
        <f>_xlfn.IFERROR(AVERAGE(Vertices[Eigenvector Centrality]),NoMetricMessage)</f>
        <v>0.003623192028985508</v>
      </c>
    </row>
    <row r="140" spans="1:2" ht="15">
      <c r="A140" s="34" t="s">
        <v>115</v>
      </c>
      <c r="B140" s="48">
        <f>_xlfn.IFERROR(MEDIAN(Vertices[Eigenvector Centrality]),NoMetricMessage)</f>
        <v>0</v>
      </c>
    </row>
    <row r="151" spans="1:2" ht="15">
      <c r="A151" s="34" t="s">
        <v>140</v>
      </c>
      <c r="B151" s="48">
        <f>IF(COUNT(Vertices[PageRank])&gt;0,P2,NoMetricMessage)</f>
        <v>0.44027</v>
      </c>
    </row>
    <row r="152" spans="1:2" ht="15">
      <c r="A152" s="34" t="s">
        <v>141</v>
      </c>
      <c r="B152" s="48">
        <f>IF(COUNT(Vertices[PageRank])&gt;0,P36,NoMetricMessage)</f>
        <v>6.65631</v>
      </c>
    </row>
    <row r="153" spans="1:2" ht="15">
      <c r="A153" s="34" t="s">
        <v>142</v>
      </c>
      <c r="B153" s="48">
        <f>_xlfn.IFERROR(AVERAGE(Vertices[PageRank]),NoMetricMessage)</f>
        <v>0.9999980289855095</v>
      </c>
    </row>
    <row r="154" spans="1:2" ht="15">
      <c r="A154" s="34" t="s">
        <v>143</v>
      </c>
      <c r="B154" s="48">
        <f>_xlfn.IFERROR(MEDIAN(Vertices[PageRank]),NoMetricMessage)</f>
        <v>0.999998</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0.004844238420005683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v>
      </c>
    </row>
    <row r="6" spans="1:18" ht="409.5">
      <c r="A6">
        <v>0</v>
      </c>
      <c r="B6" s="1" t="s">
        <v>136</v>
      </c>
      <c r="C6">
        <v>1</v>
      </c>
      <c r="D6" t="s">
        <v>59</v>
      </c>
      <c r="E6" t="s">
        <v>59</v>
      </c>
      <c r="F6">
        <v>0</v>
      </c>
      <c r="H6" t="s">
        <v>71</v>
      </c>
      <c r="J6" t="s">
        <v>173</v>
      </c>
      <c r="K6" s="13" t="s">
        <v>193</v>
      </c>
      <c r="R6" t="s">
        <v>129</v>
      </c>
    </row>
    <row r="7" spans="1:11" ht="409.5">
      <c r="A7">
        <v>2</v>
      </c>
      <c r="B7">
        <v>1</v>
      </c>
      <c r="C7">
        <v>0</v>
      </c>
      <c r="D7" t="s">
        <v>60</v>
      </c>
      <c r="E7" t="s">
        <v>60</v>
      </c>
      <c r="F7">
        <v>2</v>
      </c>
      <c r="H7" t="s">
        <v>72</v>
      </c>
      <c r="J7" t="s">
        <v>174</v>
      </c>
      <c r="K7" s="13" t="s">
        <v>194</v>
      </c>
    </row>
    <row r="8" spans="1:11" ht="409.5">
      <c r="A8"/>
      <c r="B8">
        <v>2</v>
      </c>
      <c r="C8">
        <v>2</v>
      </c>
      <c r="D8" t="s">
        <v>61</v>
      </c>
      <c r="E8" t="s">
        <v>61</v>
      </c>
      <c r="H8" t="s">
        <v>73</v>
      </c>
      <c r="J8" t="s">
        <v>175</v>
      </c>
      <c r="K8" s="65" t="s">
        <v>195</v>
      </c>
    </row>
    <row r="9" spans="1:11" ht="409.5">
      <c r="A9"/>
      <c r="B9">
        <v>3</v>
      </c>
      <c r="C9">
        <v>4</v>
      </c>
      <c r="D9" t="s">
        <v>62</v>
      </c>
      <c r="E9" t="s">
        <v>62</v>
      </c>
      <c r="H9" t="s">
        <v>74</v>
      </c>
      <c r="J9" t="s">
        <v>176</v>
      </c>
      <c r="K9" s="13"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13" t="s">
        <v>207</v>
      </c>
    </row>
    <row r="21" spans="4:11" ht="409.5">
      <c r="D21">
        <v>9</v>
      </c>
      <c r="H21">
        <v>9</v>
      </c>
      <c r="J21" t="s">
        <v>188</v>
      </c>
      <c r="K21" s="13" t="s">
        <v>208</v>
      </c>
    </row>
    <row r="22" spans="4:11" ht="409.5">
      <c r="D22">
        <v>10</v>
      </c>
      <c r="J22" t="s">
        <v>189</v>
      </c>
      <c r="K22" s="13" t="s">
        <v>209</v>
      </c>
    </row>
    <row r="23" spans="4:11" ht="15">
      <c r="D23">
        <v>11</v>
      </c>
      <c r="J23" t="s">
        <v>190</v>
      </c>
      <c r="K23">
        <v>18</v>
      </c>
    </row>
    <row r="24" spans="10:11" ht="15">
      <c r="J24" t="s">
        <v>210</v>
      </c>
      <c r="K24" t="s">
        <v>4531</v>
      </c>
    </row>
    <row r="25" spans="10:11" ht="409.5">
      <c r="J25" t="s">
        <v>211</v>
      </c>
      <c r="K25" s="13" t="s">
        <v>4533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AEA04-7A2D-4C5A-B682-55B9C1AF3FDC}">
  <dimension ref="A1:V98"/>
  <sheetViews>
    <sheetView workbookViewId="0" topLeftCell="A1"/>
  </sheetViews>
  <sheetFormatPr defaultColWidth="9.140625" defaultRowHeight="15"/>
  <cols>
    <col min="1" max="1" width="39.57421875" style="0" customWidth="1"/>
    <col min="2" max="2" width="17.421875" style="0" bestFit="1" customWidth="1"/>
    <col min="3" max="3" width="29.57421875" style="0" customWidth="1"/>
    <col min="4" max="4" width="10.00390625" style="0" bestFit="1" customWidth="1"/>
    <col min="5" max="5" width="29.57421875" style="0" customWidth="1"/>
    <col min="6" max="6" width="10.00390625" style="0" bestFit="1" customWidth="1"/>
    <col min="7" max="7" width="29.57421875" style="0" customWidth="1"/>
    <col min="8" max="8" width="10.00390625" style="0" bestFit="1" customWidth="1"/>
    <col min="9" max="9" width="29.57421875" style="0" customWidth="1"/>
    <col min="10" max="10" width="10.00390625" style="0" bestFit="1" customWidth="1"/>
    <col min="11" max="11" width="29.57421875" style="0" customWidth="1"/>
    <col min="12" max="12" width="10.00390625" style="0" bestFit="1" customWidth="1"/>
    <col min="13" max="13" width="29.57421875" style="0" customWidth="1"/>
    <col min="14" max="14" width="10.00390625" style="0" bestFit="1" customWidth="1"/>
    <col min="15" max="15" width="29.57421875" style="0" customWidth="1"/>
    <col min="16" max="16" width="10.00390625" style="0" bestFit="1" customWidth="1"/>
    <col min="17" max="17" width="29.57421875" style="0" customWidth="1"/>
    <col min="18" max="18" width="10.00390625" style="0" bestFit="1" customWidth="1"/>
    <col min="19" max="19" width="29.57421875" style="0" customWidth="1"/>
    <col min="20" max="20" width="10.00390625" style="0" bestFit="1" customWidth="1"/>
    <col min="21" max="21" width="30.57421875" style="0" customWidth="1"/>
    <col min="22" max="22" width="11.00390625" style="0" bestFit="1" customWidth="1"/>
  </cols>
  <sheetData>
    <row r="1" spans="1:22" ht="15" customHeight="1">
      <c r="A1" s="13" t="s">
        <v>3203</v>
      </c>
      <c r="B1" s="13" t="s">
        <v>3213</v>
      </c>
      <c r="C1" s="13" t="s">
        <v>3214</v>
      </c>
      <c r="D1" s="13" t="s">
        <v>3218</v>
      </c>
      <c r="E1" s="13" t="s">
        <v>3217</v>
      </c>
      <c r="F1" s="13" t="s">
        <v>3225</v>
      </c>
      <c r="G1" s="13" t="s">
        <v>3224</v>
      </c>
      <c r="H1" s="13" t="s">
        <v>3232</v>
      </c>
      <c r="I1" s="13" t="s">
        <v>3231</v>
      </c>
      <c r="J1" s="13" t="s">
        <v>3243</v>
      </c>
      <c r="K1" s="13" t="s">
        <v>3242</v>
      </c>
      <c r="L1" s="13" t="s">
        <v>3253</v>
      </c>
      <c r="M1" s="13" t="s">
        <v>3252</v>
      </c>
      <c r="N1" s="13" t="s">
        <v>3257</v>
      </c>
      <c r="O1" s="81" t="s">
        <v>3256</v>
      </c>
      <c r="P1" s="81" t="s">
        <v>3259</v>
      </c>
      <c r="Q1" s="81" t="s">
        <v>3258</v>
      </c>
      <c r="R1" s="81" t="s">
        <v>3261</v>
      </c>
      <c r="S1" s="81" t="s">
        <v>3260</v>
      </c>
      <c r="T1" s="81" t="s">
        <v>3263</v>
      </c>
      <c r="U1" s="13" t="s">
        <v>3262</v>
      </c>
      <c r="V1" s="13" t="s">
        <v>3265</v>
      </c>
    </row>
    <row r="2" spans="1:22" ht="15">
      <c r="A2" s="88" t="s">
        <v>3204</v>
      </c>
      <c r="B2" s="81">
        <v>32</v>
      </c>
      <c r="C2" s="88" t="s">
        <v>3204</v>
      </c>
      <c r="D2" s="81">
        <v>25</v>
      </c>
      <c r="E2" s="88" t="s">
        <v>890</v>
      </c>
      <c r="F2" s="81">
        <v>2</v>
      </c>
      <c r="G2" s="88" t="s">
        <v>3226</v>
      </c>
      <c r="H2" s="81">
        <v>1</v>
      </c>
      <c r="I2" s="88" t="s">
        <v>3228</v>
      </c>
      <c r="J2" s="81">
        <v>1</v>
      </c>
      <c r="K2" s="88" t="s">
        <v>3204</v>
      </c>
      <c r="L2" s="81">
        <v>6</v>
      </c>
      <c r="M2" s="88" t="s">
        <v>3254</v>
      </c>
      <c r="N2" s="81">
        <v>2</v>
      </c>
      <c r="O2" s="81"/>
      <c r="P2" s="81"/>
      <c r="Q2" s="81"/>
      <c r="R2" s="81"/>
      <c r="S2" s="81"/>
      <c r="T2" s="81"/>
      <c r="U2" s="88" t="s">
        <v>3264</v>
      </c>
      <c r="V2" s="81">
        <v>1</v>
      </c>
    </row>
    <row r="3" spans="1:22" ht="15">
      <c r="A3" s="85" t="s">
        <v>3205</v>
      </c>
      <c r="B3" s="81">
        <v>10</v>
      </c>
      <c r="C3" s="88" t="s">
        <v>3205</v>
      </c>
      <c r="D3" s="81">
        <v>8</v>
      </c>
      <c r="E3" s="88" t="s">
        <v>3205</v>
      </c>
      <c r="F3" s="81">
        <v>2</v>
      </c>
      <c r="G3" s="88" t="s">
        <v>3227</v>
      </c>
      <c r="H3" s="81">
        <v>1</v>
      </c>
      <c r="I3" s="88" t="s">
        <v>3233</v>
      </c>
      <c r="J3" s="81">
        <v>1</v>
      </c>
      <c r="K3" s="88" t="s">
        <v>3212</v>
      </c>
      <c r="L3" s="81">
        <v>2</v>
      </c>
      <c r="M3" s="88" t="s">
        <v>3255</v>
      </c>
      <c r="N3" s="81">
        <v>1</v>
      </c>
      <c r="O3" s="81"/>
      <c r="P3" s="81"/>
      <c r="Q3" s="81"/>
      <c r="R3" s="81"/>
      <c r="S3" s="81"/>
      <c r="T3" s="81"/>
      <c r="U3" s="81"/>
      <c r="V3" s="81"/>
    </row>
    <row r="4" spans="1:22" ht="15">
      <c r="A4" s="85" t="s">
        <v>3206</v>
      </c>
      <c r="B4" s="81">
        <v>5</v>
      </c>
      <c r="C4" s="88" t="s">
        <v>3206</v>
      </c>
      <c r="D4" s="81">
        <v>5</v>
      </c>
      <c r="E4" s="88" t="s">
        <v>3219</v>
      </c>
      <c r="F4" s="81">
        <v>1</v>
      </c>
      <c r="G4" s="88" t="s">
        <v>3228</v>
      </c>
      <c r="H4" s="81">
        <v>1</v>
      </c>
      <c r="I4" s="88" t="s">
        <v>3234</v>
      </c>
      <c r="J4" s="81">
        <v>1</v>
      </c>
      <c r="K4" s="88" t="s">
        <v>3244</v>
      </c>
      <c r="L4" s="81">
        <v>1</v>
      </c>
      <c r="M4" s="81"/>
      <c r="N4" s="81"/>
      <c r="O4" s="81"/>
      <c r="P4" s="81"/>
      <c r="Q4" s="81"/>
      <c r="R4" s="81"/>
      <c r="S4" s="81"/>
      <c r="T4" s="81"/>
      <c r="U4" s="81"/>
      <c r="V4" s="81"/>
    </row>
    <row r="5" spans="1:22" ht="15">
      <c r="A5" s="85" t="s">
        <v>3207</v>
      </c>
      <c r="B5" s="81">
        <v>4</v>
      </c>
      <c r="C5" s="88" t="s">
        <v>3207</v>
      </c>
      <c r="D5" s="81">
        <v>4</v>
      </c>
      <c r="E5" s="88" t="s">
        <v>3220</v>
      </c>
      <c r="F5" s="81">
        <v>1</v>
      </c>
      <c r="G5" s="88" t="s">
        <v>3229</v>
      </c>
      <c r="H5" s="81">
        <v>1</v>
      </c>
      <c r="I5" s="88" t="s">
        <v>3235</v>
      </c>
      <c r="J5" s="81">
        <v>1</v>
      </c>
      <c r="K5" s="88" t="s">
        <v>3245</v>
      </c>
      <c r="L5" s="81">
        <v>1</v>
      </c>
      <c r="M5" s="81"/>
      <c r="N5" s="81"/>
      <c r="O5" s="81"/>
      <c r="P5" s="81"/>
      <c r="Q5" s="81"/>
      <c r="R5" s="81"/>
      <c r="S5" s="81"/>
      <c r="T5" s="81"/>
      <c r="U5" s="81"/>
      <c r="V5" s="81"/>
    </row>
    <row r="6" spans="1:22" ht="15">
      <c r="A6" s="85" t="s">
        <v>3208</v>
      </c>
      <c r="B6" s="81">
        <v>3</v>
      </c>
      <c r="C6" s="88" t="s">
        <v>3210</v>
      </c>
      <c r="D6" s="81">
        <v>3</v>
      </c>
      <c r="E6" s="88" t="s">
        <v>3221</v>
      </c>
      <c r="F6" s="81">
        <v>1</v>
      </c>
      <c r="G6" s="88" t="s">
        <v>3230</v>
      </c>
      <c r="H6" s="81">
        <v>1</v>
      </c>
      <c r="I6" s="88" t="s">
        <v>3236</v>
      </c>
      <c r="J6" s="81">
        <v>1</v>
      </c>
      <c r="K6" s="88" t="s">
        <v>3246</v>
      </c>
      <c r="L6" s="81">
        <v>1</v>
      </c>
      <c r="M6" s="81"/>
      <c r="N6" s="81"/>
      <c r="O6" s="81"/>
      <c r="P6" s="81"/>
      <c r="Q6" s="81"/>
      <c r="R6" s="81"/>
      <c r="S6" s="81"/>
      <c r="T6" s="81"/>
      <c r="U6" s="81"/>
      <c r="V6" s="81"/>
    </row>
    <row r="7" spans="1:22" ht="15">
      <c r="A7" s="85" t="s">
        <v>3209</v>
      </c>
      <c r="B7" s="81">
        <v>3</v>
      </c>
      <c r="C7" s="88" t="s">
        <v>3211</v>
      </c>
      <c r="D7" s="81">
        <v>3</v>
      </c>
      <c r="E7" s="88" t="s">
        <v>3222</v>
      </c>
      <c r="F7" s="81">
        <v>1</v>
      </c>
      <c r="G7" s="81"/>
      <c r="H7" s="81"/>
      <c r="I7" s="88" t="s">
        <v>3237</v>
      </c>
      <c r="J7" s="81">
        <v>1</v>
      </c>
      <c r="K7" s="88" t="s">
        <v>3247</v>
      </c>
      <c r="L7" s="81">
        <v>1</v>
      </c>
      <c r="M7" s="81"/>
      <c r="N7" s="81"/>
      <c r="O7" s="81"/>
      <c r="P7" s="81"/>
      <c r="Q7" s="81"/>
      <c r="R7" s="81"/>
      <c r="S7" s="81"/>
      <c r="T7" s="81"/>
      <c r="U7" s="81"/>
      <c r="V7" s="81"/>
    </row>
    <row r="8" spans="1:22" ht="15">
      <c r="A8" s="85" t="s">
        <v>3210</v>
      </c>
      <c r="B8" s="81">
        <v>3</v>
      </c>
      <c r="C8" s="88" t="s">
        <v>3208</v>
      </c>
      <c r="D8" s="81">
        <v>3</v>
      </c>
      <c r="E8" s="88" t="s">
        <v>3223</v>
      </c>
      <c r="F8" s="81">
        <v>1</v>
      </c>
      <c r="G8" s="81"/>
      <c r="H8" s="81"/>
      <c r="I8" s="88" t="s">
        <v>3238</v>
      </c>
      <c r="J8" s="81">
        <v>1</v>
      </c>
      <c r="K8" s="88" t="s">
        <v>3248</v>
      </c>
      <c r="L8" s="81">
        <v>1</v>
      </c>
      <c r="M8" s="81"/>
      <c r="N8" s="81"/>
      <c r="O8" s="81"/>
      <c r="P8" s="81"/>
      <c r="Q8" s="81"/>
      <c r="R8" s="81"/>
      <c r="S8" s="81"/>
      <c r="T8" s="81"/>
      <c r="U8" s="81"/>
      <c r="V8" s="81"/>
    </row>
    <row r="9" spans="1:22" ht="15">
      <c r="A9" s="85" t="s">
        <v>3211</v>
      </c>
      <c r="B9" s="81">
        <v>3</v>
      </c>
      <c r="C9" s="88" t="s">
        <v>3209</v>
      </c>
      <c r="D9" s="81">
        <v>3</v>
      </c>
      <c r="E9" s="81"/>
      <c r="F9" s="81"/>
      <c r="G9" s="81"/>
      <c r="H9" s="81"/>
      <c r="I9" s="88" t="s">
        <v>3239</v>
      </c>
      <c r="J9" s="81">
        <v>1</v>
      </c>
      <c r="K9" s="88" t="s">
        <v>3249</v>
      </c>
      <c r="L9" s="81">
        <v>1</v>
      </c>
      <c r="M9" s="81"/>
      <c r="N9" s="81"/>
      <c r="O9" s="81"/>
      <c r="P9" s="81"/>
      <c r="Q9" s="81"/>
      <c r="R9" s="81"/>
      <c r="S9" s="81"/>
      <c r="T9" s="81"/>
      <c r="U9" s="81"/>
      <c r="V9" s="81"/>
    </row>
    <row r="10" spans="1:22" ht="15">
      <c r="A10" s="85" t="s">
        <v>3212</v>
      </c>
      <c r="B10" s="81">
        <v>3</v>
      </c>
      <c r="C10" s="88" t="s">
        <v>3215</v>
      </c>
      <c r="D10" s="81">
        <v>2</v>
      </c>
      <c r="E10" s="81"/>
      <c r="F10" s="81"/>
      <c r="G10" s="81"/>
      <c r="H10" s="81"/>
      <c r="I10" s="88" t="s">
        <v>3240</v>
      </c>
      <c r="J10" s="81">
        <v>1</v>
      </c>
      <c r="K10" s="88" t="s">
        <v>3250</v>
      </c>
      <c r="L10" s="81">
        <v>1</v>
      </c>
      <c r="M10" s="81"/>
      <c r="N10" s="81"/>
      <c r="O10" s="81"/>
      <c r="P10" s="81"/>
      <c r="Q10" s="81"/>
      <c r="R10" s="81"/>
      <c r="S10" s="81"/>
      <c r="T10" s="81"/>
      <c r="U10" s="81"/>
      <c r="V10" s="81"/>
    </row>
    <row r="11" spans="1:22" ht="15">
      <c r="A11" s="85" t="s">
        <v>890</v>
      </c>
      <c r="B11" s="81">
        <v>3</v>
      </c>
      <c r="C11" s="88" t="s">
        <v>3216</v>
      </c>
      <c r="D11" s="81">
        <v>2</v>
      </c>
      <c r="E11" s="81"/>
      <c r="F11" s="81"/>
      <c r="G11" s="81"/>
      <c r="H11" s="81"/>
      <c r="I11" s="88" t="s">
        <v>3241</v>
      </c>
      <c r="J11" s="81">
        <v>1</v>
      </c>
      <c r="K11" s="88" t="s">
        <v>3251</v>
      </c>
      <c r="L11" s="81">
        <v>1</v>
      </c>
      <c r="M11" s="81"/>
      <c r="N11" s="81"/>
      <c r="O11" s="81"/>
      <c r="P11" s="81"/>
      <c r="Q11" s="81"/>
      <c r="R11" s="81"/>
      <c r="S11" s="81"/>
      <c r="T11" s="81"/>
      <c r="U11" s="81"/>
      <c r="V11" s="81"/>
    </row>
    <row r="14" spans="1:22" ht="15" customHeight="1">
      <c r="A14" s="13" t="s">
        <v>3281</v>
      </c>
      <c r="B14" s="13" t="s">
        <v>3213</v>
      </c>
      <c r="C14" s="13" t="s">
        <v>3282</v>
      </c>
      <c r="D14" s="13" t="s">
        <v>3218</v>
      </c>
      <c r="E14" s="13" t="s">
        <v>3283</v>
      </c>
      <c r="F14" s="13" t="s">
        <v>3225</v>
      </c>
      <c r="G14" s="13" t="s">
        <v>3284</v>
      </c>
      <c r="H14" s="13" t="s">
        <v>3232</v>
      </c>
      <c r="I14" s="13" t="s">
        <v>3285</v>
      </c>
      <c r="J14" s="13" t="s">
        <v>3243</v>
      </c>
      <c r="K14" s="13" t="s">
        <v>3287</v>
      </c>
      <c r="L14" s="13" t="s">
        <v>3253</v>
      </c>
      <c r="M14" s="13" t="s">
        <v>3288</v>
      </c>
      <c r="N14" s="13" t="s">
        <v>3257</v>
      </c>
      <c r="O14" s="81" t="s">
        <v>3289</v>
      </c>
      <c r="P14" s="81" t="s">
        <v>3259</v>
      </c>
      <c r="Q14" s="81" t="s">
        <v>3290</v>
      </c>
      <c r="R14" s="81" t="s">
        <v>3261</v>
      </c>
      <c r="S14" s="81" t="s">
        <v>3291</v>
      </c>
      <c r="T14" s="81" t="s">
        <v>3263</v>
      </c>
      <c r="U14" s="13" t="s">
        <v>3292</v>
      </c>
      <c r="V14" s="13" t="s">
        <v>3265</v>
      </c>
    </row>
    <row r="15" spans="1:22" ht="15">
      <c r="A15" s="81" t="s">
        <v>903</v>
      </c>
      <c r="B15" s="81">
        <v>56</v>
      </c>
      <c r="C15" s="81" t="s">
        <v>903</v>
      </c>
      <c r="D15" s="81">
        <v>41</v>
      </c>
      <c r="E15" s="81" t="s">
        <v>914</v>
      </c>
      <c r="F15" s="81">
        <v>5</v>
      </c>
      <c r="G15" s="81" t="s">
        <v>914</v>
      </c>
      <c r="H15" s="81">
        <v>1</v>
      </c>
      <c r="I15" s="81" t="s">
        <v>933</v>
      </c>
      <c r="J15" s="81">
        <v>2</v>
      </c>
      <c r="K15" s="81" t="s">
        <v>903</v>
      </c>
      <c r="L15" s="81">
        <v>13</v>
      </c>
      <c r="M15" s="81" t="s">
        <v>914</v>
      </c>
      <c r="N15" s="81">
        <v>3</v>
      </c>
      <c r="O15" s="81"/>
      <c r="P15" s="81"/>
      <c r="Q15" s="81"/>
      <c r="R15" s="81"/>
      <c r="S15" s="81"/>
      <c r="T15" s="81"/>
      <c r="U15" s="81" t="s">
        <v>914</v>
      </c>
      <c r="V15" s="81">
        <v>1</v>
      </c>
    </row>
    <row r="16" spans="1:22" ht="15">
      <c r="A16" s="82" t="s">
        <v>914</v>
      </c>
      <c r="B16" s="81">
        <v>31</v>
      </c>
      <c r="C16" s="81" t="s">
        <v>905</v>
      </c>
      <c r="D16" s="81">
        <v>16</v>
      </c>
      <c r="E16" s="81" t="s">
        <v>904</v>
      </c>
      <c r="F16" s="81">
        <v>2</v>
      </c>
      <c r="G16" s="81" t="s">
        <v>912</v>
      </c>
      <c r="H16" s="81">
        <v>1</v>
      </c>
      <c r="I16" s="81" t="s">
        <v>934</v>
      </c>
      <c r="J16" s="81">
        <v>2</v>
      </c>
      <c r="K16" s="81" t="s">
        <v>906</v>
      </c>
      <c r="L16" s="81">
        <v>2</v>
      </c>
      <c r="M16" s="81"/>
      <c r="N16" s="81"/>
      <c r="O16" s="81"/>
      <c r="P16" s="81"/>
      <c r="Q16" s="81"/>
      <c r="R16" s="81"/>
      <c r="S16" s="81"/>
      <c r="T16" s="81"/>
      <c r="U16" s="81"/>
      <c r="V16" s="81"/>
    </row>
    <row r="17" spans="1:22" ht="15">
      <c r="A17" s="82" t="s">
        <v>905</v>
      </c>
      <c r="B17" s="81">
        <v>16</v>
      </c>
      <c r="C17" s="81" t="s">
        <v>914</v>
      </c>
      <c r="D17" s="81">
        <v>13</v>
      </c>
      <c r="E17" s="81" t="s">
        <v>902</v>
      </c>
      <c r="F17" s="81">
        <v>2</v>
      </c>
      <c r="G17" s="81" t="s">
        <v>922</v>
      </c>
      <c r="H17" s="81">
        <v>1</v>
      </c>
      <c r="I17" s="81" t="s">
        <v>909</v>
      </c>
      <c r="J17" s="81">
        <v>2</v>
      </c>
      <c r="K17" s="81" t="s">
        <v>923</v>
      </c>
      <c r="L17" s="81">
        <v>1</v>
      </c>
      <c r="M17" s="81"/>
      <c r="N17" s="81"/>
      <c r="O17" s="81"/>
      <c r="P17" s="81"/>
      <c r="Q17" s="81"/>
      <c r="R17" s="81"/>
      <c r="S17" s="81"/>
      <c r="T17" s="81"/>
      <c r="U17" s="81"/>
      <c r="V17" s="81"/>
    </row>
    <row r="18" spans="1:22" ht="15">
      <c r="A18" s="82" t="s">
        <v>902</v>
      </c>
      <c r="B18" s="81">
        <v>10</v>
      </c>
      <c r="C18" s="81" t="s">
        <v>902</v>
      </c>
      <c r="D18" s="81">
        <v>8</v>
      </c>
      <c r="E18" s="81"/>
      <c r="F18" s="81"/>
      <c r="G18" s="81" t="s">
        <v>919</v>
      </c>
      <c r="H18" s="81">
        <v>1</v>
      </c>
      <c r="I18" s="81" t="s">
        <v>931</v>
      </c>
      <c r="J18" s="81">
        <v>2</v>
      </c>
      <c r="K18" s="81" t="s">
        <v>914</v>
      </c>
      <c r="L18" s="81">
        <v>1</v>
      </c>
      <c r="M18" s="81"/>
      <c r="N18" s="81"/>
      <c r="O18" s="81"/>
      <c r="P18" s="81"/>
      <c r="Q18" s="81"/>
      <c r="R18" s="81"/>
      <c r="S18" s="81"/>
      <c r="T18" s="81"/>
      <c r="U18" s="81"/>
      <c r="V18" s="81"/>
    </row>
    <row r="19" spans="1:22" ht="15">
      <c r="A19" s="82" t="s">
        <v>912</v>
      </c>
      <c r="B19" s="81">
        <v>8</v>
      </c>
      <c r="C19" s="81" t="s">
        <v>912</v>
      </c>
      <c r="D19" s="81">
        <v>4</v>
      </c>
      <c r="E19" s="81"/>
      <c r="F19" s="81"/>
      <c r="G19" s="81" t="s">
        <v>915</v>
      </c>
      <c r="H19" s="81">
        <v>1</v>
      </c>
      <c r="I19" s="81" t="s">
        <v>922</v>
      </c>
      <c r="J19" s="81">
        <v>1</v>
      </c>
      <c r="K19" s="81"/>
      <c r="L19" s="81"/>
      <c r="M19" s="81"/>
      <c r="N19" s="81"/>
      <c r="O19" s="81"/>
      <c r="P19" s="81"/>
      <c r="Q19" s="81"/>
      <c r="R19" s="81"/>
      <c r="S19" s="81"/>
      <c r="T19" s="81"/>
      <c r="U19" s="81"/>
      <c r="V19" s="81"/>
    </row>
    <row r="20" spans="1:22" ht="15">
      <c r="A20" s="82" t="s">
        <v>921</v>
      </c>
      <c r="B20" s="81">
        <v>4</v>
      </c>
      <c r="C20" s="81" t="s">
        <v>921</v>
      </c>
      <c r="D20" s="81">
        <v>3</v>
      </c>
      <c r="E20" s="81"/>
      <c r="F20" s="81"/>
      <c r="G20" s="81"/>
      <c r="H20" s="81"/>
      <c r="I20" s="81" t="s">
        <v>935</v>
      </c>
      <c r="J20" s="81">
        <v>1</v>
      </c>
      <c r="K20" s="81"/>
      <c r="L20" s="81"/>
      <c r="M20" s="81"/>
      <c r="N20" s="81"/>
      <c r="O20" s="81"/>
      <c r="P20" s="81"/>
      <c r="Q20" s="81"/>
      <c r="R20" s="81"/>
      <c r="S20" s="81"/>
      <c r="T20" s="81"/>
      <c r="U20" s="81"/>
      <c r="V20" s="81"/>
    </row>
    <row r="21" spans="1:22" ht="15">
      <c r="A21" s="82" t="s">
        <v>915</v>
      </c>
      <c r="B21" s="81">
        <v>4</v>
      </c>
      <c r="C21" s="81" t="s">
        <v>928</v>
      </c>
      <c r="D21" s="81">
        <v>3</v>
      </c>
      <c r="E21" s="81"/>
      <c r="F21" s="81"/>
      <c r="G21" s="81"/>
      <c r="H21" s="81"/>
      <c r="I21" s="81" t="s">
        <v>3286</v>
      </c>
      <c r="J21" s="81">
        <v>1</v>
      </c>
      <c r="K21" s="81"/>
      <c r="L21" s="81"/>
      <c r="M21" s="81"/>
      <c r="N21" s="81"/>
      <c r="O21" s="81"/>
      <c r="P21" s="81"/>
      <c r="Q21" s="81"/>
      <c r="R21" s="81"/>
      <c r="S21" s="81"/>
      <c r="T21" s="81"/>
      <c r="U21" s="81"/>
      <c r="V21" s="81"/>
    </row>
    <row r="22" spans="1:22" ht="15">
      <c r="A22" s="82" t="s">
        <v>931</v>
      </c>
      <c r="B22" s="81">
        <v>3</v>
      </c>
      <c r="C22" s="81" t="s">
        <v>915</v>
      </c>
      <c r="D22" s="81">
        <v>3</v>
      </c>
      <c r="E22" s="81"/>
      <c r="F22" s="81"/>
      <c r="G22" s="81"/>
      <c r="H22" s="81"/>
      <c r="I22" s="81" t="s">
        <v>937</v>
      </c>
      <c r="J22" s="81">
        <v>1</v>
      </c>
      <c r="K22" s="81"/>
      <c r="L22" s="81"/>
      <c r="M22" s="81"/>
      <c r="N22" s="81"/>
      <c r="O22" s="81"/>
      <c r="P22" s="81"/>
      <c r="Q22" s="81"/>
      <c r="R22" s="81"/>
      <c r="S22" s="81"/>
      <c r="T22" s="81"/>
      <c r="U22" s="81"/>
      <c r="V22" s="81"/>
    </row>
    <row r="23" spans="1:22" ht="15">
      <c r="A23" s="82" t="s">
        <v>910</v>
      </c>
      <c r="B23" s="81">
        <v>3</v>
      </c>
      <c r="C23" s="81" t="s">
        <v>901</v>
      </c>
      <c r="D23" s="81">
        <v>2</v>
      </c>
      <c r="E23" s="81"/>
      <c r="F23" s="81"/>
      <c r="G23" s="81"/>
      <c r="H23" s="81"/>
      <c r="I23" s="81" t="s">
        <v>914</v>
      </c>
      <c r="J23" s="81">
        <v>1</v>
      </c>
      <c r="K23" s="81"/>
      <c r="L23" s="81"/>
      <c r="M23" s="81"/>
      <c r="N23" s="81"/>
      <c r="O23" s="81"/>
      <c r="P23" s="81"/>
      <c r="Q23" s="81"/>
      <c r="R23" s="81"/>
      <c r="S23" s="81"/>
      <c r="T23" s="81"/>
      <c r="U23" s="81"/>
      <c r="V23" s="81"/>
    </row>
    <row r="24" spans="1:22" ht="15">
      <c r="A24" s="82" t="s">
        <v>909</v>
      </c>
      <c r="B24" s="81">
        <v>3</v>
      </c>
      <c r="C24" s="81" t="s">
        <v>910</v>
      </c>
      <c r="D24" s="81">
        <v>2</v>
      </c>
      <c r="E24" s="81"/>
      <c r="F24" s="81"/>
      <c r="G24" s="81"/>
      <c r="H24" s="81"/>
      <c r="I24" s="81" t="s">
        <v>938</v>
      </c>
      <c r="J24" s="81">
        <v>1</v>
      </c>
      <c r="K24" s="81"/>
      <c r="L24" s="81"/>
      <c r="M24" s="81"/>
      <c r="N24" s="81"/>
      <c r="O24" s="81"/>
      <c r="P24" s="81"/>
      <c r="Q24" s="81"/>
      <c r="R24" s="81"/>
      <c r="S24" s="81"/>
      <c r="T24" s="81"/>
      <c r="U24" s="81"/>
      <c r="V24" s="81"/>
    </row>
    <row r="27" spans="1:22" ht="15" customHeight="1">
      <c r="A27" s="13" t="s">
        <v>3300</v>
      </c>
      <c r="B27" s="13" t="s">
        <v>3213</v>
      </c>
      <c r="C27" s="13" t="s">
        <v>3308</v>
      </c>
      <c r="D27" s="13" t="s">
        <v>3218</v>
      </c>
      <c r="E27" s="13" t="s">
        <v>3313</v>
      </c>
      <c r="F27" s="13" t="s">
        <v>3225</v>
      </c>
      <c r="G27" s="13" t="s">
        <v>3317</v>
      </c>
      <c r="H27" s="13" t="s">
        <v>3232</v>
      </c>
      <c r="I27" s="13" t="s">
        <v>3320</v>
      </c>
      <c r="J27" s="13" t="s">
        <v>3243</v>
      </c>
      <c r="K27" s="13" t="s">
        <v>3325</v>
      </c>
      <c r="L27" s="13" t="s">
        <v>3253</v>
      </c>
      <c r="M27" s="13" t="s">
        <v>3330</v>
      </c>
      <c r="N27" s="13" t="s">
        <v>3257</v>
      </c>
      <c r="O27" s="13" t="s">
        <v>3333</v>
      </c>
      <c r="P27" s="13" t="s">
        <v>3259</v>
      </c>
      <c r="Q27" s="13" t="s">
        <v>3334</v>
      </c>
      <c r="R27" s="13" t="s">
        <v>3261</v>
      </c>
      <c r="S27" s="13" t="s">
        <v>3336</v>
      </c>
      <c r="T27" s="13" t="s">
        <v>3263</v>
      </c>
      <c r="U27" s="13" t="s">
        <v>3338</v>
      </c>
      <c r="V27" s="13" t="s">
        <v>3265</v>
      </c>
    </row>
    <row r="28" spans="1:22" ht="15">
      <c r="A28" s="81" t="s">
        <v>1005</v>
      </c>
      <c r="B28" s="81">
        <v>218</v>
      </c>
      <c r="C28" s="81" t="s">
        <v>3301</v>
      </c>
      <c r="D28" s="81">
        <v>152</v>
      </c>
      <c r="E28" s="81" t="s">
        <v>3301</v>
      </c>
      <c r="F28" s="81">
        <v>26</v>
      </c>
      <c r="G28" s="81" t="s">
        <v>3301</v>
      </c>
      <c r="H28" s="81">
        <v>5</v>
      </c>
      <c r="I28" s="81" t="s">
        <v>1005</v>
      </c>
      <c r="J28" s="81">
        <v>60</v>
      </c>
      <c r="K28" s="81" t="s">
        <v>957</v>
      </c>
      <c r="L28" s="81">
        <v>19</v>
      </c>
      <c r="M28" s="81" t="s">
        <v>1005</v>
      </c>
      <c r="N28" s="81">
        <v>6</v>
      </c>
      <c r="O28" s="81" t="s">
        <v>3303</v>
      </c>
      <c r="P28" s="81">
        <v>1</v>
      </c>
      <c r="Q28" s="81" t="s">
        <v>3304</v>
      </c>
      <c r="R28" s="81">
        <v>2</v>
      </c>
      <c r="S28" s="81" t="s">
        <v>3314</v>
      </c>
      <c r="T28" s="81">
        <v>2</v>
      </c>
      <c r="U28" s="81" t="s">
        <v>3339</v>
      </c>
      <c r="V28" s="81">
        <v>1</v>
      </c>
    </row>
    <row r="29" spans="1:22" ht="15">
      <c r="A29" s="82" t="s">
        <v>3301</v>
      </c>
      <c r="B29" s="81">
        <v>215</v>
      </c>
      <c r="C29" s="81" t="s">
        <v>957</v>
      </c>
      <c r="D29" s="81">
        <v>142</v>
      </c>
      <c r="E29" s="81" t="s">
        <v>1005</v>
      </c>
      <c r="F29" s="81">
        <v>21</v>
      </c>
      <c r="G29" s="81" t="s">
        <v>957</v>
      </c>
      <c r="H29" s="81">
        <v>5</v>
      </c>
      <c r="I29" s="81" t="s">
        <v>3303</v>
      </c>
      <c r="J29" s="81">
        <v>59</v>
      </c>
      <c r="K29" s="81" t="s">
        <v>3301</v>
      </c>
      <c r="L29" s="81">
        <v>14</v>
      </c>
      <c r="M29" s="81" t="s">
        <v>3301</v>
      </c>
      <c r="N29" s="81">
        <v>5</v>
      </c>
      <c r="O29" s="81" t="s">
        <v>3304</v>
      </c>
      <c r="P29" s="81">
        <v>1</v>
      </c>
      <c r="Q29" s="81" t="s">
        <v>3335</v>
      </c>
      <c r="R29" s="81">
        <v>2</v>
      </c>
      <c r="S29" s="81" t="s">
        <v>3337</v>
      </c>
      <c r="T29" s="81">
        <v>1</v>
      </c>
      <c r="U29" s="81" t="s">
        <v>957</v>
      </c>
      <c r="V29" s="81">
        <v>1</v>
      </c>
    </row>
    <row r="30" spans="1:22" ht="15">
      <c r="A30" s="82" t="s">
        <v>957</v>
      </c>
      <c r="B30" s="81">
        <v>201</v>
      </c>
      <c r="C30" s="81" t="s">
        <v>1005</v>
      </c>
      <c r="D30" s="81">
        <v>120</v>
      </c>
      <c r="E30" s="81" t="s">
        <v>957</v>
      </c>
      <c r="F30" s="81">
        <v>18</v>
      </c>
      <c r="G30" s="81" t="s">
        <v>3303</v>
      </c>
      <c r="H30" s="81">
        <v>5</v>
      </c>
      <c r="I30" s="81" t="s">
        <v>3304</v>
      </c>
      <c r="J30" s="81">
        <v>59</v>
      </c>
      <c r="K30" s="81" t="s">
        <v>3310</v>
      </c>
      <c r="L30" s="81">
        <v>10</v>
      </c>
      <c r="M30" s="81" t="s">
        <v>948</v>
      </c>
      <c r="N30" s="81">
        <v>4</v>
      </c>
      <c r="O30" s="81" t="s">
        <v>1005</v>
      </c>
      <c r="P30" s="81">
        <v>1</v>
      </c>
      <c r="Q30" s="81" t="s">
        <v>948</v>
      </c>
      <c r="R30" s="81">
        <v>2</v>
      </c>
      <c r="S30" s="81" t="s">
        <v>1005</v>
      </c>
      <c r="T30" s="81">
        <v>1</v>
      </c>
      <c r="U30" s="81" t="s">
        <v>3340</v>
      </c>
      <c r="V30" s="81">
        <v>1</v>
      </c>
    </row>
    <row r="31" spans="1:22" ht="15">
      <c r="A31" s="82" t="s">
        <v>948</v>
      </c>
      <c r="B31" s="81">
        <v>137</v>
      </c>
      <c r="C31" s="81" t="s">
        <v>3302</v>
      </c>
      <c r="D31" s="81">
        <v>96</v>
      </c>
      <c r="E31" s="81" t="s">
        <v>3307</v>
      </c>
      <c r="F31" s="81">
        <v>14</v>
      </c>
      <c r="G31" s="81" t="s">
        <v>3314</v>
      </c>
      <c r="H31" s="81">
        <v>4</v>
      </c>
      <c r="I31" s="81" t="s">
        <v>3305</v>
      </c>
      <c r="J31" s="81">
        <v>59</v>
      </c>
      <c r="K31" s="81" t="s">
        <v>3316</v>
      </c>
      <c r="L31" s="81">
        <v>5</v>
      </c>
      <c r="M31" s="81" t="s">
        <v>3331</v>
      </c>
      <c r="N31" s="81">
        <v>2</v>
      </c>
      <c r="O31" s="81"/>
      <c r="P31" s="81"/>
      <c r="Q31" s="81"/>
      <c r="R31" s="81"/>
      <c r="S31" s="81"/>
      <c r="T31" s="81"/>
      <c r="U31" s="81" t="s">
        <v>3341</v>
      </c>
      <c r="V31" s="81">
        <v>1</v>
      </c>
    </row>
    <row r="32" spans="1:22" ht="15">
      <c r="A32" s="82" t="s">
        <v>3302</v>
      </c>
      <c r="B32" s="81">
        <v>113</v>
      </c>
      <c r="C32" s="81" t="s">
        <v>948</v>
      </c>
      <c r="D32" s="81">
        <v>81</v>
      </c>
      <c r="E32" s="81" t="s">
        <v>3314</v>
      </c>
      <c r="F32" s="81">
        <v>13</v>
      </c>
      <c r="G32" s="81" t="s">
        <v>3302</v>
      </c>
      <c r="H32" s="81">
        <v>3</v>
      </c>
      <c r="I32" s="81" t="s">
        <v>948</v>
      </c>
      <c r="J32" s="81">
        <v>31</v>
      </c>
      <c r="K32" s="81" t="s">
        <v>3307</v>
      </c>
      <c r="L32" s="81">
        <v>3</v>
      </c>
      <c r="M32" s="81" t="s">
        <v>3332</v>
      </c>
      <c r="N32" s="81">
        <v>1</v>
      </c>
      <c r="O32" s="81"/>
      <c r="P32" s="81"/>
      <c r="Q32" s="81"/>
      <c r="R32" s="81"/>
      <c r="S32" s="81"/>
      <c r="T32" s="81"/>
      <c r="U32" s="81"/>
      <c r="V32" s="81"/>
    </row>
    <row r="33" spans="1:22" ht="15">
      <c r="A33" s="82" t="s">
        <v>3303</v>
      </c>
      <c r="B33" s="81">
        <v>104</v>
      </c>
      <c r="C33" s="81" t="s">
        <v>3303</v>
      </c>
      <c r="D33" s="81">
        <v>33</v>
      </c>
      <c r="E33" s="81" t="s">
        <v>948</v>
      </c>
      <c r="F33" s="81">
        <v>12</v>
      </c>
      <c r="G33" s="81" t="s">
        <v>3307</v>
      </c>
      <c r="H33" s="81">
        <v>3</v>
      </c>
      <c r="I33" s="81" t="s">
        <v>3321</v>
      </c>
      <c r="J33" s="81">
        <v>9</v>
      </c>
      <c r="K33" s="81" t="s">
        <v>3306</v>
      </c>
      <c r="L33" s="81">
        <v>3</v>
      </c>
      <c r="M33" s="81"/>
      <c r="N33" s="81"/>
      <c r="O33" s="81"/>
      <c r="P33" s="81"/>
      <c r="Q33" s="81"/>
      <c r="R33" s="81"/>
      <c r="S33" s="81"/>
      <c r="T33" s="81"/>
      <c r="U33" s="81"/>
      <c r="V33" s="81"/>
    </row>
    <row r="34" spans="1:22" ht="15">
      <c r="A34" s="82" t="s">
        <v>3304</v>
      </c>
      <c r="B34" s="81">
        <v>67</v>
      </c>
      <c r="C34" s="81" t="s">
        <v>3309</v>
      </c>
      <c r="D34" s="81">
        <v>30</v>
      </c>
      <c r="E34" s="81" t="s">
        <v>3306</v>
      </c>
      <c r="F34" s="81">
        <v>12</v>
      </c>
      <c r="G34" s="81" t="s">
        <v>1005</v>
      </c>
      <c r="H34" s="81">
        <v>3</v>
      </c>
      <c r="I34" s="81" t="s">
        <v>3318</v>
      </c>
      <c r="J34" s="81">
        <v>7</v>
      </c>
      <c r="K34" s="81" t="s">
        <v>3326</v>
      </c>
      <c r="L34" s="81">
        <v>3</v>
      </c>
      <c r="M34" s="81"/>
      <c r="N34" s="81"/>
      <c r="O34" s="81"/>
      <c r="P34" s="81"/>
      <c r="Q34" s="81"/>
      <c r="R34" s="81"/>
      <c r="S34" s="81"/>
      <c r="T34" s="81"/>
      <c r="U34" s="81"/>
      <c r="V34" s="81"/>
    </row>
    <row r="35" spans="1:22" ht="15">
      <c r="A35" s="82" t="s">
        <v>3305</v>
      </c>
      <c r="B35" s="81">
        <v>59</v>
      </c>
      <c r="C35" s="81" t="s">
        <v>3310</v>
      </c>
      <c r="D35" s="81">
        <v>29</v>
      </c>
      <c r="E35" s="81" t="s">
        <v>3302</v>
      </c>
      <c r="F35" s="81">
        <v>7</v>
      </c>
      <c r="G35" s="81" t="s">
        <v>3304</v>
      </c>
      <c r="H35" s="81">
        <v>2</v>
      </c>
      <c r="I35" s="81" t="s">
        <v>3322</v>
      </c>
      <c r="J35" s="81">
        <v>2</v>
      </c>
      <c r="K35" s="81" t="s">
        <v>3327</v>
      </c>
      <c r="L35" s="81">
        <v>2</v>
      </c>
      <c r="M35" s="81"/>
      <c r="N35" s="81"/>
      <c r="O35" s="81"/>
      <c r="P35" s="81"/>
      <c r="Q35" s="81"/>
      <c r="R35" s="81"/>
      <c r="S35" s="81"/>
      <c r="T35" s="81"/>
      <c r="U35" s="81"/>
      <c r="V35" s="81"/>
    </row>
    <row r="36" spans="1:22" ht="15">
      <c r="A36" s="82" t="s">
        <v>3306</v>
      </c>
      <c r="B36" s="81">
        <v>48</v>
      </c>
      <c r="C36" s="81" t="s">
        <v>3311</v>
      </c>
      <c r="D36" s="81">
        <v>27</v>
      </c>
      <c r="E36" s="81" t="s">
        <v>3315</v>
      </c>
      <c r="F36" s="81">
        <v>3</v>
      </c>
      <c r="G36" s="81" t="s">
        <v>3318</v>
      </c>
      <c r="H36" s="81">
        <v>2</v>
      </c>
      <c r="I36" s="81" t="s">
        <v>3323</v>
      </c>
      <c r="J36" s="81">
        <v>2</v>
      </c>
      <c r="K36" s="81" t="s">
        <v>3328</v>
      </c>
      <c r="L36" s="81">
        <v>2</v>
      </c>
      <c r="M36" s="81"/>
      <c r="N36" s="81"/>
      <c r="O36" s="81"/>
      <c r="P36" s="81"/>
      <c r="Q36" s="81"/>
      <c r="R36" s="81"/>
      <c r="S36" s="81"/>
      <c r="T36" s="81"/>
      <c r="U36" s="81"/>
      <c r="V36" s="81"/>
    </row>
    <row r="37" spans="1:22" ht="15">
      <c r="A37" s="82" t="s">
        <v>3307</v>
      </c>
      <c r="B37" s="81">
        <v>48</v>
      </c>
      <c r="C37" s="81" t="s">
        <v>3312</v>
      </c>
      <c r="D37" s="81">
        <v>26</v>
      </c>
      <c r="E37" s="81" t="s">
        <v>3316</v>
      </c>
      <c r="F37" s="81">
        <v>2</v>
      </c>
      <c r="G37" s="81" t="s">
        <v>3319</v>
      </c>
      <c r="H37" s="81">
        <v>1</v>
      </c>
      <c r="I37" s="81" t="s">
        <v>3324</v>
      </c>
      <c r="J37" s="81">
        <v>2</v>
      </c>
      <c r="K37" s="81" t="s">
        <v>3329</v>
      </c>
      <c r="L37" s="81">
        <v>1</v>
      </c>
      <c r="M37" s="81"/>
      <c r="N37" s="81"/>
      <c r="O37" s="81"/>
      <c r="P37" s="81"/>
      <c r="Q37" s="81"/>
      <c r="R37" s="81"/>
      <c r="S37" s="81"/>
      <c r="T37" s="81"/>
      <c r="U37" s="81"/>
      <c r="V37" s="81"/>
    </row>
    <row r="40" spans="1:22" ht="15" customHeight="1">
      <c r="A40" s="13" t="s">
        <v>3353</v>
      </c>
      <c r="B40" s="13" t="s">
        <v>3213</v>
      </c>
      <c r="C40" s="13" t="s">
        <v>3362</v>
      </c>
      <c r="D40" s="13" t="s">
        <v>3218</v>
      </c>
      <c r="E40" s="13" t="s">
        <v>3365</v>
      </c>
      <c r="F40" s="13" t="s">
        <v>3225</v>
      </c>
      <c r="G40" s="13" t="s">
        <v>3369</v>
      </c>
      <c r="H40" s="13" t="s">
        <v>3232</v>
      </c>
      <c r="I40" s="13" t="s">
        <v>3371</v>
      </c>
      <c r="J40" s="13" t="s">
        <v>3243</v>
      </c>
      <c r="K40" s="13" t="s">
        <v>3378</v>
      </c>
      <c r="L40" s="13" t="s">
        <v>3253</v>
      </c>
      <c r="M40" s="13" t="s">
        <v>3384</v>
      </c>
      <c r="N40" s="13" t="s">
        <v>3257</v>
      </c>
      <c r="O40" s="81" t="s">
        <v>3389</v>
      </c>
      <c r="P40" s="81" t="s">
        <v>3259</v>
      </c>
      <c r="Q40" s="13" t="s">
        <v>3390</v>
      </c>
      <c r="R40" s="13" t="s">
        <v>3261</v>
      </c>
      <c r="S40" s="13" t="s">
        <v>3392</v>
      </c>
      <c r="T40" s="13" t="s">
        <v>3263</v>
      </c>
      <c r="U40" s="81" t="s">
        <v>3393</v>
      </c>
      <c r="V40" s="81" t="s">
        <v>3265</v>
      </c>
    </row>
    <row r="41" spans="1:22" ht="15">
      <c r="A41" s="86" t="s">
        <v>3354</v>
      </c>
      <c r="B41" s="86">
        <v>218</v>
      </c>
      <c r="C41" s="86" t="s">
        <v>3355</v>
      </c>
      <c r="D41" s="86">
        <v>152</v>
      </c>
      <c r="E41" s="86" t="s">
        <v>3355</v>
      </c>
      <c r="F41" s="86">
        <v>26</v>
      </c>
      <c r="G41" s="86" t="s">
        <v>3355</v>
      </c>
      <c r="H41" s="86">
        <v>5</v>
      </c>
      <c r="I41" s="86" t="s">
        <v>3372</v>
      </c>
      <c r="J41" s="86">
        <v>60</v>
      </c>
      <c r="K41" s="86" t="s">
        <v>3356</v>
      </c>
      <c r="L41" s="86">
        <v>19</v>
      </c>
      <c r="M41" s="86" t="s">
        <v>3354</v>
      </c>
      <c r="N41" s="86">
        <v>6</v>
      </c>
      <c r="O41" s="86"/>
      <c r="P41" s="86"/>
      <c r="Q41" s="86" t="s">
        <v>456</v>
      </c>
      <c r="R41" s="86">
        <v>2</v>
      </c>
      <c r="S41" s="86" t="s">
        <v>3367</v>
      </c>
      <c r="T41" s="86">
        <v>2</v>
      </c>
      <c r="U41" s="86"/>
      <c r="V41" s="86"/>
    </row>
    <row r="42" spans="1:22" ht="15">
      <c r="A42" s="87" t="s">
        <v>3355</v>
      </c>
      <c r="B42" s="86">
        <v>215</v>
      </c>
      <c r="C42" s="86" t="s">
        <v>3356</v>
      </c>
      <c r="D42" s="86">
        <v>142</v>
      </c>
      <c r="E42" s="86" t="s">
        <v>3354</v>
      </c>
      <c r="F42" s="86">
        <v>21</v>
      </c>
      <c r="G42" s="86" t="s">
        <v>3356</v>
      </c>
      <c r="H42" s="86">
        <v>5</v>
      </c>
      <c r="I42" s="86" t="s">
        <v>3354</v>
      </c>
      <c r="J42" s="86">
        <v>60</v>
      </c>
      <c r="K42" s="86" t="s">
        <v>3355</v>
      </c>
      <c r="L42" s="86">
        <v>14</v>
      </c>
      <c r="M42" s="86" t="s">
        <v>3355</v>
      </c>
      <c r="N42" s="86">
        <v>5</v>
      </c>
      <c r="O42" s="86"/>
      <c r="P42" s="86"/>
      <c r="Q42" s="86" t="s">
        <v>455</v>
      </c>
      <c r="R42" s="86">
        <v>2</v>
      </c>
      <c r="S42" s="86"/>
      <c r="T42" s="86"/>
      <c r="U42" s="86"/>
      <c r="V42" s="86"/>
    </row>
    <row r="43" spans="1:22" ht="15">
      <c r="A43" s="87" t="s">
        <v>3356</v>
      </c>
      <c r="B43" s="86">
        <v>201</v>
      </c>
      <c r="C43" s="86" t="s">
        <v>3354</v>
      </c>
      <c r="D43" s="86">
        <v>120</v>
      </c>
      <c r="E43" s="86" t="s">
        <v>3356</v>
      </c>
      <c r="F43" s="86">
        <v>18</v>
      </c>
      <c r="G43" s="86" t="s">
        <v>3359</v>
      </c>
      <c r="H43" s="86">
        <v>5</v>
      </c>
      <c r="I43" s="86" t="s">
        <v>3359</v>
      </c>
      <c r="J43" s="86">
        <v>59</v>
      </c>
      <c r="K43" s="86" t="s">
        <v>3379</v>
      </c>
      <c r="L43" s="86">
        <v>10</v>
      </c>
      <c r="M43" s="86" t="s">
        <v>3357</v>
      </c>
      <c r="N43" s="86">
        <v>4</v>
      </c>
      <c r="O43" s="86"/>
      <c r="P43" s="86"/>
      <c r="Q43" s="86" t="s">
        <v>454</v>
      </c>
      <c r="R43" s="86">
        <v>2</v>
      </c>
      <c r="S43" s="86"/>
      <c r="T43" s="86"/>
      <c r="U43" s="86"/>
      <c r="V43" s="86"/>
    </row>
    <row r="44" spans="1:22" ht="15">
      <c r="A44" s="87" t="s">
        <v>3357</v>
      </c>
      <c r="B44" s="86">
        <v>137</v>
      </c>
      <c r="C44" s="86" t="s">
        <v>3358</v>
      </c>
      <c r="D44" s="86">
        <v>96</v>
      </c>
      <c r="E44" s="86" t="s">
        <v>3366</v>
      </c>
      <c r="F44" s="86">
        <v>14</v>
      </c>
      <c r="G44" s="86" t="s">
        <v>3367</v>
      </c>
      <c r="H44" s="86">
        <v>4</v>
      </c>
      <c r="I44" s="86" t="s">
        <v>3373</v>
      </c>
      <c r="J44" s="86">
        <v>59</v>
      </c>
      <c r="K44" s="86" t="s">
        <v>3380</v>
      </c>
      <c r="L44" s="86">
        <v>8</v>
      </c>
      <c r="M44" s="86" t="s">
        <v>3385</v>
      </c>
      <c r="N44" s="86">
        <v>3</v>
      </c>
      <c r="O44" s="86"/>
      <c r="P44" s="86"/>
      <c r="Q44" s="86" t="s">
        <v>3373</v>
      </c>
      <c r="R44" s="86">
        <v>2</v>
      </c>
      <c r="S44" s="86"/>
      <c r="T44" s="86"/>
      <c r="U44" s="86"/>
      <c r="V44" s="86"/>
    </row>
    <row r="45" spans="1:22" ht="15">
      <c r="A45" s="87" t="s">
        <v>3307</v>
      </c>
      <c r="B45" s="86">
        <v>115</v>
      </c>
      <c r="C45" s="86" t="s">
        <v>3307</v>
      </c>
      <c r="D45" s="86">
        <v>82</v>
      </c>
      <c r="E45" s="86" t="s">
        <v>3367</v>
      </c>
      <c r="F45" s="86">
        <v>13</v>
      </c>
      <c r="G45" s="86" t="s">
        <v>3358</v>
      </c>
      <c r="H45" s="86">
        <v>3</v>
      </c>
      <c r="I45" s="86" t="s">
        <v>3374</v>
      </c>
      <c r="J45" s="86">
        <v>59</v>
      </c>
      <c r="K45" s="86" t="s">
        <v>3327</v>
      </c>
      <c r="L45" s="86">
        <v>8</v>
      </c>
      <c r="M45" s="86" t="s">
        <v>3386</v>
      </c>
      <c r="N45" s="86">
        <v>2</v>
      </c>
      <c r="O45" s="86"/>
      <c r="P45" s="86"/>
      <c r="Q45" s="86" t="s">
        <v>3391</v>
      </c>
      <c r="R45" s="86">
        <v>2</v>
      </c>
      <c r="S45" s="86"/>
      <c r="T45" s="86"/>
      <c r="U45" s="86"/>
      <c r="V45" s="86"/>
    </row>
    <row r="46" spans="1:22" ht="15">
      <c r="A46" s="87" t="s">
        <v>3358</v>
      </c>
      <c r="B46" s="86">
        <v>113</v>
      </c>
      <c r="C46" s="86" t="s">
        <v>3357</v>
      </c>
      <c r="D46" s="86">
        <v>81</v>
      </c>
      <c r="E46" s="86" t="s">
        <v>3357</v>
      </c>
      <c r="F46" s="86">
        <v>12</v>
      </c>
      <c r="G46" s="86" t="s">
        <v>3366</v>
      </c>
      <c r="H46" s="86">
        <v>3</v>
      </c>
      <c r="I46" s="86" t="s">
        <v>3357</v>
      </c>
      <c r="J46" s="86">
        <v>31</v>
      </c>
      <c r="K46" s="86" t="s">
        <v>3360</v>
      </c>
      <c r="L46" s="86">
        <v>8</v>
      </c>
      <c r="M46" s="86" t="s">
        <v>518</v>
      </c>
      <c r="N46" s="86">
        <v>2</v>
      </c>
      <c r="O46" s="86"/>
      <c r="P46" s="86"/>
      <c r="Q46" s="86" t="s">
        <v>3357</v>
      </c>
      <c r="R46" s="86">
        <v>2</v>
      </c>
      <c r="S46" s="86"/>
      <c r="T46" s="86"/>
      <c r="U46" s="86"/>
      <c r="V46" s="86"/>
    </row>
    <row r="47" spans="1:22" ht="15">
      <c r="A47" s="87" t="s">
        <v>3359</v>
      </c>
      <c r="B47" s="86">
        <v>104</v>
      </c>
      <c r="C47" s="86" t="s">
        <v>3361</v>
      </c>
      <c r="D47" s="86">
        <v>79</v>
      </c>
      <c r="E47" s="86" t="s">
        <v>3368</v>
      </c>
      <c r="F47" s="86">
        <v>12</v>
      </c>
      <c r="G47" s="86" t="s">
        <v>3370</v>
      </c>
      <c r="H47" s="86">
        <v>3</v>
      </c>
      <c r="I47" s="86" t="s">
        <v>3307</v>
      </c>
      <c r="J47" s="86">
        <v>14</v>
      </c>
      <c r="K47" s="86" t="s">
        <v>427</v>
      </c>
      <c r="L47" s="86">
        <v>7</v>
      </c>
      <c r="M47" s="86" t="s">
        <v>409</v>
      </c>
      <c r="N47" s="86">
        <v>2</v>
      </c>
      <c r="O47" s="86"/>
      <c r="P47" s="86"/>
      <c r="Q47" s="86"/>
      <c r="R47" s="86"/>
      <c r="S47" s="86"/>
      <c r="T47" s="86"/>
      <c r="U47" s="86"/>
      <c r="V47" s="86"/>
    </row>
    <row r="48" spans="1:22" ht="15">
      <c r="A48" s="87" t="s">
        <v>3360</v>
      </c>
      <c r="B48" s="86">
        <v>95</v>
      </c>
      <c r="C48" s="86" t="s">
        <v>3360</v>
      </c>
      <c r="D48" s="86">
        <v>77</v>
      </c>
      <c r="E48" s="86" t="s">
        <v>3307</v>
      </c>
      <c r="F48" s="86">
        <v>11</v>
      </c>
      <c r="G48" s="86" t="s">
        <v>3307</v>
      </c>
      <c r="H48" s="86">
        <v>3</v>
      </c>
      <c r="I48" s="86" t="s">
        <v>3375</v>
      </c>
      <c r="J48" s="86">
        <v>9</v>
      </c>
      <c r="K48" s="86" t="s">
        <v>3381</v>
      </c>
      <c r="L48" s="86">
        <v>7</v>
      </c>
      <c r="M48" s="86" t="s">
        <v>3387</v>
      </c>
      <c r="N48" s="86">
        <v>2</v>
      </c>
      <c r="O48" s="86"/>
      <c r="P48" s="86"/>
      <c r="Q48" s="86"/>
      <c r="R48" s="86"/>
      <c r="S48" s="86"/>
      <c r="T48" s="86"/>
      <c r="U48" s="86"/>
      <c r="V48" s="86"/>
    </row>
    <row r="49" spans="1:22" ht="15">
      <c r="A49" s="87" t="s">
        <v>3361</v>
      </c>
      <c r="B49" s="86">
        <v>92</v>
      </c>
      <c r="C49" s="86" t="s">
        <v>3363</v>
      </c>
      <c r="D49" s="86">
        <v>67</v>
      </c>
      <c r="E49" s="86" t="s">
        <v>3358</v>
      </c>
      <c r="F49" s="86">
        <v>7</v>
      </c>
      <c r="G49" s="86" t="s">
        <v>420</v>
      </c>
      <c r="H49" s="86">
        <v>3</v>
      </c>
      <c r="I49" s="86" t="s">
        <v>3376</v>
      </c>
      <c r="J49" s="86">
        <v>7</v>
      </c>
      <c r="K49" s="86" t="s">
        <v>3382</v>
      </c>
      <c r="L49" s="86">
        <v>6</v>
      </c>
      <c r="M49" s="86" t="s">
        <v>3388</v>
      </c>
      <c r="N49" s="86">
        <v>2</v>
      </c>
      <c r="O49" s="86"/>
      <c r="P49" s="86"/>
      <c r="Q49" s="86"/>
      <c r="R49" s="86"/>
      <c r="S49" s="86"/>
      <c r="T49" s="86"/>
      <c r="U49" s="86"/>
      <c r="V49" s="86"/>
    </row>
    <row r="50" spans="1:22" ht="15">
      <c r="A50" s="87" t="s">
        <v>3327</v>
      </c>
      <c r="B50" s="86">
        <v>89</v>
      </c>
      <c r="C50" s="86" t="s">
        <v>3364</v>
      </c>
      <c r="D50" s="86">
        <v>61</v>
      </c>
      <c r="E50" s="86" t="s">
        <v>3327</v>
      </c>
      <c r="F50" s="86">
        <v>7</v>
      </c>
      <c r="G50" s="86" t="s">
        <v>3354</v>
      </c>
      <c r="H50" s="86">
        <v>3</v>
      </c>
      <c r="I50" s="86" t="s">
        <v>3377</v>
      </c>
      <c r="J50" s="86">
        <v>6</v>
      </c>
      <c r="K50" s="86" t="s">
        <v>3383</v>
      </c>
      <c r="L50" s="86">
        <v>6</v>
      </c>
      <c r="M50" s="86" t="s">
        <v>408</v>
      </c>
      <c r="N50" s="86">
        <v>2</v>
      </c>
      <c r="O50" s="86"/>
      <c r="P50" s="86"/>
      <c r="Q50" s="86"/>
      <c r="R50" s="86"/>
      <c r="S50" s="86"/>
      <c r="T50" s="86"/>
      <c r="U50" s="86"/>
      <c r="V50" s="86"/>
    </row>
    <row r="53" spans="1:22" ht="15" customHeight="1">
      <c r="A53" s="13" t="s">
        <v>3406</v>
      </c>
      <c r="B53" s="13" t="s">
        <v>3213</v>
      </c>
      <c r="C53" s="13" t="s">
        <v>3417</v>
      </c>
      <c r="D53" s="13" t="s">
        <v>3218</v>
      </c>
      <c r="E53" s="13" t="s">
        <v>3421</v>
      </c>
      <c r="F53" s="13" t="s">
        <v>3225</v>
      </c>
      <c r="G53" s="13" t="s">
        <v>3429</v>
      </c>
      <c r="H53" s="13" t="s">
        <v>3232</v>
      </c>
      <c r="I53" s="13" t="s">
        <v>3434</v>
      </c>
      <c r="J53" s="13" t="s">
        <v>3243</v>
      </c>
      <c r="K53" s="13" t="s">
        <v>3441</v>
      </c>
      <c r="L53" s="13" t="s">
        <v>3253</v>
      </c>
      <c r="M53" s="13" t="s">
        <v>3450</v>
      </c>
      <c r="N53" s="13" t="s">
        <v>3257</v>
      </c>
      <c r="O53" s="81" t="s">
        <v>3454</v>
      </c>
      <c r="P53" s="81" t="s">
        <v>3259</v>
      </c>
      <c r="Q53" s="13" t="s">
        <v>3455</v>
      </c>
      <c r="R53" s="13" t="s">
        <v>3261</v>
      </c>
      <c r="S53" s="81" t="s">
        <v>3457</v>
      </c>
      <c r="T53" s="81" t="s">
        <v>3263</v>
      </c>
      <c r="U53" s="81" t="s">
        <v>3458</v>
      </c>
      <c r="V53" s="81" t="s">
        <v>3265</v>
      </c>
    </row>
    <row r="54" spans="1:22" ht="15">
      <c r="A54" s="86" t="s">
        <v>3407</v>
      </c>
      <c r="B54" s="86">
        <v>94</v>
      </c>
      <c r="C54" s="86" t="s">
        <v>3407</v>
      </c>
      <c r="D54" s="86">
        <v>58</v>
      </c>
      <c r="E54" s="86" t="s">
        <v>3408</v>
      </c>
      <c r="F54" s="86">
        <v>13</v>
      </c>
      <c r="G54" s="86" t="s">
        <v>3430</v>
      </c>
      <c r="H54" s="86">
        <v>3</v>
      </c>
      <c r="I54" s="86" t="s">
        <v>3410</v>
      </c>
      <c r="J54" s="86">
        <v>59</v>
      </c>
      <c r="K54" s="86" t="s">
        <v>3442</v>
      </c>
      <c r="L54" s="86">
        <v>5</v>
      </c>
      <c r="M54" s="86" t="s">
        <v>3451</v>
      </c>
      <c r="N54" s="86">
        <v>3</v>
      </c>
      <c r="O54" s="86"/>
      <c r="P54" s="86"/>
      <c r="Q54" s="86" t="s">
        <v>3456</v>
      </c>
      <c r="R54" s="86">
        <v>2</v>
      </c>
      <c r="S54" s="86"/>
      <c r="T54" s="86"/>
      <c r="U54" s="86"/>
      <c r="V54" s="86"/>
    </row>
    <row r="55" spans="1:22" ht="15">
      <c r="A55" s="87" t="s">
        <v>3408</v>
      </c>
      <c r="B55" s="86">
        <v>64</v>
      </c>
      <c r="C55" s="86" t="s">
        <v>3413</v>
      </c>
      <c r="D55" s="86">
        <v>51</v>
      </c>
      <c r="E55" s="86" t="s">
        <v>3422</v>
      </c>
      <c r="F55" s="86">
        <v>12</v>
      </c>
      <c r="G55" s="86" t="s">
        <v>3431</v>
      </c>
      <c r="H55" s="86">
        <v>2</v>
      </c>
      <c r="I55" s="86" t="s">
        <v>3411</v>
      </c>
      <c r="J55" s="86">
        <v>59</v>
      </c>
      <c r="K55" s="86" t="s">
        <v>3443</v>
      </c>
      <c r="L55" s="86">
        <v>5</v>
      </c>
      <c r="M55" s="86" t="s">
        <v>3452</v>
      </c>
      <c r="N55" s="86">
        <v>2</v>
      </c>
      <c r="O55" s="86"/>
      <c r="P55" s="86"/>
      <c r="Q55" s="86"/>
      <c r="R55" s="86"/>
      <c r="S55" s="86"/>
      <c r="T55" s="86"/>
      <c r="U55" s="86"/>
      <c r="V55" s="86"/>
    </row>
    <row r="56" spans="1:22" ht="15">
      <c r="A56" s="87" t="s">
        <v>3409</v>
      </c>
      <c r="B56" s="86">
        <v>61</v>
      </c>
      <c r="C56" s="86" t="s">
        <v>3414</v>
      </c>
      <c r="D56" s="86">
        <v>51</v>
      </c>
      <c r="E56" s="86" t="s">
        <v>3423</v>
      </c>
      <c r="F56" s="86">
        <v>12</v>
      </c>
      <c r="G56" s="86" t="s">
        <v>3432</v>
      </c>
      <c r="H56" s="86">
        <v>2</v>
      </c>
      <c r="I56" s="86" t="s">
        <v>3412</v>
      </c>
      <c r="J56" s="86">
        <v>59</v>
      </c>
      <c r="K56" s="86" t="s">
        <v>3444</v>
      </c>
      <c r="L56" s="86">
        <v>5</v>
      </c>
      <c r="M56" s="86" t="s">
        <v>3453</v>
      </c>
      <c r="N56" s="86">
        <v>2</v>
      </c>
      <c r="O56" s="86"/>
      <c r="P56" s="86"/>
      <c r="Q56" s="86"/>
      <c r="R56" s="86"/>
      <c r="S56" s="86"/>
      <c r="T56" s="86"/>
      <c r="U56" s="86"/>
      <c r="V56" s="86"/>
    </row>
    <row r="57" spans="1:22" ht="15">
      <c r="A57" s="87" t="s">
        <v>3410</v>
      </c>
      <c r="B57" s="86">
        <v>60</v>
      </c>
      <c r="C57" s="86" t="s">
        <v>3415</v>
      </c>
      <c r="D57" s="86">
        <v>51</v>
      </c>
      <c r="E57" s="86" t="s">
        <v>3424</v>
      </c>
      <c r="F57" s="86">
        <v>11</v>
      </c>
      <c r="G57" s="86" t="s">
        <v>3423</v>
      </c>
      <c r="H57" s="86">
        <v>2</v>
      </c>
      <c r="I57" s="86" t="s">
        <v>3407</v>
      </c>
      <c r="J57" s="86">
        <v>30</v>
      </c>
      <c r="K57" s="86" t="s">
        <v>3445</v>
      </c>
      <c r="L57" s="86">
        <v>5</v>
      </c>
      <c r="M57" s="86"/>
      <c r="N57" s="86"/>
      <c r="O57" s="86"/>
      <c r="P57" s="86"/>
      <c r="Q57" s="86"/>
      <c r="R57" s="86"/>
      <c r="S57" s="86"/>
      <c r="T57" s="86"/>
      <c r="U57" s="86"/>
      <c r="V57" s="86"/>
    </row>
    <row r="58" spans="1:22" ht="15">
      <c r="A58" s="87" t="s">
        <v>3411</v>
      </c>
      <c r="B58" s="86">
        <v>60</v>
      </c>
      <c r="C58" s="86" t="s">
        <v>3409</v>
      </c>
      <c r="D58" s="86">
        <v>51</v>
      </c>
      <c r="E58" s="86" t="s">
        <v>3425</v>
      </c>
      <c r="F58" s="86">
        <v>10</v>
      </c>
      <c r="G58" s="86" t="s">
        <v>3433</v>
      </c>
      <c r="H58" s="86">
        <v>2</v>
      </c>
      <c r="I58" s="86" t="s">
        <v>3435</v>
      </c>
      <c r="J58" s="86">
        <v>3</v>
      </c>
      <c r="K58" s="86" t="s">
        <v>3446</v>
      </c>
      <c r="L58" s="86">
        <v>5</v>
      </c>
      <c r="M58" s="86"/>
      <c r="N58" s="86"/>
      <c r="O58" s="86"/>
      <c r="P58" s="86"/>
      <c r="Q58" s="86"/>
      <c r="R58" s="86"/>
      <c r="S58" s="86"/>
      <c r="T58" s="86"/>
      <c r="U58" s="86"/>
      <c r="V58" s="86"/>
    </row>
    <row r="59" spans="1:22" ht="15">
      <c r="A59" s="87" t="s">
        <v>3412</v>
      </c>
      <c r="B59" s="86">
        <v>59</v>
      </c>
      <c r="C59" s="86" t="s">
        <v>3416</v>
      </c>
      <c r="D59" s="86">
        <v>50</v>
      </c>
      <c r="E59" s="86" t="s">
        <v>3426</v>
      </c>
      <c r="F59" s="86">
        <v>5</v>
      </c>
      <c r="G59" s="86"/>
      <c r="H59" s="86"/>
      <c r="I59" s="86" t="s">
        <v>3436</v>
      </c>
      <c r="J59" s="86">
        <v>3</v>
      </c>
      <c r="K59" s="86" t="s">
        <v>3447</v>
      </c>
      <c r="L59" s="86">
        <v>5</v>
      </c>
      <c r="M59" s="86"/>
      <c r="N59" s="86"/>
      <c r="O59" s="86"/>
      <c r="P59" s="86"/>
      <c r="Q59" s="86"/>
      <c r="R59" s="86"/>
      <c r="S59" s="86"/>
      <c r="T59" s="86"/>
      <c r="U59" s="86"/>
      <c r="V59" s="86"/>
    </row>
    <row r="60" spans="1:22" ht="15">
      <c r="A60" s="87" t="s">
        <v>3413</v>
      </c>
      <c r="B60" s="86">
        <v>58</v>
      </c>
      <c r="C60" s="86" t="s">
        <v>3418</v>
      </c>
      <c r="D60" s="86">
        <v>48</v>
      </c>
      <c r="E60" s="86" t="s">
        <v>3407</v>
      </c>
      <c r="F60" s="86">
        <v>4</v>
      </c>
      <c r="G60" s="86"/>
      <c r="H60" s="86"/>
      <c r="I60" s="86" t="s">
        <v>3437</v>
      </c>
      <c r="J60" s="86">
        <v>3</v>
      </c>
      <c r="K60" s="86" t="s">
        <v>3448</v>
      </c>
      <c r="L60" s="86">
        <v>5</v>
      </c>
      <c r="M60" s="86"/>
      <c r="N60" s="86"/>
      <c r="O60" s="86"/>
      <c r="P60" s="86"/>
      <c r="Q60" s="86"/>
      <c r="R60" s="86"/>
      <c r="S60" s="86"/>
      <c r="T60" s="86"/>
      <c r="U60" s="86"/>
      <c r="V60" s="86"/>
    </row>
    <row r="61" spans="1:22" ht="15">
      <c r="A61" s="87" t="s">
        <v>3414</v>
      </c>
      <c r="B61" s="86">
        <v>57</v>
      </c>
      <c r="C61" s="86" t="s">
        <v>3419</v>
      </c>
      <c r="D61" s="86">
        <v>47</v>
      </c>
      <c r="E61" s="86" t="s">
        <v>3427</v>
      </c>
      <c r="F61" s="86">
        <v>4</v>
      </c>
      <c r="G61" s="86"/>
      <c r="H61" s="86"/>
      <c r="I61" s="86" t="s">
        <v>3438</v>
      </c>
      <c r="J61" s="86">
        <v>3</v>
      </c>
      <c r="K61" s="86" t="s">
        <v>3449</v>
      </c>
      <c r="L61" s="86">
        <v>5</v>
      </c>
      <c r="M61" s="86"/>
      <c r="N61" s="86"/>
      <c r="O61" s="86"/>
      <c r="P61" s="86"/>
      <c r="Q61" s="86"/>
      <c r="R61" s="86"/>
      <c r="S61" s="86"/>
      <c r="T61" s="86"/>
      <c r="U61" s="86"/>
      <c r="V61" s="86"/>
    </row>
    <row r="62" spans="1:22" ht="15">
      <c r="A62" s="87" t="s">
        <v>3415</v>
      </c>
      <c r="B62" s="86">
        <v>57</v>
      </c>
      <c r="C62" s="86" t="s">
        <v>3420</v>
      </c>
      <c r="D62" s="86">
        <v>47</v>
      </c>
      <c r="E62" s="86" t="s">
        <v>3428</v>
      </c>
      <c r="F62" s="86">
        <v>4</v>
      </c>
      <c r="G62" s="86"/>
      <c r="H62" s="86"/>
      <c r="I62" s="86" t="s">
        <v>3439</v>
      </c>
      <c r="J62" s="86">
        <v>3</v>
      </c>
      <c r="K62" s="86" t="s">
        <v>3433</v>
      </c>
      <c r="L62" s="86">
        <v>4</v>
      </c>
      <c r="M62" s="86"/>
      <c r="N62" s="86"/>
      <c r="O62" s="86"/>
      <c r="P62" s="86"/>
      <c r="Q62" s="86"/>
      <c r="R62" s="86"/>
      <c r="S62" s="86"/>
      <c r="T62" s="86"/>
      <c r="U62" s="86"/>
      <c r="V62" s="86"/>
    </row>
    <row r="63" spans="1:22" ht="15">
      <c r="A63" s="87" t="s">
        <v>3416</v>
      </c>
      <c r="B63" s="86">
        <v>57</v>
      </c>
      <c r="C63" s="86" t="s">
        <v>3408</v>
      </c>
      <c r="D63" s="86">
        <v>47</v>
      </c>
      <c r="E63" s="86" t="s">
        <v>3409</v>
      </c>
      <c r="F63" s="86">
        <v>3</v>
      </c>
      <c r="G63" s="86"/>
      <c r="H63" s="86"/>
      <c r="I63" s="86" t="s">
        <v>3440</v>
      </c>
      <c r="J63" s="86">
        <v>2</v>
      </c>
      <c r="K63" s="86" t="s">
        <v>3409</v>
      </c>
      <c r="L63" s="86">
        <v>4</v>
      </c>
      <c r="M63" s="86"/>
      <c r="N63" s="86"/>
      <c r="O63" s="86"/>
      <c r="P63" s="86"/>
      <c r="Q63" s="86"/>
      <c r="R63" s="86"/>
      <c r="S63" s="86"/>
      <c r="T63" s="86"/>
      <c r="U63" s="86"/>
      <c r="V63" s="86"/>
    </row>
    <row r="66" spans="1:22" ht="15" customHeight="1">
      <c r="A66" s="13" t="s">
        <v>3467</v>
      </c>
      <c r="B66" s="13" t="s">
        <v>3213</v>
      </c>
      <c r="C66" s="81" t="s">
        <v>3469</v>
      </c>
      <c r="D66" s="81" t="s">
        <v>3218</v>
      </c>
      <c r="E66" s="13" t="s">
        <v>3470</v>
      </c>
      <c r="F66" s="13" t="s">
        <v>3225</v>
      </c>
      <c r="G66" s="13" t="s">
        <v>3473</v>
      </c>
      <c r="H66" s="13" t="s">
        <v>3232</v>
      </c>
      <c r="I66" s="81" t="s">
        <v>3475</v>
      </c>
      <c r="J66" s="81" t="s">
        <v>3243</v>
      </c>
      <c r="K66" s="81" t="s">
        <v>3477</v>
      </c>
      <c r="L66" s="81" t="s">
        <v>3253</v>
      </c>
      <c r="M66" s="13" t="s">
        <v>3479</v>
      </c>
      <c r="N66" s="13" t="s">
        <v>3257</v>
      </c>
      <c r="O66" s="81" t="s">
        <v>3481</v>
      </c>
      <c r="P66" s="81" t="s">
        <v>3259</v>
      </c>
      <c r="Q66" s="81" t="s">
        <v>3483</v>
      </c>
      <c r="R66" s="81" t="s">
        <v>3261</v>
      </c>
      <c r="S66" s="81" t="s">
        <v>3485</v>
      </c>
      <c r="T66" s="81" t="s">
        <v>3263</v>
      </c>
      <c r="U66" s="81" t="s">
        <v>3487</v>
      </c>
      <c r="V66" s="81" t="s">
        <v>3265</v>
      </c>
    </row>
    <row r="67" spans="1:22" ht="15">
      <c r="A67" s="81" t="s">
        <v>389</v>
      </c>
      <c r="B67" s="81">
        <v>1</v>
      </c>
      <c r="C67" s="81"/>
      <c r="D67" s="81"/>
      <c r="E67" s="81" t="s">
        <v>441</v>
      </c>
      <c r="F67" s="81">
        <v>1</v>
      </c>
      <c r="G67" s="81" t="s">
        <v>480</v>
      </c>
      <c r="H67" s="81">
        <v>1</v>
      </c>
      <c r="I67" s="81"/>
      <c r="J67" s="81"/>
      <c r="K67" s="81"/>
      <c r="L67" s="81"/>
      <c r="M67" s="81" t="s">
        <v>409</v>
      </c>
      <c r="N67" s="81">
        <v>1</v>
      </c>
      <c r="O67" s="81"/>
      <c r="P67" s="81"/>
      <c r="Q67" s="81"/>
      <c r="R67" s="81"/>
      <c r="S67" s="81"/>
      <c r="T67" s="81"/>
      <c r="U67" s="81"/>
      <c r="V67" s="81"/>
    </row>
    <row r="68" spans="1:22" ht="15">
      <c r="A68" s="82" t="s">
        <v>409</v>
      </c>
      <c r="B68" s="81">
        <v>1</v>
      </c>
      <c r="C68" s="81"/>
      <c r="D68" s="81"/>
      <c r="E68" s="81"/>
      <c r="F68" s="81"/>
      <c r="G68" s="81" t="s">
        <v>476</v>
      </c>
      <c r="H68" s="81">
        <v>1</v>
      </c>
      <c r="I68" s="81"/>
      <c r="J68" s="81"/>
      <c r="K68" s="81"/>
      <c r="L68" s="81"/>
      <c r="M68" s="81"/>
      <c r="N68" s="81"/>
      <c r="O68" s="81"/>
      <c r="P68" s="81"/>
      <c r="Q68" s="81"/>
      <c r="R68" s="81"/>
      <c r="S68" s="81"/>
      <c r="T68" s="81"/>
      <c r="U68" s="81"/>
      <c r="V68" s="81"/>
    </row>
    <row r="69" spans="1:22" ht="15">
      <c r="A69" s="82" t="s">
        <v>441</v>
      </c>
      <c r="B69" s="81">
        <v>1</v>
      </c>
      <c r="C69" s="81"/>
      <c r="D69" s="81"/>
      <c r="E69" s="81"/>
      <c r="F69" s="81"/>
      <c r="G69" s="81"/>
      <c r="H69" s="81"/>
      <c r="I69" s="81"/>
      <c r="J69" s="81"/>
      <c r="K69" s="81"/>
      <c r="L69" s="81"/>
      <c r="M69" s="81"/>
      <c r="N69" s="81"/>
      <c r="O69" s="81"/>
      <c r="P69" s="81"/>
      <c r="Q69" s="81"/>
      <c r="R69" s="81"/>
      <c r="S69" s="81"/>
      <c r="T69" s="81"/>
      <c r="U69" s="81"/>
      <c r="V69" s="81"/>
    </row>
    <row r="70" spans="1:22" ht="15">
      <c r="A70" s="82" t="s">
        <v>480</v>
      </c>
      <c r="B70" s="81">
        <v>1</v>
      </c>
      <c r="C70" s="81"/>
      <c r="D70" s="81"/>
      <c r="E70" s="81"/>
      <c r="F70" s="81"/>
      <c r="G70" s="81"/>
      <c r="H70" s="81"/>
      <c r="I70" s="81"/>
      <c r="J70" s="81"/>
      <c r="K70" s="81"/>
      <c r="L70" s="81"/>
      <c r="M70" s="81"/>
      <c r="N70" s="81"/>
      <c r="O70" s="81"/>
      <c r="P70" s="81"/>
      <c r="Q70" s="81"/>
      <c r="R70" s="81"/>
      <c r="S70" s="81"/>
      <c r="T70" s="81"/>
      <c r="U70" s="81"/>
      <c r="V70" s="81"/>
    </row>
    <row r="71" spans="1:22" ht="15">
      <c r="A71" s="82" t="s">
        <v>476</v>
      </c>
      <c r="B71" s="81">
        <v>1</v>
      </c>
      <c r="C71" s="81"/>
      <c r="D71" s="81"/>
      <c r="E71" s="81"/>
      <c r="F71" s="81"/>
      <c r="G71" s="81"/>
      <c r="H71" s="81"/>
      <c r="I71" s="81"/>
      <c r="J71" s="81"/>
      <c r="K71" s="81"/>
      <c r="L71" s="81"/>
      <c r="M71" s="81"/>
      <c r="N71" s="81"/>
      <c r="O71" s="81"/>
      <c r="P71" s="81"/>
      <c r="Q71" s="81"/>
      <c r="R71" s="81"/>
      <c r="S71" s="81"/>
      <c r="T71" s="81"/>
      <c r="U71" s="81"/>
      <c r="V71" s="81"/>
    </row>
    <row r="72" spans="1:22" ht="15">
      <c r="A72" s="82" t="s">
        <v>450</v>
      </c>
      <c r="B72" s="81">
        <v>1</v>
      </c>
      <c r="C72" s="81"/>
      <c r="D72" s="81"/>
      <c r="E72" s="81"/>
      <c r="F72" s="81"/>
      <c r="G72" s="81"/>
      <c r="H72" s="81"/>
      <c r="I72" s="81"/>
      <c r="J72" s="81"/>
      <c r="K72" s="81"/>
      <c r="L72" s="81"/>
      <c r="M72" s="81"/>
      <c r="N72" s="81"/>
      <c r="O72" s="81"/>
      <c r="P72" s="81"/>
      <c r="Q72" s="81"/>
      <c r="R72" s="81"/>
      <c r="S72" s="81"/>
      <c r="T72" s="81"/>
      <c r="U72" s="81"/>
      <c r="V72" s="81"/>
    </row>
    <row r="75" spans="1:22" ht="15" customHeight="1">
      <c r="A75" s="13" t="s">
        <v>3468</v>
      </c>
      <c r="B75" s="13" t="s">
        <v>3213</v>
      </c>
      <c r="C75" s="81" t="s">
        <v>3471</v>
      </c>
      <c r="D75" s="81" t="s">
        <v>3218</v>
      </c>
      <c r="E75" s="13" t="s">
        <v>3472</v>
      </c>
      <c r="F75" s="13" t="s">
        <v>3225</v>
      </c>
      <c r="G75" s="13" t="s">
        <v>3474</v>
      </c>
      <c r="H75" s="13" t="s">
        <v>3232</v>
      </c>
      <c r="I75" s="13" t="s">
        <v>3476</v>
      </c>
      <c r="J75" s="13" t="s">
        <v>3243</v>
      </c>
      <c r="K75" s="13" t="s">
        <v>3478</v>
      </c>
      <c r="L75" s="13" t="s">
        <v>3253</v>
      </c>
      <c r="M75" s="13" t="s">
        <v>3480</v>
      </c>
      <c r="N75" s="13" t="s">
        <v>3257</v>
      </c>
      <c r="O75" s="13" t="s">
        <v>3482</v>
      </c>
      <c r="P75" s="13" t="s">
        <v>3259</v>
      </c>
      <c r="Q75" s="13" t="s">
        <v>3484</v>
      </c>
      <c r="R75" s="13" t="s">
        <v>3261</v>
      </c>
      <c r="S75" s="13" t="s">
        <v>3486</v>
      </c>
      <c r="T75" s="13" t="s">
        <v>3263</v>
      </c>
      <c r="U75" s="13" t="s">
        <v>3488</v>
      </c>
      <c r="V75" s="13" t="s">
        <v>3265</v>
      </c>
    </row>
    <row r="76" spans="1:22" ht="15">
      <c r="A76" s="81" t="s">
        <v>504</v>
      </c>
      <c r="B76" s="81">
        <v>8</v>
      </c>
      <c r="C76" s="81"/>
      <c r="D76" s="81"/>
      <c r="E76" s="81" t="s">
        <v>381</v>
      </c>
      <c r="F76" s="81">
        <v>4</v>
      </c>
      <c r="G76" s="81" t="s">
        <v>420</v>
      </c>
      <c r="H76" s="81">
        <v>3</v>
      </c>
      <c r="I76" s="81" t="s">
        <v>504</v>
      </c>
      <c r="J76" s="81">
        <v>5</v>
      </c>
      <c r="K76" s="81" t="s">
        <v>427</v>
      </c>
      <c r="L76" s="81">
        <v>7</v>
      </c>
      <c r="M76" s="81" t="s">
        <v>518</v>
      </c>
      <c r="N76" s="81">
        <v>2</v>
      </c>
      <c r="O76" s="81" t="s">
        <v>488</v>
      </c>
      <c r="P76" s="81">
        <v>1</v>
      </c>
      <c r="Q76" s="81" t="s">
        <v>456</v>
      </c>
      <c r="R76" s="81">
        <v>2</v>
      </c>
      <c r="S76" s="81" t="s">
        <v>511</v>
      </c>
      <c r="T76" s="81">
        <v>1</v>
      </c>
      <c r="U76" s="81" t="s">
        <v>472</v>
      </c>
      <c r="V76" s="81">
        <v>1</v>
      </c>
    </row>
    <row r="77" spans="1:22" ht="15">
      <c r="A77" s="82" t="s">
        <v>427</v>
      </c>
      <c r="B77" s="81">
        <v>7</v>
      </c>
      <c r="C77" s="81"/>
      <c r="D77" s="81"/>
      <c r="E77" s="81" t="s">
        <v>493</v>
      </c>
      <c r="F77" s="81">
        <v>4</v>
      </c>
      <c r="G77" s="81" t="s">
        <v>458</v>
      </c>
      <c r="H77" s="81">
        <v>2</v>
      </c>
      <c r="I77" s="81" t="s">
        <v>503</v>
      </c>
      <c r="J77" s="81">
        <v>3</v>
      </c>
      <c r="K77" s="81" t="s">
        <v>482</v>
      </c>
      <c r="L77" s="81">
        <v>1</v>
      </c>
      <c r="M77" s="81" t="s">
        <v>408</v>
      </c>
      <c r="N77" s="81">
        <v>2</v>
      </c>
      <c r="O77" s="81" t="s">
        <v>487</v>
      </c>
      <c r="P77" s="81">
        <v>1</v>
      </c>
      <c r="Q77" s="81" t="s">
        <v>455</v>
      </c>
      <c r="R77" s="81">
        <v>2</v>
      </c>
      <c r="S77" s="81" t="s">
        <v>510</v>
      </c>
      <c r="T77" s="81">
        <v>1</v>
      </c>
      <c r="U77" s="81" t="s">
        <v>471</v>
      </c>
      <c r="V77" s="81">
        <v>1</v>
      </c>
    </row>
    <row r="78" spans="1:22" ht="15">
      <c r="A78" s="82" t="s">
        <v>429</v>
      </c>
      <c r="B78" s="81">
        <v>6</v>
      </c>
      <c r="C78" s="81"/>
      <c r="D78" s="81"/>
      <c r="E78" s="81" t="s">
        <v>504</v>
      </c>
      <c r="F78" s="81">
        <v>3</v>
      </c>
      <c r="G78" s="81" t="s">
        <v>525</v>
      </c>
      <c r="H78" s="81">
        <v>1</v>
      </c>
      <c r="I78" s="81" t="s">
        <v>429</v>
      </c>
      <c r="J78" s="81">
        <v>2</v>
      </c>
      <c r="K78" s="81" t="s">
        <v>404</v>
      </c>
      <c r="L78" s="81">
        <v>1</v>
      </c>
      <c r="M78" s="81" t="s">
        <v>517</v>
      </c>
      <c r="N78" s="81">
        <v>1</v>
      </c>
      <c r="O78" s="81" t="s">
        <v>486</v>
      </c>
      <c r="P78" s="81">
        <v>1</v>
      </c>
      <c r="Q78" s="81" t="s">
        <v>454</v>
      </c>
      <c r="R78" s="81">
        <v>2</v>
      </c>
      <c r="S78" s="81" t="s">
        <v>509</v>
      </c>
      <c r="T78" s="81">
        <v>1</v>
      </c>
      <c r="U78" s="81" t="s">
        <v>470</v>
      </c>
      <c r="V78" s="81">
        <v>1</v>
      </c>
    </row>
    <row r="79" spans="1:22" ht="15">
      <c r="A79" s="82" t="s">
        <v>381</v>
      </c>
      <c r="B79" s="81">
        <v>4</v>
      </c>
      <c r="C79" s="81"/>
      <c r="D79" s="81"/>
      <c r="E79" s="81" t="s">
        <v>429</v>
      </c>
      <c r="F79" s="81">
        <v>3</v>
      </c>
      <c r="G79" s="81" t="s">
        <v>479</v>
      </c>
      <c r="H79" s="81">
        <v>1</v>
      </c>
      <c r="I79" s="81" t="s">
        <v>386</v>
      </c>
      <c r="J79" s="81">
        <v>2</v>
      </c>
      <c r="K79" s="81"/>
      <c r="L79" s="81"/>
      <c r="M79" s="81" t="s">
        <v>516</v>
      </c>
      <c r="N79" s="81">
        <v>1</v>
      </c>
      <c r="O79" s="81" t="s">
        <v>485</v>
      </c>
      <c r="P79" s="81">
        <v>1</v>
      </c>
      <c r="Q79" s="81" t="s">
        <v>453</v>
      </c>
      <c r="R79" s="81">
        <v>1</v>
      </c>
      <c r="S79" s="81" t="s">
        <v>508</v>
      </c>
      <c r="T79" s="81">
        <v>1</v>
      </c>
      <c r="U79" s="81" t="s">
        <v>469</v>
      </c>
      <c r="V79" s="81">
        <v>1</v>
      </c>
    </row>
    <row r="80" spans="1:22" ht="15">
      <c r="A80" s="82" t="s">
        <v>493</v>
      </c>
      <c r="B80" s="81">
        <v>4</v>
      </c>
      <c r="C80" s="81"/>
      <c r="D80" s="81"/>
      <c r="E80" s="81" t="s">
        <v>430</v>
      </c>
      <c r="F80" s="81">
        <v>2</v>
      </c>
      <c r="G80" s="81" t="s">
        <v>478</v>
      </c>
      <c r="H80" s="81">
        <v>1</v>
      </c>
      <c r="I80" s="81" t="s">
        <v>502</v>
      </c>
      <c r="J80" s="81">
        <v>2</v>
      </c>
      <c r="K80" s="81"/>
      <c r="L80" s="81"/>
      <c r="M80" s="81" t="s">
        <v>515</v>
      </c>
      <c r="N80" s="81">
        <v>1</v>
      </c>
      <c r="O80" s="81" t="s">
        <v>484</v>
      </c>
      <c r="P80" s="81">
        <v>1</v>
      </c>
      <c r="Q80" s="81" t="s">
        <v>452</v>
      </c>
      <c r="R80" s="81">
        <v>1</v>
      </c>
      <c r="S80" s="81" t="s">
        <v>507</v>
      </c>
      <c r="T80" s="81">
        <v>1</v>
      </c>
      <c r="U80" s="81" t="s">
        <v>468</v>
      </c>
      <c r="V80" s="81">
        <v>1</v>
      </c>
    </row>
    <row r="81" spans="1:22" ht="15">
      <c r="A81" s="82" t="s">
        <v>503</v>
      </c>
      <c r="B81" s="81">
        <v>3</v>
      </c>
      <c r="C81" s="81"/>
      <c r="D81" s="81"/>
      <c r="E81" s="81" t="s">
        <v>466</v>
      </c>
      <c r="F81" s="81">
        <v>2</v>
      </c>
      <c r="G81" s="81" t="s">
        <v>477</v>
      </c>
      <c r="H81" s="81">
        <v>1</v>
      </c>
      <c r="I81" s="81" t="s">
        <v>481</v>
      </c>
      <c r="J81" s="81">
        <v>1</v>
      </c>
      <c r="K81" s="81"/>
      <c r="L81" s="81"/>
      <c r="M81" s="81" t="s">
        <v>429</v>
      </c>
      <c r="N81" s="81">
        <v>1</v>
      </c>
      <c r="O81" s="81" t="s">
        <v>483</v>
      </c>
      <c r="P81" s="81">
        <v>1</v>
      </c>
      <c r="Q81" s="81" t="s">
        <v>451</v>
      </c>
      <c r="R81" s="81">
        <v>1</v>
      </c>
      <c r="S81" s="81"/>
      <c r="T81" s="81"/>
      <c r="U81" s="81"/>
      <c r="V81" s="81"/>
    </row>
    <row r="82" spans="1:22" ht="15">
      <c r="A82" s="82" t="s">
        <v>430</v>
      </c>
      <c r="B82" s="81">
        <v>3</v>
      </c>
      <c r="C82" s="81"/>
      <c r="D82" s="81"/>
      <c r="E82" s="81" t="s">
        <v>512</v>
      </c>
      <c r="F82" s="81">
        <v>1</v>
      </c>
      <c r="G82" s="81" t="s">
        <v>481</v>
      </c>
      <c r="H82" s="81">
        <v>1</v>
      </c>
      <c r="I82" s="81" t="s">
        <v>495</v>
      </c>
      <c r="J82" s="81">
        <v>1</v>
      </c>
      <c r="K82" s="81"/>
      <c r="L82" s="81"/>
      <c r="M82" s="81" t="s">
        <v>514</v>
      </c>
      <c r="N82" s="81">
        <v>1</v>
      </c>
      <c r="O82" s="81"/>
      <c r="P82" s="81"/>
      <c r="Q82" s="81"/>
      <c r="R82" s="81"/>
      <c r="S82" s="81"/>
      <c r="T82" s="81"/>
      <c r="U82" s="81"/>
      <c r="V82" s="81"/>
    </row>
    <row r="83" spans="1:22" ht="15">
      <c r="A83" s="82" t="s">
        <v>420</v>
      </c>
      <c r="B83" s="81">
        <v>3</v>
      </c>
      <c r="C83" s="81"/>
      <c r="D83" s="81"/>
      <c r="E83" s="81" t="s">
        <v>465</v>
      </c>
      <c r="F83" s="81">
        <v>1</v>
      </c>
      <c r="G83" s="81" t="s">
        <v>476</v>
      </c>
      <c r="H83" s="81">
        <v>1</v>
      </c>
      <c r="I83" s="81" t="s">
        <v>496</v>
      </c>
      <c r="J83" s="81">
        <v>1</v>
      </c>
      <c r="K83" s="81"/>
      <c r="L83" s="81"/>
      <c r="M83" s="81" t="s">
        <v>513</v>
      </c>
      <c r="N83" s="81">
        <v>1</v>
      </c>
      <c r="O83" s="81"/>
      <c r="P83" s="81"/>
      <c r="Q83" s="81"/>
      <c r="R83" s="81"/>
      <c r="S83" s="81"/>
      <c r="T83" s="81"/>
      <c r="U83" s="81"/>
      <c r="V83" s="81"/>
    </row>
    <row r="84" spans="1:22" ht="15">
      <c r="A84" s="82" t="s">
        <v>518</v>
      </c>
      <c r="B84" s="81">
        <v>2</v>
      </c>
      <c r="C84" s="81"/>
      <c r="D84" s="81"/>
      <c r="E84" s="81" t="s">
        <v>365</v>
      </c>
      <c r="F84" s="81">
        <v>1</v>
      </c>
      <c r="G84" s="81" t="s">
        <v>475</v>
      </c>
      <c r="H84" s="81">
        <v>1</v>
      </c>
      <c r="I84" s="81" t="s">
        <v>498</v>
      </c>
      <c r="J84" s="81">
        <v>1</v>
      </c>
      <c r="K84" s="81"/>
      <c r="L84" s="81"/>
      <c r="M84" s="81"/>
      <c r="N84" s="81"/>
      <c r="O84" s="81"/>
      <c r="P84" s="81"/>
      <c r="Q84" s="81"/>
      <c r="R84" s="81"/>
      <c r="S84" s="81"/>
      <c r="T84" s="81"/>
      <c r="U84" s="81"/>
      <c r="V84" s="81"/>
    </row>
    <row r="85" spans="1:22" ht="15">
      <c r="A85" s="82" t="s">
        <v>408</v>
      </c>
      <c r="B85" s="81">
        <v>2</v>
      </c>
      <c r="C85" s="81"/>
      <c r="D85" s="81"/>
      <c r="E85" s="81" t="s">
        <v>464</v>
      </c>
      <c r="F85" s="81">
        <v>1</v>
      </c>
      <c r="G85" s="81" t="s">
        <v>474</v>
      </c>
      <c r="H85" s="81">
        <v>1</v>
      </c>
      <c r="I85" s="81" t="s">
        <v>497</v>
      </c>
      <c r="J85" s="81">
        <v>1</v>
      </c>
      <c r="K85" s="81"/>
      <c r="L85" s="81"/>
      <c r="M85" s="81"/>
      <c r="N85" s="81"/>
      <c r="O85" s="81"/>
      <c r="P85" s="81"/>
      <c r="Q85" s="81"/>
      <c r="R85" s="81"/>
      <c r="S85" s="81"/>
      <c r="T85" s="81"/>
      <c r="U85" s="81"/>
      <c r="V85" s="81"/>
    </row>
    <row r="88" spans="1:22" ht="15" customHeight="1">
      <c r="A88" s="13" t="s">
        <v>3505</v>
      </c>
      <c r="B88" s="13" t="s">
        <v>3213</v>
      </c>
      <c r="C88" s="13" t="s">
        <v>3506</v>
      </c>
      <c r="D88" s="13" t="s">
        <v>3218</v>
      </c>
      <c r="E88" s="13" t="s">
        <v>3507</v>
      </c>
      <c r="F88" s="13" t="s">
        <v>3225</v>
      </c>
      <c r="G88" s="13" t="s">
        <v>3508</v>
      </c>
      <c r="H88" s="13" t="s">
        <v>3232</v>
      </c>
      <c r="I88" s="13" t="s">
        <v>3509</v>
      </c>
      <c r="J88" s="13" t="s">
        <v>3243</v>
      </c>
      <c r="K88" s="13" t="s">
        <v>3510</v>
      </c>
      <c r="L88" s="13" t="s">
        <v>3253</v>
      </c>
      <c r="M88" s="13" t="s">
        <v>3511</v>
      </c>
      <c r="N88" s="13" t="s">
        <v>3257</v>
      </c>
      <c r="O88" s="13" t="s">
        <v>3512</v>
      </c>
      <c r="P88" s="13" t="s">
        <v>3259</v>
      </c>
      <c r="Q88" s="13" t="s">
        <v>3513</v>
      </c>
      <c r="R88" s="13" t="s">
        <v>3261</v>
      </c>
      <c r="S88" s="13" t="s">
        <v>3514</v>
      </c>
      <c r="T88" s="13" t="s">
        <v>3263</v>
      </c>
      <c r="U88" s="13" t="s">
        <v>3515</v>
      </c>
      <c r="V88" s="13" t="s">
        <v>3265</v>
      </c>
    </row>
    <row r="89" spans="1:22" ht="15">
      <c r="A89" s="108" t="s">
        <v>492</v>
      </c>
      <c r="B89" s="81">
        <v>775877</v>
      </c>
      <c r="C89" s="108" t="s">
        <v>330</v>
      </c>
      <c r="D89" s="81">
        <v>36161</v>
      </c>
      <c r="E89" s="108" t="s">
        <v>504</v>
      </c>
      <c r="F89" s="81">
        <v>66459</v>
      </c>
      <c r="G89" s="108" t="s">
        <v>324</v>
      </c>
      <c r="H89" s="81">
        <v>24931</v>
      </c>
      <c r="I89" s="108" t="s">
        <v>500</v>
      </c>
      <c r="J89" s="81">
        <v>34522</v>
      </c>
      <c r="K89" s="108" t="s">
        <v>400</v>
      </c>
      <c r="L89" s="81">
        <v>35286</v>
      </c>
      <c r="M89" s="108" t="s">
        <v>409</v>
      </c>
      <c r="N89" s="81">
        <v>14834</v>
      </c>
      <c r="O89" s="108" t="s">
        <v>486</v>
      </c>
      <c r="P89" s="81">
        <v>13869</v>
      </c>
      <c r="Q89" s="108" t="s">
        <v>455</v>
      </c>
      <c r="R89" s="81">
        <v>7958</v>
      </c>
      <c r="S89" s="108" t="s">
        <v>511</v>
      </c>
      <c r="T89" s="81">
        <v>3467</v>
      </c>
      <c r="U89" s="108" t="s">
        <v>472</v>
      </c>
      <c r="V89" s="81">
        <v>21786</v>
      </c>
    </row>
    <row r="90" spans="1:22" ht="15">
      <c r="A90" s="111" t="s">
        <v>504</v>
      </c>
      <c r="B90" s="81">
        <v>66459</v>
      </c>
      <c r="C90" s="108" t="s">
        <v>327</v>
      </c>
      <c r="D90" s="81">
        <v>30227</v>
      </c>
      <c r="E90" s="108" t="s">
        <v>429</v>
      </c>
      <c r="F90" s="81">
        <v>22390</v>
      </c>
      <c r="G90" s="108" t="s">
        <v>314</v>
      </c>
      <c r="H90" s="81">
        <v>24201</v>
      </c>
      <c r="I90" s="108" t="s">
        <v>385</v>
      </c>
      <c r="J90" s="81">
        <v>27224</v>
      </c>
      <c r="K90" s="108" t="s">
        <v>427</v>
      </c>
      <c r="L90" s="81">
        <v>31897</v>
      </c>
      <c r="M90" s="108" t="s">
        <v>517</v>
      </c>
      <c r="N90" s="81">
        <v>13554</v>
      </c>
      <c r="O90" s="108" t="s">
        <v>488</v>
      </c>
      <c r="P90" s="81">
        <v>6792</v>
      </c>
      <c r="Q90" s="108" t="s">
        <v>456</v>
      </c>
      <c r="R90" s="81">
        <v>4173</v>
      </c>
      <c r="S90" s="108" t="s">
        <v>507</v>
      </c>
      <c r="T90" s="81">
        <v>2741</v>
      </c>
      <c r="U90" s="108" t="s">
        <v>471</v>
      </c>
      <c r="V90" s="81">
        <v>20991</v>
      </c>
    </row>
    <row r="91" spans="1:22" ht="15">
      <c r="A91" s="111" t="s">
        <v>467</v>
      </c>
      <c r="B91" s="81">
        <v>39425</v>
      </c>
      <c r="C91" s="108" t="s">
        <v>353</v>
      </c>
      <c r="D91" s="81">
        <v>29630</v>
      </c>
      <c r="E91" s="108" t="s">
        <v>430</v>
      </c>
      <c r="F91" s="81">
        <v>20335</v>
      </c>
      <c r="G91" s="108" t="s">
        <v>476</v>
      </c>
      <c r="H91" s="81">
        <v>12275</v>
      </c>
      <c r="I91" s="108" t="s">
        <v>503</v>
      </c>
      <c r="J91" s="81">
        <v>22798</v>
      </c>
      <c r="K91" s="108" t="s">
        <v>319</v>
      </c>
      <c r="L91" s="81">
        <v>22817</v>
      </c>
      <c r="M91" s="108" t="s">
        <v>516</v>
      </c>
      <c r="N91" s="81">
        <v>5070</v>
      </c>
      <c r="O91" s="108" t="s">
        <v>484</v>
      </c>
      <c r="P91" s="81">
        <v>4962</v>
      </c>
      <c r="Q91" s="108" t="s">
        <v>274</v>
      </c>
      <c r="R91" s="81">
        <v>192</v>
      </c>
      <c r="S91" s="108" t="s">
        <v>509</v>
      </c>
      <c r="T91" s="81">
        <v>642</v>
      </c>
      <c r="U91" s="108" t="s">
        <v>469</v>
      </c>
      <c r="V91" s="81">
        <v>19244</v>
      </c>
    </row>
    <row r="92" spans="1:22" ht="15">
      <c r="A92" s="111" t="s">
        <v>330</v>
      </c>
      <c r="B92" s="81">
        <v>36161</v>
      </c>
      <c r="C92" s="108" t="s">
        <v>374</v>
      </c>
      <c r="D92" s="81">
        <v>28572</v>
      </c>
      <c r="E92" s="108" t="s">
        <v>441</v>
      </c>
      <c r="F92" s="81">
        <v>18362</v>
      </c>
      <c r="G92" s="108" t="s">
        <v>458</v>
      </c>
      <c r="H92" s="81">
        <v>9883</v>
      </c>
      <c r="I92" s="108" t="s">
        <v>498</v>
      </c>
      <c r="J92" s="81">
        <v>16279</v>
      </c>
      <c r="K92" s="108" t="s">
        <v>325</v>
      </c>
      <c r="L92" s="81">
        <v>16891</v>
      </c>
      <c r="M92" s="108" t="s">
        <v>515</v>
      </c>
      <c r="N92" s="81">
        <v>2920</v>
      </c>
      <c r="O92" s="108" t="s">
        <v>347</v>
      </c>
      <c r="P92" s="81">
        <v>4566</v>
      </c>
      <c r="Q92" s="108" t="s">
        <v>454</v>
      </c>
      <c r="R92" s="81">
        <v>160</v>
      </c>
      <c r="S92" s="108" t="s">
        <v>508</v>
      </c>
      <c r="T92" s="81">
        <v>640</v>
      </c>
      <c r="U92" s="108" t="s">
        <v>312</v>
      </c>
      <c r="V92" s="81">
        <v>13493</v>
      </c>
    </row>
    <row r="93" spans="1:22" ht="15">
      <c r="A93" s="111" t="s">
        <v>400</v>
      </c>
      <c r="B93" s="81">
        <v>35286</v>
      </c>
      <c r="C93" s="108" t="s">
        <v>440</v>
      </c>
      <c r="D93" s="81">
        <v>28559</v>
      </c>
      <c r="E93" s="108" t="s">
        <v>493</v>
      </c>
      <c r="F93" s="81">
        <v>10020</v>
      </c>
      <c r="G93" s="108" t="s">
        <v>481</v>
      </c>
      <c r="H93" s="81">
        <v>5725</v>
      </c>
      <c r="I93" s="108" t="s">
        <v>499</v>
      </c>
      <c r="J93" s="81">
        <v>10193</v>
      </c>
      <c r="K93" s="108" t="s">
        <v>289</v>
      </c>
      <c r="L93" s="81">
        <v>15412</v>
      </c>
      <c r="M93" s="108" t="s">
        <v>408</v>
      </c>
      <c r="N93" s="81">
        <v>1988</v>
      </c>
      <c r="O93" s="108" t="s">
        <v>483</v>
      </c>
      <c r="P93" s="81">
        <v>127</v>
      </c>
      <c r="Q93" s="108" t="s">
        <v>453</v>
      </c>
      <c r="R93" s="81">
        <v>136</v>
      </c>
      <c r="S93" s="108" t="s">
        <v>510</v>
      </c>
      <c r="T93" s="81">
        <v>460</v>
      </c>
      <c r="U93" s="108" t="s">
        <v>470</v>
      </c>
      <c r="V93" s="81">
        <v>11085</v>
      </c>
    </row>
    <row r="94" spans="1:22" ht="15">
      <c r="A94" s="111" t="s">
        <v>500</v>
      </c>
      <c r="B94" s="81">
        <v>34522</v>
      </c>
      <c r="C94" s="108" t="s">
        <v>382</v>
      </c>
      <c r="D94" s="81">
        <v>26850</v>
      </c>
      <c r="E94" s="108" t="s">
        <v>512</v>
      </c>
      <c r="F94" s="81">
        <v>6885</v>
      </c>
      <c r="G94" s="108" t="s">
        <v>477</v>
      </c>
      <c r="H94" s="81">
        <v>4742</v>
      </c>
      <c r="I94" s="108" t="s">
        <v>496</v>
      </c>
      <c r="J94" s="81">
        <v>5507</v>
      </c>
      <c r="K94" s="108" t="s">
        <v>482</v>
      </c>
      <c r="L94" s="81">
        <v>8729</v>
      </c>
      <c r="M94" s="108" t="s">
        <v>352</v>
      </c>
      <c r="N94" s="81">
        <v>1047</v>
      </c>
      <c r="O94" s="108" t="s">
        <v>487</v>
      </c>
      <c r="P94" s="81">
        <v>60</v>
      </c>
      <c r="Q94" s="108" t="s">
        <v>452</v>
      </c>
      <c r="R94" s="81">
        <v>103</v>
      </c>
      <c r="S94" s="108" t="s">
        <v>391</v>
      </c>
      <c r="T94" s="81">
        <v>109</v>
      </c>
      <c r="U94" s="108" t="s">
        <v>468</v>
      </c>
      <c r="V94" s="81">
        <v>8651</v>
      </c>
    </row>
    <row r="95" spans="1:22" ht="15">
      <c r="A95" s="111" t="s">
        <v>427</v>
      </c>
      <c r="B95" s="81">
        <v>31897</v>
      </c>
      <c r="C95" s="108" t="s">
        <v>257</v>
      </c>
      <c r="D95" s="81">
        <v>25513</v>
      </c>
      <c r="E95" s="108" t="s">
        <v>465</v>
      </c>
      <c r="F95" s="81">
        <v>4609</v>
      </c>
      <c r="G95" s="108" t="s">
        <v>287</v>
      </c>
      <c r="H95" s="81">
        <v>3894</v>
      </c>
      <c r="I95" s="108" t="s">
        <v>495</v>
      </c>
      <c r="J95" s="81">
        <v>4217</v>
      </c>
      <c r="K95" s="108" t="s">
        <v>402</v>
      </c>
      <c r="L95" s="81">
        <v>3700</v>
      </c>
      <c r="M95" s="108" t="s">
        <v>518</v>
      </c>
      <c r="N95" s="81">
        <v>701</v>
      </c>
      <c r="O95" s="108" t="s">
        <v>485</v>
      </c>
      <c r="P95" s="81">
        <v>27</v>
      </c>
      <c r="Q95" s="108" t="s">
        <v>451</v>
      </c>
      <c r="R95" s="81">
        <v>15</v>
      </c>
      <c r="S95" s="108"/>
      <c r="T95" s="81"/>
      <c r="U95" s="108"/>
      <c r="V95" s="81"/>
    </row>
    <row r="96" spans="1:22" ht="15">
      <c r="A96" s="111" t="s">
        <v>327</v>
      </c>
      <c r="B96" s="81">
        <v>30227</v>
      </c>
      <c r="C96" s="108" t="s">
        <v>371</v>
      </c>
      <c r="D96" s="81">
        <v>24238</v>
      </c>
      <c r="E96" s="108" t="s">
        <v>365</v>
      </c>
      <c r="F96" s="81">
        <v>4461</v>
      </c>
      <c r="G96" s="108" t="s">
        <v>420</v>
      </c>
      <c r="H96" s="81">
        <v>2317</v>
      </c>
      <c r="I96" s="108" t="s">
        <v>501</v>
      </c>
      <c r="J96" s="81">
        <v>2933</v>
      </c>
      <c r="K96" s="108" t="s">
        <v>343</v>
      </c>
      <c r="L96" s="81">
        <v>1334</v>
      </c>
      <c r="M96" s="108" t="s">
        <v>514</v>
      </c>
      <c r="N96" s="81">
        <v>444</v>
      </c>
      <c r="O96" s="108"/>
      <c r="P96" s="81"/>
      <c r="Q96" s="108"/>
      <c r="R96" s="81"/>
      <c r="S96" s="108"/>
      <c r="T96" s="81"/>
      <c r="U96" s="108"/>
      <c r="V96" s="81"/>
    </row>
    <row r="97" spans="1:22" ht="15">
      <c r="A97" s="111" t="s">
        <v>353</v>
      </c>
      <c r="B97" s="81">
        <v>29630</v>
      </c>
      <c r="C97" s="108" t="s">
        <v>306</v>
      </c>
      <c r="D97" s="81">
        <v>20623</v>
      </c>
      <c r="E97" s="108" t="s">
        <v>438</v>
      </c>
      <c r="F97" s="81">
        <v>1146</v>
      </c>
      <c r="G97" s="108" t="s">
        <v>474</v>
      </c>
      <c r="H97" s="81">
        <v>1814</v>
      </c>
      <c r="I97" s="108" t="s">
        <v>497</v>
      </c>
      <c r="J97" s="81">
        <v>1021</v>
      </c>
      <c r="K97" s="108" t="s">
        <v>311</v>
      </c>
      <c r="L97" s="81">
        <v>798</v>
      </c>
      <c r="M97" s="108" t="s">
        <v>513</v>
      </c>
      <c r="N97" s="81">
        <v>391</v>
      </c>
      <c r="O97" s="108"/>
      <c r="P97" s="81"/>
      <c r="Q97" s="108"/>
      <c r="R97" s="81"/>
      <c r="S97" s="108"/>
      <c r="T97" s="81"/>
      <c r="U97" s="108"/>
      <c r="V97" s="81"/>
    </row>
    <row r="98" spans="1:22" ht="15">
      <c r="A98" s="111" t="s">
        <v>417</v>
      </c>
      <c r="B98" s="81">
        <v>28623</v>
      </c>
      <c r="C98" s="108" t="s">
        <v>411</v>
      </c>
      <c r="D98" s="81">
        <v>20338</v>
      </c>
      <c r="E98" s="108" t="s">
        <v>466</v>
      </c>
      <c r="F98" s="81">
        <v>750</v>
      </c>
      <c r="G98" s="108" t="s">
        <v>478</v>
      </c>
      <c r="H98" s="81">
        <v>1670</v>
      </c>
      <c r="I98" s="108" t="s">
        <v>387</v>
      </c>
      <c r="J98" s="81">
        <v>736</v>
      </c>
      <c r="K98" s="108" t="s">
        <v>404</v>
      </c>
      <c r="L98" s="81">
        <v>226</v>
      </c>
      <c r="M98" s="108"/>
      <c r="N98" s="81"/>
      <c r="O98" s="108"/>
      <c r="P98" s="81"/>
      <c r="Q98" s="108"/>
      <c r="R98" s="81"/>
      <c r="S98" s="108"/>
      <c r="T98" s="81"/>
      <c r="U98" s="108"/>
      <c r="V98" s="81"/>
    </row>
  </sheetData>
  <hyperlinks>
    <hyperlink ref="A2" r:id="rId1" display="https://www.cdc.gov/drugresistance/covid19.html"/>
    <hyperlink ref="A3" r:id="rId2" display="https://antibioticguardian.com/"/>
    <hyperlink ref="A4" r:id="rId3" display="https://www.cdc.gov/antibiotic-use/q-a.html"/>
    <hyperlink ref="A5" r:id="rId4" display="https://twitter.com/HealthSAcademy/status/1461353075248021515"/>
    <hyperlink ref="A6" r:id="rId5" display="https://www.frimleyhealthandcare.org.uk/news/posts/2021/november/keep-antibiotics-working/?utm_source=Twitter&amp;utm_medium=social&amp;utm_campaign=Orlo"/>
    <hyperlink ref="A7" r:id="rId6" display="https://www.efsa.europa.eu/en/topics/topic/antimicrobial-resistance"/>
    <hyperlink ref="A8" r:id="rId7" display="https://www.cdc.gov/antibiotic-use/week/get-involved.html"/>
    <hyperlink ref="A9" r:id="rId8" display="https://www.cdc.gov/antibiotic-use/antibiotic-resistance.html"/>
    <hyperlink ref="A10" r:id="rId9" display="https://www.cdc.gov/antibiotic-use/common-illnesses.html"/>
    <hyperlink ref="A11" r:id="rId10" display="https://eur01.safelinks.protection.outlook.com/?url=https://www.gov.uk/government/publications/english-surveillance-programme-antimicrobial-utilisation-and-resistance-espaur-report&amp;data=04|01|Nick.Tiplady@phe.gov.uk|ccf5cbaf22ec41b3e5d808d88bb2bc3b|ee4e14994a354b2ead475f3cf9de8666|0|0|637412947057544774|Unknown|TWFpbGZsb3d8eyJWIjoiMC4wLjAwMDAiLCJQIjoiV2luMzIiLCJBTiI6Ik1haWwiLCJXVCI6Mn0%3D|1000&amp;sdata=3T%2BA/jwtsw3BsLevI4dVIUBfBARB2oQ2Ncsbpb/OZuo%3D&amp;reserved=0"/>
    <hyperlink ref="C2" r:id="rId11" display="https://www.cdc.gov/drugresistance/covid19.html"/>
    <hyperlink ref="C3" r:id="rId12" display="https://antibioticguardian.com/"/>
    <hyperlink ref="C4" r:id="rId13" display="https://www.cdc.gov/antibiotic-use/q-a.html"/>
    <hyperlink ref="C5" r:id="rId14" display="https://twitter.com/HealthSAcademy/status/1461353075248021515"/>
    <hyperlink ref="C6" r:id="rId15" display="https://www.cdc.gov/antibiotic-use/week/get-involved.html"/>
    <hyperlink ref="C7" r:id="rId16" display="https://www.cdc.gov/antibiotic-use/antibiotic-resistance.html"/>
    <hyperlink ref="C8" r:id="rId17" display="https://www.frimleyhealthandcare.org.uk/news/posts/2021/november/keep-antibiotics-working/?utm_source=Twitter&amp;utm_medium=social&amp;utm_campaign=Orlo"/>
    <hyperlink ref="C9" r:id="rId18" display="https://www.efsa.europa.eu/en/topics/topic/antimicrobial-resistance"/>
    <hyperlink ref="C10" r:id="rId19" display="https://youtu.be/7PhmyNBWGik"/>
    <hyperlink ref="C11" r:id="rId20" display="https://www.southampton.ac.uk/medicine/academic_units/academic_units/open-study.page"/>
    <hyperlink ref="E2" r:id="rId21" display="https://eur01.safelinks.protection.outlook.com/?url=https://www.gov.uk/government/publications/english-surveillance-programme-antimicrobial-utilisation-and-resistance-espaur-report&amp;data=04|01|Nick.Tiplady@phe.gov.uk|ccf5cbaf22ec41b3e5d808d88bb2bc3b|ee4e14994a354b2ead475f3cf9de8666|0|0|637412947057544774|Unknown|TWFpbGZsb3d8eyJWIjoiMC4wLjAwMDAiLCJQIjoiV2luMzIiLCJBTiI6Ik1haWwiLCJXVCI6Mn0%3D|1000&amp;sdata=3T%2BA/jwtsw3BsLevI4dVIUBfBARB2oQ2Ncsbpb/OZuo%3D&amp;reserved=0"/>
    <hyperlink ref="E3" r:id="rId22" display="https://antibioticguardian.com/"/>
    <hyperlink ref="E4" r:id="rId23" display="https://twitter.com/DrDianeAshiru/status/1461226402603225093"/>
    <hyperlink ref="E5" r:id="rId24" display="https://twitter.com/rhiannon_tapp/status/1461353712534769673"/>
    <hyperlink ref="E6" r:id="rId25" display="https://twitter.com/rpharms/status/1461332861311717388"/>
    <hyperlink ref="E7" r:id="rId26" display="https://twitter.com/DrDianeAshiru/status/1461246741584486405"/>
    <hyperlink ref="E8" r:id="rId27" display="https://twitter.com/DrKieranHand/status/1461128236935618563"/>
    <hyperlink ref="G2" r:id="rId28" display="https://twitter.com/EAAD_EU/status/1461347210927296513"/>
    <hyperlink ref="G3" r:id="rId29" display="https://www.youtube.com/watch?v=3yxRL2TAGOQ&amp;feature=youtu.be"/>
    <hyperlink ref="G4" r:id="rId30" display="https://www.bradspellberg.com/shorter-is-better"/>
    <hyperlink ref="G5" r:id="rId31" display="https://www2.hse.ie/under-the-weather/"/>
    <hyperlink ref="G6" r:id="rId32" display="https://www.ecdc.europa.eu/en/publications-data/surveillance-antimicrobial-consumption-europe-2020"/>
    <hyperlink ref="I2" r:id="rId33" display="https://www.bradspellberg.com/shorter-is-better"/>
    <hyperlink ref="I3" r:id="rId34" display="https://www.sciencedirect.com/science/article/pii/S2590088919300071?via%3Dihub"/>
    <hyperlink ref="I4" r:id="rId35" display="https://www.sciencedirect.com/science/article/pii/S1198743X18307961"/>
    <hyperlink ref="I5" r:id="rId36" display="https://journals.lww.com/clinpulm/Abstract/2020/09000/Antibiotic_Use_and_Stewardship_in_Cystic_Fibrosis_.2.aspx"/>
    <hyperlink ref="I6" r:id="rId37" display="https://idp.nature.com/authorize?response_type=cookie&amp;client_id=grover&amp;redirect_uri=https%3A%2F%2Fwww.nature.com%2Farticles%2Fs41579-019-0288-0"/>
    <hyperlink ref="I7" r:id="rId38" display="https://www.gov.uk/government/publications/antimicrobial-stewardship-start-smart-then-focus"/>
    <hyperlink ref="I8" r:id="rId39" display="https://www.tandfonline.com/action/showAxaArticles?journalCode=ierz20&amp;cookieSet=1"/>
    <hyperlink ref="I9" r:id="rId40" display="https://academic.oup.com/jacamr"/>
    <hyperlink ref="I10" r:id="rId41" display="https://secure.jbs.elsevierhealth.com/action/getSharedSiteSession?redirect=https%3A%2F%2Fwww.thelancet.com%2Fjournals%2Flancet%2Farticle%2FPIIS0140-6736%2812%2960192-5%2Ffulltext&amp;rc=0"/>
    <hyperlink ref="I11" r:id="rId42" display="https://twitter.com/MicrobLog_me_uk/status/1064116004094136320?s=20"/>
    <hyperlink ref="K2" r:id="rId43" display="https://www.cdc.gov/drugresistance/covid19.html"/>
    <hyperlink ref="K3" r:id="rId44" display="https://www.cdc.gov/antibiotic-use/common-illnesses.html"/>
    <hyperlink ref="K4" r:id="rId45" display="https://www.cdc.gov/antibiotic-use/core-elements/outpatient/implementation.html#anchor_1630602042080"/>
    <hyperlink ref="K5" r:id="rId46" display="https://arpsp.cdc.gov/profile/stewardship"/>
    <hyperlink ref="K6" r:id="rId47" display="https://www.cdc.gov/antibiotic-use/do-and-dont.html"/>
    <hyperlink ref="K7" r:id="rId48" display="https://www.cdc.gov/drugresistance/protecting_patients.html"/>
    <hyperlink ref="K8" r:id="rId49" display="https://www.khconline.org/14-khc-initiatives/402-hai-ar"/>
    <hyperlink ref="K9" r:id="rId50" display="https://www.pewtrusts.org/en/research-and-analysis/data-visualizations/2020/antibiotic-resistant-bacteria-is-a-growing-threat?utm_campaign=saveantibiotics&amp;utm_source=twitter&amp;utm_medium=social"/>
    <hyperlink ref="K10" r:id="rId51" display="https://www.pewtrusts.org/en/research-and-analysis/articles/2020/04/15/the-invaluable-role-of-antibiotics-in-a-pandemic-and-beyond?utm_campaign=saveantibiotics&amp;utm_source=twitter&amp;utm_medium=social"/>
    <hyperlink ref="K11" r:id="rId52" display="https://twitter.com/CDCgov/status/1461050274399850501"/>
    <hyperlink ref="M2" r:id="rId53" display="https://twitter.com/antibioticangel/status/1461348545550716936"/>
    <hyperlink ref="M3" r:id="rId54" display="https://twitter.com/antibioticangel/status/1461304886356815873"/>
    <hyperlink ref="U2" r:id="rId55" display="https://twitter.com/DrKhabbazCDC/status/1461352265109757955"/>
  </hyperlinks>
  <printOptions/>
  <pageMargins left="0.7" right="0.7" top="0.75" bottom="0.75" header="0.3" footer="0.3"/>
  <pageSetup orientation="portrait" paperSize="9"/>
  <tableParts>
    <tablePart r:id="rId56"/>
    <tablePart r:id="rId62"/>
    <tablePart r:id="rId63"/>
    <tablePart r:id="rId61"/>
    <tablePart r:id="rId60"/>
    <tablePart r:id="rId57"/>
    <tablePart r:id="rId59"/>
    <tablePart r:id="rId5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E15C6-75B2-4941-93EE-96B9AE1B0D65}">
  <dimension ref="A1:G1041"/>
  <sheetViews>
    <sheetView workbookViewId="0" topLeftCell="A1"/>
  </sheetViews>
  <sheetFormatPr defaultColWidth="9.140625" defaultRowHeight="15"/>
  <cols>
    <col min="1" max="1" width="7.140625" style="0" bestFit="1" customWidth="1"/>
    <col min="2" max="2" width="7.421875" style="0" bestFit="1" customWidth="1"/>
    <col min="3" max="3" width="8.8515625" style="0" bestFit="1" customWidth="1"/>
    <col min="4" max="4" width="7.57421875" style="0" bestFit="1" customWidth="1"/>
    <col min="5" max="7" width="27.57421875" style="0" bestFit="1" customWidth="1"/>
  </cols>
  <sheetData>
    <row r="1" spans="1:7" ht="15" customHeight="1">
      <c r="A1" s="13" t="s">
        <v>4011</v>
      </c>
      <c r="B1" s="13" t="s">
        <v>4446</v>
      </c>
      <c r="C1" s="13" t="s">
        <v>4450</v>
      </c>
      <c r="D1" s="13" t="s">
        <v>144</v>
      </c>
      <c r="E1" s="13" t="s">
        <v>4452</v>
      </c>
      <c r="F1" s="13" t="s">
        <v>4453</v>
      </c>
      <c r="G1" s="13" t="s">
        <v>4454</v>
      </c>
    </row>
    <row r="2" spans="1:7" ht="15">
      <c r="A2" s="81" t="s">
        <v>4012</v>
      </c>
      <c r="B2" s="81" t="s">
        <v>4447</v>
      </c>
      <c r="C2" s="114"/>
      <c r="D2" s="81"/>
      <c r="E2" s="81"/>
      <c r="F2" s="81"/>
      <c r="G2" s="81"/>
    </row>
    <row r="3" spans="1:7" ht="15">
      <c r="A3" s="82" t="s">
        <v>4013</v>
      </c>
      <c r="B3" s="81" t="s">
        <v>4448</v>
      </c>
      <c r="C3" s="114"/>
      <c r="D3" s="81"/>
      <c r="E3" s="81"/>
      <c r="F3" s="81"/>
      <c r="G3" s="81"/>
    </row>
    <row r="4" spans="1:7" ht="15">
      <c r="A4" s="82" t="s">
        <v>4014</v>
      </c>
      <c r="B4" s="81" t="s">
        <v>4449</v>
      </c>
      <c r="C4" s="114"/>
      <c r="D4" s="81"/>
      <c r="E4" s="81"/>
      <c r="F4" s="81"/>
      <c r="G4" s="81"/>
    </row>
    <row r="5" spans="1:7" ht="15">
      <c r="A5" s="82" t="s">
        <v>4015</v>
      </c>
      <c r="B5" s="81">
        <v>184</v>
      </c>
      <c r="C5" s="114">
        <v>0.01956406166932483</v>
      </c>
      <c r="D5" s="81"/>
      <c r="E5" s="81"/>
      <c r="F5" s="81"/>
      <c r="G5" s="81"/>
    </row>
    <row r="6" spans="1:7" ht="15">
      <c r="A6" s="82" t="s">
        <v>4016</v>
      </c>
      <c r="B6" s="81">
        <v>386</v>
      </c>
      <c r="C6" s="114">
        <v>0.04104199893673578</v>
      </c>
      <c r="D6" s="81"/>
      <c r="E6" s="81"/>
      <c r="F6" s="81"/>
      <c r="G6" s="81"/>
    </row>
    <row r="7" spans="1:7" ht="15">
      <c r="A7" s="82" t="s">
        <v>4017</v>
      </c>
      <c r="B7" s="81">
        <v>4</v>
      </c>
      <c r="C7" s="114">
        <v>0.0004253056884635832</v>
      </c>
      <c r="D7" s="81"/>
      <c r="E7" s="81"/>
      <c r="F7" s="81"/>
      <c r="G7" s="81"/>
    </row>
    <row r="8" spans="1:7" ht="15">
      <c r="A8" s="82" t="s">
        <v>4018</v>
      </c>
      <c r="B8" s="81">
        <v>8835</v>
      </c>
      <c r="C8" s="114">
        <v>0.9393939393939393</v>
      </c>
      <c r="D8" s="81"/>
      <c r="E8" s="81"/>
      <c r="F8" s="81"/>
      <c r="G8" s="81"/>
    </row>
    <row r="9" spans="1:7" ht="15">
      <c r="A9" s="82" t="s">
        <v>4019</v>
      </c>
      <c r="B9" s="81">
        <v>9405</v>
      </c>
      <c r="C9" s="114">
        <v>1</v>
      </c>
      <c r="D9" s="81"/>
      <c r="E9" s="81"/>
      <c r="F9" s="81"/>
      <c r="G9" s="81"/>
    </row>
    <row r="10" spans="1:7" ht="15">
      <c r="A10" s="87" t="s">
        <v>3354</v>
      </c>
      <c r="B10" s="86">
        <v>218</v>
      </c>
      <c r="C10" s="115">
        <v>0.0075561322041115455</v>
      </c>
      <c r="D10" s="86" t="s">
        <v>4451</v>
      </c>
      <c r="E10" s="86" t="b">
        <v>0</v>
      </c>
      <c r="F10" s="86" t="b">
        <v>0</v>
      </c>
      <c r="G10" s="86" t="b">
        <v>0</v>
      </c>
    </row>
    <row r="11" spans="1:7" ht="15">
      <c r="A11" s="87" t="s">
        <v>3355</v>
      </c>
      <c r="B11" s="86">
        <v>215</v>
      </c>
      <c r="C11" s="115">
        <v>0.007722799047219934</v>
      </c>
      <c r="D11" s="86" t="s">
        <v>4451</v>
      </c>
      <c r="E11" s="86" t="b">
        <v>0</v>
      </c>
      <c r="F11" s="86" t="b">
        <v>0</v>
      </c>
      <c r="G11" s="86" t="b">
        <v>0</v>
      </c>
    </row>
    <row r="12" spans="1:7" ht="15">
      <c r="A12" s="87" t="s">
        <v>3356</v>
      </c>
      <c r="B12" s="86">
        <v>201</v>
      </c>
      <c r="C12" s="115">
        <v>0.008212828811067082</v>
      </c>
      <c r="D12" s="86" t="s">
        <v>4451</v>
      </c>
      <c r="E12" s="86" t="b">
        <v>0</v>
      </c>
      <c r="F12" s="86" t="b">
        <v>0</v>
      </c>
      <c r="G12" s="86" t="b">
        <v>0</v>
      </c>
    </row>
    <row r="13" spans="1:7" ht="15">
      <c r="A13" s="87" t="s">
        <v>3357</v>
      </c>
      <c r="B13" s="86">
        <v>137</v>
      </c>
      <c r="C13" s="115">
        <v>0.009074423216390622</v>
      </c>
      <c r="D13" s="86" t="s">
        <v>4451</v>
      </c>
      <c r="E13" s="86" t="b">
        <v>0</v>
      </c>
      <c r="F13" s="86" t="b">
        <v>0</v>
      </c>
      <c r="G13" s="86" t="b">
        <v>0</v>
      </c>
    </row>
    <row r="14" spans="1:7" ht="15">
      <c r="A14" s="87" t="s">
        <v>3307</v>
      </c>
      <c r="B14" s="86">
        <v>115</v>
      </c>
      <c r="C14" s="115">
        <v>0.009923343579047178</v>
      </c>
      <c r="D14" s="86" t="s">
        <v>4451</v>
      </c>
      <c r="E14" s="86" t="b">
        <v>0</v>
      </c>
      <c r="F14" s="86" t="b">
        <v>0</v>
      </c>
      <c r="G14" s="86" t="b">
        <v>0</v>
      </c>
    </row>
    <row r="15" spans="1:7" ht="15">
      <c r="A15" s="87" t="s">
        <v>3358</v>
      </c>
      <c r="B15" s="86">
        <v>113</v>
      </c>
      <c r="C15" s="115">
        <v>0.008964092113860431</v>
      </c>
      <c r="D15" s="86" t="s">
        <v>4451</v>
      </c>
      <c r="E15" s="86" t="b">
        <v>0</v>
      </c>
      <c r="F15" s="86" t="b">
        <v>0</v>
      </c>
      <c r="G15" s="86" t="b">
        <v>0</v>
      </c>
    </row>
    <row r="16" spans="1:7" ht="15">
      <c r="A16" s="87" t="s">
        <v>3359</v>
      </c>
      <c r="B16" s="86">
        <v>104</v>
      </c>
      <c r="C16" s="115">
        <v>0.008905183539586446</v>
      </c>
      <c r="D16" s="86" t="s">
        <v>4451</v>
      </c>
      <c r="E16" s="86" t="b">
        <v>0</v>
      </c>
      <c r="F16" s="86" t="b">
        <v>0</v>
      </c>
      <c r="G16" s="86" t="b">
        <v>0</v>
      </c>
    </row>
    <row r="17" spans="1:7" ht="15">
      <c r="A17" s="87" t="s">
        <v>3360</v>
      </c>
      <c r="B17" s="86">
        <v>95</v>
      </c>
      <c r="C17" s="115">
        <v>0.008656657830018805</v>
      </c>
      <c r="D17" s="86" t="s">
        <v>4451</v>
      </c>
      <c r="E17" s="86" t="b">
        <v>0</v>
      </c>
      <c r="F17" s="86" t="b">
        <v>0</v>
      </c>
      <c r="G17" s="86" t="b">
        <v>0</v>
      </c>
    </row>
    <row r="18" spans="1:7" ht="15">
      <c r="A18" s="87" t="s">
        <v>3361</v>
      </c>
      <c r="B18" s="86">
        <v>92</v>
      </c>
      <c r="C18" s="115">
        <v>0.008652308876159295</v>
      </c>
      <c r="D18" s="86" t="s">
        <v>4451</v>
      </c>
      <c r="E18" s="86" t="b">
        <v>0</v>
      </c>
      <c r="F18" s="86" t="b">
        <v>0</v>
      </c>
      <c r="G18" s="86" t="b">
        <v>0</v>
      </c>
    </row>
    <row r="19" spans="1:7" ht="15">
      <c r="A19" s="87" t="s">
        <v>3327</v>
      </c>
      <c r="B19" s="86">
        <v>89</v>
      </c>
      <c r="C19" s="115">
        <v>0.009000196707788892</v>
      </c>
      <c r="D19" s="86" t="s">
        <v>4451</v>
      </c>
      <c r="E19" s="86" t="b">
        <v>0</v>
      </c>
      <c r="F19" s="86" t="b">
        <v>0</v>
      </c>
      <c r="G19" s="86" t="b">
        <v>0</v>
      </c>
    </row>
    <row r="20" spans="1:7" ht="15">
      <c r="A20" s="87" t="s">
        <v>3363</v>
      </c>
      <c r="B20" s="86">
        <v>79</v>
      </c>
      <c r="C20" s="115">
        <v>0.008257497224182961</v>
      </c>
      <c r="D20" s="86" t="s">
        <v>4451</v>
      </c>
      <c r="E20" s="86" t="b">
        <v>0</v>
      </c>
      <c r="F20" s="86" t="b">
        <v>0</v>
      </c>
      <c r="G20" s="86" t="b">
        <v>0</v>
      </c>
    </row>
    <row r="21" spans="1:7" ht="15">
      <c r="A21" s="87" t="s">
        <v>3380</v>
      </c>
      <c r="B21" s="86">
        <v>79</v>
      </c>
      <c r="C21" s="115">
        <v>0.008468114504603002</v>
      </c>
      <c r="D21" s="86" t="s">
        <v>4451</v>
      </c>
      <c r="E21" s="86" t="b">
        <v>0</v>
      </c>
      <c r="F21" s="86" t="b">
        <v>0</v>
      </c>
      <c r="G21" s="86" t="b">
        <v>0</v>
      </c>
    </row>
    <row r="22" spans="1:7" ht="15">
      <c r="A22" s="87" t="s">
        <v>3364</v>
      </c>
      <c r="B22" s="86">
        <v>70</v>
      </c>
      <c r="C22" s="115">
        <v>0.007831679597985584</v>
      </c>
      <c r="D22" s="86" t="s">
        <v>4451</v>
      </c>
      <c r="E22" s="86" t="b">
        <v>0</v>
      </c>
      <c r="F22" s="86" t="b">
        <v>0</v>
      </c>
      <c r="G22" s="86" t="b">
        <v>0</v>
      </c>
    </row>
    <row r="23" spans="1:7" ht="15">
      <c r="A23" s="87" t="s">
        <v>3373</v>
      </c>
      <c r="B23" s="86">
        <v>67</v>
      </c>
      <c r="C23" s="115">
        <v>0.00769552857981909</v>
      </c>
      <c r="D23" s="86" t="s">
        <v>4451</v>
      </c>
      <c r="E23" s="86" t="b">
        <v>0</v>
      </c>
      <c r="F23" s="86" t="b">
        <v>0</v>
      </c>
      <c r="G23" s="86" t="b">
        <v>0</v>
      </c>
    </row>
    <row r="24" spans="1:7" ht="15">
      <c r="A24" s="87" t="s">
        <v>4020</v>
      </c>
      <c r="B24" s="86">
        <v>66</v>
      </c>
      <c r="C24" s="115">
        <v>0.0076481354682454376</v>
      </c>
      <c r="D24" s="86" t="s">
        <v>4451</v>
      </c>
      <c r="E24" s="86" t="b">
        <v>0</v>
      </c>
      <c r="F24" s="86" t="b">
        <v>1</v>
      </c>
      <c r="G24" s="86" t="b">
        <v>0</v>
      </c>
    </row>
    <row r="25" spans="1:7" ht="15">
      <c r="A25" s="87" t="s">
        <v>4021</v>
      </c>
      <c r="B25" s="86">
        <v>65</v>
      </c>
      <c r="C25" s="115">
        <v>0.007599712387785522</v>
      </c>
      <c r="D25" s="86" t="s">
        <v>4451</v>
      </c>
      <c r="E25" s="86" t="b">
        <v>0</v>
      </c>
      <c r="F25" s="86" t="b">
        <v>1</v>
      </c>
      <c r="G25" s="86" t="b">
        <v>0</v>
      </c>
    </row>
    <row r="26" spans="1:7" ht="15">
      <c r="A26" s="87" t="s">
        <v>4022</v>
      </c>
      <c r="B26" s="86">
        <v>64</v>
      </c>
      <c r="C26" s="115">
        <v>0.007550243491523309</v>
      </c>
      <c r="D26" s="86" t="s">
        <v>4451</v>
      </c>
      <c r="E26" s="86" t="b">
        <v>0</v>
      </c>
      <c r="F26" s="86" t="b">
        <v>0</v>
      </c>
      <c r="G26" s="86" t="b">
        <v>0</v>
      </c>
    </row>
    <row r="27" spans="1:7" ht="15">
      <c r="A27" s="87" t="s">
        <v>3381</v>
      </c>
      <c r="B27" s="86">
        <v>62</v>
      </c>
      <c r="C27" s="115">
        <v>0.007802468258028566</v>
      </c>
      <c r="D27" s="86" t="s">
        <v>4451</v>
      </c>
      <c r="E27" s="86" t="b">
        <v>0</v>
      </c>
      <c r="F27" s="86" t="b">
        <v>0</v>
      </c>
      <c r="G27" s="86" t="b">
        <v>0</v>
      </c>
    </row>
    <row r="28" spans="1:7" ht="15">
      <c r="A28" s="87" t="s">
        <v>4023</v>
      </c>
      <c r="B28" s="86">
        <v>61</v>
      </c>
      <c r="C28" s="115">
        <v>0.00739539586657475</v>
      </c>
      <c r="D28" s="86" t="s">
        <v>4451</v>
      </c>
      <c r="E28" s="86" t="b">
        <v>0</v>
      </c>
      <c r="F28" s="86" t="b">
        <v>1</v>
      </c>
      <c r="G28" s="86" t="b">
        <v>0</v>
      </c>
    </row>
    <row r="29" spans="1:7" ht="15">
      <c r="A29" s="87" t="s">
        <v>4024</v>
      </c>
      <c r="B29" s="86">
        <v>61</v>
      </c>
      <c r="C29" s="115">
        <v>0.007463934552167884</v>
      </c>
      <c r="D29" s="86" t="s">
        <v>4451</v>
      </c>
      <c r="E29" s="86" t="b">
        <v>0</v>
      </c>
      <c r="F29" s="86" t="b">
        <v>0</v>
      </c>
      <c r="G29" s="86" t="b">
        <v>0</v>
      </c>
    </row>
    <row r="30" spans="1:7" ht="15">
      <c r="A30" s="87" t="s">
        <v>4025</v>
      </c>
      <c r="B30" s="86">
        <v>61</v>
      </c>
      <c r="C30" s="115">
        <v>0.00739539586657475</v>
      </c>
      <c r="D30" s="86" t="s">
        <v>4451</v>
      </c>
      <c r="E30" s="86" t="b">
        <v>0</v>
      </c>
      <c r="F30" s="86" t="b">
        <v>0</v>
      </c>
      <c r="G30" s="86" t="b">
        <v>0</v>
      </c>
    </row>
    <row r="31" spans="1:7" ht="15">
      <c r="A31" s="87" t="s">
        <v>3372</v>
      </c>
      <c r="B31" s="86">
        <v>60</v>
      </c>
      <c r="C31" s="115">
        <v>0.007410123149732054</v>
      </c>
      <c r="D31" s="86" t="s">
        <v>4451</v>
      </c>
      <c r="E31" s="86" t="b">
        <v>0</v>
      </c>
      <c r="F31" s="86" t="b">
        <v>0</v>
      </c>
      <c r="G31" s="86" t="b">
        <v>0</v>
      </c>
    </row>
    <row r="32" spans="1:7" ht="15">
      <c r="A32" s="87" t="s">
        <v>3374</v>
      </c>
      <c r="B32" s="86">
        <v>59</v>
      </c>
      <c r="C32" s="115">
        <v>0.00728662109723652</v>
      </c>
      <c r="D32" s="86" t="s">
        <v>4451</v>
      </c>
      <c r="E32" s="86" t="b">
        <v>0</v>
      </c>
      <c r="F32" s="86" t="b">
        <v>0</v>
      </c>
      <c r="G32" s="86" t="b">
        <v>0</v>
      </c>
    </row>
    <row r="33" spans="1:7" ht="15">
      <c r="A33" s="87" t="s">
        <v>4026</v>
      </c>
      <c r="B33" s="86">
        <v>55</v>
      </c>
      <c r="C33" s="115">
        <v>0.007055081617593171</v>
      </c>
      <c r="D33" s="86" t="s">
        <v>4451</v>
      </c>
      <c r="E33" s="86" t="b">
        <v>0</v>
      </c>
      <c r="F33" s="86" t="b">
        <v>0</v>
      </c>
      <c r="G33" s="86" t="b">
        <v>0</v>
      </c>
    </row>
    <row r="34" spans="1:7" ht="15">
      <c r="A34" s="87" t="s">
        <v>3382</v>
      </c>
      <c r="B34" s="86">
        <v>53</v>
      </c>
      <c r="C34" s="115">
        <v>0.006931981536715002</v>
      </c>
      <c r="D34" s="86" t="s">
        <v>4451</v>
      </c>
      <c r="E34" s="86" t="b">
        <v>0</v>
      </c>
      <c r="F34" s="86" t="b">
        <v>0</v>
      </c>
      <c r="G34" s="86" t="b">
        <v>0</v>
      </c>
    </row>
    <row r="35" spans="1:7" ht="15">
      <c r="A35" s="87" t="s">
        <v>4027</v>
      </c>
      <c r="B35" s="86">
        <v>53</v>
      </c>
      <c r="C35" s="115">
        <v>0.006931981536715002</v>
      </c>
      <c r="D35" s="86" t="s">
        <v>4451</v>
      </c>
      <c r="E35" s="86" t="b">
        <v>0</v>
      </c>
      <c r="F35" s="86" t="b">
        <v>0</v>
      </c>
      <c r="G35" s="86" t="b">
        <v>0</v>
      </c>
    </row>
    <row r="36" spans="1:7" ht="15">
      <c r="A36" s="87" t="s">
        <v>4028</v>
      </c>
      <c r="B36" s="86">
        <v>49</v>
      </c>
      <c r="C36" s="115">
        <v>0.007516986757324435</v>
      </c>
      <c r="D36" s="86" t="s">
        <v>4451</v>
      </c>
      <c r="E36" s="86" t="b">
        <v>0</v>
      </c>
      <c r="F36" s="86" t="b">
        <v>0</v>
      </c>
      <c r="G36" s="86" t="b">
        <v>0</v>
      </c>
    </row>
    <row r="37" spans="1:7" ht="15">
      <c r="A37" s="87" t="s">
        <v>3368</v>
      </c>
      <c r="B37" s="86">
        <v>48</v>
      </c>
      <c r="C37" s="115">
        <v>0.006740200670060706</v>
      </c>
      <c r="D37" s="86" t="s">
        <v>4451</v>
      </c>
      <c r="E37" s="86" t="b">
        <v>0</v>
      </c>
      <c r="F37" s="86" t="b">
        <v>0</v>
      </c>
      <c r="G37" s="86" t="b">
        <v>0</v>
      </c>
    </row>
    <row r="38" spans="1:7" ht="15">
      <c r="A38" s="87" t="s">
        <v>3366</v>
      </c>
      <c r="B38" s="86">
        <v>48</v>
      </c>
      <c r="C38" s="115">
        <v>0.006601336454485086</v>
      </c>
      <c r="D38" s="86" t="s">
        <v>4451</v>
      </c>
      <c r="E38" s="86" t="b">
        <v>0</v>
      </c>
      <c r="F38" s="86" t="b">
        <v>0</v>
      </c>
      <c r="G38" s="86" t="b">
        <v>0</v>
      </c>
    </row>
    <row r="39" spans="1:7" ht="15">
      <c r="A39" s="87" t="s">
        <v>3379</v>
      </c>
      <c r="B39" s="86">
        <v>46</v>
      </c>
      <c r="C39" s="115">
        <v>0.0064593589754748425</v>
      </c>
      <c r="D39" s="86" t="s">
        <v>4451</v>
      </c>
      <c r="E39" s="86" t="b">
        <v>0</v>
      </c>
      <c r="F39" s="86" t="b">
        <v>0</v>
      </c>
      <c r="G39" s="86" t="b">
        <v>0</v>
      </c>
    </row>
    <row r="40" spans="1:7" ht="15">
      <c r="A40" s="87" t="s">
        <v>4029</v>
      </c>
      <c r="B40" s="86">
        <v>45</v>
      </c>
      <c r="C40" s="115">
        <v>0.0063861691981115356</v>
      </c>
      <c r="D40" s="86" t="s">
        <v>4451</v>
      </c>
      <c r="E40" s="86" t="b">
        <v>0</v>
      </c>
      <c r="F40" s="86" t="b">
        <v>0</v>
      </c>
      <c r="G40" s="86" t="b">
        <v>0</v>
      </c>
    </row>
    <row r="41" spans="1:7" ht="15">
      <c r="A41" s="87" t="s">
        <v>4030</v>
      </c>
      <c r="B41" s="86">
        <v>43</v>
      </c>
      <c r="C41" s="115">
        <v>0.0062352232409814716</v>
      </c>
      <c r="D41" s="86" t="s">
        <v>4451</v>
      </c>
      <c r="E41" s="86" t="b">
        <v>0</v>
      </c>
      <c r="F41" s="86" t="b">
        <v>0</v>
      </c>
      <c r="G41" s="86" t="b">
        <v>0</v>
      </c>
    </row>
    <row r="42" spans="1:7" ht="15">
      <c r="A42" s="87" t="s">
        <v>4031</v>
      </c>
      <c r="B42" s="86">
        <v>43</v>
      </c>
      <c r="C42" s="115">
        <v>0.0062352232409814716</v>
      </c>
      <c r="D42" s="86" t="s">
        <v>4451</v>
      </c>
      <c r="E42" s="86" t="b">
        <v>0</v>
      </c>
      <c r="F42" s="86" t="b">
        <v>0</v>
      </c>
      <c r="G42" s="86" t="b">
        <v>0</v>
      </c>
    </row>
    <row r="43" spans="1:7" ht="15">
      <c r="A43" s="87" t="s">
        <v>4032</v>
      </c>
      <c r="B43" s="86">
        <v>40</v>
      </c>
      <c r="C43" s="115">
        <v>0.005996848544111129</v>
      </c>
      <c r="D43" s="86" t="s">
        <v>4451</v>
      </c>
      <c r="E43" s="86" t="b">
        <v>0</v>
      </c>
      <c r="F43" s="86" t="b">
        <v>1</v>
      </c>
      <c r="G43" s="86" t="b">
        <v>0</v>
      </c>
    </row>
    <row r="44" spans="1:7" ht="15">
      <c r="A44" s="87" t="s">
        <v>4033</v>
      </c>
      <c r="B44" s="86">
        <v>39</v>
      </c>
      <c r="C44" s="115">
        <v>0.005914045813488014</v>
      </c>
      <c r="D44" s="86" t="s">
        <v>4451</v>
      </c>
      <c r="E44" s="86" t="b">
        <v>0</v>
      </c>
      <c r="F44" s="86" t="b">
        <v>0</v>
      </c>
      <c r="G44" s="86" t="b">
        <v>0</v>
      </c>
    </row>
    <row r="45" spans="1:7" ht="15">
      <c r="A45" s="87" t="s">
        <v>4034</v>
      </c>
      <c r="B45" s="86">
        <v>39</v>
      </c>
      <c r="C45" s="115">
        <v>0.005914045813488014</v>
      </c>
      <c r="D45" s="86" t="s">
        <v>4451</v>
      </c>
      <c r="E45" s="86" t="b">
        <v>0</v>
      </c>
      <c r="F45" s="86" t="b">
        <v>0</v>
      </c>
      <c r="G45" s="86" t="b">
        <v>0</v>
      </c>
    </row>
    <row r="46" spans="1:7" ht="15">
      <c r="A46" s="87" t="s">
        <v>3383</v>
      </c>
      <c r="B46" s="86">
        <v>38</v>
      </c>
      <c r="C46" s="115">
        <v>0.0058294999342516024</v>
      </c>
      <c r="D46" s="86" t="s">
        <v>4451</v>
      </c>
      <c r="E46" s="86" t="b">
        <v>0</v>
      </c>
      <c r="F46" s="86" t="b">
        <v>0</v>
      </c>
      <c r="G46" s="86" t="b">
        <v>0</v>
      </c>
    </row>
    <row r="47" spans="1:7" ht="15">
      <c r="A47" s="87" t="s">
        <v>4035</v>
      </c>
      <c r="B47" s="86">
        <v>38</v>
      </c>
      <c r="C47" s="115">
        <v>0.0058294999342516024</v>
      </c>
      <c r="D47" s="86" t="s">
        <v>4451</v>
      </c>
      <c r="E47" s="86" t="b">
        <v>0</v>
      </c>
      <c r="F47" s="86" t="b">
        <v>0</v>
      </c>
      <c r="G47" s="86" t="b">
        <v>0</v>
      </c>
    </row>
    <row r="48" spans="1:7" ht="15">
      <c r="A48" s="87" t="s">
        <v>4036</v>
      </c>
      <c r="B48" s="86">
        <v>37</v>
      </c>
      <c r="C48" s="115">
        <v>0.0057431650236120435</v>
      </c>
      <c r="D48" s="86" t="s">
        <v>4451</v>
      </c>
      <c r="E48" s="86" t="b">
        <v>0</v>
      </c>
      <c r="F48" s="86" t="b">
        <v>0</v>
      </c>
      <c r="G48" s="86" t="b">
        <v>0</v>
      </c>
    </row>
    <row r="49" spans="1:7" ht="15">
      <c r="A49" s="87" t="s">
        <v>4037</v>
      </c>
      <c r="B49" s="86">
        <v>36</v>
      </c>
      <c r="C49" s="115">
        <v>0.0056549927177457675</v>
      </c>
      <c r="D49" s="86" t="s">
        <v>4451</v>
      </c>
      <c r="E49" s="86" t="b">
        <v>0</v>
      </c>
      <c r="F49" s="86" t="b">
        <v>0</v>
      </c>
      <c r="G49" s="86" t="b">
        <v>0</v>
      </c>
    </row>
    <row r="50" spans="1:7" ht="15">
      <c r="A50" s="87" t="s">
        <v>4038</v>
      </c>
      <c r="B50" s="86">
        <v>36</v>
      </c>
      <c r="C50" s="115">
        <v>0.005723930021081567</v>
      </c>
      <c r="D50" s="86" t="s">
        <v>4451</v>
      </c>
      <c r="E50" s="86" t="b">
        <v>0</v>
      </c>
      <c r="F50" s="86" t="b">
        <v>0</v>
      </c>
      <c r="G50" s="86" t="b">
        <v>0</v>
      </c>
    </row>
    <row r="51" spans="1:7" ht="15">
      <c r="A51" s="87" t="s">
        <v>4039</v>
      </c>
      <c r="B51" s="86">
        <v>35</v>
      </c>
      <c r="C51" s="115">
        <v>0.005564931964940412</v>
      </c>
      <c r="D51" s="86" t="s">
        <v>4451</v>
      </c>
      <c r="E51" s="86" t="b">
        <v>0</v>
      </c>
      <c r="F51" s="86" t="b">
        <v>0</v>
      </c>
      <c r="G51" s="86" t="b">
        <v>0</v>
      </c>
    </row>
    <row r="52" spans="1:7" ht="15">
      <c r="A52" s="87" t="s">
        <v>4040</v>
      </c>
      <c r="B52" s="86">
        <v>35</v>
      </c>
      <c r="C52" s="115">
        <v>0.005564931964940412</v>
      </c>
      <c r="D52" s="86" t="s">
        <v>4451</v>
      </c>
      <c r="E52" s="86" t="b">
        <v>0</v>
      </c>
      <c r="F52" s="86" t="b">
        <v>0</v>
      </c>
      <c r="G52" s="86" t="b">
        <v>0</v>
      </c>
    </row>
    <row r="53" spans="1:7" ht="15">
      <c r="A53" s="87" t="s">
        <v>4041</v>
      </c>
      <c r="B53" s="86">
        <v>35</v>
      </c>
      <c r="C53" s="115">
        <v>0.005778131575374429</v>
      </c>
      <c r="D53" s="86" t="s">
        <v>4451</v>
      </c>
      <c r="E53" s="86" t="b">
        <v>0</v>
      </c>
      <c r="F53" s="86" t="b">
        <v>0</v>
      </c>
      <c r="G53" s="86" t="b">
        <v>0</v>
      </c>
    </row>
    <row r="54" spans="1:7" ht="15">
      <c r="A54" s="87" t="s">
        <v>4042</v>
      </c>
      <c r="B54" s="86">
        <v>35</v>
      </c>
      <c r="C54" s="115">
        <v>0.005564931964940412</v>
      </c>
      <c r="D54" s="86" t="s">
        <v>4451</v>
      </c>
      <c r="E54" s="86" t="b">
        <v>0</v>
      </c>
      <c r="F54" s="86" t="b">
        <v>0</v>
      </c>
      <c r="G54" s="86" t="b">
        <v>0</v>
      </c>
    </row>
    <row r="55" spans="1:7" ht="15">
      <c r="A55" s="87" t="s">
        <v>4043</v>
      </c>
      <c r="B55" s="86">
        <v>34</v>
      </c>
      <c r="C55" s="115">
        <v>0.005472928795083917</v>
      </c>
      <c r="D55" s="86" t="s">
        <v>4451</v>
      </c>
      <c r="E55" s="86" t="b">
        <v>0</v>
      </c>
      <c r="F55" s="86" t="b">
        <v>0</v>
      </c>
      <c r="G55" s="86" t="b">
        <v>0</v>
      </c>
    </row>
    <row r="56" spans="1:7" ht="15">
      <c r="A56" s="87" t="s">
        <v>4044</v>
      </c>
      <c r="B56" s="86">
        <v>34</v>
      </c>
      <c r="C56" s="115">
        <v>0.0060057062560372925</v>
      </c>
      <c r="D56" s="86" t="s">
        <v>4451</v>
      </c>
      <c r="E56" s="86" t="b">
        <v>0</v>
      </c>
      <c r="F56" s="86" t="b">
        <v>0</v>
      </c>
      <c r="G56" s="86" t="b">
        <v>0</v>
      </c>
    </row>
    <row r="57" spans="1:7" ht="15">
      <c r="A57" s="87" t="s">
        <v>4045</v>
      </c>
      <c r="B57" s="86">
        <v>33</v>
      </c>
      <c r="C57" s="115">
        <v>0.005378926062016189</v>
      </c>
      <c r="D57" s="86" t="s">
        <v>4451</v>
      </c>
      <c r="E57" s="86" t="b">
        <v>0</v>
      </c>
      <c r="F57" s="86" t="b">
        <v>0</v>
      </c>
      <c r="G57" s="86" t="b">
        <v>0</v>
      </c>
    </row>
    <row r="58" spans="1:7" ht="15">
      <c r="A58" s="87" t="s">
        <v>462</v>
      </c>
      <c r="B58" s="86">
        <v>33</v>
      </c>
      <c r="C58" s="115">
        <v>0.005378926062016189</v>
      </c>
      <c r="D58" s="86" t="s">
        <v>4451</v>
      </c>
      <c r="E58" s="86" t="b">
        <v>0</v>
      </c>
      <c r="F58" s="86" t="b">
        <v>0</v>
      </c>
      <c r="G58" s="86" t="b">
        <v>0</v>
      </c>
    </row>
    <row r="59" spans="1:7" ht="15">
      <c r="A59" s="87" t="s">
        <v>4046</v>
      </c>
      <c r="B59" s="86">
        <v>33</v>
      </c>
      <c r="C59" s="115">
        <v>0.005378926062016189</v>
      </c>
      <c r="D59" s="86" t="s">
        <v>4451</v>
      </c>
      <c r="E59" s="86" t="b">
        <v>0</v>
      </c>
      <c r="F59" s="86" t="b">
        <v>0</v>
      </c>
      <c r="G59" s="86" t="b">
        <v>0</v>
      </c>
    </row>
    <row r="60" spans="1:7" ht="15">
      <c r="A60" s="87" t="s">
        <v>4047</v>
      </c>
      <c r="B60" s="86">
        <v>33</v>
      </c>
      <c r="C60" s="115">
        <v>0.005378926062016189</v>
      </c>
      <c r="D60" s="86" t="s">
        <v>4451</v>
      </c>
      <c r="E60" s="86" t="b">
        <v>0</v>
      </c>
      <c r="F60" s="86" t="b">
        <v>0</v>
      </c>
      <c r="G60" s="86" t="b">
        <v>0</v>
      </c>
    </row>
    <row r="61" spans="1:7" ht="15">
      <c r="A61" s="87" t="s">
        <v>4048</v>
      </c>
      <c r="B61" s="86">
        <v>33</v>
      </c>
      <c r="C61" s="115">
        <v>0.005447952628210177</v>
      </c>
      <c r="D61" s="86" t="s">
        <v>4451</v>
      </c>
      <c r="E61" s="86" t="b">
        <v>0</v>
      </c>
      <c r="F61" s="86" t="b">
        <v>0</v>
      </c>
      <c r="G61" s="86" t="b">
        <v>0</v>
      </c>
    </row>
    <row r="62" spans="1:7" ht="15">
      <c r="A62" s="87" t="s">
        <v>4049</v>
      </c>
      <c r="B62" s="86">
        <v>31</v>
      </c>
      <c r="C62" s="115">
        <v>0.005184675671819852</v>
      </c>
      <c r="D62" s="86" t="s">
        <v>4451</v>
      </c>
      <c r="E62" s="86" t="b">
        <v>0</v>
      </c>
      <c r="F62" s="86" t="b">
        <v>0</v>
      </c>
      <c r="G62" s="86" t="b">
        <v>0</v>
      </c>
    </row>
    <row r="63" spans="1:7" ht="15">
      <c r="A63" s="87" t="s">
        <v>4050</v>
      </c>
      <c r="B63" s="86">
        <v>31</v>
      </c>
      <c r="C63" s="115">
        <v>0.005184675671819852</v>
      </c>
      <c r="D63" s="86" t="s">
        <v>4451</v>
      </c>
      <c r="E63" s="86" t="b">
        <v>0</v>
      </c>
      <c r="F63" s="86" t="b">
        <v>0</v>
      </c>
      <c r="G63" s="86" t="b">
        <v>0</v>
      </c>
    </row>
    <row r="64" spans="1:7" ht="15">
      <c r="A64" s="87" t="s">
        <v>4051</v>
      </c>
      <c r="B64" s="86">
        <v>30</v>
      </c>
      <c r="C64" s="115">
        <v>0.005084295055484974</v>
      </c>
      <c r="D64" s="86" t="s">
        <v>4451</v>
      </c>
      <c r="E64" s="86" t="b">
        <v>0</v>
      </c>
      <c r="F64" s="86" t="b">
        <v>0</v>
      </c>
      <c r="G64" s="86" t="b">
        <v>0</v>
      </c>
    </row>
    <row r="65" spans="1:7" ht="15">
      <c r="A65" s="87" t="s">
        <v>4052</v>
      </c>
      <c r="B65" s="86">
        <v>28</v>
      </c>
      <c r="C65" s="115">
        <v>0.004876656851374082</v>
      </c>
      <c r="D65" s="86" t="s">
        <v>4451</v>
      </c>
      <c r="E65" s="86" t="b">
        <v>0</v>
      </c>
      <c r="F65" s="86" t="b">
        <v>0</v>
      </c>
      <c r="G65" s="86" t="b">
        <v>0</v>
      </c>
    </row>
    <row r="66" spans="1:7" ht="15">
      <c r="A66" s="87" t="s">
        <v>4053</v>
      </c>
      <c r="B66" s="86">
        <v>27</v>
      </c>
      <c r="C66" s="115">
        <v>0.004769237320970791</v>
      </c>
      <c r="D66" s="86" t="s">
        <v>4451</v>
      </c>
      <c r="E66" s="86" t="b">
        <v>0</v>
      </c>
      <c r="F66" s="86" t="b">
        <v>0</v>
      </c>
      <c r="G66" s="86" t="b">
        <v>0</v>
      </c>
    </row>
    <row r="67" spans="1:7" ht="15">
      <c r="A67" s="87" t="s">
        <v>3367</v>
      </c>
      <c r="B67" s="86">
        <v>27</v>
      </c>
      <c r="C67" s="115">
        <v>0.004838503440407411</v>
      </c>
      <c r="D67" s="86" t="s">
        <v>4451</v>
      </c>
      <c r="E67" s="86" t="b">
        <v>0</v>
      </c>
      <c r="F67" s="86" t="b">
        <v>0</v>
      </c>
      <c r="G67" s="86" t="b">
        <v>0</v>
      </c>
    </row>
    <row r="68" spans="1:7" ht="15">
      <c r="A68" s="87" t="s">
        <v>4054</v>
      </c>
      <c r="B68" s="86">
        <v>24</v>
      </c>
      <c r="C68" s="115">
        <v>0.004812595488808704</v>
      </c>
      <c r="D68" s="86" t="s">
        <v>4451</v>
      </c>
      <c r="E68" s="86" t="b">
        <v>0</v>
      </c>
      <c r="F68" s="86" t="b">
        <v>0</v>
      </c>
      <c r="G68" s="86" t="b">
        <v>0</v>
      </c>
    </row>
    <row r="69" spans="1:7" ht="15">
      <c r="A69" s="87" t="s">
        <v>3376</v>
      </c>
      <c r="B69" s="86">
        <v>23</v>
      </c>
      <c r="C69" s="115">
        <v>0.004382865975413968</v>
      </c>
      <c r="D69" s="86" t="s">
        <v>4451</v>
      </c>
      <c r="E69" s="86" t="b">
        <v>0</v>
      </c>
      <c r="F69" s="86" t="b">
        <v>0</v>
      </c>
      <c r="G69" s="86" t="b">
        <v>0</v>
      </c>
    </row>
    <row r="70" spans="1:7" ht="15">
      <c r="A70" s="87" t="s">
        <v>4055</v>
      </c>
      <c r="B70" s="86">
        <v>22</v>
      </c>
      <c r="C70" s="115">
        <v>0.004192306585178578</v>
      </c>
      <c r="D70" s="86" t="s">
        <v>4451</v>
      </c>
      <c r="E70" s="86" t="b">
        <v>0</v>
      </c>
      <c r="F70" s="86" t="b">
        <v>0</v>
      </c>
      <c r="G70" s="86" t="b">
        <v>0</v>
      </c>
    </row>
    <row r="71" spans="1:7" ht="15">
      <c r="A71" s="87" t="s">
        <v>4056</v>
      </c>
      <c r="B71" s="86">
        <v>20</v>
      </c>
      <c r="C71" s="115">
        <v>0.003940762652597061</v>
      </c>
      <c r="D71" s="86" t="s">
        <v>4451</v>
      </c>
      <c r="E71" s="86" t="b">
        <v>0</v>
      </c>
      <c r="F71" s="86" t="b">
        <v>0</v>
      </c>
      <c r="G71" s="86" t="b">
        <v>0</v>
      </c>
    </row>
    <row r="72" spans="1:7" ht="15">
      <c r="A72" s="87" t="s">
        <v>4057</v>
      </c>
      <c r="B72" s="86">
        <v>19</v>
      </c>
      <c r="C72" s="115">
        <v>0.0041152749966549065</v>
      </c>
      <c r="D72" s="86" t="s">
        <v>4451</v>
      </c>
      <c r="E72" s="86" t="b">
        <v>0</v>
      </c>
      <c r="F72" s="86" t="b">
        <v>0</v>
      </c>
      <c r="G72" s="86" t="b">
        <v>0</v>
      </c>
    </row>
    <row r="73" spans="1:7" ht="15">
      <c r="A73" s="87" t="s">
        <v>4058</v>
      </c>
      <c r="B73" s="86">
        <v>19</v>
      </c>
      <c r="C73" s="115">
        <v>0.003953622847002494</v>
      </c>
      <c r="D73" s="86" t="s">
        <v>4451</v>
      </c>
      <c r="E73" s="86" t="b">
        <v>0</v>
      </c>
      <c r="F73" s="86" t="b">
        <v>0</v>
      </c>
      <c r="G73" s="86" t="b">
        <v>0</v>
      </c>
    </row>
    <row r="74" spans="1:7" ht="15">
      <c r="A74" s="87" t="s">
        <v>4059</v>
      </c>
      <c r="B74" s="86">
        <v>19</v>
      </c>
      <c r="C74" s="115">
        <v>0.0038798009514357996</v>
      </c>
      <c r="D74" s="86" t="s">
        <v>4451</v>
      </c>
      <c r="E74" s="86" t="b">
        <v>0</v>
      </c>
      <c r="F74" s="86" t="b">
        <v>1</v>
      </c>
      <c r="G74" s="86" t="b">
        <v>0</v>
      </c>
    </row>
    <row r="75" spans="1:7" ht="15">
      <c r="A75" s="87" t="s">
        <v>4060</v>
      </c>
      <c r="B75" s="86">
        <v>19</v>
      </c>
      <c r="C75" s="115">
        <v>0.0038099714286402237</v>
      </c>
      <c r="D75" s="86" t="s">
        <v>4451</v>
      </c>
      <c r="E75" s="86" t="b">
        <v>0</v>
      </c>
      <c r="F75" s="86" t="b">
        <v>0</v>
      </c>
      <c r="G75" s="86" t="b">
        <v>0</v>
      </c>
    </row>
    <row r="76" spans="1:7" ht="15">
      <c r="A76" s="87" t="s">
        <v>4061</v>
      </c>
      <c r="B76" s="86">
        <v>18</v>
      </c>
      <c r="C76" s="115">
        <v>0.003675600901360231</v>
      </c>
      <c r="D76" s="86" t="s">
        <v>4451</v>
      </c>
      <c r="E76" s="86" t="b">
        <v>0</v>
      </c>
      <c r="F76" s="86" t="b">
        <v>1</v>
      </c>
      <c r="G76" s="86" t="b">
        <v>0</v>
      </c>
    </row>
    <row r="77" spans="1:7" ht="15">
      <c r="A77" s="87" t="s">
        <v>4062</v>
      </c>
      <c r="B77" s="86">
        <v>18</v>
      </c>
      <c r="C77" s="115">
        <v>0.003675600901360231</v>
      </c>
      <c r="D77" s="86" t="s">
        <v>4451</v>
      </c>
      <c r="E77" s="86" t="b">
        <v>0</v>
      </c>
      <c r="F77" s="86" t="b">
        <v>0</v>
      </c>
      <c r="G77" s="86" t="b">
        <v>0</v>
      </c>
    </row>
    <row r="78" spans="1:7" ht="15">
      <c r="A78" s="87" t="s">
        <v>4063</v>
      </c>
      <c r="B78" s="86">
        <v>17</v>
      </c>
      <c r="C78" s="115">
        <v>0.003537452021002231</v>
      </c>
      <c r="D78" s="86" t="s">
        <v>4451</v>
      </c>
      <c r="E78" s="86" t="b">
        <v>0</v>
      </c>
      <c r="F78" s="86" t="b">
        <v>0</v>
      </c>
      <c r="G78" s="86" t="b">
        <v>0</v>
      </c>
    </row>
    <row r="79" spans="1:7" ht="15">
      <c r="A79" s="87" t="s">
        <v>4064</v>
      </c>
      <c r="B79" s="86">
        <v>17</v>
      </c>
      <c r="C79" s="115">
        <v>0.003537452021002231</v>
      </c>
      <c r="D79" s="86" t="s">
        <v>4451</v>
      </c>
      <c r="E79" s="86" t="b">
        <v>0</v>
      </c>
      <c r="F79" s="86" t="b">
        <v>1</v>
      </c>
      <c r="G79" s="86" t="b">
        <v>0</v>
      </c>
    </row>
    <row r="80" spans="1:7" ht="15">
      <c r="A80" s="87" t="s">
        <v>4065</v>
      </c>
      <c r="B80" s="86">
        <v>17</v>
      </c>
      <c r="C80" s="115">
        <v>0.003537452021002231</v>
      </c>
      <c r="D80" s="86" t="s">
        <v>4451</v>
      </c>
      <c r="E80" s="86" t="b">
        <v>0</v>
      </c>
      <c r="F80" s="86" t="b">
        <v>0</v>
      </c>
      <c r="G80" s="86" t="b">
        <v>0</v>
      </c>
    </row>
    <row r="81" spans="1:7" ht="15">
      <c r="A81" s="87" t="s">
        <v>4066</v>
      </c>
      <c r="B81" s="86">
        <v>16</v>
      </c>
      <c r="C81" s="115">
        <v>0.003395302281747222</v>
      </c>
      <c r="D81" s="86" t="s">
        <v>4451</v>
      </c>
      <c r="E81" s="86" t="b">
        <v>0</v>
      </c>
      <c r="F81" s="86" t="b">
        <v>1</v>
      </c>
      <c r="G81" s="86" t="b">
        <v>0</v>
      </c>
    </row>
    <row r="82" spans="1:7" ht="15">
      <c r="A82" s="87" t="s">
        <v>4067</v>
      </c>
      <c r="B82" s="86">
        <v>16</v>
      </c>
      <c r="C82" s="115">
        <v>0.003395302281747222</v>
      </c>
      <c r="D82" s="86" t="s">
        <v>4451</v>
      </c>
      <c r="E82" s="86" t="b">
        <v>0</v>
      </c>
      <c r="F82" s="86" t="b">
        <v>0</v>
      </c>
      <c r="G82" s="86" t="b">
        <v>0</v>
      </c>
    </row>
    <row r="83" spans="1:7" ht="15">
      <c r="A83" s="87" t="s">
        <v>4068</v>
      </c>
      <c r="B83" s="86">
        <v>15</v>
      </c>
      <c r="C83" s="115">
        <v>0.0032489013131486097</v>
      </c>
      <c r="D83" s="86" t="s">
        <v>4451</v>
      </c>
      <c r="E83" s="86" t="b">
        <v>0</v>
      </c>
      <c r="F83" s="86" t="b">
        <v>0</v>
      </c>
      <c r="G83" s="86" t="b">
        <v>0</v>
      </c>
    </row>
    <row r="84" spans="1:7" ht="15">
      <c r="A84" s="87" t="s">
        <v>4069</v>
      </c>
      <c r="B84" s="86">
        <v>15</v>
      </c>
      <c r="C84" s="115">
        <v>0.0032489013131486097</v>
      </c>
      <c r="D84" s="86" t="s">
        <v>4451</v>
      </c>
      <c r="E84" s="86" t="b">
        <v>0</v>
      </c>
      <c r="F84" s="86" t="b">
        <v>0</v>
      </c>
      <c r="G84" s="86" t="b">
        <v>0</v>
      </c>
    </row>
    <row r="85" spans="1:7" ht="15">
      <c r="A85" s="87" t="s">
        <v>4070</v>
      </c>
      <c r="B85" s="86">
        <v>15</v>
      </c>
      <c r="C85" s="115">
        <v>0.0032489013131486097</v>
      </c>
      <c r="D85" s="86" t="s">
        <v>4451</v>
      </c>
      <c r="E85" s="86" t="b">
        <v>0</v>
      </c>
      <c r="F85" s="86" t="b">
        <v>0</v>
      </c>
      <c r="G85" s="86" t="b">
        <v>0</v>
      </c>
    </row>
    <row r="86" spans="1:7" ht="15">
      <c r="A86" s="87" t="s">
        <v>4071</v>
      </c>
      <c r="B86" s="86">
        <v>15</v>
      </c>
      <c r="C86" s="115">
        <v>0.0032489013131486097</v>
      </c>
      <c r="D86" s="86" t="s">
        <v>4451</v>
      </c>
      <c r="E86" s="86" t="b">
        <v>0</v>
      </c>
      <c r="F86" s="86" t="b">
        <v>0</v>
      </c>
      <c r="G86" s="86" t="b">
        <v>0</v>
      </c>
    </row>
    <row r="87" spans="1:7" ht="15">
      <c r="A87" s="87" t="s">
        <v>4072</v>
      </c>
      <c r="B87" s="86">
        <v>14</v>
      </c>
      <c r="C87" s="115">
        <v>0.003168490502145854</v>
      </c>
      <c r="D87" s="86" t="s">
        <v>4451</v>
      </c>
      <c r="E87" s="86" t="b">
        <v>0</v>
      </c>
      <c r="F87" s="86" t="b">
        <v>0</v>
      </c>
      <c r="G87" s="86" t="b">
        <v>0</v>
      </c>
    </row>
    <row r="88" spans="1:7" ht="15">
      <c r="A88" s="87" t="s">
        <v>4073</v>
      </c>
      <c r="B88" s="86">
        <v>14</v>
      </c>
      <c r="C88" s="115">
        <v>0.003168490502145854</v>
      </c>
      <c r="D88" s="86" t="s">
        <v>4451</v>
      </c>
      <c r="E88" s="86" t="b">
        <v>0</v>
      </c>
      <c r="F88" s="86" t="b">
        <v>0</v>
      </c>
      <c r="G88" s="86" t="b">
        <v>0</v>
      </c>
    </row>
    <row r="89" spans="1:7" ht="15">
      <c r="A89" s="87" t="s">
        <v>4074</v>
      </c>
      <c r="B89" s="86">
        <v>14</v>
      </c>
      <c r="C89" s="115">
        <v>0.0030979652920660895</v>
      </c>
      <c r="D89" s="86" t="s">
        <v>4451</v>
      </c>
      <c r="E89" s="86" t="b">
        <v>0</v>
      </c>
      <c r="F89" s="86" t="b">
        <v>0</v>
      </c>
      <c r="G89" s="86" t="b">
        <v>0</v>
      </c>
    </row>
    <row r="90" spans="1:7" ht="15">
      <c r="A90" s="87" t="s">
        <v>4075</v>
      </c>
      <c r="B90" s="86">
        <v>13</v>
      </c>
      <c r="C90" s="115">
        <v>0.0034892020042704844</v>
      </c>
      <c r="D90" s="86" t="s">
        <v>4451</v>
      </c>
      <c r="E90" s="86" t="b">
        <v>0</v>
      </c>
      <c r="F90" s="86" t="b">
        <v>0</v>
      </c>
      <c r="G90" s="86" t="b">
        <v>0</v>
      </c>
    </row>
    <row r="91" spans="1:7" ht="15">
      <c r="A91" s="87" t="s">
        <v>4076</v>
      </c>
      <c r="B91" s="86">
        <v>13</v>
      </c>
      <c r="C91" s="115">
        <v>0.0029421697519925786</v>
      </c>
      <c r="D91" s="86" t="s">
        <v>4451</v>
      </c>
      <c r="E91" s="86" t="b">
        <v>0</v>
      </c>
      <c r="F91" s="86" t="b">
        <v>0</v>
      </c>
      <c r="G91" s="86" t="b">
        <v>0</v>
      </c>
    </row>
    <row r="92" spans="1:7" ht="15">
      <c r="A92" s="87" t="s">
        <v>4077</v>
      </c>
      <c r="B92" s="86">
        <v>13</v>
      </c>
      <c r="C92" s="115">
        <v>0.0029421697519925786</v>
      </c>
      <c r="D92" s="86" t="s">
        <v>4451</v>
      </c>
      <c r="E92" s="86" t="b">
        <v>0</v>
      </c>
      <c r="F92" s="86" t="b">
        <v>0</v>
      </c>
      <c r="G92" s="86" t="b">
        <v>0</v>
      </c>
    </row>
    <row r="93" spans="1:7" ht="15">
      <c r="A93" s="87" t="s">
        <v>4078</v>
      </c>
      <c r="B93" s="86">
        <v>13</v>
      </c>
      <c r="C93" s="115">
        <v>0.0029421697519925786</v>
      </c>
      <c r="D93" s="86" t="s">
        <v>4451</v>
      </c>
      <c r="E93" s="86" t="b">
        <v>0</v>
      </c>
      <c r="F93" s="86" t="b">
        <v>0</v>
      </c>
      <c r="G93" s="86" t="b">
        <v>0</v>
      </c>
    </row>
    <row r="94" spans="1:7" ht="15">
      <c r="A94" s="87" t="s">
        <v>4079</v>
      </c>
      <c r="B94" s="86">
        <v>13</v>
      </c>
      <c r="C94" s="115">
        <v>0.0029421697519925786</v>
      </c>
      <c r="D94" s="86" t="s">
        <v>4451</v>
      </c>
      <c r="E94" s="86" t="b">
        <v>0</v>
      </c>
      <c r="F94" s="86" t="b">
        <v>0</v>
      </c>
      <c r="G94" s="86" t="b">
        <v>0</v>
      </c>
    </row>
    <row r="95" spans="1:7" ht="15">
      <c r="A95" s="87" t="s">
        <v>4080</v>
      </c>
      <c r="B95" s="86">
        <v>13</v>
      </c>
      <c r="C95" s="115">
        <v>0.0029421697519925786</v>
      </c>
      <c r="D95" s="86" t="s">
        <v>4451</v>
      </c>
      <c r="E95" s="86" t="b">
        <v>1</v>
      </c>
      <c r="F95" s="86" t="b">
        <v>0</v>
      </c>
      <c r="G95" s="86" t="b">
        <v>0</v>
      </c>
    </row>
    <row r="96" spans="1:7" ht="15">
      <c r="A96" s="87" t="s">
        <v>4081</v>
      </c>
      <c r="B96" s="86">
        <v>12</v>
      </c>
      <c r="C96" s="115">
        <v>0.002781140170271068</v>
      </c>
      <c r="D96" s="86" t="s">
        <v>4451</v>
      </c>
      <c r="E96" s="86" t="b">
        <v>1</v>
      </c>
      <c r="F96" s="86" t="b">
        <v>0</v>
      </c>
      <c r="G96" s="86" t="b">
        <v>0</v>
      </c>
    </row>
    <row r="97" spans="1:7" ht="15">
      <c r="A97" s="87" t="s">
        <v>4082</v>
      </c>
      <c r="B97" s="86">
        <v>12</v>
      </c>
      <c r="C97" s="115">
        <v>0.002781140170271068</v>
      </c>
      <c r="D97" s="86" t="s">
        <v>4451</v>
      </c>
      <c r="E97" s="86" t="b">
        <v>0</v>
      </c>
      <c r="F97" s="86" t="b">
        <v>0</v>
      </c>
      <c r="G97" s="86" t="b">
        <v>0</v>
      </c>
    </row>
    <row r="98" spans="1:7" ht="15">
      <c r="A98" s="87" t="s">
        <v>4083</v>
      </c>
      <c r="B98" s="86">
        <v>12</v>
      </c>
      <c r="C98" s="115">
        <v>0.002929860619883135</v>
      </c>
      <c r="D98" s="86" t="s">
        <v>4451</v>
      </c>
      <c r="E98" s="86" t="b">
        <v>0</v>
      </c>
      <c r="F98" s="86" t="b">
        <v>0</v>
      </c>
      <c r="G98" s="86" t="b">
        <v>0</v>
      </c>
    </row>
    <row r="99" spans="1:7" ht="15">
      <c r="A99" s="87" t="s">
        <v>4084</v>
      </c>
      <c r="B99" s="86">
        <v>11</v>
      </c>
      <c r="C99" s="115">
        <v>0.0026144394018871127</v>
      </c>
      <c r="D99" s="86" t="s">
        <v>4451</v>
      </c>
      <c r="E99" s="86" t="b">
        <v>0</v>
      </c>
      <c r="F99" s="86" t="b">
        <v>0</v>
      </c>
      <c r="G99" s="86" t="b">
        <v>0</v>
      </c>
    </row>
    <row r="100" spans="1:7" ht="15">
      <c r="A100" s="87" t="s">
        <v>4085</v>
      </c>
      <c r="B100" s="86">
        <v>11</v>
      </c>
      <c r="C100" s="115">
        <v>0.002685705568226207</v>
      </c>
      <c r="D100" s="86" t="s">
        <v>4451</v>
      </c>
      <c r="E100" s="86" t="b">
        <v>0</v>
      </c>
      <c r="F100" s="86" t="b">
        <v>0</v>
      </c>
      <c r="G100" s="86" t="b">
        <v>0</v>
      </c>
    </row>
    <row r="101" spans="1:7" ht="15">
      <c r="A101" s="87" t="s">
        <v>3377</v>
      </c>
      <c r="B101" s="86">
        <v>11</v>
      </c>
      <c r="C101" s="115">
        <v>0.0026144394018871127</v>
      </c>
      <c r="D101" s="86" t="s">
        <v>4451</v>
      </c>
      <c r="E101" s="86" t="b">
        <v>1</v>
      </c>
      <c r="F101" s="86" t="b">
        <v>0</v>
      </c>
      <c r="G101" s="86" t="b">
        <v>0</v>
      </c>
    </row>
    <row r="102" spans="1:7" ht="15">
      <c r="A102" s="87" t="s">
        <v>4086</v>
      </c>
      <c r="B102" s="86">
        <v>11</v>
      </c>
      <c r="C102" s="115">
        <v>0.0026144394018871127</v>
      </c>
      <c r="D102" s="86" t="s">
        <v>4451</v>
      </c>
      <c r="E102" s="86" t="b">
        <v>0</v>
      </c>
      <c r="F102" s="86" t="b">
        <v>0</v>
      </c>
      <c r="G102" s="86" t="b">
        <v>0</v>
      </c>
    </row>
    <row r="103" spans="1:7" ht="15">
      <c r="A103" s="87" t="s">
        <v>4087</v>
      </c>
      <c r="B103" s="86">
        <v>10</v>
      </c>
      <c r="C103" s="115">
        <v>0.0024415505165692793</v>
      </c>
      <c r="D103" s="86" t="s">
        <v>4451</v>
      </c>
      <c r="E103" s="86" t="b">
        <v>0</v>
      </c>
      <c r="F103" s="86" t="b">
        <v>0</v>
      </c>
      <c r="G103" s="86" t="b">
        <v>0</v>
      </c>
    </row>
    <row r="104" spans="1:7" ht="15">
      <c r="A104" s="87" t="s">
        <v>4088</v>
      </c>
      <c r="B104" s="86">
        <v>10</v>
      </c>
      <c r="C104" s="115">
        <v>0.0024415505165692793</v>
      </c>
      <c r="D104" s="86" t="s">
        <v>4451</v>
      </c>
      <c r="E104" s="86" t="b">
        <v>0</v>
      </c>
      <c r="F104" s="86" t="b">
        <v>0</v>
      </c>
      <c r="G104" s="86" t="b">
        <v>0</v>
      </c>
    </row>
    <row r="105" spans="1:7" ht="15">
      <c r="A105" s="87" t="s">
        <v>4089</v>
      </c>
      <c r="B105" s="86">
        <v>10</v>
      </c>
      <c r="C105" s="115">
        <v>0.0024415505165692793</v>
      </c>
      <c r="D105" s="86" t="s">
        <v>4451</v>
      </c>
      <c r="E105" s="86" t="b">
        <v>0</v>
      </c>
      <c r="F105" s="86" t="b">
        <v>0</v>
      </c>
      <c r="G105" s="86" t="b">
        <v>0</v>
      </c>
    </row>
    <row r="106" spans="1:7" ht="15">
      <c r="A106" s="87" t="s">
        <v>4090</v>
      </c>
      <c r="B106" s="86">
        <v>10</v>
      </c>
      <c r="C106" s="115">
        <v>0.0025131696910264327</v>
      </c>
      <c r="D106" s="86" t="s">
        <v>4451</v>
      </c>
      <c r="E106" s="86" t="b">
        <v>0</v>
      </c>
      <c r="F106" s="86" t="b">
        <v>0</v>
      </c>
      <c r="G106" s="86" t="b">
        <v>0</v>
      </c>
    </row>
    <row r="107" spans="1:7" ht="15">
      <c r="A107" s="87" t="s">
        <v>3319</v>
      </c>
      <c r="B107" s="86">
        <v>10</v>
      </c>
      <c r="C107" s="115">
        <v>0.0025131696910264327</v>
      </c>
      <c r="D107" s="86" t="s">
        <v>4451</v>
      </c>
      <c r="E107" s="86" t="b">
        <v>0</v>
      </c>
      <c r="F107" s="86" t="b">
        <v>0</v>
      </c>
      <c r="G107" s="86" t="b">
        <v>0</v>
      </c>
    </row>
    <row r="108" spans="1:7" ht="15">
      <c r="A108" s="87" t="s">
        <v>4091</v>
      </c>
      <c r="B108" s="86">
        <v>10</v>
      </c>
      <c r="C108" s="115">
        <v>0.0024415505165692793</v>
      </c>
      <c r="D108" s="86" t="s">
        <v>4451</v>
      </c>
      <c r="E108" s="86" t="b">
        <v>0</v>
      </c>
      <c r="F108" s="86" t="b">
        <v>0</v>
      </c>
      <c r="G108" s="86" t="b">
        <v>0</v>
      </c>
    </row>
    <row r="109" spans="1:7" ht="15">
      <c r="A109" s="87" t="s">
        <v>4092</v>
      </c>
      <c r="B109" s="86">
        <v>10</v>
      </c>
      <c r="C109" s="115">
        <v>0.0024415505165692793</v>
      </c>
      <c r="D109" s="86" t="s">
        <v>4451</v>
      </c>
      <c r="E109" s="86" t="b">
        <v>0</v>
      </c>
      <c r="F109" s="86" t="b">
        <v>0</v>
      </c>
      <c r="G109" s="86" t="b">
        <v>0</v>
      </c>
    </row>
    <row r="110" spans="1:7" ht="15">
      <c r="A110" s="87" t="s">
        <v>4093</v>
      </c>
      <c r="B110" s="86">
        <v>10</v>
      </c>
      <c r="C110" s="115">
        <v>0.0025131696910264327</v>
      </c>
      <c r="D110" s="86" t="s">
        <v>4451</v>
      </c>
      <c r="E110" s="86" t="b">
        <v>0</v>
      </c>
      <c r="F110" s="86" t="b">
        <v>0</v>
      </c>
      <c r="G110" s="86" t="b">
        <v>0</v>
      </c>
    </row>
    <row r="111" spans="1:7" ht="15">
      <c r="A111" s="87" t="s">
        <v>4094</v>
      </c>
      <c r="B111" s="86">
        <v>10</v>
      </c>
      <c r="C111" s="115">
        <v>0.0024415505165692793</v>
      </c>
      <c r="D111" s="86" t="s">
        <v>4451</v>
      </c>
      <c r="E111" s="86" t="b">
        <v>0</v>
      </c>
      <c r="F111" s="86" t="b">
        <v>0</v>
      </c>
      <c r="G111" s="86" t="b">
        <v>0</v>
      </c>
    </row>
    <row r="112" spans="1:7" ht="15">
      <c r="A112" s="87" t="s">
        <v>4095</v>
      </c>
      <c r="B112" s="86">
        <v>9</v>
      </c>
      <c r="C112" s="115">
        <v>0.0022618527219237894</v>
      </c>
      <c r="D112" s="86" t="s">
        <v>4451</v>
      </c>
      <c r="E112" s="86" t="b">
        <v>0</v>
      </c>
      <c r="F112" s="86" t="b">
        <v>0</v>
      </c>
      <c r="G112" s="86" t="b">
        <v>0</v>
      </c>
    </row>
    <row r="113" spans="1:7" ht="15">
      <c r="A113" s="87" t="s">
        <v>4096</v>
      </c>
      <c r="B113" s="86">
        <v>9</v>
      </c>
      <c r="C113" s="115">
        <v>0.0022618527219237894</v>
      </c>
      <c r="D113" s="86" t="s">
        <v>4451</v>
      </c>
      <c r="E113" s="86" t="b">
        <v>0</v>
      </c>
      <c r="F113" s="86" t="b">
        <v>1</v>
      </c>
      <c r="G113" s="86" t="b">
        <v>0</v>
      </c>
    </row>
    <row r="114" spans="1:7" ht="15">
      <c r="A114" s="87" t="s">
        <v>4097</v>
      </c>
      <c r="B114" s="86">
        <v>9</v>
      </c>
      <c r="C114" s="115">
        <v>0.0023339098047264863</v>
      </c>
      <c r="D114" s="86" t="s">
        <v>4451</v>
      </c>
      <c r="E114" s="86" t="b">
        <v>0</v>
      </c>
      <c r="F114" s="86" t="b">
        <v>0</v>
      </c>
      <c r="G114" s="86" t="b">
        <v>0</v>
      </c>
    </row>
    <row r="115" spans="1:7" ht="15">
      <c r="A115" s="87" t="s">
        <v>4098</v>
      </c>
      <c r="B115" s="86">
        <v>9</v>
      </c>
      <c r="C115" s="115">
        <v>0.0025099073989469744</v>
      </c>
      <c r="D115" s="86" t="s">
        <v>4451</v>
      </c>
      <c r="E115" s="86" t="b">
        <v>0</v>
      </c>
      <c r="F115" s="86" t="b">
        <v>0</v>
      </c>
      <c r="G115" s="86" t="b">
        <v>0</v>
      </c>
    </row>
    <row r="116" spans="1:7" ht="15">
      <c r="A116" s="87" t="s">
        <v>4099</v>
      </c>
      <c r="B116" s="86">
        <v>9</v>
      </c>
      <c r="C116" s="115">
        <v>0.0023339098047264863</v>
      </c>
      <c r="D116" s="86" t="s">
        <v>4451</v>
      </c>
      <c r="E116" s="86" t="b">
        <v>0</v>
      </c>
      <c r="F116" s="86" t="b">
        <v>0</v>
      </c>
      <c r="G116" s="86" t="b">
        <v>0</v>
      </c>
    </row>
    <row r="117" spans="1:7" ht="15">
      <c r="A117" s="87" t="s">
        <v>4100</v>
      </c>
      <c r="B117" s="86">
        <v>9</v>
      </c>
      <c r="C117" s="115">
        <v>0.0022618527219237894</v>
      </c>
      <c r="D117" s="86" t="s">
        <v>4451</v>
      </c>
      <c r="E117" s="86" t="b">
        <v>1</v>
      </c>
      <c r="F117" s="86" t="b">
        <v>0</v>
      </c>
      <c r="G117" s="86" t="b">
        <v>0</v>
      </c>
    </row>
    <row r="118" spans="1:7" ht="15">
      <c r="A118" s="87" t="s">
        <v>3318</v>
      </c>
      <c r="B118" s="86">
        <v>9</v>
      </c>
      <c r="C118" s="115">
        <v>0.0023339098047264863</v>
      </c>
      <c r="D118" s="86" t="s">
        <v>4451</v>
      </c>
      <c r="E118" s="86" t="b">
        <v>0</v>
      </c>
      <c r="F118" s="86" t="b">
        <v>0</v>
      </c>
      <c r="G118" s="86" t="b">
        <v>0</v>
      </c>
    </row>
    <row r="119" spans="1:7" ht="15">
      <c r="A119" s="87" t="s">
        <v>4101</v>
      </c>
      <c r="B119" s="86">
        <v>9</v>
      </c>
      <c r="C119" s="115">
        <v>0.0022618527219237894</v>
      </c>
      <c r="D119" s="86" t="s">
        <v>4451</v>
      </c>
      <c r="E119" s="86" t="b">
        <v>0</v>
      </c>
      <c r="F119" s="86" t="b">
        <v>0</v>
      </c>
      <c r="G119" s="86" t="b">
        <v>0</v>
      </c>
    </row>
    <row r="120" spans="1:7" ht="15">
      <c r="A120" s="87" t="s">
        <v>4102</v>
      </c>
      <c r="B120" s="86">
        <v>9</v>
      </c>
      <c r="C120" s="115">
        <v>0.0022618527219237894</v>
      </c>
      <c r="D120" s="86" t="s">
        <v>4451</v>
      </c>
      <c r="E120" s="86" t="b">
        <v>0</v>
      </c>
      <c r="F120" s="86" t="b">
        <v>0</v>
      </c>
      <c r="G120" s="86" t="b">
        <v>0</v>
      </c>
    </row>
    <row r="121" spans="1:7" ht="15">
      <c r="A121" s="87" t="s">
        <v>3375</v>
      </c>
      <c r="B121" s="86">
        <v>9</v>
      </c>
      <c r="C121" s="115">
        <v>0.0022618527219237894</v>
      </c>
      <c r="D121" s="86" t="s">
        <v>4451</v>
      </c>
      <c r="E121" s="86" t="b">
        <v>0</v>
      </c>
      <c r="F121" s="86" t="b">
        <v>0</v>
      </c>
      <c r="G121" s="86" t="b">
        <v>0</v>
      </c>
    </row>
    <row r="122" spans="1:7" ht="15">
      <c r="A122" s="87" t="s">
        <v>4103</v>
      </c>
      <c r="B122" s="86">
        <v>8</v>
      </c>
      <c r="C122" s="115">
        <v>0.00207458649309021</v>
      </c>
      <c r="D122" s="86" t="s">
        <v>4451</v>
      </c>
      <c r="E122" s="86" t="b">
        <v>0</v>
      </c>
      <c r="F122" s="86" t="b">
        <v>0</v>
      </c>
      <c r="G122" s="86" t="b">
        <v>0</v>
      </c>
    </row>
    <row r="123" spans="1:7" ht="15">
      <c r="A123" s="87" t="s">
        <v>4104</v>
      </c>
      <c r="B123" s="86">
        <v>8</v>
      </c>
      <c r="C123" s="115">
        <v>0.00207458649309021</v>
      </c>
      <c r="D123" s="86" t="s">
        <v>4451</v>
      </c>
      <c r="E123" s="86" t="b">
        <v>0</v>
      </c>
      <c r="F123" s="86" t="b">
        <v>0</v>
      </c>
      <c r="G123" s="86" t="b">
        <v>0</v>
      </c>
    </row>
    <row r="124" spans="1:7" ht="15">
      <c r="A124" s="87" t="s">
        <v>4105</v>
      </c>
      <c r="B124" s="86">
        <v>8</v>
      </c>
      <c r="C124" s="115">
        <v>0.00207458649309021</v>
      </c>
      <c r="D124" s="86" t="s">
        <v>4451</v>
      </c>
      <c r="E124" s="86" t="b">
        <v>0</v>
      </c>
      <c r="F124" s="86" t="b">
        <v>0</v>
      </c>
      <c r="G124" s="86" t="b">
        <v>0</v>
      </c>
    </row>
    <row r="125" spans="1:7" ht="15">
      <c r="A125" s="87" t="s">
        <v>4106</v>
      </c>
      <c r="B125" s="86">
        <v>8</v>
      </c>
      <c r="C125" s="115">
        <v>0.00207458649309021</v>
      </c>
      <c r="D125" s="86" t="s">
        <v>4451</v>
      </c>
      <c r="E125" s="86" t="b">
        <v>0</v>
      </c>
      <c r="F125" s="86" t="b">
        <v>0</v>
      </c>
      <c r="G125" s="86" t="b">
        <v>0</v>
      </c>
    </row>
    <row r="126" spans="1:7" ht="15">
      <c r="A126" s="87" t="s">
        <v>4107</v>
      </c>
      <c r="B126" s="86">
        <v>8</v>
      </c>
      <c r="C126" s="115">
        <v>0.00207458649309021</v>
      </c>
      <c r="D126" s="86" t="s">
        <v>4451</v>
      </c>
      <c r="E126" s="86" t="b">
        <v>0</v>
      </c>
      <c r="F126" s="86" t="b">
        <v>0</v>
      </c>
      <c r="G126" s="86" t="b">
        <v>0</v>
      </c>
    </row>
    <row r="127" spans="1:7" ht="15">
      <c r="A127" s="87" t="s">
        <v>4108</v>
      </c>
      <c r="B127" s="86">
        <v>8</v>
      </c>
      <c r="C127" s="115">
        <v>0.00207458649309021</v>
      </c>
      <c r="D127" s="86" t="s">
        <v>4451</v>
      </c>
      <c r="E127" s="86" t="b">
        <v>0</v>
      </c>
      <c r="F127" s="86" t="b">
        <v>0</v>
      </c>
      <c r="G127" s="86" t="b">
        <v>0</v>
      </c>
    </row>
    <row r="128" spans="1:7" ht="15">
      <c r="A128" s="87" t="s">
        <v>4109</v>
      </c>
      <c r="B128" s="86">
        <v>8</v>
      </c>
      <c r="C128" s="115">
        <v>0.00207458649309021</v>
      </c>
      <c r="D128" s="86" t="s">
        <v>4451</v>
      </c>
      <c r="E128" s="86" t="b">
        <v>0</v>
      </c>
      <c r="F128" s="86" t="b">
        <v>0</v>
      </c>
      <c r="G128" s="86" t="b">
        <v>0</v>
      </c>
    </row>
    <row r="129" spans="1:7" ht="15">
      <c r="A129" s="87" t="s">
        <v>4110</v>
      </c>
      <c r="B129" s="86">
        <v>8</v>
      </c>
      <c r="C129" s="115">
        <v>0.00207458649309021</v>
      </c>
      <c r="D129" s="86" t="s">
        <v>4451</v>
      </c>
      <c r="E129" s="86" t="b">
        <v>0</v>
      </c>
      <c r="F129" s="86" t="b">
        <v>0</v>
      </c>
      <c r="G129" s="86" t="b">
        <v>0</v>
      </c>
    </row>
    <row r="130" spans="1:7" ht="15">
      <c r="A130" s="87" t="s">
        <v>4111</v>
      </c>
      <c r="B130" s="86">
        <v>8</v>
      </c>
      <c r="C130" s="115">
        <v>0.00207458649309021</v>
      </c>
      <c r="D130" s="86" t="s">
        <v>4451</v>
      </c>
      <c r="E130" s="86" t="b">
        <v>0</v>
      </c>
      <c r="F130" s="86" t="b">
        <v>0</v>
      </c>
      <c r="G130" s="86" t="b">
        <v>0</v>
      </c>
    </row>
    <row r="131" spans="1:7" ht="15">
      <c r="A131" s="87" t="s">
        <v>429</v>
      </c>
      <c r="B131" s="86">
        <v>8</v>
      </c>
      <c r="C131" s="115">
        <v>0.00207458649309021</v>
      </c>
      <c r="D131" s="86" t="s">
        <v>4451</v>
      </c>
      <c r="E131" s="86" t="b">
        <v>0</v>
      </c>
      <c r="F131" s="86" t="b">
        <v>0</v>
      </c>
      <c r="G131" s="86" t="b">
        <v>0</v>
      </c>
    </row>
    <row r="132" spans="1:7" ht="15">
      <c r="A132" s="87" t="s">
        <v>4112</v>
      </c>
      <c r="B132" s="86">
        <v>8</v>
      </c>
      <c r="C132" s="115">
        <v>0.00207458649309021</v>
      </c>
      <c r="D132" s="86" t="s">
        <v>4451</v>
      </c>
      <c r="E132" s="86" t="b">
        <v>1</v>
      </c>
      <c r="F132" s="86" t="b">
        <v>0</v>
      </c>
      <c r="G132" s="86" t="b">
        <v>0</v>
      </c>
    </row>
    <row r="133" spans="1:7" ht="15">
      <c r="A133" s="87" t="s">
        <v>4113</v>
      </c>
      <c r="B133" s="86">
        <v>7</v>
      </c>
      <c r="C133" s="115">
        <v>0.0018788010792225686</v>
      </c>
      <c r="D133" s="86" t="s">
        <v>4451</v>
      </c>
      <c r="E133" s="86" t="b">
        <v>1</v>
      </c>
      <c r="F133" s="86" t="b">
        <v>0</v>
      </c>
      <c r="G133" s="86" t="b">
        <v>0</v>
      </c>
    </row>
    <row r="134" spans="1:7" ht="15">
      <c r="A134" s="87" t="s">
        <v>4114</v>
      </c>
      <c r="B134" s="86">
        <v>7</v>
      </c>
      <c r="C134" s="115">
        <v>0.0018788010792225686</v>
      </c>
      <c r="D134" s="86" t="s">
        <v>4451</v>
      </c>
      <c r="E134" s="86" t="b">
        <v>0</v>
      </c>
      <c r="F134" s="86" t="b">
        <v>0</v>
      </c>
      <c r="G134" s="86" t="b">
        <v>0</v>
      </c>
    </row>
    <row r="135" spans="1:7" ht="15">
      <c r="A135" s="87" t="s">
        <v>4115</v>
      </c>
      <c r="B135" s="86">
        <v>7</v>
      </c>
      <c r="C135" s="115">
        <v>0.0019521501991809802</v>
      </c>
      <c r="D135" s="86" t="s">
        <v>4451</v>
      </c>
      <c r="E135" s="86" t="b">
        <v>0</v>
      </c>
      <c r="F135" s="86" t="b">
        <v>0</v>
      </c>
      <c r="G135" s="86" t="b">
        <v>0</v>
      </c>
    </row>
    <row r="136" spans="1:7" ht="15">
      <c r="A136" s="87" t="s">
        <v>4116</v>
      </c>
      <c r="B136" s="86">
        <v>7</v>
      </c>
      <c r="C136" s="115">
        <v>0.0018788010792225686</v>
      </c>
      <c r="D136" s="86" t="s">
        <v>4451</v>
      </c>
      <c r="E136" s="86" t="b">
        <v>0</v>
      </c>
      <c r="F136" s="86" t="b">
        <v>0</v>
      </c>
      <c r="G136" s="86" t="b">
        <v>0</v>
      </c>
    </row>
    <row r="137" spans="1:7" ht="15">
      <c r="A137" s="87" t="s">
        <v>4117</v>
      </c>
      <c r="B137" s="86">
        <v>7</v>
      </c>
      <c r="C137" s="115">
        <v>0.0018788010792225686</v>
      </c>
      <c r="D137" s="86" t="s">
        <v>4451</v>
      </c>
      <c r="E137" s="86" t="b">
        <v>0</v>
      </c>
      <c r="F137" s="86" t="b">
        <v>0</v>
      </c>
      <c r="G137" s="86" t="b">
        <v>0</v>
      </c>
    </row>
    <row r="138" spans="1:7" ht="15">
      <c r="A138" s="87" t="s">
        <v>4118</v>
      </c>
      <c r="B138" s="86">
        <v>7</v>
      </c>
      <c r="C138" s="115">
        <v>0.0018788010792225686</v>
      </c>
      <c r="D138" s="86" t="s">
        <v>4451</v>
      </c>
      <c r="E138" s="86" t="b">
        <v>0</v>
      </c>
      <c r="F138" s="86" t="b">
        <v>0</v>
      </c>
      <c r="G138" s="86" t="b">
        <v>0</v>
      </c>
    </row>
    <row r="139" spans="1:7" ht="15">
      <c r="A139" s="87" t="s">
        <v>4119</v>
      </c>
      <c r="B139" s="86">
        <v>7</v>
      </c>
      <c r="C139" s="115">
        <v>0.0019521501991809802</v>
      </c>
      <c r="D139" s="86" t="s">
        <v>4451</v>
      </c>
      <c r="E139" s="86" t="b">
        <v>1</v>
      </c>
      <c r="F139" s="86" t="b">
        <v>0</v>
      </c>
      <c r="G139" s="86" t="b">
        <v>0</v>
      </c>
    </row>
    <row r="140" spans="1:7" ht="15">
      <c r="A140" s="87" t="s">
        <v>3386</v>
      </c>
      <c r="B140" s="86">
        <v>7</v>
      </c>
      <c r="C140" s="115">
        <v>0.0018788010792225686</v>
      </c>
      <c r="D140" s="86" t="s">
        <v>4451</v>
      </c>
      <c r="E140" s="86" t="b">
        <v>0</v>
      </c>
      <c r="F140" s="86" t="b">
        <v>0</v>
      </c>
      <c r="G140" s="86" t="b">
        <v>0</v>
      </c>
    </row>
    <row r="141" spans="1:7" ht="15">
      <c r="A141" s="87" t="s">
        <v>4120</v>
      </c>
      <c r="B141" s="86">
        <v>7</v>
      </c>
      <c r="C141" s="115">
        <v>0.0019521501991809802</v>
      </c>
      <c r="D141" s="86" t="s">
        <v>4451</v>
      </c>
      <c r="E141" s="86" t="b">
        <v>0</v>
      </c>
      <c r="F141" s="86" t="b">
        <v>0</v>
      </c>
      <c r="G141" s="86" t="b">
        <v>0</v>
      </c>
    </row>
    <row r="142" spans="1:7" ht="15">
      <c r="A142" s="87" t="s">
        <v>427</v>
      </c>
      <c r="B142" s="86">
        <v>7</v>
      </c>
      <c r="C142" s="115">
        <v>0.0018788010792225686</v>
      </c>
      <c r="D142" s="86" t="s">
        <v>4451</v>
      </c>
      <c r="E142" s="86" t="b">
        <v>0</v>
      </c>
      <c r="F142" s="86" t="b">
        <v>0</v>
      </c>
      <c r="G142" s="86" t="b">
        <v>0</v>
      </c>
    </row>
    <row r="143" spans="1:7" ht="15">
      <c r="A143" s="87" t="s">
        <v>4121</v>
      </c>
      <c r="B143" s="86">
        <v>7</v>
      </c>
      <c r="C143" s="115">
        <v>0.0018788010792225686</v>
      </c>
      <c r="D143" s="86" t="s">
        <v>4451</v>
      </c>
      <c r="E143" s="86" t="b">
        <v>0</v>
      </c>
      <c r="F143" s="86" t="b">
        <v>0</v>
      </c>
      <c r="G143" s="86" t="b">
        <v>0</v>
      </c>
    </row>
    <row r="144" spans="1:7" ht="15">
      <c r="A144" s="87" t="s">
        <v>4122</v>
      </c>
      <c r="B144" s="86">
        <v>7</v>
      </c>
      <c r="C144" s="115">
        <v>0.0018788010792225686</v>
      </c>
      <c r="D144" s="86" t="s">
        <v>4451</v>
      </c>
      <c r="E144" s="86" t="b">
        <v>0</v>
      </c>
      <c r="F144" s="86" t="b">
        <v>0</v>
      </c>
      <c r="G144" s="86" t="b">
        <v>0</v>
      </c>
    </row>
    <row r="145" spans="1:7" ht="15">
      <c r="A145" s="87" t="s">
        <v>4123</v>
      </c>
      <c r="B145" s="86">
        <v>7</v>
      </c>
      <c r="C145" s="115">
        <v>0.0018788010792225686</v>
      </c>
      <c r="D145" s="86" t="s">
        <v>4451</v>
      </c>
      <c r="E145" s="86" t="b">
        <v>0</v>
      </c>
      <c r="F145" s="86" t="b">
        <v>0</v>
      </c>
      <c r="G145" s="86" t="b">
        <v>0</v>
      </c>
    </row>
    <row r="146" spans="1:7" ht="15">
      <c r="A146" s="87" t="s">
        <v>4124</v>
      </c>
      <c r="B146" s="86">
        <v>7</v>
      </c>
      <c r="C146" s="115">
        <v>0.0018788010792225686</v>
      </c>
      <c r="D146" s="86" t="s">
        <v>4451</v>
      </c>
      <c r="E146" s="86" t="b">
        <v>0</v>
      </c>
      <c r="F146" s="86" t="b">
        <v>0</v>
      </c>
      <c r="G146" s="86" t="b">
        <v>0</v>
      </c>
    </row>
    <row r="147" spans="1:7" ht="15">
      <c r="A147" s="87" t="s">
        <v>4125</v>
      </c>
      <c r="B147" s="86">
        <v>7</v>
      </c>
      <c r="C147" s="115">
        <v>0.0018788010792225686</v>
      </c>
      <c r="D147" s="86" t="s">
        <v>4451</v>
      </c>
      <c r="E147" s="86" t="b">
        <v>0</v>
      </c>
      <c r="F147" s="86" t="b">
        <v>0</v>
      </c>
      <c r="G147" s="86" t="b">
        <v>0</v>
      </c>
    </row>
    <row r="148" spans="1:7" ht="15">
      <c r="A148" s="87" t="s">
        <v>4126</v>
      </c>
      <c r="B148" s="86">
        <v>6</v>
      </c>
      <c r="C148" s="115">
        <v>0.001673271599297983</v>
      </c>
      <c r="D148" s="86" t="s">
        <v>4451</v>
      </c>
      <c r="E148" s="86" t="b">
        <v>0</v>
      </c>
      <c r="F148" s="86" t="b">
        <v>0</v>
      </c>
      <c r="G148" s="86" t="b">
        <v>0</v>
      </c>
    </row>
    <row r="149" spans="1:7" ht="15">
      <c r="A149" s="87" t="s">
        <v>4127</v>
      </c>
      <c r="B149" s="86">
        <v>6</v>
      </c>
      <c r="C149" s="115">
        <v>0.001673271599297983</v>
      </c>
      <c r="D149" s="86" t="s">
        <v>4451</v>
      </c>
      <c r="E149" s="86" t="b">
        <v>0</v>
      </c>
      <c r="F149" s="86" t="b">
        <v>0</v>
      </c>
      <c r="G149" s="86" t="b">
        <v>0</v>
      </c>
    </row>
    <row r="150" spans="1:7" ht="15">
      <c r="A150" s="87" t="s">
        <v>4128</v>
      </c>
      <c r="B150" s="86">
        <v>6</v>
      </c>
      <c r="C150" s="115">
        <v>0.001673271599297983</v>
      </c>
      <c r="D150" s="86" t="s">
        <v>4451</v>
      </c>
      <c r="E150" s="86" t="b">
        <v>1</v>
      </c>
      <c r="F150" s="86" t="b">
        <v>0</v>
      </c>
      <c r="G150" s="86" t="b">
        <v>0</v>
      </c>
    </row>
    <row r="151" spans="1:7" ht="15">
      <c r="A151" s="87" t="s">
        <v>4129</v>
      </c>
      <c r="B151" s="86">
        <v>6</v>
      </c>
      <c r="C151" s="115">
        <v>0.001673271599297983</v>
      </c>
      <c r="D151" s="86" t="s">
        <v>4451</v>
      </c>
      <c r="E151" s="86" t="b">
        <v>1</v>
      </c>
      <c r="F151" s="86" t="b">
        <v>0</v>
      </c>
      <c r="G151" s="86" t="b">
        <v>0</v>
      </c>
    </row>
    <row r="152" spans="1:7" ht="15">
      <c r="A152" s="87" t="s">
        <v>4130</v>
      </c>
      <c r="B152" s="86">
        <v>6</v>
      </c>
      <c r="C152" s="115">
        <v>0.001673271599297983</v>
      </c>
      <c r="D152" s="86" t="s">
        <v>4451</v>
      </c>
      <c r="E152" s="86" t="b">
        <v>0</v>
      </c>
      <c r="F152" s="86" t="b">
        <v>0</v>
      </c>
      <c r="G152" s="86" t="b">
        <v>0</v>
      </c>
    </row>
    <row r="153" spans="1:7" ht="15">
      <c r="A153" s="87" t="s">
        <v>3370</v>
      </c>
      <c r="B153" s="86">
        <v>6</v>
      </c>
      <c r="C153" s="115">
        <v>0.0017476318241040167</v>
      </c>
      <c r="D153" s="86" t="s">
        <v>4451</v>
      </c>
      <c r="E153" s="86" t="b">
        <v>0</v>
      </c>
      <c r="F153" s="86" t="b">
        <v>0</v>
      </c>
      <c r="G153" s="86" t="b">
        <v>0</v>
      </c>
    </row>
    <row r="154" spans="1:7" ht="15">
      <c r="A154" s="87" t="s">
        <v>4131</v>
      </c>
      <c r="B154" s="86">
        <v>6</v>
      </c>
      <c r="C154" s="115">
        <v>0.001673271599297983</v>
      </c>
      <c r="D154" s="86" t="s">
        <v>4451</v>
      </c>
      <c r="E154" s="86" t="b">
        <v>0</v>
      </c>
      <c r="F154" s="86" t="b">
        <v>0</v>
      </c>
      <c r="G154" s="86" t="b">
        <v>0</v>
      </c>
    </row>
    <row r="155" spans="1:7" ht="15">
      <c r="A155" s="87" t="s">
        <v>4132</v>
      </c>
      <c r="B155" s="86">
        <v>6</v>
      </c>
      <c r="C155" s="115">
        <v>0.001673271599297983</v>
      </c>
      <c r="D155" s="86" t="s">
        <v>4451</v>
      </c>
      <c r="E155" s="86" t="b">
        <v>1</v>
      </c>
      <c r="F155" s="86" t="b">
        <v>0</v>
      </c>
      <c r="G155" s="86" t="b">
        <v>0</v>
      </c>
    </row>
    <row r="156" spans="1:7" ht="15">
      <c r="A156" s="87" t="s">
        <v>4133</v>
      </c>
      <c r="B156" s="86">
        <v>6</v>
      </c>
      <c r="C156" s="115">
        <v>0.001673271599297983</v>
      </c>
      <c r="D156" s="86" t="s">
        <v>4451</v>
      </c>
      <c r="E156" s="86" t="b">
        <v>0</v>
      </c>
      <c r="F156" s="86" t="b">
        <v>0</v>
      </c>
      <c r="G156" s="86" t="b">
        <v>0</v>
      </c>
    </row>
    <row r="157" spans="1:7" ht="15">
      <c r="A157" s="87" t="s">
        <v>4134</v>
      </c>
      <c r="B157" s="86">
        <v>6</v>
      </c>
      <c r="C157" s="115">
        <v>0.001673271599297983</v>
      </c>
      <c r="D157" s="86" t="s">
        <v>4451</v>
      </c>
      <c r="E157" s="86" t="b">
        <v>0</v>
      </c>
      <c r="F157" s="86" t="b">
        <v>0</v>
      </c>
      <c r="G157" s="86" t="b">
        <v>0</v>
      </c>
    </row>
    <row r="158" spans="1:7" ht="15">
      <c r="A158" s="87" t="s">
        <v>4135</v>
      </c>
      <c r="B158" s="86">
        <v>6</v>
      </c>
      <c r="C158" s="115">
        <v>0.001673271599297983</v>
      </c>
      <c r="D158" s="86" t="s">
        <v>4451</v>
      </c>
      <c r="E158" s="86" t="b">
        <v>0</v>
      </c>
      <c r="F158" s="86" t="b">
        <v>0</v>
      </c>
      <c r="G158" s="86" t="b">
        <v>0</v>
      </c>
    </row>
    <row r="159" spans="1:7" ht="15">
      <c r="A159" s="87" t="s">
        <v>4136</v>
      </c>
      <c r="B159" s="86">
        <v>6</v>
      </c>
      <c r="C159" s="115">
        <v>0.0017476318241040167</v>
      </c>
      <c r="D159" s="86" t="s">
        <v>4451</v>
      </c>
      <c r="E159" s="86" t="b">
        <v>0</v>
      </c>
      <c r="F159" s="86" t="b">
        <v>0</v>
      </c>
      <c r="G159" s="86" t="b">
        <v>0</v>
      </c>
    </row>
    <row r="160" spans="1:7" ht="15">
      <c r="A160" s="87" t="s">
        <v>4137</v>
      </c>
      <c r="B160" s="86">
        <v>6</v>
      </c>
      <c r="C160" s="115">
        <v>0.001673271599297983</v>
      </c>
      <c r="D160" s="86" t="s">
        <v>4451</v>
      </c>
      <c r="E160" s="86" t="b">
        <v>0</v>
      </c>
      <c r="F160" s="86" t="b">
        <v>0</v>
      </c>
      <c r="G160" s="86" t="b">
        <v>0</v>
      </c>
    </row>
    <row r="161" spans="1:7" ht="15">
      <c r="A161" s="87" t="s">
        <v>4138</v>
      </c>
      <c r="B161" s="86">
        <v>6</v>
      </c>
      <c r="C161" s="115">
        <v>0.0018386413839801066</v>
      </c>
      <c r="D161" s="86" t="s">
        <v>4451</v>
      </c>
      <c r="E161" s="86" t="b">
        <v>0</v>
      </c>
      <c r="F161" s="86" t="b">
        <v>0</v>
      </c>
      <c r="G161" s="86" t="b">
        <v>0</v>
      </c>
    </row>
    <row r="162" spans="1:7" ht="15">
      <c r="A162" s="87" t="s">
        <v>4139</v>
      </c>
      <c r="B162" s="86">
        <v>6</v>
      </c>
      <c r="C162" s="115">
        <v>0.001673271599297983</v>
      </c>
      <c r="D162" s="86" t="s">
        <v>4451</v>
      </c>
      <c r="E162" s="86" t="b">
        <v>0</v>
      </c>
      <c r="F162" s="86" t="b">
        <v>0</v>
      </c>
      <c r="G162" s="86" t="b">
        <v>0</v>
      </c>
    </row>
    <row r="163" spans="1:7" ht="15">
      <c r="A163" s="87" t="s">
        <v>4140</v>
      </c>
      <c r="B163" s="86">
        <v>6</v>
      </c>
      <c r="C163" s="115">
        <v>0.001673271599297983</v>
      </c>
      <c r="D163" s="86" t="s">
        <v>4451</v>
      </c>
      <c r="E163" s="86" t="b">
        <v>0</v>
      </c>
      <c r="F163" s="86" t="b">
        <v>0</v>
      </c>
      <c r="G163" s="86" t="b">
        <v>0</v>
      </c>
    </row>
    <row r="164" spans="1:7" ht="15">
      <c r="A164" s="87" t="s">
        <v>4141</v>
      </c>
      <c r="B164" s="86">
        <v>5</v>
      </c>
      <c r="C164" s="115">
        <v>0.0014563598534200139</v>
      </c>
      <c r="D164" s="86" t="s">
        <v>4451</v>
      </c>
      <c r="E164" s="86" t="b">
        <v>0</v>
      </c>
      <c r="F164" s="86" t="b">
        <v>0</v>
      </c>
      <c r="G164" s="86" t="b">
        <v>0</v>
      </c>
    </row>
    <row r="165" spans="1:7" ht="15">
      <c r="A165" s="87" t="s">
        <v>4142</v>
      </c>
      <c r="B165" s="86">
        <v>5</v>
      </c>
      <c r="C165" s="115">
        <v>0.0014563598534200139</v>
      </c>
      <c r="D165" s="86" t="s">
        <v>4451</v>
      </c>
      <c r="E165" s="86" t="b">
        <v>0</v>
      </c>
      <c r="F165" s="86" t="b">
        <v>0</v>
      </c>
      <c r="G165" s="86" t="b">
        <v>0</v>
      </c>
    </row>
    <row r="166" spans="1:7" ht="15">
      <c r="A166" s="87" t="s">
        <v>4143</v>
      </c>
      <c r="B166" s="86">
        <v>5</v>
      </c>
      <c r="C166" s="115">
        <v>0.0014563598534200139</v>
      </c>
      <c r="D166" s="86" t="s">
        <v>4451</v>
      </c>
      <c r="E166" s="86" t="b">
        <v>0</v>
      </c>
      <c r="F166" s="86" t="b">
        <v>0</v>
      </c>
      <c r="G166" s="86" t="b">
        <v>0</v>
      </c>
    </row>
    <row r="167" spans="1:7" ht="15">
      <c r="A167" s="87" t="s">
        <v>4144</v>
      </c>
      <c r="B167" s="86">
        <v>5</v>
      </c>
      <c r="C167" s="115">
        <v>0.0014563598534200139</v>
      </c>
      <c r="D167" s="86" t="s">
        <v>4451</v>
      </c>
      <c r="E167" s="86" t="b">
        <v>0</v>
      </c>
      <c r="F167" s="86" t="b">
        <v>0</v>
      </c>
      <c r="G167" s="86" t="b">
        <v>0</v>
      </c>
    </row>
    <row r="168" spans="1:7" ht="15">
      <c r="A168" s="87" t="s">
        <v>4145</v>
      </c>
      <c r="B168" s="86">
        <v>5</v>
      </c>
      <c r="C168" s="115">
        <v>0.0014563598534200139</v>
      </c>
      <c r="D168" s="86" t="s">
        <v>4451</v>
      </c>
      <c r="E168" s="86" t="b">
        <v>0</v>
      </c>
      <c r="F168" s="86" t="b">
        <v>0</v>
      </c>
      <c r="G168" s="86" t="b">
        <v>0</v>
      </c>
    </row>
    <row r="169" spans="1:7" ht="15">
      <c r="A169" s="87" t="s">
        <v>4146</v>
      </c>
      <c r="B169" s="86">
        <v>5</v>
      </c>
      <c r="C169" s="115">
        <v>0.0014563598534200139</v>
      </c>
      <c r="D169" s="86" t="s">
        <v>4451</v>
      </c>
      <c r="E169" s="86" t="b">
        <v>0</v>
      </c>
      <c r="F169" s="86" t="b">
        <v>0</v>
      </c>
      <c r="G169" s="86" t="b">
        <v>0</v>
      </c>
    </row>
    <row r="170" spans="1:7" ht="15">
      <c r="A170" s="87" t="s">
        <v>4147</v>
      </c>
      <c r="B170" s="86">
        <v>5</v>
      </c>
      <c r="C170" s="115">
        <v>0.0014563598534200139</v>
      </c>
      <c r="D170" s="86" t="s">
        <v>4451</v>
      </c>
      <c r="E170" s="86" t="b">
        <v>0</v>
      </c>
      <c r="F170" s="86" t="b">
        <v>0</v>
      </c>
      <c r="G170" s="86" t="b">
        <v>0</v>
      </c>
    </row>
    <row r="171" spans="1:7" ht="15">
      <c r="A171" s="87" t="s">
        <v>4148</v>
      </c>
      <c r="B171" s="86">
        <v>5</v>
      </c>
      <c r="C171" s="115">
        <v>0.0014563598534200139</v>
      </c>
      <c r="D171" s="86" t="s">
        <v>4451</v>
      </c>
      <c r="E171" s="86" t="b">
        <v>0</v>
      </c>
      <c r="F171" s="86" t="b">
        <v>0</v>
      </c>
      <c r="G171" s="86" t="b">
        <v>0</v>
      </c>
    </row>
    <row r="172" spans="1:7" ht="15">
      <c r="A172" s="87" t="s">
        <v>4149</v>
      </c>
      <c r="B172" s="86">
        <v>5</v>
      </c>
      <c r="C172" s="115">
        <v>0.0014563598534200139</v>
      </c>
      <c r="D172" s="86" t="s">
        <v>4451</v>
      </c>
      <c r="E172" s="86" t="b">
        <v>0</v>
      </c>
      <c r="F172" s="86" t="b">
        <v>0</v>
      </c>
      <c r="G172" s="86" t="b">
        <v>0</v>
      </c>
    </row>
    <row r="173" spans="1:7" ht="15">
      <c r="A173" s="87" t="s">
        <v>4150</v>
      </c>
      <c r="B173" s="86">
        <v>5</v>
      </c>
      <c r="C173" s="115">
        <v>0.0014563598534200139</v>
      </c>
      <c r="D173" s="86" t="s">
        <v>4451</v>
      </c>
      <c r="E173" s="86" t="b">
        <v>1</v>
      </c>
      <c r="F173" s="86" t="b">
        <v>0</v>
      </c>
      <c r="G173" s="86" t="b">
        <v>0</v>
      </c>
    </row>
    <row r="174" spans="1:7" ht="15">
      <c r="A174" s="87" t="s">
        <v>4151</v>
      </c>
      <c r="B174" s="86">
        <v>5</v>
      </c>
      <c r="C174" s="115">
        <v>0.0014563598534200139</v>
      </c>
      <c r="D174" s="86" t="s">
        <v>4451</v>
      </c>
      <c r="E174" s="86" t="b">
        <v>0</v>
      </c>
      <c r="F174" s="86" t="b">
        <v>0</v>
      </c>
      <c r="G174" s="86" t="b">
        <v>0</v>
      </c>
    </row>
    <row r="175" spans="1:7" ht="15">
      <c r="A175" s="87" t="s">
        <v>4152</v>
      </c>
      <c r="B175" s="86">
        <v>5</v>
      </c>
      <c r="C175" s="115">
        <v>0.0014563598534200139</v>
      </c>
      <c r="D175" s="86" t="s">
        <v>4451</v>
      </c>
      <c r="E175" s="86" t="b">
        <v>0</v>
      </c>
      <c r="F175" s="86" t="b">
        <v>0</v>
      </c>
      <c r="G175" s="86" t="b">
        <v>0</v>
      </c>
    </row>
    <row r="176" spans="1:7" ht="15">
      <c r="A176" s="87" t="s">
        <v>4153</v>
      </c>
      <c r="B176" s="86">
        <v>5</v>
      </c>
      <c r="C176" s="115">
        <v>0.0014563598534200139</v>
      </c>
      <c r="D176" s="86" t="s">
        <v>4451</v>
      </c>
      <c r="E176" s="86" t="b">
        <v>0</v>
      </c>
      <c r="F176" s="86" t="b">
        <v>0</v>
      </c>
      <c r="G176" s="86" t="b">
        <v>0</v>
      </c>
    </row>
    <row r="177" spans="1:7" ht="15">
      <c r="A177" s="87" t="s">
        <v>4154</v>
      </c>
      <c r="B177" s="86">
        <v>5</v>
      </c>
      <c r="C177" s="115">
        <v>0.0014563598534200139</v>
      </c>
      <c r="D177" s="86" t="s">
        <v>4451</v>
      </c>
      <c r="E177" s="86" t="b">
        <v>0</v>
      </c>
      <c r="F177" s="86" t="b">
        <v>0</v>
      </c>
      <c r="G177" s="86" t="b">
        <v>0</v>
      </c>
    </row>
    <row r="178" spans="1:7" ht="15">
      <c r="A178" s="87" t="s">
        <v>4155</v>
      </c>
      <c r="B178" s="86">
        <v>5</v>
      </c>
      <c r="C178" s="115">
        <v>0.0014563598534200139</v>
      </c>
      <c r="D178" s="86" t="s">
        <v>4451</v>
      </c>
      <c r="E178" s="86" t="b">
        <v>0</v>
      </c>
      <c r="F178" s="86" t="b">
        <v>0</v>
      </c>
      <c r="G178" s="86" t="b">
        <v>0</v>
      </c>
    </row>
    <row r="179" spans="1:7" ht="15">
      <c r="A179" s="87" t="s">
        <v>4156</v>
      </c>
      <c r="B179" s="86">
        <v>5</v>
      </c>
      <c r="C179" s="115">
        <v>0.0014563598534200139</v>
      </c>
      <c r="D179" s="86" t="s">
        <v>4451</v>
      </c>
      <c r="E179" s="86" t="b">
        <v>0</v>
      </c>
      <c r="F179" s="86" t="b">
        <v>0</v>
      </c>
      <c r="G179" s="86" t="b">
        <v>0</v>
      </c>
    </row>
    <row r="180" spans="1:7" ht="15">
      <c r="A180" s="87" t="s">
        <v>4157</v>
      </c>
      <c r="B180" s="86">
        <v>5</v>
      </c>
      <c r="C180" s="115">
        <v>0.0014563598534200139</v>
      </c>
      <c r="D180" s="86" t="s">
        <v>4451</v>
      </c>
      <c r="E180" s="86" t="b">
        <v>0</v>
      </c>
      <c r="F180" s="86" t="b">
        <v>0</v>
      </c>
      <c r="G180" s="86" t="b">
        <v>0</v>
      </c>
    </row>
    <row r="181" spans="1:7" ht="15">
      <c r="A181" s="87" t="s">
        <v>3385</v>
      </c>
      <c r="B181" s="86">
        <v>5</v>
      </c>
      <c r="C181" s="115">
        <v>0.0014563598534200139</v>
      </c>
      <c r="D181" s="86" t="s">
        <v>4451</v>
      </c>
      <c r="E181" s="86" t="b">
        <v>1</v>
      </c>
      <c r="F181" s="86" t="b">
        <v>0</v>
      </c>
      <c r="G181" s="86" t="b">
        <v>0</v>
      </c>
    </row>
    <row r="182" spans="1:7" ht="15">
      <c r="A182" s="87" t="s">
        <v>3388</v>
      </c>
      <c r="B182" s="86">
        <v>5</v>
      </c>
      <c r="C182" s="115">
        <v>0.0014563598534200139</v>
      </c>
      <c r="D182" s="86" t="s">
        <v>4451</v>
      </c>
      <c r="E182" s="86" t="b">
        <v>0</v>
      </c>
      <c r="F182" s="86" t="b">
        <v>0</v>
      </c>
      <c r="G182" s="86" t="b">
        <v>0</v>
      </c>
    </row>
    <row r="183" spans="1:7" ht="15">
      <c r="A183" s="87" t="s">
        <v>4158</v>
      </c>
      <c r="B183" s="86">
        <v>5</v>
      </c>
      <c r="C183" s="115">
        <v>0.0014563598534200139</v>
      </c>
      <c r="D183" s="86" t="s">
        <v>4451</v>
      </c>
      <c r="E183" s="86" t="b">
        <v>0</v>
      </c>
      <c r="F183" s="86" t="b">
        <v>0</v>
      </c>
      <c r="G183" s="86" t="b">
        <v>0</v>
      </c>
    </row>
    <row r="184" spans="1:7" ht="15">
      <c r="A184" s="87" t="s">
        <v>4159</v>
      </c>
      <c r="B184" s="86">
        <v>5</v>
      </c>
      <c r="C184" s="115">
        <v>0.0014563598534200139</v>
      </c>
      <c r="D184" s="86" t="s">
        <v>4451</v>
      </c>
      <c r="E184" s="86" t="b">
        <v>0</v>
      </c>
      <c r="F184" s="86" t="b">
        <v>0</v>
      </c>
      <c r="G184" s="86" t="b">
        <v>0</v>
      </c>
    </row>
    <row r="185" spans="1:7" ht="15">
      <c r="A185" s="87" t="s">
        <v>4160</v>
      </c>
      <c r="B185" s="86">
        <v>5</v>
      </c>
      <c r="C185" s="115">
        <v>0.0015322011533167555</v>
      </c>
      <c r="D185" s="86" t="s">
        <v>4451</v>
      </c>
      <c r="E185" s="86" t="b">
        <v>0</v>
      </c>
      <c r="F185" s="86" t="b">
        <v>0</v>
      </c>
      <c r="G185" s="86" t="b">
        <v>0</v>
      </c>
    </row>
    <row r="186" spans="1:7" ht="15">
      <c r="A186" s="87" t="s">
        <v>4161</v>
      </c>
      <c r="B186" s="86">
        <v>5</v>
      </c>
      <c r="C186" s="115">
        <v>0.0014563598534200139</v>
      </c>
      <c r="D186" s="86" t="s">
        <v>4451</v>
      </c>
      <c r="E186" s="86" t="b">
        <v>0</v>
      </c>
      <c r="F186" s="86" t="b">
        <v>0</v>
      </c>
      <c r="G186" s="86" t="b">
        <v>0</v>
      </c>
    </row>
    <row r="187" spans="1:7" ht="15">
      <c r="A187" s="87" t="s">
        <v>4162</v>
      </c>
      <c r="B187" s="86">
        <v>5</v>
      </c>
      <c r="C187" s="115">
        <v>0.0014563598534200139</v>
      </c>
      <c r="D187" s="86" t="s">
        <v>4451</v>
      </c>
      <c r="E187" s="86" t="b">
        <v>0</v>
      </c>
      <c r="F187" s="86" t="b">
        <v>0</v>
      </c>
      <c r="G187" s="86" t="b">
        <v>0</v>
      </c>
    </row>
    <row r="188" spans="1:7" ht="15">
      <c r="A188" s="87" t="s">
        <v>4163</v>
      </c>
      <c r="B188" s="86">
        <v>5</v>
      </c>
      <c r="C188" s="115">
        <v>0.0014563598534200139</v>
      </c>
      <c r="D188" s="86" t="s">
        <v>4451</v>
      </c>
      <c r="E188" s="86" t="b">
        <v>1</v>
      </c>
      <c r="F188" s="86" t="b">
        <v>0</v>
      </c>
      <c r="G188" s="86" t="b">
        <v>0</v>
      </c>
    </row>
    <row r="189" spans="1:7" ht="15">
      <c r="A189" s="87" t="s">
        <v>4164</v>
      </c>
      <c r="B189" s="86">
        <v>5</v>
      </c>
      <c r="C189" s="115">
        <v>0.0014563598534200139</v>
      </c>
      <c r="D189" s="86" t="s">
        <v>4451</v>
      </c>
      <c r="E189" s="86" t="b">
        <v>0</v>
      </c>
      <c r="F189" s="86" t="b">
        <v>0</v>
      </c>
      <c r="G189" s="86" t="b">
        <v>0</v>
      </c>
    </row>
    <row r="190" spans="1:7" ht="15">
      <c r="A190" s="87" t="s">
        <v>4165</v>
      </c>
      <c r="B190" s="86">
        <v>5</v>
      </c>
      <c r="C190" s="115">
        <v>0.0014563598534200139</v>
      </c>
      <c r="D190" s="86" t="s">
        <v>4451</v>
      </c>
      <c r="E190" s="86" t="b">
        <v>0</v>
      </c>
      <c r="F190" s="86" t="b">
        <v>0</v>
      </c>
      <c r="G190" s="86" t="b">
        <v>0</v>
      </c>
    </row>
    <row r="191" spans="1:7" ht="15">
      <c r="A191" s="87" t="s">
        <v>4166</v>
      </c>
      <c r="B191" s="86">
        <v>5</v>
      </c>
      <c r="C191" s="115">
        <v>0.0014563598534200139</v>
      </c>
      <c r="D191" s="86" t="s">
        <v>4451</v>
      </c>
      <c r="E191" s="86" t="b">
        <v>0</v>
      </c>
      <c r="F191" s="86" t="b">
        <v>0</v>
      </c>
      <c r="G191" s="86" t="b">
        <v>0</v>
      </c>
    </row>
    <row r="192" spans="1:7" ht="15">
      <c r="A192" s="87" t="s">
        <v>4167</v>
      </c>
      <c r="B192" s="86">
        <v>5</v>
      </c>
      <c r="C192" s="115">
        <v>0.0014563598534200139</v>
      </c>
      <c r="D192" s="86" t="s">
        <v>4451</v>
      </c>
      <c r="E192" s="86" t="b">
        <v>0</v>
      </c>
      <c r="F192" s="86" t="b">
        <v>0</v>
      </c>
      <c r="G192" s="86" t="b">
        <v>0</v>
      </c>
    </row>
    <row r="193" spans="1:7" ht="15">
      <c r="A193" s="87" t="s">
        <v>4168</v>
      </c>
      <c r="B193" s="86">
        <v>5</v>
      </c>
      <c r="C193" s="115">
        <v>0.0014563598534200139</v>
      </c>
      <c r="D193" s="86" t="s">
        <v>4451</v>
      </c>
      <c r="E193" s="86" t="b">
        <v>0</v>
      </c>
      <c r="F193" s="86" t="b">
        <v>0</v>
      </c>
      <c r="G193" s="86" t="b">
        <v>0</v>
      </c>
    </row>
    <row r="194" spans="1:7" ht="15">
      <c r="A194" s="87" t="s">
        <v>4169</v>
      </c>
      <c r="B194" s="86">
        <v>5</v>
      </c>
      <c r="C194" s="115">
        <v>0.0015322011533167555</v>
      </c>
      <c r="D194" s="86" t="s">
        <v>4451</v>
      </c>
      <c r="E194" s="86" t="b">
        <v>0</v>
      </c>
      <c r="F194" s="86" t="b">
        <v>0</v>
      </c>
      <c r="G194" s="86" t="b">
        <v>0</v>
      </c>
    </row>
    <row r="195" spans="1:7" ht="15">
      <c r="A195" s="87" t="s">
        <v>4170</v>
      </c>
      <c r="B195" s="86">
        <v>5</v>
      </c>
      <c r="C195" s="115">
        <v>0.0014563598534200139</v>
      </c>
      <c r="D195" s="86" t="s">
        <v>4451</v>
      </c>
      <c r="E195" s="86" t="b">
        <v>0</v>
      </c>
      <c r="F195" s="86" t="b">
        <v>0</v>
      </c>
      <c r="G195" s="86" t="b">
        <v>0</v>
      </c>
    </row>
    <row r="196" spans="1:7" ht="15">
      <c r="A196" s="87" t="s">
        <v>4171</v>
      </c>
      <c r="B196" s="86">
        <v>5</v>
      </c>
      <c r="C196" s="115">
        <v>0.0014563598534200139</v>
      </c>
      <c r="D196" s="86" t="s">
        <v>4451</v>
      </c>
      <c r="E196" s="86" t="b">
        <v>0</v>
      </c>
      <c r="F196" s="86" t="b">
        <v>0</v>
      </c>
      <c r="G196" s="86" t="b">
        <v>0</v>
      </c>
    </row>
    <row r="197" spans="1:7" ht="15">
      <c r="A197" s="87" t="s">
        <v>4172</v>
      </c>
      <c r="B197" s="86">
        <v>5</v>
      </c>
      <c r="C197" s="115">
        <v>0.0014563598534200139</v>
      </c>
      <c r="D197" s="86" t="s">
        <v>4451</v>
      </c>
      <c r="E197" s="86" t="b">
        <v>0</v>
      </c>
      <c r="F197" s="86" t="b">
        <v>0</v>
      </c>
      <c r="G197" s="86" t="b">
        <v>0</v>
      </c>
    </row>
    <row r="198" spans="1:7" ht="15">
      <c r="A198" s="87" t="s">
        <v>4173</v>
      </c>
      <c r="B198" s="86">
        <v>5</v>
      </c>
      <c r="C198" s="115">
        <v>0.0015322011533167555</v>
      </c>
      <c r="D198" s="86" t="s">
        <v>4451</v>
      </c>
      <c r="E198" s="86" t="b">
        <v>0</v>
      </c>
      <c r="F198" s="86" t="b">
        <v>0</v>
      </c>
      <c r="G198" s="86" t="b">
        <v>0</v>
      </c>
    </row>
    <row r="199" spans="1:7" ht="15">
      <c r="A199" s="87" t="s">
        <v>4174</v>
      </c>
      <c r="B199" s="86">
        <v>5</v>
      </c>
      <c r="C199" s="115">
        <v>0.0014563598534200139</v>
      </c>
      <c r="D199" s="86" t="s">
        <v>4451</v>
      </c>
      <c r="E199" s="86" t="b">
        <v>0</v>
      </c>
      <c r="F199" s="86" t="b">
        <v>0</v>
      </c>
      <c r="G199" s="86" t="b">
        <v>0</v>
      </c>
    </row>
    <row r="200" spans="1:7" ht="15">
      <c r="A200" s="87" t="s">
        <v>4175</v>
      </c>
      <c r="B200" s="86">
        <v>5</v>
      </c>
      <c r="C200" s="115">
        <v>0.0014563598534200139</v>
      </c>
      <c r="D200" s="86" t="s">
        <v>4451</v>
      </c>
      <c r="E200" s="86" t="b">
        <v>0</v>
      </c>
      <c r="F200" s="86" t="b">
        <v>0</v>
      </c>
      <c r="G200" s="86" t="b">
        <v>0</v>
      </c>
    </row>
    <row r="201" spans="1:7" ht="15">
      <c r="A201" s="87" t="s">
        <v>4176</v>
      </c>
      <c r="B201" s="86">
        <v>5</v>
      </c>
      <c r="C201" s="115">
        <v>0.0014563598534200139</v>
      </c>
      <c r="D201" s="86" t="s">
        <v>4451</v>
      </c>
      <c r="E201" s="86" t="b">
        <v>0</v>
      </c>
      <c r="F201" s="86" t="b">
        <v>0</v>
      </c>
      <c r="G201" s="86" t="b">
        <v>0</v>
      </c>
    </row>
    <row r="202" spans="1:7" ht="15">
      <c r="A202" s="87" t="s">
        <v>4177</v>
      </c>
      <c r="B202" s="86">
        <v>4</v>
      </c>
      <c r="C202" s="115">
        <v>0.0012257609226534044</v>
      </c>
      <c r="D202" s="86" t="s">
        <v>4451</v>
      </c>
      <c r="E202" s="86" t="b">
        <v>0</v>
      </c>
      <c r="F202" s="86" t="b">
        <v>0</v>
      </c>
      <c r="G202" s="86" t="b">
        <v>0</v>
      </c>
    </row>
    <row r="203" spans="1:7" ht="15">
      <c r="A203" s="87" t="s">
        <v>4178</v>
      </c>
      <c r="B203" s="86">
        <v>4</v>
      </c>
      <c r="C203" s="115">
        <v>0.0012257609226534044</v>
      </c>
      <c r="D203" s="86" t="s">
        <v>4451</v>
      </c>
      <c r="E203" s="86" t="b">
        <v>0</v>
      </c>
      <c r="F203" s="86" t="b">
        <v>0</v>
      </c>
      <c r="G203" s="86" t="b">
        <v>0</v>
      </c>
    </row>
    <row r="204" spans="1:7" ht="15">
      <c r="A204" s="87" t="s">
        <v>4179</v>
      </c>
      <c r="B204" s="86">
        <v>4</v>
      </c>
      <c r="C204" s="115">
        <v>0.0012257609226534044</v>
      </c>
      <c r="D204" s="86" t="s">
        <v>4451</v>
      </c>
      <c r="E204" s="86" t="b">
        <v>0</v>
      </c>
      <c r="F204" s="86" t="b">
        <v>0</v>
      </c>
      <c r="G204" s="86" t="b">
        <v>0</v>
      </c>
    </row>
    <row r="205" spans="1:7" ht="15">
      <c r="A205" s="87" t="s">
        <v>4180</v>
      </c>
      <c r="B205" s="86">
        <v>4</v>
      </c>
      <c r="C205" s="115">
        <v>0.0012257609226534044</v>
      </c>
      <c r="D205" s="86" t="s">
        <v>4451</v>
      </c>
      <c r="E205" s="86" t="b">
        <v>0</v>
      </c>
      <c r="F205" s="86" t="b">
        <v>0</v>
      </c>
      <c r="G205" s="86" t="b">
        <v>0</v>
      </c>
    </row>
    <row r="206" spans="1:7" ht="15">
      <c r="A206" s="87" t="s">
        <v>4181</v>
      </c>
      <c r="B206" s="86">
        <v>4</v>
      </c>
      <c r="C206" s="115">
        <v>0.0012257609226534044</v>
      </c>
      <c r="D206" s="86" t="s">
        <v>4451</v>
      </c>
      <c r="E206" s="86" t="b">
        <v>0</v>
      </c>
      <c r="F206" s="86" t="b">
        <v>0</v>
      </c>
      <c r="G206" s="86" t="b">
        <v>0</v>
      </c>
    </row>
    <row r="207" spans="1:7" ht="15">
      <c r="A207" s="87" t="s">
        <v>4182</v>
      </c>
      <c r="B207" s="86">
        <v>4</v>
      </c>
      <c r="C207" s="115">
        <v>0.0012257609226534044</v>
      </c>
      <c r="D207" s="86" t="s">
        <v>4451</v>
      </c>
      <c r="E207" s="86" t="b">
        <v>0</v>
      </c>
      <c r="F207" s="86" t="b">
        <v>0</v>
      </c>
      <c r="G207" s="86" t="b">
        <v>0</v>
      </c>
    </row>
    <row r="208" spans="1:7" ht="15">
      <c r="A208" s="87" t="s">
        <v>4183</v>
      </c>
      <c r="B208" s="86">
        <v>4</v>
      </c>
      <c r="C208" s="115">
        <v>0.0012257609226534044</v>
      </c>
      <c r="D208" s="86" t="s">
        <v>4451</v>
      </c>
      <c r="E208" s="86" t="b">
        <v>0</v>
      </c>
      <c r="F208" s="86" t="b">
        <v>0</v>
      </c>
      <c r="G208" s="86" t="b">
        <v>0</v>
      </c>
    </row>
    <row r="209" spans="1:7" ht="15">
      <c r="A209" s="87" t="s">
        <v>4184</v>
      </c>
      <c r="B209" s="86">
        <v>4</v>
      </c>
      <c r="C209" s="115">
        <v>0.0012257609226534044</v>
      </c>
      <c r="D209" s="86" t="s">
        <v>4451</v>
      </c>
      <c r="E209" s="86" t="b">
        <v>0</v>
      </c>
      <c r="F209" s="86" t="b">
        <v>0</v>
      </c>
      <c r="G209" s="86" t="b">
        <v>0</v>
      </c>
    </row>
    <row r="210" spans="1:7" ht="15">
      <c r="A210" s="87" t="s">
        <v>4185</v>
      </c>
      <c r="B210" s="86">
        <v>4</v>
      </c>
      <c r="C210" s="115">
        <v>0.0012257609226534044</v>
      </c>
      <c r="D210" s="86" t="s">
        <v>4451</v>
      </c>
      <c r="E210" s="86" t="b">
        <v>0</v>
      </c>
      <c r="F210" s="86" t="b">
        <v>0</v>
      </c>
      <c r="G210" s="86" t="b">
        <v>0</v>
      </c>
    </row>
    <row r="211" spans="1:7" ht="15">
      <c r="A211" s="87" t="s">
        <v>4186</v>
      </c>
      <c r="B211" s="86">
        <v>4</v>
      </c>
      <c r="C211" s="115">
        <v>0.0012257609226534044</v>
      </c>
      <c r="D211" s="86" t="s">
        <v>4451</v>
      </c>
      <c r="E211" s="86" t="b">
        <v>0</v>
      </c>
      <c r="F211" s="86" t="b">
        <v>0</v>
      </c>
      <c r="G211" s="86" t="b">
        <v>0</v>
      </c>
    </row>
    <row r="212" spans="1:7" ht="15">
      <c r="A212" s="87" t="s">
        <v>4187</v>
      </c>
      <c r="B212" s="86">
        <v>4</v>
      </c>
      <c r="C212" s="115">
        <v>0.0012257609226534044</v>
      </c>
      <c r="D212" s="86" t="s">
        <v>4451</v>
      </c>
      <c r="E212" s="86" t="b">
        <v>0</v>
      </c>
      <c r="F212" s="86" t="b">
        <v>0</v>
      </c>
      <c r="G212" s="86" t="b">
        <v>0</v>
      </c>
    </row>
    <row r="213" spans="1:7" ht="15">
      <c r="A213" s="87" t="s">
        <v>4188</v>
      </c>
      <c r="B213" s="86">
        <v>4</v>
      </c>
      <c r="C213" s="115">
        <v>0.0012257609226534044</v>
      </c>
      <c r="D213" s="86" t="s">
        <v>4451</v>
      </c>
      <c r="E213" s="86" t="b">
        <v>0</v>
      </c>
      <c r="F213" s="86" t="b">
        <v>0</v>
      </c>
      <c r="G213" s="86" t="b">
        <v>0</v>
      </c>
    </row>
    <row r="214" spans="1:7" ht="15">
      <c r="A214" s="87" t="s">
        <v>4189</v>
      </c>
      <c r="B214" s="86">
        <v>4</v>
      </c>
      <c r="C214" s="115">
        <v>0.0012257609226534044</v>
      </c>
      <c r="D214" s="86" t="s">
        <v>4451</v>
      </c>
      <c r="E214" s="86" t="b">
        <v>0</v>
      </c>
      <c r="F214" s="86" t="b">
        <v>0</v>
      </c>
      <c r="G214" s="86" t="b">
        <v>0</v>
      </c>
    </row>
    <row r="215" spans="1:7" ht="15">
      <c r="A215" s="87" t="s">
        <v>4190</v>
      </c>
      <c r="B215" s="86">
        <v>4</v>
      </c>
      <c r="C215" s="115">
        <v>0.0012257609226534044</v>
      </c>
      <c r="D215" s="86" t="s">
        <v>4451</v>
      </c>
      <c r="E215" s="86" t="b">
        <v>0</v>
      </c>
      <c r="F215" s="86" t="b">
        <v>0</v>
      </c>
      <c r="G215" s="86" t="b">
        <v>0</v>
      </c>
    </row>
    <row r="216" spans="1:7" ht="15">
      <c r="A216" s="87" t="s">
        <v>4191</v>
      </c>
      <c r="B216" s="86">
        <v>4</v>
      </c>
      <c r="C216" s="115">
        <v>0.0012257609226534044</v>
      </c>
      <c r="D216" s="86" t="s">
        <v>4451</v>
      </c>
      <c r="E216" s="86" t="b">
        <v>0</v>
      </c>
      <c r="F216" s="86" t="b">
        <v>0</v>
      </c>
      <c r="G216" s="86" t="b">
        <v>0</v>
      </c>
    </row>
    <row r="217" spans="1:7" ht="15">
      <c r="A217" s="87" t="s">
        <v>4192</v>
      </c>
      <c r="B217" s="86">
        <v>4</v>
      </c>
      <c r="C217" s="115">
        <v>0.0012257609226534044</v>
      </c>
      <c r="D217" s="86" t="s">
        <v>4451</v>
      </c>
      <c r="E217" s="86" t="b">
        <v>0</v>
      </c>
      <c r="F217" s="86" t="b">
        <v>0</v>
      </c>
      <c r="G217" s="86" t="b">
        <v>0</v>
      </c>
    </row>
    <row r="218" spans="1:7" ht="15">
      <c r="A218" s="87" t="s">
        <v>4193</v>
      </c>
      <c r="B218" s="86">
        <v>4</v>
      </c>
      <c r="C218" s="115">
        <v>0.0012257609226534044</v>
      </c>
      <c r="D218" s="86" t="s">
        <v>4451</v>
      </c>
      <c r="E218" s="86" t="b">
        <v>0</v>
      </c>
      <c r="F218" s="86" t="b">
        <v>0</v>
      </c>
      <c r="G218" s="86" t="b">
        <v>0</v>
      </c>
    </row>
    <row r="219" spans="1:7" ht="15">
      <c r="A219" s="87" t="s">
        <v>4194</v>
      </c>
      <c r="B219" s="86">
        <v>4</v>
      </c>
      <c r="C219" s="115">
        <v>0.0012257609226534044</v>
      </c>
      <c r="D219" s="86" t="s">
        <v>4451</v>
      </c>
      <c r="E219" s="86" t="b">
        <v>0</v>
      </c>
      <c r="F219" s="86" t="b">
        <v>0</v>
      </c>
      <c r="G219" s="86" t="b">
        <v>0</v>
      </c>
    </row>
    <row r="220" spans="1:7" ht="15">
      <c r="A220" s="87" t="s">
        <v>4195</v>
      </c>
      <c r="B220" s="86">
        <v>4</v>
      </c>
      <c r="C220" s="115">
        <v>0.0012257609226534044</v>
      </c>
      <c r="D220" s="86" t="s">
        <v>4451</v>
      </c>
      <c r="E220" s="86" t="b">
        <v>0</v>
      </c>
      <c r="F220" s="86" t="b">
        <v>0</v>
      </c>
      <c r="G220" s="86" t="b">
        <v>0</v>
      </c>
    </row>
    <row r="221" spans="1:7" ht="15">
      <c r="A221" s="87" t="s">
        <v>4196</v>
      </c>
      <c r="B221" s="86">
        <v>4</v>
      </c>
      <c r="C221" s="115">
        <v>0.0012257609226534044</v>
      </c>
      <c r="D221" s="86" t="s">
        <v>4451</v>
      </c>
      <c r="E221" s="86" t="b">
        <v>0</v>
      </c>
      <c r="F221" s="86" t="b">
        <v>0</v>
      </c>
      <c r="G221" s="86" t="b">
        <v>0</v>
      </c>
    </row>
    <row r="222" spans="1:7" ht="15">
      <c r="A222" s="87" t="s">
        <v>4197</v>
      </c>
      <c r="B222" s="86">
        <v>4</v>
      </c>
      <c r="C222" s="115">
        <v>0.0012257609226534044</v>
      </c>
      <c r="D222" s="86" t="s">
        <v>4451</v>
      </c>
      <c r="E222" s="86" t="b">
        <v>0</v>
      </c>
      <c r="F222" s="86" t="b">
        <v>0</v>
      </c>
      <c r="G222" s="86" t="b">
        <v>0</v>
      </c>
    </row>
    <row r="223" spans="1:7" ht="15">
      <c r="A223" s="87" t="s">
        <v>4198</v>
      </c>
      <c r="B223" s="86">
        <v>4</v>
      </c>
      <c r="C223" s="115">
        <v>0.001303982075640288</v>
      </c>
      <c r="D223" s="86" t="s">
        <v>4451</v>
      </c>
      <c r="E223" s="86" t="b">
        <v>0</v>
      </c>
      <c r="F223" s="86" t="b">
        <v>0</v>
      </c>
      <c r="G223" s="86" t="b">
        <v>0</v>
      </c>
    </row>
    <row r="224" spans="1:7" ht="15">
      <c r="A224" s="87" t="s">
        <v>4199</v>
      </c>
      <c r="B224" s="86">
        <v>4</v>
      </c>
      <c r="C224" s="115">
        <v>0.0012257609226534044</v>
      </c>
      <c r="D224" s="86" t="s">
        <v>4451</v>
      </c>
      <c r="E224" s="86" t="b">
        <v>0</v>
      </c>
      <c r="F224" s="86" t="b">
        <v>0</v>
      </c>
      <c r="G224" s="86" t="b">
        <v>0</v>
      </c>
    </row>
    <row r="225" spans="1:7" ht="15">
      <c r="A225" s="87" t="s">
        <v>4200</v>
      </c>
      <c r="B225" s="86">
        <v>4</v>
      </c>
      <c r="C225" s="115">
        <v>0.0012257609226534044</v>
      </c>
      <c r="D225" s="86" t="s">
        <v>4451</v>
      </c>
      <c r="E225" s="86" t="b">
        <v>0</v>
      </c>
      <c r="F225" s="86" t="b">
        <v>0</v>
      </c>
      <c r="G225" s="86" t="b">
        <v>0</v>
      </c>
    </row>
    <row r="226" spans="1:7" ht="15">
      <c r="A226" s="87" t="s">
        <v>4201</v>
      </c>
      <c r="B226" s="86">
        <v>4</v>
      </c>
      <c r="C226" s="115">
        <v>0.001303982075640288</v>
      </c>
      <c r="D226" s="86" t="s">
        <v>4451</v>
      </c>
      <c r="E226" s="86" t="b">
        <v>0</v>
      </c>
      <c r="F226" s="86" t="b">
        <v>0</v>
      </c>
      <c r="G226" s="86" t="b">
        <v>0</v>
      </c>
    </row>
    <row r="227" spans="1:7" ht="15">
      <c r="A227" s="87" t="s">
        <v>4202</v>
      </c>
      <c r="B227" s="86">
        <v>4</v>
      </c>
      <c r="C227" s="115">
        <v>0.0012257609226534044</v>
      </c>
      <c r="D227" s="86" t="s">
        <v>4451</v>
      </c>
      <c r="E227" s="86" t="b">
        <v>0</v>
      </c>
      <c r="F227" s="86" t="b">
        <v>0</v>
      </c>
      <c r="G227" s="86" t="b">
        <v>0</v>
      </c>
    </row>
    <row r="228" spans="1:7" ht="15">
      <c r="A228" s="87" t="s">
        <v>4203</v>
      </c>
      <c r="B228" s="86">
        <v>4</v>
      </c>
      <c r="C228" s="115">
        <v>0.0012257609226534044</v>
      </c>
      <c r="D228" s="86" t="s">
        <v>4451</v>
      </c>
      <c r="E228" s="86" t="b">
        <v>0</v>
      </c>
      <c r="F228" s="86" t="b">
        <v>0</v>
      </c>
      <c r="G228" s="86" t="b">
        <v>0</v>
      </c>
    </row>
    <row r="229" spans="1:7" ht="15">
      <c r="A229" s="87" t="s">
        <v>4204</v>
      </c>
      <c r="B229" s="86">
        <v>4</v>
      </c>
      <c r="C229" s="115">
        <v>0.0012257609226534044</v>
      </c>
      <c r="D229" s="86" t="s">
        <v>4451</v>
      </c>
      <c r="E229" s="86" t="b">
        <v>0</v>
      </c>
      <c r="F229" s="86" t="b">
        <v>0</v>
      </c>
      <c r="G229" s="86" t="b">
        <v>0</v>
      </c>
    </row>
    <row r="230" spans="1:7" ht="15">
      <c r="A230" s="87" t="s">
        <v>381</v>
      </c>
      <c r="B230" s="86">
        <v>4</v>
      </c>
      <c r="C230" s="115">
        <v>0.0012257609226534044</v>
      </c>
      <c r="D230" s="86" t="s">
        <v>4451</v>
      </c>
      <c r="E230" s="86" t="b">
        <v>0</v>
      </c>
      <c r="F230" s="86" t="b">
        <v>0</v>
      </c>
      <c r="G230" s="86" t="b">
        <v>0</v>
      </c>
    </row>
    <row r="231" spans="1:7" ht="15">
      <c r="A231" s="87" t="s">
        <v>493</v>
      </c>
      <c r="B231" s="86">
        <v>4</v>
      </c>
      <c r="C231" s="115">
        <v>0.0012257609226534044</v>
      </c>
      <c r="D231" s="86" t="s">
        <v>4451</v>
      </c>
      <c r="E231" s="86" t="b">
        <v>0</v>
      </c>
      <c r="F231" s="86" t="b">
        <v>0</v>
      </c>
      <c r="G231" s="86" t="b">
        <v>0</v>
      </c>
    </row>
    <row r="232" spans="1:7" ht="15">
      <c r="A232" s="87" t="s">
        <v>4205</v>
      </c>
      <c r="B232" s="86">
        <v>4</v>
      </c>
      <c r="C232" s="115">
        <v>0.0012257609226534044</v>
      </c>
      <c r="D232" s="86" t="s">
        <v>4451</v>
      </c>
      <c r="E232" s="86" t="b">
        <v>0</v>
      </c>
      <c r="F232" s="86" t="b">
        <v>0</v>
      </c>
      <c r="G232" s="86" t="b">
        <v>0</v>
      </c>
    </row>
    <row r="233" spans="1:7" ht="15">
      <c r="A233" s="87" t="s">
        <v>4206</v>
      </c>
      <c r="B233" s="86">
        <v>4</v>
      </c>
      <c r="C233" s="115">
        <v>0.0012257609226534044</v>
      </c>
      <c r="D233" s="86" t="s">
        <v>4451</v>
      </c>
      <c r="E233" s="86" t="b">
        <v>1</v>
      </c>
      <c r="F233" s="86" t="b">
        <v>0</v>
      </c>
      <c r="G233" s="86" t="b">
        <v>0</v>
      </c>
    </row>
    <row r="234" spans="1:7" ht="15">
      <c r="A234" s="87" t="s">
        <v>4207</v>
      </c>
      <c r="B234" s="86">
        <v>4</v>
      </c>
      <c r="C234" s="115">
        <v>0.0012257609226534044</v>
      </c>
      <c r="D234" s="86" t="s">
        <v>4451</v>
      </c>
      <c r="E234" s="86" t="b">
        <v>0</v>
      </c>
      <c r="F234" s="86" t="b">
        <v>0</v>
      </c>
      <c r="G234" s="86" t="b">
        <v>0</v>
      </c>
    </row>
    <row r="235" spans="1:7" ht="15">
      <c r="A235" s="87" t="s">
        <v>4208</v>
      </c>
      <c r="B235" s="86">
        <v>3</v>
      </c>
      <c r="C235" s="115">
        <v>0.000977986556730216</v>
      </c>
      <c r="D235" s="86" t="s">
        <v>4451</v>
      </c>
      <c r="E235" s="86" t="b">
        <v>0</v>
      </c>
      <c r="F235" s="86" t="b">
        <v>0</v>
      </c>
      <c r="G235" s="86" t="b">
        <v>0</v>
      </c>
    </row>
    <row r="236" spans="1:7" ht="15">
      <c r="A236" s="87" t="s">
        <v>4209</v>
      </c>
      <c r="B236" s="86">
        <v>3</v>
      </c>
      <c r="C236" s="115">
        <v>0.000977986556730216</v>
      </c>
      <c r="D236" s="86" t="s">
        <v>4451</v>
      </c>
      <c r="E236" s="86" t="b">
        <v>0</v>
      </c>
      <c r="F236" s="86" t="b">
        <v>0</v>
      </c>
      <c r="G236" s="86" t="b">
        <v>0</v>
      </c>
    </row>
    <row r="237" spans="1:7" ht="15">
      <c r="A237" s="87" t="s">
        <v>4210</v>
      </c>
      <c r="B237" s="86">
        <v>3</v>
      </c>
      <c r="C237" s="115">
        <v>0.000977986556730216</v>
      </c>
      <c r="D237" s="86" t="s">
        <v>4451</v>
      </c>
      <c r="E237" s="86" t="b">
        <v>0</v>
      </c>
      <c r="F237" s="86" t="b">
        <v>0</v>
      </c>
      <c r="G237" s="86" t="b">
        <v>0</v>
      </c>
    </row>
    <row r="238" spans="1:7" ht="15">
      <c r="A238" s="87" t="s">
        <v>4211</v>
      </c>
      <c r="B238" s="86">
        <v>3</v>
      </c>
      <c r="C238" s="115">
        <v>0.000977986556730216</v>
      </c>
      <c r="D238" s="86" t="s">
        <v>4451</v>
      </c>
      <c r="E238" s="86" t="b">
        <v>0</v>
      </c>
      <c r="F238" s="86" t="b">
        <v>0</v>
      </c>
      <c r="G238" s="86" t="b">
        <v>0</v>
      </c>
    </row>
    <row r="239" spans="1:7" ht="15">
      <c r="A239" s="87" t="s">
        <v>4212</v>
      </c>
      <c r="B239" s="86">
        <v>3</v>
      </c>
      <c r="C239" s="115">
        <v>0.000977986556730216</v>
      </c>
      <c r="D239" s="86" t="s">
        <v>4451</v>
      </c>
      <c r="E239" s="86" t="b">
        <v>0</v>
      </c>
      <c r="F239" s="86" t="b">
        <v>1</v>
      </c>
      <c r="G239" s="86" t="b">
        <v>0</v>
      </c>
    </row>
    <row r="240" spans="1:7" ht="15">
      <c r="A240" s="87" t="s">
        <v>4213</v>
      </c>
      <c r="B240" s="86">
        <v>3</v>
      </c>
      <c r="C240" s="115">
        <v>0.000977986556730216</v>
      </c>
      <c r="D240" s="86" t="s">
        <v>4451</v>
      </c>
      <c r="E240" s="86" t="b">
        <v>0</v>
      </c>
      <c r="F240" s="86" t="b">
        <v>0</v>
      </c>
      <c r="G240" s="86" t="b">
        <v>0</v>
      </c>
    </row>
    <row r="241" spans="1:7" ht="15">
      <c r="A241" s="87" t="s">
        <v>4214</v>
      </c>
      <c r="B241" s="86">
        <v>3</v>
      </c>
      <c r="C241" s="115">
        <v>0.000977986556730216</v>
      </c>
      <c r="D241" s="86" t="s">
        <v>4451</v>
      </c>
      <c r="E241" s="86" t="b">
        <v>0</v>
      </c>
      <c r="F241" s="86" t="b">
        <v>1</v>
      </c>
      <c r="G241" s="86" t="b">
        <v>0</v>
      </c>
    </row>
    <row r="242" spans="1:7" ht="15">
      <c r="A242" s="87" t="s">
        <v>4215</v>
      </c>
      <c r="B242" s="86">
        <v>3</v>
      </c>
      <c r="C242" s="115">
        <v>0.000977986556730216</v>
      </c>
      <c r="D242" s="86" t="s">
        <v>4451</v>
      </c>
      <c r="E242" s="86" t="b">
        <v>0</v>
      </c>
      <c r="F242" s="86" t="b">
        <v>0</v>
      </c>
      <c r="G242" s="86" t="b">
        <v>0</v>
      </c>
    </row>
    <row r="243" spans="1:7" ht="15">
      <c r="A243" s="87" t="s">
        <v>4216</v>
      </c>
      <c r="B243" s="86">
        <v>3</v>
      </c>
      <c r="C243" s="115">
        <v>0.000977986556730216</v>
      </c>
      <c r="D243" s="86" t="s">
        <v>4451</v>
      </c>
      <c r="E243" s="86" t="b">
        <v>0</v>
      </c>
      <c r="F243" s="86" t="b">
        <v>0</v>
      </c>
      <c r="G243" s="86" t="b">
        <v>0</v>
      </c>
    </row>
    <row r="244" spans="1:7" ht="15">
      <c r="A244" s="87" t="s">
        <v>4217</v>
      </c>
      <c r="B244" s="86">
        <v>3</v>
      </c>
      <c r="C244" s="115">
        <v>0.000977986556730216</v>
      </c>
      <c r="D244" s="86" t="s">
        <v>4451</v>
      </c>
      <c r="E244" s="86" t="b">
        <v>0</v>
      </c>
      <c r="F244" s="86" t="b">
        <v>0</v>
      </c>
      <c r="G244" s="86" t="b">
        <v>0</v>
      </c>
    </row>
    <row r="245" spans="1:7" ht="15">
      <c r="A245" s="87" t="s">
        <v>4218</v>
      </c>
      <c r="B245" s="86">
        <v>3</v>
      </c>
      <c r="C245" s="115">
        <v>0.000977986556730216</v>
      </c>
      <c r="D245" s="86" t="s">
        <v>4451</v>
      </c>
      <c r="E245" s="86" t="b">
        <v>0</v>
      </c>
      <c r="F245" s="86" t="b">
        <v>0</v>
      </c>
      <c r="G245" s="86" t="b">
        <v>0</v>
      </c>
    </row>
    <row r="246" spans="1:7" ht="15">
      <c r="A246" s="87" t="s">
        <v>4219</v>
      </c>
      <c r="B246" s="86">
        <v>3</v>
      </c>
      <c r="C246" s="115">
        <v>0.000977986556730216</v>
      </c>
      <c r="D246" s="86" t="s">
        <v>4451</v>
      </c>
      <c r="E246" s="86" t="b">
        <v>0</v>
      </c>
      <c r="F246" s="86" t="b">
        <v>0</v>
      </c>
      <c r="G246" s="86" t="b">
        <v>0</v>
      </c>
    </row>
    <row r="247" spans="1:7" ht="15">
      <c r="A247" s="87" t="s">
        <v>4220</v>
      </c>
      <c r="B247" s="86">
        <v>3</v>
      </c>
      <c r="C247" s="115">
        <v>0.000977986556730216</v>
      </c>
      <c r="D247" s="86" t="s">
        <v>4451</v>
      </c>
      <c r="E247" s="86" t="b">
        <v>0</v>
      </c>
      <c r="F247" s="86" t="b">
        <v>1</v>
      </c>
      <c r="G247" s="86" t="b">
        <v>1</v>
      </c>
    </row>
    <row r="248" spans="1:7" ht="15">
      <c r="A248" s="87" t="s">
        <v>4221</v>
      </c>
      <c r="B248" s="86">
        <v>3</v>
      </c>
      <c r="C248" s="115">
        <v>0.000977986556730216</v>
      </c>
      <c r="D248" s="86" t="s">
        <v>4451</v>
      </c>
      <c r="E248" s="86" t="b">
        <v>0</v>
      </c>
      <c r="F248" s="86" t="b">
        <v>0</v>
      </c>
      <c r="G248" s="86" t="b">
        <v>0</v>
      </c>
    </row>
    <row r="249" spans="1:7" ht="15">
      <c r="A249" s="87" t="s">
        <v>4222</v>
      </c>
      <c r="B249" s="86">
        <v>3</v>
      </c>
      <c r="C249" s="115">
        <v>0.000977986556730216</v>
      </c>
      <c r="D249" s="86" t="s">
        <v>4451</v>
      </c>
      <c r="E249" s="86" t="b">
        <v>0</v>
      </c>
      <c r="F249" s="86" t="b">
        <v>0</v>
      </c>
      <c r="G249" s="86" t="b">
        <v>0</v>
      </c>
    </row>
    <row r="250" spans="1:7" ht="15">
      <c r="A250" s="87" t="s">
        <v>4223</v>
      </c>
      <c r="B250" s="86">
        <v>3</v>
      </c>
      <c r="C250" s="115">
        <v>0.000977986556730216</v>
      </c>
      <c r="D250" s="86" t="s">
        <v>4451</v>
      </c>
      <c r="E250" s="86" t="b">
        <v>0</v>
      </c>
      <c r="F250" s="86" t="b">
        <v>0</v>
      </c>
      <c r="G250" s="86" t="b">
        <v>0</v>
      </c>
    </row>
    <row r="251" spans="1:7" ht="15">
      <c r="A251" s="87" t="s">
        <v>4224</v>
      </c>
      <c r="B251" s="86">
        <v>3</v>
      </c>
      <c r="C251" s="115">
        <v>0.000977986556730216</v>
      </c>
      <c r="D251" s="86" t="s">
        <v>4451</v>
      </c>
      <c r="E251" s="86" t="b">
        <v>0</v>
      </c>
      <c r="F251" s="86" t="b">
        <v>0</v>
      </c>
      <c r="G251" s="86" t="b">
        <v>0</v>
      </c>
    </row>
    <row r="252" spans="1:7" ht="15">
      <c r="A252" s="87" t="s">
        <v>4225</v>
      </c>
      <c r="B252" s="86">
        <v>3</v>
      </c>
      <c r="C252" s="115">
        <v>0.000977986556730216</v>
      </c>
      <c r="D252" s="86" t="s">
        <v>4451</v>
      </c>
      <c r="E252" s="86" t="b">
        <v>0</v>
      </c>
      <c r="F252" s="86" t="b">
        <v>0</v>
      </c>
      <c r="G252" s="86" t="b">
        <v>0</v>
      </c>
    </row>
    <row r="253" spans="1:7" ht="15">
      <c r="A253" s="87" t="s">
        <v>4226</v>
      </c>
      <c r="B253" s="86">
        <v>3</v>
      </c>
      <c r="C253" s="115">
        <v>0.000977986556730216</v>
      </c>
      <c r="D253" s="86" t="s">
        <v>4451</v>
      </c>
      <c r="E253" s="86" t="b">
        <v>0</v>
      </c>
      <c r="F253" s="86" t="b">
        <v>0</v>
      </c>
      <c r="G253" s="86" t="b">
        <v>0</v>
      </c>
    </row>
    <row r="254" spans="1:7" ht="15">
      <c r="A254" s="87" t="s">
        <v>4227</v>
      </c>
      <c r="B254" s="86">
        <v>3</v>
      </c>
      <c r="C254" s="115">
        <v>0.000977986556730216</v>
      </c>
      <c r="D254" s="86" t="s">
        <v>4451</v>
      </c>
      <c r="E254" s="86" t="b">
        <v>0</v>
      </c>
      <c r="F254" s="86" t="b">
        <v>0</v>
      </c>
      <c r="G254" s="86" t="b">
        <v>0</v>
      </c>
    </row>
    <row r="255" spans="1:7" ht="15">
      <c r="A255" s="87" t="s">
        <v>4228</v>
      </c>
      <c r="B255" s="86">
        <v>3</v>
      </c>
      <c r="C255" s="115">
        <v>0.000977986556730216</v>
      </c>
      <c r="D255" s="86" t="s">
        <v>4451</v>
      </c>
      <c r="E255" s="86" t="b">
        <v>0</v>
      </c>
      <c r="F255" s="86" t="b">
        <v>0</v>
      </c>
      <c r="G255" s="86" t="b">
        <v>0</v>
      </c>
    </row>
    <row r="256" spans="1:7" ht="15">
      <c r="A256" s="87" t="s">
        <v>4229</v>
      </c>
      <c r="B256" s="86">
        <v>3</v>
      </c>
      <c r="C256" s="115">
        <v>0.000977986556730216</v>
      </c>
      <c r="D256" s="86" t="s">
        <v>4451</v>
      </c>
      <c r="E256" s="86" t="b">
        <v>0</v>
      </c>
      <c r="F256" s="86" t="b">
        <v>0</v>
      </c>
      <c r="G256" s="86" t="b">
        <v>0</v>
      </c>
    </row>
    <row r="257" spans="1:7" ht="15">
      <c r="A257" s="87" t="s">
        <v>4230</v>
      </c>
      <c r="B257" s="86">
        <v>3</v>
      </c>
      <c r="C257" s="115">
        <v>0.0010606714490712778</v>
      </c>
      <c r="D257" s="86" t="s">
        <v>4451</v>
      </c>
      <c r="E257" s="86" t="b">
        <v>0</v>
      </c>
      <c r="F257" s="86" t="b">
        <v>0</v>
      </c>
      <c r="G257" s="86" t="b">
        <v>0</v>
      </c>
    </row>
    <row r="258" spans="1:7" ht="15">
      <c r="A258" s="87" t="s">
        <v>4231</v>
      </c>
      <c r="B258" s="86">
        <v>3</v>
      </c>
      <c r="C258" s="115">
        <v>0.0010606714490712778</v>
      </c>
      <c r="D258" s="86" t="s">
        <v>4451</v>
      </c>
      <c r="E258" s="86" t="b">
        <v>0</v>
      </c>
      <c r="F258" s="86" t="b">
        <v>0</v>
      </c>
      <c r="G258" s="86" t="b">
        <v>0</v>
      </c>
    </row>
    <row r="259" spans="1:7" ht="15">
      <c r="A259" s="87" t="s">
        <v>4232</v>
      </c>
      <c r="B259" s="86">
        <v>3</v>
      </c>
      <c r="C259" s="115">
        <v>0.000977986556730216</v>
      </c>
      <c r="D259" s="86" t="s">
        <v>4451</v>
      </c>
      <c r="E259" s="86" t="b">
        <v>0</v>
      </c>
      <c r="F259" s="86" t="b">
        <v>0</v>
      </c>
      <c r="G259" s="86" t="b">
        <v>0</v>
      </c>
    </row>
    <row r="260" spans="1:7" ht="15">
      <c r="A260" s="87" t="s">
        <v>4233</v>
      </c>
      <c r="B260" s="86">
        <v>3</v>
      </c>
      <c r="C260" s="115">
        <v>0.000977986556730216</v>
      </c>
      <c r="D260" s="86" t="s">
        <v>4451</v>
      </c>
      <c r="E260" s="86" t="b">
        <v>0</v>
      </c>
      <c r="F260" s="86" t="b">
        <v>0</v>
      </c>
      <c r="G260" s="86" t="b">
        <v>0</v>
      </c>
    </row>
    <row r="261" spans="1:7" ht="15">
      <c r="A261" s="87" t="s">
        <v>4234</v>
      </c>
      <c r="B261" s="86">
        <v>3</v>
      </c>
      <c r="C261" s="115">
        <v>0.000977986556730216</v>
      </c>
      <c r="D261" s="86" t="s">
        <v>4451</v>
      </c>
      <c r="E261" s="86" t="b">
        <v>0</v>
      </c>
      <c r="F261" s="86" t="b">
        <v>0</v>
      </c>
      <c r="G261" s="86" t="b">
        <v>0</v>
      </c>
    </row>
    <row r="262" spans="1:7" ht="15">
      <c r="A262" s="87" t="s">
        <v>4235</v>
      </c>
      <c r="B262" s="86">
        <v>3</v>
      </c>
      <c r="C262" s="115">
        <v>0.000977986556730216</v>
      </c>
      <c r="D262" s="86" t="s">
        <v>4451</v>
      </c>
      <c r="E262" s="86" t="b">
        <v>0</v>
      </c>
      <c r="F262" s="86" t="b">
        <v>0</v>
      </c>
      <c r="G262" s="86" t="b">
        <v>0</v>
      </c>
    </row>
    <row r="263" spans="1:7" ht="15">
      <c r="A263" s="87" t="s">
        <v>4236</v>
      </c>
      <c r="B263" s="86">
        <v>3</v>
      </c>
      <c r="C263" s="115">
        <v>0.000977986556730216</v>
      </c>
      <c r="D263" s="86" t="s">
        <v>4451</v>
      </c>
      <c r="E263" s="86" t="b">
        <v>0</v>
      </c>
      <c r="F263" s="86" t="b">
        <v>0</v>
      </c>
      <c r="G263" s="86" t="b">
        <v>0</v>
      </c>
    </row>
    <row r="264" spans="1:7" ht="15">
      <c r="A264" s="87" t="s">
        <v>4237</v>
      </c>
      <c r="B264" s="86">
        <v>3</v>
      </c>
      <c r="C264" s="115">
        <v>0.000977986556730216</v>
      </c>
      <c r="D264" s="86" t="s">
        <v>4451</v>
      </c>
      <c r="E264" s="86" t="b">
        <v>0</v>
      </c>
      <c r="F264" s="86" t="b">
        <v>0</v>
      </c>
      <c r="G264" s="86" t="b">
        <v>0</v>
      </c>
    </row>
    <row r="265" spans="1:7" ht="15">
      <c r="A265" s="87" t="s">
        <v>4238</v>
      </c>
      <c r="B265" s="86">
        <v>3</v>
      </c>
      <c r="C265" s="115">
        <v>0.000977986556730216</v>
      </c>
      <c r="D265" s="86" t="s">
        <v>4451</v>
      </c>
      <c r="E265" s="86" t="b">
        <v>0</v>
      </c>
      <c r="F265" s="86" t="b">
        <v>0</v>
      </c>
      <c r="G265" s="86" t="b">
        <v>0</v>
      </c>
    </row>
    <row r="266" spans="1:7" ht="15">
      <c r="A266" s="87" t="s">
        <v>4239</v>
      </c>
      <c r="B266" s="86">
        <v>3</v>
      </c>
      <c r="C266" s="115">
        <v>0.000977986556730216</v>
      </c>
      <c r="D266" s="86" t="s">
        <v>4451</v>
      </c>
      <c r="E266" s="86" t="b">
        <v>0</v>
      </c>
      <c r="F266" s="86" t="b">
        <v>0</v>
      </c>
      <c r="G266" s="86" t="b">
        <v>0</v>
      </c>
    </row>
    <row r="267" spans="1:7" ht="15">
      <c r="A267" s="87" t="s">
        <v>4240</v>
      </c>
      <c r="B267" s="86">
        <v>3</v>
      </c>
      <c r="C267" s="115">
        <v>0.000977986556730216</v>
      </c>
      <c r="D267" s="86" t="s">
        <v>4451</v>
      </c>
      <c r="E267" s="86" t="b">
        <v>0</v>
      </c>
      <c r="F267" s="86" t="b">
        <v>0</v>
      </c>
      <c r="G267" s="86" t="b">
        <v>0</v>
      </c>
    </row>
    <row r="268" spans="1:7" ht="15">
      <c r="A268" s="87" t="s">
        <v>4241</v>
      </c>
      <c r="B268" s="86">
        <v>3</v>
      </c>
      <c r="C268" s="115">
        <v>0.000977986556730216</v>
      </c>
      <c r="D268" s="86" t="s">
        <v>4451</v>
      </c>
      <c r="E268" s="86" t="b">
        <v>0</v>
      </c>
      <c r="F268" s="86" t="b">
        <v>0</v>
      </c>
      <c r="G268" s="86" t="b">
        <v>0</v>
      </c>
    </row>
    <row r="269" spans="1:7" ht="15">
      <c r="A269" s="87" t="s">
        <v>4242</v>
      </c>
      <c r="B269" s="86">
        <v>3</v>
      </c>
      <c r="C269" s="115">
        <v>0.000977986556730216</v>
      </c>
      <c r="D269" s="86" t="s">
        <v>4451</v>
      </c>
      <c r="E269" s="86" t="b">
        <v>0</v>
      </c>
      <c r="F269" s="86" t="b">
        <v>0</v>
      </c>
      <c r="G269" s="86" t="b">
        <v>0</v>
      </c>
    </row>
    <row r="270" spans="1:7" ht="15">
      <c r="A270" s="87" t="s">
        <v>4243</v>
      </c>
      <c r="B270" s="86">
        <v>3</v>
      </c>
      <c r="C270" s="115">
        <v>0.000977986556730216</v>
      </c>
      <c r="D270" s="86" t="s">
        <v>4451</v>
      </c>
      <c r="E270" s="86" t="b">
        <v>0</v>
      </c>
      <c r="F270" s="86" t="b">
        <v>0</v>
      </c>
      <c r="G270" s="86" t="b">
        <v>0</v>
      </c>
    </row>
    <row r="271" spans="1:7" ht="15">
      <c r="A271" s="87" t="s">
        <v>4244</v>
      </c>
      <c r="B271" s="86">
        <v>3</v>
      </c>
      <c r="C271" s="115">
        <v>0.000977986556730216</v>
      </c>
      <c r="D271" s="86" t="s">
        <v>4451</v>
      </c>
      <c r="E271" s="86" t="b">
        <v>0</v>
      </c>
      <c r="F271" s="86" t="b">
        <v>0</v>
      </c>
      <c r="G271" s="86" t="b">
        <v>0</v>
      </c>
    </row>
    <row r="272" spans="1:7" ht="15">
      <c r="A272" s="87" t="s">
        <v>4245</v>
      </c>
      <c r="B272" s="86">
        <v>3</v>
      </c>
      <c r="C272" s="115">
        <v>0.000977986556730216</v>
      </c>
      <c r="D272" s="86" t="s">
        <v>4451</v>
      </c>
      <c r="E272" s="86" t="b">
        <v>0</v>
      </c>
      <c r="F272" s="86" t="b">
        <v>0</v>
      </c>
      <c r="G272" s="86" t="b">
        <v>0</v>
      </c>
    </row>
    <row r="273" spans="1:7" ht="15">
      <c r="A273" s="87" t="s">
        <v>409</v>
      </c>
      <c r="B273" s="86">
        <v>3</v>
      </c>
      <c r="C273" s="115">
        <v>0.0010606714490712778</v>
      </c>
      <c r="D273" s="86" t="s">
        <v>4451</v>
      </c>
      <c r="E273" s="86" t="b">
        <v>0</v>
      </c>
      <c r="F273" s="86" t="b">
        <v>0</v>
      </c>
      <c r="G273" s="86" t="b">
        <v>0</v>
      </c>
    </row>
    <row r="274" spans="1:7" ht="15">
      <c r="A274" s="87" t="s">
        <v>503</v>
      </c>
      <c r="B274" s="86">
        <v>3</v>
      </c>
      <c r="C274" s="115">
        <v>0.000977986556730216</v>
      </c>
      <c r="D274" s="86" t="s">
        <v>4451</v>
      </c>
      <c r="E274" s="86" t="b">
        <v>0</v>
      </c>
      <c r="F274" s="86" t="b">
        <v>0</v>
      </c>
      <c r="G274" s="86" t="b">
        <v>0</v>
      </c>
    </row>
    <row r="275" spans="1:7" ht="15">
      <c r="A275" s="87" t="s">
        <v>4246</v>
      </c>
      <c r="B275" s="86">
        <v>3</v>
      </c>
      <c r="C275" s="115">
        <v>0.000977986556730216</v>
      </c>
      <c r="D275" s="86" t="s">
        <v>4451</v>
      </c>
      <c r="E275" s="86" t="b">
        <v>1</v>
      </c>
      <c r="F275" s="86" t="b">
        <v>0</v>
      </c>
      <c r="G275" s="86" t="b">
        <v>0</v>
      </c>
    </row>
    <row r="276" spans="1:7" ht="15">
      <c r="A276" s="87" t="s">
        <v>4247</v>
      </c>
      <c r="B276" s="86">
        <v>3</v>
      </c>
      <c r="C276" s="115">
        <v>0.000977986556730216</v>
      </c>
      <c r="D276" s="86" t="s">
        <v>4451</v>
      </c>
      <c r="E276" s="86" t="b">
        <v>0</v>
      </c>
      <c r="F276" s="86" t="b">
        <v>0</v>
      </c>
      <c r="G276" s="86" t="b">
        <v>0</v>
      </c>
    </row>
    <row r="277" spans="1:7" ht="15">
      <c r="A277" s="87" t="s">
        <v>4248</v>
      </c>
      <c r="B277" s="86">
        <v>3</v>
      </c>
      <c r="C277" s="115">
        <v>0.000977986556730216</v>
      </c>
      <c r="D277" s="86" t="s">
        <v>4451</v>
      </c>
      <c r="E277" s="86" t="b">
        <v>0</v>
      </c>
      <c r="F277" s="86" t="b">
        <v>0</v>
      </c>
      <c r="G277" s="86" t="b">
        <v>0</v>
      </c>
    </row>
    <row r="278" spans="1:7" ht="15">
      <c r="A278" s="87" t="s">
        <v>4249</v>
      </c>
      <c r="B278" s="86">
        <v>3</v>
      </c>
      <c r="C278" s="115">
        <v>0.000977986556730216</v>
      </c>
      <c r="D278" s="86" t="s">
        <v>4451</v>
      </c>
      <c r="E278" s="86" t="b">
        <v>0</v>
      </c>
      <c r="F278" s="86" t="b">
        <v>0</v>
      </c>
      <c r="G278" s="86" t="b">
        <v>0</v>
      </c>
    </row>
    <row r="279" spans="1:7" ht="15">
      <c r="A279" s="87" t="s">
        <v>4250</v>
      </c>
      <c r="B279" s="86">
        <v>3</v>
      </c>
      <c r="C279" s="115">
        <v>0.000977986556730216</v>
      </c>
      <c r="D279" s="86" t="s">
        <v>4451</v>
      </c>
      <c r="E279" s="86" t="b">
        <v>0</v>
      </c>
      <c r="F279" s="86" t="b">
        <v>0</v>
      </c>
      <c r="G279" s="86" t="b">
        <v>0</v>
      </c>
    </row>
    <row r="280" spans="1:7" ht="15">
      <c r="A280" s="87" t="s">
        <v>4251</v>
      </c>
      <c r="B280" s="86">
        <v>3</v>
      </c>
      <c r="C280" s="115">
        <v>0.000977986556730216</v>
      </c>
      <c r="D280" s="86" t="s">
        <v>4451</v>
      </c>
      <c r="E280" s="86" t="b">
        <v>0</v>
      </c>
      <c r="F280" s="86" t="b">
        <v>0</v>
      </c>
      <c r="G280" s="86" t="b">
        <v>0</v>
      </c>
    </row>
    <row r="281" spans="1:7" ht="15">
      <c r="A281" s="87" t="s">
        <v>430</v>
      </c>
      <c r="B281" s="86">
        <v>3</v>
      </c>
      <c r="C281" s="115">
        <v>0.000977986556730216</v>
      </c>
      <c r="D281" s="86" t="s">
        <v>4451</v>
      </c>
      <c r="E281" s="86" t="b">
        <v>0</v>
      </c>
      <c r="F281" s="86" t="b">
        <v>0</v>
      </c>
      <c r="G281" s="86" t="b">
        <v>0</v>
      </c>
    </row>
    <row r="282" spans="1:7" ht="15">
      <c r="A282" s="87" t="s">
        <v>4252</v>
      </c>
      <c r="B282" s="86">
        <v>3</v>
      </c>
      <c r="C282" s="115">
        <v>0.000977986556730216</v>
      </c>
      <c r="D282" s="86" t="s">
        <v>4451</v>
      </c>
      <c r="E282" s="86" t="b">
        <v>0</v>
      </c>
      <c r="F282" s="86" t="b">
        <v>0</v>
      </c>
      <c r="G282" s="86" t="b">
        <v>0</v>
      </c>
    </row>
    <row r="283" spans="1:7" ht="15">
      <c r="A283" s="87" t="s">
        <v>4253</v>
      </c>
      <c r="B283" s="86">
        <v>3</v>
      </c>
      <c r="C283" s="115">
        <v>0.000977986556730216</v>
      </c>
      <c r="D283" s="86" t="s">
        <v>4451</v>
      </c>
      <c r="E283" s="86" t="b">
        <v>0</v>
      </c>
      <c r="F283" s="86" t="b">
        <v>0</v>
      </c>
      <c r="G283" s="86" t="b">
        <v>0</v>
      </c>
    </row>
    <row r="284" spans="1:7" ht="15">
      <c r="A284" s="87" t="s">
        <v>4254</v>
      </c>
      <c r="B284" s="86">
        <v>3</v>
      </c>
      <c r="C284" s="115">
        <v>0.000977986556730216</v>
      </c>
      <c r="D284" s="86" t="s">
        <v>4451</v>
      </c>
      <c r="E284" s="86" t="b">
        <v>0</v>
      </c>
      <c r="F284" s="86" t="b">
        <v>0</v>
      </c>
      <c r="G284" s="86" t="b">
        <v>0</v>
      </c>
    </row>
    <row r="285" spans="1:7" ht="15">
      <c r="A285" s="87" t="s">
        <v>4255</v>
      </c>
      <c r="B285" s="86">
        <v>3</v>
      </c>
      <c r="C285" s="115">
        <v>0.000977986556730216</v>
      </c>
      <c r="D285" s="86" t="s">
        <v>4451</v>
      </c>
      <c r="E285" s="86" t="b">
        <v>0</v>
      </c>
      <c r="F285" s="86" t="b">
        <v>0</v>
      </c>
      <c r="G285" s="86" t="b">
        <v>0</v>
      </c>
    </row>
    <row r="286" spans="1:7" ht="15">
      <c r="A286" s="87" t="s">
        <v>4256</v>
      </c>
      <c r="B286" s="86">
        <v>3</v>
      </c>
      <c r="C286" s="115">
        <v>0.0010606714490712778</v>
      </c>
      <c r="D286" s="86" t="s">
        <v>4451</v>
      </c>
      <c r="E286" s="86" t="b">
        <v>0</v>
      </c>
      <c r="F286" s="86" t="b">
        <v>0</v>
      </c>
      <c r="G286" s="86" t="b">
        <v>0</v>
      </c>
    </row>
    <row r="287" spans="1:7" ht="15">
      <c r="A287" s="87" t="s">
        <v>4257</v>
      </c>
      <c r="B287" s="86">
        <v>3</v>
      </c>
      <c r="C287" s="115">
        <v>0.000977986556730216</v>
      </c>
      <c r="D287" s="86" t="s">
        <v>4451</v>
      </c>
      <c r="E287" s="86" t="b">
        <v>1</v>
      </c>
      <c r="F287" s="86" t="b">
        <v>0</v>
      </c>
      <c r="G287" s="86" t="b">
        <v>0</v>
      </c>
    </row>
    <row r="288" spans="1:7" ht="15">
      <c r="A288" s="87" t="s">
        <v>4258</v>
      </c>
      <c r="B288" s="86">
        <v>3</v>
      </c>
      <c r="C288" s="115">
        <v>0.000977986556730216</v>
      </c>
      <c r="D288" s="86" t="s">
        <v>4451</v>
      </c>
      <c r="E288" s="86" t="b">
        <v>0</v>
      </c>
      <c r="F288" s="86" t="b">
        <v>0</v>
      </c>
      <c r="G288" s="86" t="b">
        <v>0</v>
      </c>
    </row>
    <row r="289" spans="1:7" ht="15">
      <c r="A289" s="87" t="s">
        <v>4259</v>
      </c>
      <c r="B289" s="86">
        <v>3</v>
      </c>
      <c r="C289" s="115">
        <v>0.000977986556730216</v>
      </c>
      <c r="D289" s="86" t="s">
        <v>4451</v>
      </c>
      <c r="E289" s="86" t="b">
        <v>0</v>
      </c>
      <c r="F289" s="86" t="b">
        <v>0</v>
      </c>
      <c r="G289" s="86" t="b">
        <v>0</v>
      </c>
    </row>
    <row r="290" spans="1:7" ht="15">
      <c r="A290" s="87" t="s">
        <v>4260</v>
      </c>
      <c r="B290" s="86">
        <v>3</v>
      </c>
      <c r="C290" s="115">
        <v>0.000977986556730216</v>
      </c>
      <c r="D290" s="86" t="s">
        <v>4451</v>
      </c>
      <c r="E290" s="86" t="b">
        <v>0</v>
      </c>
      <c r="F290" s="86" t="b">
        <v>0</v>
      </c>
      <c r="G290" s="86" t="b">
        <v>0</v>
      </c>
    </row>
    <row r="291" spans="1:7" ht="15">
      <c r="A291" s="87" t="s">
        <v>4261</v>
      </c>
      <c r="B291" s="86">
        <v>3</v>
      </c>
      <c r="C291" s="115">
        <v>0.000977986556730216</v>
      </c>
      <c r="D291" s="86" t="s">
        <v>4451</v>
      </c>
      <c r="E291" s="86" t="b">
        <v>0</v>
      </c>
      <c r="F291" s="86" t="b">
        <v>0</v>
      </c>
      <c r="G291" s="86" t="b">
        <v>0</v>
      </c>
    </row>
    <row r="292" spans="1:7" ht="15">
      <c r="A292" s="87" t="s">
        <v>4262</v>
      </c>
      <c r="B292" s="86">
        <v>3</v>
      </c>
      <c r="C292" s="115">
        <v>0.000977986556730216</v>
      </c>
      <c r="D292" s="86" t="s">
        <v>4451</v>
      </c>
      <c r="E292" s="86" t="b">
        <v>1</v>
      </c>
      <c r="F292" s="86" t="b">
        <v>0</v>
      </c>
      <c r="G292" s="86" t="b">
        <v>0</v>
      </c>
    </row>
    <row r="293" spans="1:7" ht="15">
      <c r="A293" s="87" t="s">
        <v>4263</v>
      </c>
      <c r="B293" s="86">
        <v>3</v>
      </c>
      <c r="C293" s="115">
        <v>0.000977986556730216</v>
      </c>
      <c r="D293" s="86" t="s">
        <v>4451</v>
      </c>
      <c r="E293" s="86" t="b">
        <v>0</v>
      </c>
      <c r="F293" s="86" t="b">
        <v>0</v>
      </c>
      <c r="G293" s="86" t="b">
        <v>0</v>
      </c>
    </row>
    <row r="294" spans="1:7" ht="15">
      <c r="A294" s="87" t="s">
        <v>4264</v>
      </c>
      <c r="B294" s="86">
        <v>3</v>
      </c>
      <c r="C294" s="115">
        <v>0.000977986556730216</v>
      </c>
      <c r="D294" s="86" t="s">
        <v>4451</v>
      </c>
      <c r="E294" s="86" t="b">
        <v>0</v>
      </c>
      <c r="F294" s="86" t="b">
        <v>0</v>
      </c>
      <c r="G294" s="86" t="b">
        <v>0</v>
      </c>
    </row>
    <row r="295" spans="1:7" ht="15">
      <c r="A295" s="87" t="s">
        <v>4265</v>
      </c>
      <c r="B295" s="86">
        <v>3</v>
      </c>
      <c r="C295" s="115">
        <v>0.000977986556730216</v>
      </c>
      <c r="D295" s="86" t="s">
        <v>4451</v>
      </c>
      <c r="E295" s="86" t="b">
        <v>0</v>
      </c>
      <c r="F295" s="86" t="b">
        <v>0</v>
      </c>
      <c r="G295" s="86" t="b">
        <v>0</v>
      </c>
    </row>
    <row r="296" spans="1:7" ht="15">
      <c r="A296" s="87" t="s">
        <v>4266</v>
      </c>
      <c r="B296" s="86">
        <v>3</v>
      </c>
      <c r="C296" s="115">
        <v>0.000977986556730216</v>
      </c>
      <c r="D296" s="86" t="s">
        <v>4451</v>
      </c>
      <c r="E296" s="86" t="b">
        <v>0</v>
      </c>
      <c r="F296" s="86" t="b">
        <v>0</v>
      </c>
      <c r="G296" s="86" t="b">
        <v>0</v>
      </c>
    </row>
    <row r="297" spans="1:7" ht="15">
      <c r="A297" s="87" t="s">
        <v>4267</v>
      </c>
      <c r="B297" s="86">
        <v>3</v>
      </c>
      <c r="C297" s="115">
        <v>0.000977986556730216</v>
      </c>
      <c r="D297" s="86" t="s">
        <v>4451</v>
      </c>
      <c r="E297" s="86" t="b">
        <v>0</v>
      </c>
      <c r="F297" s="86" t="b">
        <v>0</v>
      </c>
      <c r="G297" s="86" t="b">
        <v>0</v>
      </c>
    </row>
    <row r="298" spans="1:7" ht="15">
      <c r="A298" s="87" t="s">
        <v>4268</v>
      </c>
      <c r="B298" s="86">
        <v>3</v>
      </c>
      <c r="C298" s="115">
        <v>0.000977986556730216</v>
      </c>
      <c r="D298" s="86" t="s">
        <v>4451</v>
      </c>
      <c r="E298" s="86" t="b">
        <v>1</v>
      </c>
      <c r="F298" s="86" t="b">
        <v>0</v>
      </c>
      <c r="G298" s="86" t="b">
        <v>0</v>
      </c>
    </row>
    <row r="299" spans="1:7" ht="15">
      <c r="A299" s="87" t="s">
        <v>4269</v>
      </c>
      <c r="B299" s="86">
        <v>3</v>
      </c>
      <c r="C299" s="115">
        <v>0.000977986556730216</v>
      </c>
      <c r="D299" s="86" t="s">
        <v>4451</v>
      </c>
      <c r="E299" s="86" t="b">
        <v>0</v>
      </c>
      <c r="F299" s="86" t="b">
        <v>0</v>
      </c>
      <c r="G299" s="86" t="b">
        <v>0</v>
      </c>
    </row>
    <row r="300" spans="1:7" ht="15">
      <c r="A300" s="87" t="s">
        <v>4270</v>
      </c>
      <c r="B300" s="86">
        <v>3</v>
      </c>
      <c r="C300" s="115">
        <v>0.000977986556730216</v>
      </c>
      <c r="D300" s="86" t="s">
        <v>4451</v>
      </c>
      <c r="E300" s="86" t="b">
        <v>0</v>
      </c>
      <c r="F300" s="86" t="b">
        <v>0</v>
      </c>
      <c r="G300" s="86" t="b">
        <v>0</v>
      </c>
    </row>
    <row r="301" spans="1:7" ht="15">
      <c r="A301" s="87" t="s">
        <v>4271</v>
      </c>
      <c r="B301" s="86">
        <v>3</v>
      </c>
      <c r="C301" s="115">
        <v>0.000977986556730216</v>
      </c>
      <c r="D301" s="86" t="s">
        <v>4451</v>
      </c>
      <c r="E301" s="86" t="b">
        <v>0</v>
      </c>
      <c r="F301" s="86" t="b">
        <v>1</v>
      </c>
      <c r="G301" s="86" t="b">
        <v>0</v>
      </c>
    </row>
    <row r="302" spans="1:7" ht="15">
      <c r="A302" s="87" t="s">
        <v>4272</v>
      </c>
      <c r="B302" s="86">
        <v>3</v>
      </c>
      <c r="C302" s="115">
        <v>0.000977986556730216</v>
      </c>
      <c r="D302" s="86" t="s">
        <v>4451</v>
      </c>
      <c r="E302" s="86" t="b">
        <v>0</v>
      </c>
      <c r="F302" s="86" t="b">
        <v>0</v>
      </c>
      <c r="G302" s="86" t="b">
        <v>0</v>
      </c>
    </row>
    <row r="303" spans="1:7" ht="15">
      <c r="A303" s="87" t="s">
        <v>4273</v>
      </c>
      <c r="B303" s="86">
        <v>3</v>
      </c>
      <c r="C303" s="115">
        <v>0.000977986556730216</v>
      </c>
      <c r="D303" s="86" t="s">
        <v>4451</v>
      </c>
      <c r="E303" s="86" t="b">
        <v>0</v>
      </c>
      <c r="F303" s="86" t="b">
        <v>0</v>
      </c>
      <c r="G303" s="86" t="b">
        <v>0</v>
      </c>
    </row>
    <row r="304" spans="1:7" ht="15">
      <c r="A304" s="87" t="s">
        <v>4274</v>
      </c>
      <c r="B304" s="86">
        <v>3</v>
      </c>
      <c r="C304" s="115">
        <v>0.000977986556730216</v>
      </c>
      <c r="D304" s="86" t="s">
        <v>4451</v>
      </c>
      <c r="E304" s="86" t="b">
        <v>0</v>
      </c>
      <c r="F304" s="86" t="b">
        <v>0</v>
      </c>
      <c r="G304" s="86" t="b">
        <v>0</v>
      </c>
    </row>
    <row r="305" spans="1:7" ht="15">
      <c r="A305" s="87" t="s">
        <v>4275</v>
      </c>
      <c r="B305" s="86">
        <v>3</v>
      </c>
      <c r="C305" s="115">
        <v>0.000977986556730216</v>
      </c>
      <c r="D305" s="86" t="s">
        <v>4451</v>
      </c>
      <c r="E305" s="86" t="b">
        <v>0</v>
      </c>
      <c r="F305" s="86" t="b">
        <v>0</v>
      </c>
      <c r="G305" s="86" t="b">
        <v>0</v>
      </c>
    </row>
    <row r="306" spans="1:7" ht="15">
      <c r="A306" s="87" t="s">
        <v>420</v>
      </c>
      <c r="B306" s="86">
        <v>3</v>
      </c>
      <c r="C306" s="115">
        <v>0.000977986556730216</v>
      </c>
      <c r="D306" s="86" t="s">
        <v>4451</v>
      </c>
      <c r="E306" s="86" t="b">
        <v>0</v>
      </c>
      <c r="F306" s="86" t="b">
        <v>0</v>
      </c>
      <c r="G306" s="86" t="b">
        <v>0</v>
      </c>
    </row>
    <row r="307" spans="1:7" ht="15">
      <c r="A307" s="87" t="s">
        <v>4276</v>
      </c>
      <c r="B307" s="86">
        <v>3</v>
      </c>
      <c r="C307" s="115">
        <v>0.000977986556730216</v>
      </c>
      <c r="D307" s="86" t="s">
        <v>4451</v>
      </c>
      <c r="E307" s="86" t="b">
        <v>0</v>
      </c>
      <c r="F307" s="86" t="b">
        <v>0</v>
      </c>
      <c r="G307" s="86" t="b">
        <v>0</v>
      </c>
    </row>
    <row r="308" spans="1:7" ht="15">
      <c r="A308" s="87" t="s">
        <v>4277</v>
      </c>
      <c r="B308" s="86">
        <v>3</v>
      </c>
      <c r="C308" s="115">
        <v>0.0010606714490712778</v>
      </c>
      <c r="D308" s="86" t="s">
        <v>4451</v>
      </c>
      <c r="E308" s="86" t="b">
        <v>0</v>
      </c>
      <c r="F308" s="86" t="b">
        <v>0</v>
      </c>
      <c r="G308" s="86" t="b">
        <v>0</v>
      </c>
    </row>
    <row r="309" spans="1:7" ht="15">
      <c r="A309" s="87" t="s">
        <v>4278</v>
      </c>
      <c r="B309" s="86">
        <v>3</v>
      </c>
      <c r="C309" s="115">
        <v>0.000977986556730216</v>
      </c>
      <c r="D309" s="86" t="s">
        <v>4451</v>
      </c>
      <c r="E309" s="86" t="b">
        <v>0</v>
      </c>
      <c r="F309" s="86" t="b">
        <v>0</v>
      </c>
      <c r="G309" s="86" t="b">
        <v>0</v>
      </c>
    </row>
    <row r="310" spans="1:7" ht="15">
      <c r="A310" s="87" t="s">
        <v>4279</v>
      </c>
      <c r="B310" s="86">
        <v>2</v>
      </c>
      <c r="C310" s="115">
        <v>0.0007071142993808518</v>
      </c>
      <c r="D310" s="86" t="s">
        <v>4451</v>
      </c>
      <c r="E310" s="86" t="b">
        <v>0</v>
      </c>
      <c r="F310" s="86" t="b">
        <v>0</v>
      </c>
      <c r="G310" s="86" t="b">
        <v>0</v>
      </c>
    </row>
    <row r="311" spans="1:7" ht="15">
      <c r="A311" s="87" t="s">
        <v>4280</v>
      </c>
      <c r="B311" s="86">
        <v>2</v>
      </c>
      <c r="C311" s="115">
        <v>0.0007071142993808518</v>
      </c>
      <c r="D311" s="86" t="s">
        <v>4451</v>
      </c>
      <c r="E311" s="86" t="b">
        <v>0</v>
      </c>
      <c r="F311" s="86" t="b">
        <v>0</v>
      </c>
      <c r="G311" s="86" t="b">
        <v>0</v>
      </c>
    </row>
    <row r="312" spans="1:7" ht="15">
      <c r="A312" s="87" t="s">
        <v>4281</v>
      </c>
      <c r="B312" s="86">
        <v>2</v>
      </c>
      <c r="C312" s="115">
        <v>0.0007071142993808518</v>
      </c>
      <c r="D312" s="86" t="s">
        <v>4451</v>
      </c>
      <c r="E312" s="86" t="b">
        <v>0</v>
      </c>
      <c r="F312" s="86" t="b">
        <v>0</v>
      </c>
      <c r="G312" s="86" t="b">
        <v>0</v>
      </c>
    </row>
    <row r="313" spans="1:7" ht="15">
      <c r="A313" s="87" t="s">
        <v>4282</v>
      </c>
      <c r="B313" s="86">
        <v>2</v>
      </c>
      <c r="C313" s="115">
        <v>0.0007071142993808518</v>
      </c>
      <c r="D313" s="86" t="s">
        <v>4451</v>
      </c>
      <c r="E313" s="86" t="b">
        <v>0</v>
      </c>
      <c r="F313" s="86" t="b">
        <v>0</v>
      </c>
      <c r="G313" s="86" t="b">
        <v>0</v>
      </c>
    </row>
    <row r="314" spans="1:7" ht="15">
      <c r="A314" s="87" t="s">
        <v>4283</v>
      </c>
      <c r="B314" s="86">
        <v>2</v>
      </c>
      <c r="C314" s="115">
        <v>0.0007071142993808518</v>
      </c>
      <c r="D314" s="86" t="s">
        <v>4451</v>
      </c>
      <c r="E314" s="86" t="b">
        <v>0</v>
      </c>
      <c r="F314" s="86" t="b">
        <v>0</v>
      </c>
      <c r="G314" s="86" t="b">
        <v>0</v>
      </c>
    </row>
    <row r="315" spans="1:7" ht="15">
      <c r="A315" s="87" t="s">
        <v>4284</v>
      </c>
      <c r="B315" s="86">
        <v>2</v>
      </c>
      <c r="C315" s="115">
        <v>0.0007071142993808518</v>
      </c>
      <c r="D315" s="86" t="s">
        <v>4451</v>
      </c>
      <c r="E315" s="86" t="b">
        <v>0</v>
      </c>
      <c r="F315" s="86" t="b">
        <v>0</v>
      </c>
      <c r="G315" s="86" t="b">
        <v>0</v>
      </c>
    </row>
    <row r="316" spans="1:7" ht="15">
      <c r="A316" s="87" t="s">
        <v>4285</v>
      </c>
      <c r="B316" s="86">
        <v>2</v>
      </c>
      <c r="C316" s="115">
        <v>0.0007071142993808518</v>
      </c>
      <c r="D316" s="86" t="s">
        <v>4451</v>
      </c>
      <c r="E316" s="86" t="b">
        <v>0</v>
      </c>
      <c r="F316" s="86" t="b">
        <v>1</v>
      </c>
      <c r="G316" s="86" t="b">
        <v>0</v>
      </c>
    </row>
    <row r="317" spans="1:7" ht="15">
      <c r="A317" s="87" t="s">
        <v>4286</v>
      </c>
      <c r="B317" s="86">
        <v>2</v>
      </c>
      <c r="C317" s="115">
        <v>0.0007071142993808518</v>
      </c>
      <c r="D317" s="86" t="s">
        <v>4451</v>
      </c>
      <c r="E317" s="86" t="b">
        <v>0</v>
      </c>
      <c r="F317" s="86" t="b">
        <v>0</v>
      </c>
      <c r="G317" s="86" t="b">
        <v>0</v>
      </c>
    </row>
    <row r="318" spans="1:7" ht="15">
      <c r="A318" s="87" t="s">
        <v>4287</v>
      </c>
      <c r="B318" s="86">
        <v>2</v>
      </c>
      <c r="C318" s="115">
        <v>0.0007071142993808518</v>
      </c>
      <c r="D318" s="86" t="s">
        <v>4451</v>
      </c>
      <c r="E318" s="86" t="b">
        <v>1</v>
      </c>
      <c r="F318" s="86" t="b">
        <v>0</v>
      </c>
      <c r="G318" s="86" t="b">
        <v>0</v>
      </c>
    </row>
    <row r="319" spans="1:7" ht="15">
      <c r="A319" s="87" t="s">
        <v>4288</v>
      </c>
      <c r="B319" s="86">
        <v>2</v>
      </c>
      <c r="C319" s="115">
        <v>0.0007071142993808518</v>
      </c>
      <c r="D319" s="86" t="s">
        <v>4451</v>
      </c>
      <c r="E319" s="86" t="b">
        <v>0</v>
      </c>
      <c r="F319" s="86" t="b">
        <v>0</v>
      </c>
      <c r="G319" s="86" t="b">
        <v>0</v>
      </c>
    </row>
    <row r="320" spans="1:7" ht="15">
      <c r="A320" s="87" t="s">
        <v>4289</v>
      </c>
      <c r="B320" s="86">
        <v>2</v>
      </c>
      <c r="C320" s="115">
        <v>0.0007071142993808518</v>
      </c>
      <c r="D320" s="86" t="s">
        <v>4451</v>
      </c>
      <c r="E320" s="86" t="b">
        <v>0</v>
      </c>
      <c r="F320" s="86" t="b">
        <v>0</v>
      </c>
      <c r="G320" s="86" t="b">
        <v>0</v>
      </c>
    </row>
    <row r="321" spans="1:7" ht="15">
      <c r="A321" s="87" t="s">
        <v>4290</v>
      </c>
      <c r="B321" s="86">
        <v>2</v>
      </c>
      <c r="C321" s="115">
        <v>0.0007071142993808518</v>
      </c>
      <c r="D321" s="86" t="s">
        <v>4451</v>
      </c>
      <c r="E321" s="86" t="b">
        <v>0</v>
      </c>
      <c r="F321" s="86" t="b">
        <v>1</v>
      </c>
      <c r="G321" s="86" t="b">
        <v>0</v>
      </c>
    </row>
    <row r="322" spans="1:7" ht="15">
      <c r="A322" s="87" t="s">
        <v>4291</v>
      </c>
      <c r="B322" s="86">
        <v>2</v>
      </c>
      <c r="C322" s="115">
        <v>0.0007071142993808518</v>
      </c>
      <c r="D322" s="86" t="s">
        <v>4451</v>
      </c>
      <c r="E322" s="86" t="b">
        <v>0</v>
      </c>
      <c r="F322" s="86" t="b">
        <v>0</v>
      </c>
      <c r="G322" s="86" t="b">
        <v>0</v>
      </c>
    </row>
    <row r="323" spans="1:7" ht="15">
      <c r="A323" s="87" t="s">
        <v>4292</v>
      </c>
      <c r="B323" s="86">
        <v>2</v>
      </c>
      <c r="C323" s="115">
        <v>0.0007071142993808518</v>
      </c>
      <c r="D323" s="86" t="s">
        <v>4451</v>
      </c>
      <c r="E323" s="86" t="b">
        <v>0</v>
      </c>
      <c r="F323" s="86" t="b">
        <v>0</v>
      </c>
      <c r="G323" s="86" t="b">
        <v>0</v>
      </c>
    </row>
    <row r="324" spans="1:7" ht="15">
      <c r="A324" s="87" t="s">
        <v>4293</v>
      </c>
      <c r="B324" s="86">
        <v>2</v>
      </c>
      <c r="C324" s="115">
        <v>0.0007071142993808518</v>
      </c>
      <c r="D324" s="86" t="s">
        <v>4451</v>
      </c>
      <c r="E324" s="86" t="b">
        <v>0</v>
      </c>
      <c r="F324" s="86" t="b">
        <v>0</v>
      </c>
      <c r="G324" s="86" t="b">
        <v>0</v>
      </c>
    </row>
    <row r="325" spans="1:7" ht="15">
      <c r="A325" s="87" t="s">
        <v>4294</v>
      </c>
      <c r="B325" s="86">
        <v>2</v>
      </c>
      <c r="C325" s="115">
        <v>0.0007071142993808518</v>
      </c>
      <c r="D325" s="86" t="s">
        <v>4451</v>
      </c>
      <c r="E325" s="86" t="b">
        <v>0</v>
      </c>
      <c r="F325" s="86" t="b">
        <v>0</v>
      </c>
      <c r="G325" s="86" t="b">
        <v>0</v>
      </c>
    </row>
    <row r="326" spans="1:7" ht="15">
      <c r="A326" s="87" t="s">
        <v>4295</v>
      </c>
      <c r="B326" s="86">
        <v>2</v>
      </c>
      <c r="C326" s="115">
        <v>0.0007071142993808518</v>
      </c>
      <c r="D326" s="86" t="s">
        <v>4451</v>
      </c>
      <c r="E326" s="86" t="b">
        <v>0</v>
      </c>
      <c r="F326" s="86" t="b">
        <v>0</v>
      </c>
      <c r="G326" s="86" t="b">
        <v>0</v>
      </c>
    </row>
    <row r="327" spans="1:7" ht="15">
      <c r="A327" s="87" t="s">
        <v>4296</v>
      </c>
      <c r="B327" s="86">
        <v>2</v>
      </c>
      <c r="C327" s="115">
        <v>0.0007071142993808518</v>
      </c>
      <c r="D327" s="86" t="s">
        <v>4451</v>
      </c>
      <c r="E327" s="86" t="b">
        <v>0</v>
      </c>
      <c r="F327" s="86" t="b">
        <v>0</v>
      </c>
      <c r="G327" s="86" t="b">
        <v>0</v>
      </c>
    </row>
    <row r="328" spans="1:7" ht="15">
      <c r="A328" s="87" t="s">
        <v>4297</v>
      </c>
      <c r="B328" s="86">
        <v>2</v>
      </c>
      <c r="C328" s="115">
        <v>0.0007071142993808518</v>
      </c>
      <c r="D328" s="86" t="s">
        <v>4451</v>
      </c>
      <c r="E328" s="86" t="b">
        <v>0</v>
      </c>
      <c r="F328" s="86" t="b">
        <v>0</v>
      </c>
      <c r="G328" s="86" t="b">
        <v>0</v>
      </c>
    </row>
    <row r="329" spans="1:7" ht="15">
      <c r="A329" s="87" t="s">
        <v>4298</v>
      </c>
      <c r="B329" s="86">
        <v>2</v>
      </c>
      <c r="C329" s="115">
        <v>0.0007071142993808518</v>
      </c>
      <c r="D329" s="86" t="s">
        <v>4451</v>
      </c>
      <c r="E329" s="86" t="b">
        <v>0</v>
      </c>
      <c r="F329" s="86" t="b">
        <v>0</v>
      </c>
      <c r="G329" s="86" t="b">
        <v>0</v>
      </c>
    </row>
    <row r="330" spans="1:7" ht="15">
      <c r="A330" s="87" t="s">
        <v>4299</v>
      </c>
      <c r="B330" s="86">
        <v>2</v>
      </c>
      <c r="C330" s="115">
        <v>0.0007071142993808518</v>
      </c>
      <c r="D330" s="86" t="s">
        <v>4451</v>
      </c>
      <c r="E330" s="86" t="b">
        <v>0</v>
      </c>
      <c r="F330" s="86" t="b">
        <v>0</v>
      </c>
      <c r="G330" s="86" t="b">
        <v>0</v>
      </c>
    </row>
    <row r="331" spans="1:7" ht="15">
      <c r="A331" s="87" t="s">
        <v>4300</v>
      </c>
      <c r="B331" s="86">
        <v>2</v>
      </c>
      <c r="C331" s="115">
        <v>0.0007071142993808518</v>
      </c>
      <c r="D331" s="86" t="s">
        <v>4451</v>
      </c>
      <c r="E331" s="86" t="b">
        <v>0</v>
      </c>
      <c r="F331" s="86" t="b">
        <v>0</v>
      </c>
      <c r="G331" s="86" t="b">
        <v>0</v>
      </c>
    </row>
    <row r="332" spans="1:7" ht="15">
      <c r="A332" s="87" t="s">
        <v>4301</v>
      </c>
      <c r="B332" s="86">
        <v>2</v>
      </c>
      <c r="C332" s="115">
        <v>0.0007071142993808518</v>
      </c>
      <c r="D332" s="86" t="s">
        <v>4451</v>
      </c>
      <c r="E332" s="86" t="b">
        <v>0</v>
      </c>
      <c r="F332" s="86" t="b">
        <v>0</v>
      </c>
      <c r="G332" s="86" t="b">
        <v>0</v>
      </c>
    </row>
    <row r="333" spans="1:7" ht="15">
      <c r="A333" s="87" t="s">
        <v>4302</v>
      </c>
      <c r="B333" s="86">
        <v>2</v>
      </c>
      <c r="C333" s="115">
        <v>0.0007071142993808518</v>
      </c>
      <c r="D333" s="86" t="s">
        <v>4451</v>
      </c>
      <c r="E333" s="86" t="b">
        <v>0</v>
      </c>
      <c r="F333" s="86" t="b">
        <v>0</v>
      </c>
      <c r="G333" s="86" t="b">
        <v>0</v>
      </c>
    </row>
    <row r="334" spans="1:7" ht="15">
      <c r="A334" s="87" t="s">
        <v>4303</v>
      </c>
      <c r="B334" s="86">
        <v>2</v>
      </c>
      <c r="C334" s="115">
        <v>0.0007071142993808518</v>
      </c>
      <c r="D334" s="86" t="s">
        <v>4451</v>
      </c>
      <c r="E334" s="86" t="b">
        <v>0</v>
      </c>
      <c r="F334" s="86" t="b">
        <v>1</v>
      </c>
      <c r="G334" s="86" t="b">
        <v>0</v>
      </c>
    </row>
    <row r="335" spans="1:7" ht="15">
      <c r="A335" s="87" t="s">
        <v>4304</v>
      </c>
      <c r="B335" s="86">
        <v>2</v>
      </c>
      <c r="C335" s="115">
        <v>0.0007071142993808518</v>
      </c>
      <c r="D335" s="86" t="s">
        <v>4451</v>
      </c>
      <c r="E335" s="86" t="b">
        <v>0</v>
      </c>
      <c r="F335" s="86" t="b">
        <v>0</v>
      </c>
      <c r="G335" s="86" t="b">
        <v>0</v>
      </c>
    </row>
    <row r="336" spans="1:7" ht="15">
      <c r="A336" s="87" t="s">
        <v>4305</v>
      </c>
      <c r="B336" s="86">
        <v>2</v>
      </c>
      <c r="C336" s="115">
        <v>0.0007071142993808518</v>
      </c>
      <c r="D336" s="86" t="s">
        <v>4451</v>
      </c>
      <c r="E336" s="86" t="b">
        <v>0</v>
      </c>
      <c r="F336" s="86" t="b">
        <v>0</v>
      </c>
      <c r="G336" s="86" t="b">
        <v>0</v>
      </c>
    </row>
    <row r="337" spans="1:7" ht="15">
      <c r="A337" s="87" t="s">
        <v>4306</v>
      </c>
      <c r="B337" s="86">
        <v>2</v>
      </c>
      <c r="C337" s="115">
        <v>0.0007071142993808518</v>
      </c>
      <c r="D337" s="86" t="s">
        <v>4451</v>
      </c>
      <c r="E337" s="86" t="b">
        <v>0</v>
      </c>
      <c r="F337" s="86" t="b">
        <v>0</v>
      </c>
      <c r="G337" s="86" t="b">
        <v>0</v>
      </c>
    </row>
    <row r="338" spans="1:7" ht="15">
      <c r="A338" s="87" t="s">
        <v>4307</v>
      </c>
      <c r="B338" s="86">
        <v>2</v>
      </c>
      <c r="C338" s="115">
        <v>0.0007071142993808518</v>
      </c>
      <c r="D338" s="86" t="s">
        <v>4451</v>
      </c>
      <c r="E338" s="86" t="b">
        <v>0</v>
      </c>
      <c r="F338" s="86" t="b">
        <v>0</v>
      </c>
      <c r="G338" s="86" t="b">
        <v>0</v>
      </c>
    </row>
    <row r="339" spans="1:7" ht="15">
      <c r="A339" s="87" t="s">
        <v>4308</v>
      </c>
      <c r="B339" s="86">
        <v>2</v>
      </c>
      <c r="C339" s="115">
        <v>0.0007071142993808518</v>
      </c>
      <c r="D339" s="86" t="s">
        <v>4451</v>
      </c>
      <c r="E339" s="86" t="b">
        <v>0</v>
      </c>
      <c r="F339" s="86" t="b">
        <v>0</v>
      </c>
      <c r="G339" s="86" t="b">
        <v>0</v>
      </c>
    </row>
    <row r="340" spans="1:7" ht="15">
      <c r="A340" s="87" t="s">
        <v>518</v>
      </c>
      <c r="B340" s="86">
        <v>2</v>
      </c>
      <c r="C340" s="115">
        <v>0.0007071142993808518</v>
      </c>
      <c r="D340" s="86" t="s">
        <v>4451</v>
      </c>
      <c r="E340" s="86" t="b">
        <v>0</v>
      </c>
      <c r="F340" s="86" t="b">
        <v>0</v>
      </c>
      <c r="G340" s="86" t="b">
        <v>0</v>
      </c>
    </row>
    <row r="341" spans="1:7" ht="15">
      <c r="A341" s="87" t="s">
        <v>4309</v>
      </c>
      <c r="B341" s="86">
        <v>2</v>
      </c>
      <c r="C341" s="115">
        <v>0.0007071142993808518</v>
      </c>
      <c r="D341" s="86" t="s">
        <v>4451</v>
      </c>
      <c r="E341" s="86" t="b">
        <v>1</v>
      </c>
      <c r="F341" s="86" t="b">
        <v>0</v>
      </c>
      <c r="G341" s="86" t="b">
        <v>0</v>
      </c>
    </row>
    <row r="342" spans="1:7" ht="15">
      <c r="A342" s="87" t="s">
        <v>4310</v>
      </c>
      <c r="B342" s="86">
        <v>2</v>
      </c>
      <c r="C342" s="115">
        <v>0.0007071142993808518</v>
      </c>
      <c r="D342" s="86" t="s">
        <v>4451</v>
      </c>
      <c r="E342" s="86" t="b">
        <v>0</v>
      </c>
      <c r="F342" s="86" t="b">
        <v>0</v>
      </c>
      <c r="G342" s="86" t="b">
        <v>0</v>
      </c>
    </row>
    <row r="343" spans="1:7" ht="15">
      <c r="A343" s="87" t="s">
        <v>4311</v>
      </c>
      <c r="B343" s="86">
        <v>2</v>
      </c>
      <c r="C343" s="115">
        <v>0.0007071142993808518</v>
      </c>
      <c r="D343" s="86" t="s">
        <v>4451</v>
      </c>
      <c r="E343" s="86" t="b">
        <v>0</v>
      </c>
      <c r="F343" s="86" t="b">
        <v>0</v>
      </c>
      <c r="G343" s="86" t="b">
        <v>0</v>
      </c>
    </row>
    <row r="344" spans="1:7" ht="15">
      <c r="A344" s="87" t="s">
        <v>4312</v>
      </c>
      <c r="B344" s="86">
        <v>2</v>
      </c>
      <c r="C344" s="115">
        <v>0.0007071142993808518</v>
      </c>
      <c r="D344" s="86" t="s">
        <v>4451</v>
      </c>
      <c r="E344" s="86" t="b">
        <v>0</v>
      </c>
      <c r="F344" s="86" t="b">
        <v>0</v>
      </c>
      <c r="G344" s="86" t="b">
        <v>0</v>
      </c>
    </row>
    <row r="345" spans="1:7" ht="15">
      <c r="A345" s="87" t="s">
        <v>4313</v>
      </c>
      <c r="B345" s="86">
        <v>2</v>
      </c>
      <c r="C345" s="115">
        <v>0.0008013481374350015</v>
      </c>
      <c r="D345" s="86" t="s">
        <v>4451</v>
      </c>
      <c r="E345" s="86" t="b">
        <v>0</v>
      </c>
      <c r="F345" s="86" t="b">
        <v>0</v>
      </c>
      <c r="G345" s="86" t="b">
        <v>0</v>
      </c>
    </row>
    <row r="346" spans="1:7" ht="15">
      <c r="A346" s="87" t="s">
        <v>4314</v>
      </c>
      <c r="B346" s="86">
        <v>2</v>
      </c>
      <c r="C346" s="115">
        <v>0.0007071142993808518</v>
      </c>
      <c r="D346" s="86" t="s">
        <v>4451</v>
      </c>
      <c r="E346" s="86" t="b">
        <v>1</v>
      </c>
      <c r="F346" s="86" t="b">
        <v>0</v>
      </c>
      <c r="G346" s="86" t="b">
        <v>0</v>
      </c>
    </row>
    <row r="347" spans="1:7" ht="15">
      <c r="A347" s="87" t="s">
        <v>4315</v>
      </c>
      <c r="B347" s="86">
        <v>2</v>
      </c>
      <c r="C347" s="115">
        <v>0.0007071142993808518</v>
      </c>
      <c r="D347" s="86" t="s">
        <v>4451</v>
      </c>
      <c r="E347" s="86" t="b">
        <v>0</v>
      </c>
      <c r="F347" s="86" t="b">
        <v>0</v>
      </c>
      <c r="G347" s="86" t="b">
        <v>0</v>
      </c>
    </row>
    <row r="348" spans="1:7" ht="15">
      <c r="A348" s="87" t="s">
        <v>4316</v>
      </c>
      <c r="B348" s="86">
        <v>2</v>
      </c>
      <c r="C348" s="115">
        <v>0.0007071142993808518</v>
      </c>
      <c r="D348" s="86" t="s">
        <v>4451</v>
      </c>
      <c r="E348" s="86" t="b">
        <v>0</v>
      </c>
      <c r="F348" s="86" t="b">
        <v>0</v>
      </c>
      <c r="G348" s="86" t="b">
        <v>0</v>
      </c>
    </row>
    <row r="349" spans="1:7" ht="15">
      <c r="A349" s="87" t="s">
        <v>4317</v>
      </c>
      <c r="B349" s="86">
        <v>2</v>
      </c>
      <c r="C349" s="115">
        <v>0.0007071142993808518</v>
      </c>
      <c r="D349" s="86" t="s">
        <v>4451</v>
      </c>
      <c r="E349" s="86" t="b">
        <v>0</v>
      </c>
      <c r="F349" s="86" t="b">
        <v>0</v>
      </c>
      <c r="G349" s="86" t="b">
        <v>0</v>
      </c>
    </row>
    <row r="350" spans="1:7" ht="15">
      <c r="A350" s="87" t="s">
        <v>4318</v>
      </c>
      <c r="B350" s="86">
        <v>2</v>
      </c>
      <c r="C350" s="115">
        <v>0.0007071142993808518</v>
      </c>
      <c r="D350" s="86" t="s">
        <v>4451</v>
      </c>
      <c r="E350" s="86" t="b">
        <v>0</v>
      </c>
      <c r="F350" s="86" t="b">
        <v>0</v>
      </c>
      <c r="G350" s="86" t="b">
        <v>0</v>
      </c>
    </row>
    <row r="351" spans="1:7" ht="15">
      <c r="A351" s="87" t="s">
        <v>4319</v>
      </c>
      <c r="B351" s="86">
        <v>2</v>
      </c>
      <c r="C351" s="115">
        <v>0.0007071142993808518</v>
      </c>
      <c r="D351" s="86" t="s">
        <v>4451</v>
      </c>
      <c r="E351" s="86" t="b">
        <v>0</v>
      </c>
      <c r="F351" s="86" t="b">
        <v>0</v>
      </c>
      <c r="G351" s="86" t="b">
        <v>0</v>
      </c>
    </row>
    <row r="352" spans="1:7" ht="15">
      <c r="A352" s="87" t="s">
        <v>4320</v>
      </c>
      <c r="B352" s="86">
        <v>2</v>
      </c>
      <c r="C352" s="115">
        <v>0.0007071142993808518</v>
      </c>
      <c r="D352" s="86" t="s">
        <v>4451</v>
      </c>
      <c r="E352" s="86" t="b">
        <v>0</v>
      </c>
      <c r="F352" s="86" t="b">
        <v>0</v>
      </c>
      <c r="G352" s="86" t="b">
        <v>0</v>
      </c>
    </row>
    <row r="353" spans="1:7" ht="15">
      <c r="A353" s="87" t="s">
        <v>4321</v>
      </c>
      <c r="B353" s="86">
        <v>2</v>
      </c>
      <c r="C353" s="115">
        <v>0.0007071142993808518</v>
      </c>
      <c r="D353" s="86" t="s">
        <v>4451</v>
      </c>
      <c r="E353" s="86" t="b">
        <v>0</v>
      </c>
      <c r="F353" s="86" t="b">
        <v>0</v>
      </c>
      <c r="G353" s="86" t="b">
        <v>0</v>
      </c>
    </row>
    <row r="354" spans="1:7" ht="15">
      <c r="A354" s="87" t="s">
        <v>4322</v>
      </c>
      <c r="B354" s="86">
        <v>2</v>
      </c>
      <c r="C354" s="115">
        <v>0.0007071142993808518</v>
      </c>
      <c r="D354" s="86" t="s">
        <v>4451</v>
      </c>
      <c r="E354" s="86" t="b">
        <v>0</v>
      </c>
      <c r="F354" s="86" t="b">
        <v>0</v>
      </c>
      <c r="G354" s="86" t="b">
        <v>0</v>
      </c>
    </row>
    <row r="355" spans="1:7" ht="15">
      <c r="A355" s="87" t="s">
        <v>4323</v>
      </c>
      <c r="B355" s="86">
        <v>2</v>
      </c>
      <c r="C355" s="115">
        <v>0.0007071142993808518</v>
      </c>
      <c r="D355" s="86" t="s">
        <v>4451</v>
      </c>
      <c r="E355" s="86" t="b">
        <v>0</v>
      </c>
      <c r="F355" s="86" t="b">
        <v>0</v>
      </c>
      <c r="G355" s="86" t="b">
        <v>0</v>
      </c>
    </row>
    <row r="356" spans="1:7" ht="15">
      <c r="A356" s="87" t="s">
        <v>4324</v>
      </c>
      <c r="B356" s="86">
        <v>2</v>
      </c>
      <c r="C356" s="115">
        <v>0.0007071142993808518</v>
      </c>
      <c r="D356" s="86" t="s">
        <v>4451</v>
      </c>
      <c r="E356" s="86" t="b">
        <v>0</v>
      </c>
      <c r="F356" s="86" t="b">
        <v>0</v>
      </c>
      <c r="G356" s="86" t="b">
        <v>0</v>
      </c>
    </row>
    <row r="357" spans="1:7" ht="15">
      <c r="A357" s="87" t="s">
        <v>4325</v>
      </c>
      <c r="B357" s="86">
        <v>2</v>
      </c>
      <c r="C357" s="115">
        <v>0.0008013481374350015</v>
      </c>
      <c r="D357" s="86" t="s">
        <v>4451</v>
      </c>
      <c r="E357" s="86" t="b">
        <v>0</v>
      </c>
      <c r="F357" s="86" t="b">
        <v>0</v>
      </c>
      <c r="G357" s="86" t="b">
        <v>0</v>
      </c>
    </row>
    <row r="358" spans="1:7" ht="15">
      <c r="A358" s="87" t="s">
        <v>4326</v>
      </c>
      <c r="B358" s="86">
        <v>2</v>
      </c>
      <c r="C358" s="115">
        <v>0.0007071142993808518</v>
      </c>
      <c r="D358" s="86" t="s">
        <v>4451</v>
      </c>
      <c r="E358" s="86" t="b">
        <v>0</v>
      </c>
      <c r="F358" s="86" t="b">
        <v>0</v>
      </c>
      <c r="G358" s="86" t="b">
        <v>0</v>
      </c>
    </row>
    <row r="359" spans="1:7" ht="15">
      <c r="A359" s="87" t="s">
        <v>4327</v>
      </c>
      <c r="B359" s="86">
        <v>2</v>
      </c>
      <c r="C359" s="115">
        <v>0.0007071142993808518</v>
      </c>
      <c r="D359" s="86" t="s">
        <v>4451</v>
      </c>
      <c r="E359" s="86" t="b">
        <v>0</v>
      </c>
      <c r="F359" s="86" t="b">
        <v>0</v>
      </c>
      <c r="G359" s="86" t="b">
        <v>0</v>
      </c>
    </row>
    <row r="360" spans="1:7" ht="15">
      <c r="A360" s="87" t="s">
        <v>4328</v>
      </c>
      <c r="B360" s="86">
        <v>2</v>
      </c>
      <c r="C360" s="115">
        <v>0.0007071142993808518</v>
      </c>
      <c r="D360" s="86" t="s">
        <v>4451</v>
      </c>
      <c r="E360" s="86" t="b">
        <v>0</v>
      </c>
      <c r="F360" s="86" t="b">
        <v>0</v>
      </c>
      <c r="G360" s="86" t="b">
        <v>0</v>
      </c>
    </row>
    <row r="361" spans="1:7" ht="15">
      <c r="A361" s="87" t="s">
        <v>4329</v>
      </c>
      <c r="B361" s="86">
        <v>2</v>
      </c>
      <c r="C361" s="115">
        <v>0.0007071142993808518</v>
      </c>
      <c r="D361" s="86" t="s">
        <v>4451</v>
      </c>
      <c r="E361" s="86" t="b">
        <v>1</v>
      </c>
      <c r="F361" s="86" t="b">
        <v>0</v>
      </c>
      <c r="G361" s="86" t="b">
        <v>0</v>
      </c>
    </row>
    <row r="362" spans="1:7" ht="15">
      <c r="A362" s="87" t="s">
        <v>4330</v>
      </c>
      <c r="B362" s="86">
        <v>2</v>
      </c>
      <c r="C362" s="115">
        <v>0.0007071142993808518</v>
      </c>
      <c r="D362" s="86" t="s">
        <v>4451</v>
      </c>
      <c r="E362" s="86" t="b">
        <v>0</v>
      </c>
      <c r="F362" s="86" t="b">
        <v>0</v>
      </c>
      <c r="G362" s="86" t="b">
        <v>0</v>
      </c>
    </row>
    <row r="363" spans="1:7" ht="15">
      <c r="A363" s="87" t="s">
        <v>4331</v>
      </c>
      <c r="B363" s="86">
        <v>2</v>
      </c>
      <c r="C363" s="115">
        <v>0.0007071142993808518</v>
      </c>
      <c r="D363" s="86" t="s">
        <v>4451</v>
      </c>
      <c r="E363" s="86" t="b">
        <v>0</v>
      </c>
      <c r="F363" s="86" t="b">
        <v>0</v>
      </c>
      <c r="G363" s="86" t="b">
        <v>0</v>
      </c>
    </row>
    <row r="364" spans="1:7" ht="15">
      <c r="A364" s="87" t="s">
        <v>4332</v>
      </c>
      <c r="B364" s="86">
        <v>2</v>
      </c>
      <c r="C364" s="115">
        <v>0.0007071142993808518</v>
      </c>
      <c r="D364" s="86" t="s">
        <v>4451</v>
      </c>
      <c r="E364" s="86" t="b">
        <v>0</v>
      </c>
      <c r="F364" s="86" t="b">
        <v>0</v>
      </c>
      <c r="G364" s="86" t="b">
        <v>0</v>
      </c>
    </row>
    <row r="365" spans="1:7" ht="15">
      <c r="A365" s="87" t="s">
        <v>4333</v>
      </c>
      <c r="B365" s="86">
        <v>2</v>
      </c>
      <c r="C365" s="115">
        <v>0.0007071142993808518</v>
      </c>
      <c r="D365" s="86" t="s">
        <v>4451</v>
      </c>
      <c r="E365" s="86" t="b">
        <v>0</v>
      </c>
      <c r="F365" s="86" t="b">
        <v>1</v>
      </c>
      <c r="G365" s="86" t="b">
        <v>0</v>
      </c>
    </row>
    <row r="366" spans="1:7" ht="15">
      <c r="A366" s="87" t="s">
        <v>4334</v>
      </c>
      <c r="B366" s="86">
        <v>2</v>
      </c>
      <c r="C366" s="115">
        <v>0.0007071142993808518</v>
      </c>
      <c r="D366" s="86" t="s">
        <v>4451</v>
      </c>
      <c r="E366" s="86" t="b">
        <v>0</v>
      </c>
      <c r="F366" s="86" t="b">
        <v>0</v>
      </c>
      <c r="G366" s="86" t="b">
        <v>0</v>
      </c>
    </row>
    <row r="367" spans="1:7" ht="15">
      <c r="A367" s="87" t="s">
        <v>4335</v>
      </c>
      <c r="B367" s="86">
        <v>2</v>
      </c>
      <c r="C367" s="115">
        <v>0.0007071142993808518</v>
      </c>
      <c r="D367" s="86" t="s">
        <v>4451</v>
      </c>
      <c r="E367" s="86" t="b">
        <v>0</v>
      </c>
      <c r="F367" s="86" t="b">
        <v>0</v>
      </c>
      <c r="G367" s="86" t="b">
        <v>0</v>
      </c>
    </row>
    <row r="368" spans="1:7" ht="15">
      <c r="A368" s="87" t="s">
        <v>4336</v>
      </c>
      <c r="B368" s="86">
        <v>2</v>
      </c>
      <c r="C368" s="115">
        <v>0.0007071142993808518</v>
      </c>
      <c r="D368" s="86" t="s">
        <v>4451</v>
      </c>
      <c r="E368" s="86" t="b">
        <v>1</v>
      </c>
      <c r="F368" s="86" t="b">
        <v>0</v>
      </c>
      <c r="G368" s="86" t="b">
        <v>0</v>
      </c>
    </row>
    <row r="369" spans="1:7" ht="15">
      <c r="A369" s="87" t="s">
        <v>4337</v>
      </c>
      <c r="B369" s="86">
        <v>2</v>
      </c>
      <c r="C369" s="115">
        <v>0.0007071142993808518</v>
      </c>
      <c r="D369" s="86" t="s">
        <v>4451</v>
      </c>
      <c r="E369" s="86" t="b">
        <v>0</v>
      </c>
      <c r="F369" s="86" t="b">
        <v>1</v>
      </c>
      <c r="G369" s="86" t="b">
        <v>0</v>
      </c>
    </row>
    <row r="370" spans="1:7" ht="15">
      <c r="A370" s="87" t="s">
        <v>4338</v>
      </c>
      <c r="B370" s="86">
        <v>2</v>
      </c>
      <c r="C370" s="115">
        <v>0.0007071142993808518</v>
      </c>
      <c r="D370" s="86" t="s">
        <v>4451</v>
      </c>
      <c r="E370" s="86" t="b">
        <v>0</v>
      </c>
      <c r="F370" s="86" t="b">
        <v>0</v>
      </c>
      <c r="G370" s="86" t="b">
        <v>0</v>
      </c>
    </row>
    <row r="371" spans="1:7" ht="15">
      <c r="A371" s="87" t="s">
        <v>4339</v>
      </c>
      <c r="B371" s="86">
        <v>2</v>
      </c>
      <c r="C371" s="115">
        <v>0.0007071142993808518</v>
      </c>
      <c r="D371" s="86" t="s">
        <v>4451</v>
      </c>
      <c r="E371" s="86" t="b">
        <v>0</v>
      </c>
      <c r="F371" s="86" t="b">
        <v>0</v>
      </c>
      <c r="G371" s="86" t="b">
        <v>0</v>
      </c>
    </row>
    <row r="372" spans="1:7" ht="15">
      <c r="A372" s="87" t="s">
        <v>4340</v>
      </c>
      <c r="B372" s="86">
        <v>2</v>
      </c>
      <c r="C372" s="115">
        <v>0.0007071142993808518</v>
      </c>
      <c r="D372" s="86" t="s">
        <v>4451</v>
      </c>
      <c r="E372" s="86" t="b">
        <v>0</v>
      </c>
      <c r="F372" s="86" t="b">
        <v>0</v>
      </c>
      <c r="G372" s="86" t="b">
        <v>0</v>
      </c>
    </row>
    <row r="373" spans="1:7" ht="15">
      <c r="A373" s="87" t="s">
        <v>4341</v>
      </c>
      <c r="B373" s="86">
        <v>2</v>
      </c>
      <c r="C373" s="115">
        <v>0.0007071142993808518</v>
      </c>
      <c r="D373" s="86" t="s">
        <v>4451</v>
      </c>
      <c r="E373" s="86" t="b">
        <v>0</v>
      </c>
      <c r="F373" s="86" t="b">
        <v>0</v>
      </c>
      <c r="G373" s="86" t="b">
        <v>0</v>
      </c>
    </row>
    <row r="374" spans="1:7" ht="15">
      <c r="A374" s="87" t="s">
        <v>4342</v>
      </c>
      <c r="B374" s="86">
        <v>2</v>
      </c>
      <c r="C374" s="115">
        <v>0.0007071142993808518</v>
      </c>
      <c r="D374" s="86" t="s">
        <v>4451</v>
      </c>
      <c r="E374" s="86" t="b">
        <v>0</v>
      </c>
      <c r="F374" s="86" t="b">
        <v>0</v>
      </c>
      <c r="G374" s="86" t="b">
        <v>0</v>
      </c>
    </row>
    <row r="375" spans="1:7" ht="15">
      <c r="A375" s="87" t="s">
        <v>4343</v>
      </c>
      <c r="B375" s="86">
        <v>2</v>
      </c>
      <c r="C375" s="115">
        <v>0.0007071142993808518</v>
      </c>
      <c r="D375" s="86" t="s">
        <v>4451</v>
      </c>
      <c r="E375" s="86" t="b">
        <v>0</v>
      </c>
      <c r="F375" s="86" t="b">
        <v>0</v>
      </c>
      <c r="G375" s="86" t="b">
        <v>0</v>
      </c>
    </row>
    <row r="376" spans="1:7" ht="15">
      <c r="A376" s="87" t="s">
        <v>4344</v>
      </c>
      <c r="B376" s="86">
        <v>2</v>
      </c>
      <c r="C376" s="115">
        <v>0.0007071142993808518</v>
      </c>
      <c r="D376" s="86" t="s">
        <v>4451</v>
      </c>
      <c r="E376" s="86" t="b">
        <v>0</v>
      </c>
      <c r="F376" s="86" t="b">
        <v>0</v>
      </c>
      <c r="G376" s="86" t="b">
        <v>0</v>
      </c>
    </row>
    <row r="377" spans="1:7" ht="15">
      <c r="A377" s="87" t="s">
        <v>4345</v>
      </c>
      <c r="B377" s="86">
        <v>2</v>
      </c>
      <c r="C377" s="115">
        <v>0.0007071142993808518</v>
      </c>
      <c r="D377" s="86" t="s">
        <v>4451</v>
      </c>
      <c r="E377" s="86" t="b">
        <v>0</v>
      </c>
      <c r="F377" s="86" t="b">
        <v>0</v>
      </c>
      <c r="G377" s="86" t="b">
        <v>0</v>
      </c>
    </row>
    <row r="378" spans="1:7" ht="15">
      <c r="A378" s="87" t="s">
        <v>4346</v>
      </c>
      <c r="B378" s="86">
        <v>2</v>
      </c>
      <c r="C378" s="115">
        <v>0.0007071142993808518</v>
      </c>
      <c r="D378" s="86" t="s">
        <v>4451</v>
      </c>
      <c r="E378" s="86" t="b">
        <v>0</v>
      </c>
      <c r="F378" s="86" t="b">
        <v>0</v>
      </c>
      <c r="G378" s="86" t="b">
        <v>0</v>
      </c>
    </row>
    <row r="379" spans="1:7" ht="15">
      <c r="A379" s="87" t="s">
        <v>4347</v>
      </c>
      <c r="B379" s="86">
        <v>2</v>
      </c>
      <c r="C379" s="115">
        <v>0.0007071142993808518</v>
      </c>
      <c r="D379" s="86" t="s">
        <v>4451</v>
      </c>
      <c r="E379" s="86" t="b">
        <v>0</v>
      </c>
      <c r="F379" s="86" t="b">
        <v>0</v>
      </c>
      <c r="G379" s="86" t="b">
        <v>0</v>
      </c>
    </row>
    <row r="380" spans="1:7" ht="15">
      <c r="A380" s="87" t="s">
        <v>4348</v>
      </c>
      <c r="B380" s="86">
        <v>2</v>
      </c>
      <c r="C380" s="115">
        <v>0.0007071142993808518</v>
      </c>
      <c r="D380" s="86" t="s">
        <v>4451</v>
      </c>
      <c r="E380" s="86" t="b">
        <v>0</v>
      </c>
      <c r="F380" s="86" t="b">
        <v>0</v>
      </c>
      <c r="G380" s="86" t="b">
        <v>0</v>
      </c>
    </row>
    <row r="381" spans="1:7" ht="15">
      <c r="A381" s="87" t="s">
        <v>4349</v>
      </c>
      <c r="B381" s="86">
        <v>2</v>
      </c>
      <c r="C381" s="115">
        <v>0.0007071142993808518</v>
      </c>
      <c r="D381" s="86" t="s">
        <v>4451</v>
      </c>
      <c r="E381" s="86" t="b">
        <v>0</v>
      </c>
      <c r="F381" s="86" t="b">
        <v>0</v>
      </c>
      <c r="G381" s="86" t="b">
        <v>0</v>
      </c>
    </row>
    <row r="382" spans="1:7" ht="15">
      <c r="A382" s="87" t="s">
        <v>3387</v>
      </c>
      <c r="B382" s="86">
        <v>2</v>
      </c>
      <c r="C382" s="115">
        <v>0.0007071142993808518</v>
      </c>
      <c r="D382" s="86" t="s">
        <v>4451</v>
      </c>
      <c r="E382" s="86" t="b">
        <v>0</v>
      </c>
      <c r="F382" s="86" t="b">
        <v>0</v>
      </c>
      <c r="G382" s="86" t="b">
        <v>0</v>
      </c>
    </row>
    <row r="383" spans="1:7" ht="15">
      <c r="A383" s="87" t="s">
        <v>408</v>
      </c>
      <c r="B383" s="86">
        <v>2</v>
      </c>
      <c r="C383" s="115">
        <v>0.0007071142993808518</v>
      </c>
      <c r="D383" s="86" t="s">
        <v>4451</v>
      </c>
      <c r="E383" s="86" t="b">
        <v>0</v>
      </c>
      <c r="F383" s="86" t="b">
        <v>0</v>
      </c>
      <c r="G383" s="86" t="b">
        <v>0</v>
      </c>
    </row>
    <row r="384" spans="1:7" ht="15">
      <c r="A384" s="87" t="s">
        <v>4350</v>
      </c>
      <c r="B384" s="86">
        <v>2</v>
      </c>
      <c r="C384" s="115">
        <v>0.0007071142993808518</v>
      </c>
      <c r="D384" s="86" t="s">
        <v>4451</v>
      </c>
      <c r="E384" s="86" t="b">
        <v>0</v>
      </c>
      <c r="F384" s="86" t="b">
        <v>0</v>
      </c>
      <c r="G384" s="86" t="b">
        <v>0</v>
      </c>
    </row>
    <row r="385" spans="1:7" ht="15">
      <c r="A385" s="87" t="s">
        <v>4351</v>
      </c>
      <c r="B385" s="86">
        <v>2</v>
      </c>
      <c r="C385" s="115">
        <v>0.0007071142993808518</v>
      </c>
      <c r="D385" s="86" t="s">
        <v>4451</v>
      </c>
      <c r="E385" s="86" t="b">
        <v>0</v>
      </c>
      <c r="F385" s="86" t="b">
        <v>0</v>
      </c>
      <c r="G385" s="86" t="b">
        <v>0</v>
      </c>
    </row>
    <row r="386" spans="1:7" ht="15">
      <c r="A386" s="87" t="s">
        <v>4352</v>
      </c>
      <c r="B386" s="86">
        <v>2</v>
      </c>
      <c r="C386" s="115">
        <v>0.0007071142993808518</v>
      </c>
      <c r="D386" s="86" t="s">
        <v>4451</v>
      </c>
      <c r="E386" s="86" t="b">
        <v>0</v>
      </c>
      <c r="F386" s="86" t="b">
        <v>0</v>
      </c>
      <c r="G386" s="86" t="b">
        <v>0</v>
      </c>
    </row>
    <row r="387" spans="1:7" ht="15">
      <c r="A387" s="87" t="s">
        <v>4353</v>
      </c>
      <c r="B387" s="86">
        <v>2</v>
      </c>
      <c r="C387" s="115">
        <v>0.0007071142993808518</v>
      </c>
      <c r="D387" s="86" t="s">
        <v>4451</v>
      </c>
      <c r="E387" s="86" t="b">
        <v>0</v>
      </c>
      <c r="F387" s="86" t="b">
        <v>0</v>
      </c>
      <c r="G387" s="86" t="b">
        <v>0</v>
      </c>
    </row>
    <row r="388" spans="1:7" ht="15">
      <c r="A388" s="87" t="s">
        <v>4354</v>
      </c>
      <c r="B388" s="86">
        <v>2</v>
      </c>
      <c r="C388" s="115">
        <v>0.0007071142993808518</v>
      </c>
      <c r="D388" s="86" t="s">
        <v>4451</v>
      </c>
      <c r="E388" s="86" t="b">
        <v>0</v>
      </c>
      <c r="F388" s="86" t="b">
        <v>0</v>
      </c>
      <c r="G388" s="86" t="b">
        <v>0</v>
      </c>
    </row>
    <row r="389" spans="1:7" ht="15">
      <c r="A389" s="87" t="s">
        <v>4355</v>
      </c>
      <c r="B389" s="86">
        <v>2</v>
      </c>
      <c r="C389" s="115">
        <v>0.0007071142993808518</v>
      </c>
      <c r="D389" s="86" t="s">
        <v>4451</v>
      </c>
      <c r="E389" s="86" t="b">
        <v>0</v>
      </c>
      <c r="F389" s="86" t="b">
        <v>0</v>
      </c>
      <c r="G389" s="86" t="b">
        <v>0</v>
      </c>
    </row>
    <row r="390" spans="1:7" ht="15">
      <c r="A390" s="87" t="s">
        <v>4356</v>
      </c>
      <c r="B390" s="86">
        <v>2</v>
      </c>
      <c r="C390" s="115">
        <v>0.0007071142993808518</v>
      </c>
      <c r="D390" s="86" t="s">
        <v>4451</v>
      </c>
      <c r="E390" s="86" t="b">
        <v>0</v>
      </c>
      <c r="F390" s="86" t="b">
        <v>0</v>
      </c>
      <c r="G390" s="86" t="b">
        <v>0</v>
      </c>
    </row>
    <row r="391" spans="1:7" ht="15">
      <c r="A391" s="87" t="s">
        <v>502</v>
      </c>
      <c r="B391" s="86">
        <v>2</v>
      </c>
      <c r="C391" s="115">
        <v>0.0007071142993808518</v>
      </c>
      <c r="D391" s="86" t="s">
        <v>4451</v>
      </c>
      <c r="E391" s="86" t="b">
        <v>0</v>
      </c>
      <c r="F391" s="86" t="b">
        <v>0</v>
      </c>
      <c r="G391" s="86" t="b">
        <v>0</v>
      </c>
    </row>
    <row r="392" spans="1:7" ht="15">
      <c r="A392" s="87" t="s">
        <v>4357</v>
      </c>
      <c r="B392" s="86">
        <v>2</v>
      </c>
      <c r="C392" s="115">
        <v>0.0007071142993808518</v>
      </c>
      <c r="D392" s="86" t="s">
        <v>4451</v>
      </c>
      <c r="E392" s="86" t="b">
        <v>0</v>
      </c>
      <c r="F392" s="86" t="b">
        <v>0</v>
      </c>
      <c r="G392" s="86" t="b">
        <v>0</v>
      </c>
    </row>
    <row r="393" spans="1:7" ht="15">
      <c r="A393" s="87" t="s">
        <v>4358</v>
      </c>
      <c r="B393" s="86">
        <v>2</v>
      </c>
      <c r="C393" s="115">
        <v>0.0007071142993808518</v>
      </c>
      <c r="D393" s="86" t="s">
        <v>4451</v>
      </c>
      <c r="E393" s="86" t="b">
        <v>1</v>
      </c>
      <c r="F393" s="86" t="b">
        <v>0</v>
      </c>
      <c r="G393" s="86" t="b">
        <v>0</v>
      </c>
    </row>
    <row r="394" spans="1:7" ht="15">
      <c r="A394" s="87" t="s">
        <v>4359</v>
      </c>
      <c r="B394" s="86">
        <v>2</v>
      </c>
      <c r="C394" s="115">
        <v>0.0007071142993808518</v>
      </c>
      <c r="D394" s="86" t="s">
        <v>4451</v>
      </c>
      <c r="E394" s="86" t="b">
        <v>0</v>
      </c>
      <c r="F394" s="86" t="b">
        <v>0</v>
      </c>
      <c r="G394" s="86" t="b">
        <v>0</v>
      </c>
    </row>
    <row r="395" spans="1:7" ht="15">
      <c r="A395" s="87" t="s">
        <v>4360</v>
      </c>
      <c r="B395" s="86">
        <v>2</v>
      </c>
      <c r="C395" s="115">
        <v>0.0007071142993808518</v>
      </c>
      <c r="D395" s="86" t="s">
        <v>4451</v>
      </c>
      <c r="E395" s="86" t="b">
        <v>0</v>
      </c>
      <c r="F395" s="86" t="b">
        <v>0</v>
      </c>
      <c r="G395" s="86" t="b">
        <v>0</v>
      </c>
    </row>
    <row r="396" spans="1:7" ht="15">
      <c r="A396" s="87" t="s">
        <v>386</v>
      </c>
      <c r="B396" s="86">
        <v>2</v>
      </c>
      <c r="C396" s="115">
        <v>0.0007071142993808518</v>
      </c>
      <c r="D396" s="86" t="s">
        <v>4451</v>
      </c>
      <c r="E396" s="86" t="b">
        <v>0</v>
      </c>
      <c r="F396" s="86" t="b">
        <v>0</v>
      </c>
      <c r="G396" s="86" t="b">
        <v>0</v>
      </c>
    </row>
    <row r="397" spans="1:7" ht="15">
      <c r="A397" s="87" t="s">
        <v>4361</v>
      </c>
      <c r="B397" s="86">
        <v>2</v>
      </c>
      <c r="C397" s="115">
        <v>0.0007071142993808518</v>
      </c>
      <c r="D397" s="86" t="s">
        <v>4451</v>
      </c>
      <c r="E397" s="86" t="b">
        <v>0</v>
      </c>
      <c r="F397" s="86" t="b">
        <v>0</v>
      </c>
      <c r="G397" s="86" t="b">
        <v>0</v>
      </c>
    </row>
    <row r="398" spans="1:7" ht="15">
      <c r="A398" s="87" t="s">
        <v>4362</v>
      </c>
      <c r="B398" s="86">
        <v>2</v>
      </c>
      <c r="C398" s="115">
        <v>0.0007071142993808518</v>
      </c>
      <c r="D398" s="86" t="s">
        <v>4451</v>
      </c>
      <c r="E398" s="86" t="b">
        <v>0</v>
      </c>
      <c r="F398" s="86" t="b">
        <v>0</v>
      </c>
      <c r="G398" s="86" t="b">
        <v>0</v>
      </c>
    </row>
    <row r="399" spans="1:7" ht="15">
      <c r="A399" s="87" t="s">
        <v>4363</v>
      </c>
      <c r="B399" s="86">
        <v>2</v>
      </c>
      <c r="C399" s="115">
        <v>0.0007071142993808518</v>
      </c>
      <c r="D399" s="86" t="s">
        <v>4451</v>
      </c>
      <c r="E399" s="86" t="b">
        <v>0</v>
      </c>
      <c r="F399" s="86" t="b">
        <v>0</v>
      </c>
      <c r="G399" s="86" t="b">
        <v>0</v>
      </c>
    </row>
    <row r="400" spans="1:7" ht="15">
      <c r="A400" s="87" t="s">
        <v>4364</v>
      </c>
      <c r="B400" s="86">
        <v>2</v>
      </c>
      <c r="C400" s="115">
        <v>0.0007071142993808518</v>
      </c>
      <c r="D400" s="86" t="s">
        <v>4451</v>
      </c>
      <c r="E400" s="86" t="b">
        <v>0</v>
      </c>
      <c r="F400" s="86" t="b">
        <v>0</v>
      </c>
      <c r="G400" s="86" t="b">
        <v>0</v>
      </c>
    </row>
    <row r="401" spans="1:7" ht="15">
      <c r="A401" s="87" t="s">
        <v>4365</v>
      </c>
      <c r="B401" s="86">
        <v>2</v>
      </c>
      <c r="C401" s="115">
        <v>0.0007071142993808518</v>
      </c>
      <c r="D401" s="86" t="s">
        <v>4451</v>
      </c>
      <c r="E401" s="86" t="b">
        <v>0</v>
      </c>
      <c r="F401" s="86" t="b">
        <v>0</v>
      </c>
      <c r="G401" s="86" t="b">
        <v>0</v>
      </c>
    </row>
    <row r="402" spans="1:7" ht="15">
      <c r="A402" s="87" t="s">
        <v>4366</v>
      </c>
      <c r="B402" s="86">
        <v>2</v>
      </c>
      <c r="C402" s="115">
        <v>0.0007071142993808518</v>
      </c>
      <c r="D402" s="86" t="s">
        <v>4451</v>
      </c>
      <c r="E402" s="86" t="b">
        <v>0</v>
      </c>
      <c r="F402" s="86" t="b">
        <v>0</v>
      </c>
      <c r="G402" s="86" t="b">
        <v>0</v>
      </c>
    </row>
    <row r="403" spans="1:7" ht="15">
      <c r="A403" s="87" t="s">
        <v>4367</v>
      </c>
      <c r="B403" s="86">
        <v>2</v>
      </c>
      <c r="C403" s="115">
        <v>0.0007071142993808518</v>
      </c>
      <c r="D403" s="86" t="s">
        <v>4451</v>
      </c>
      <c r="E403" s="86" t="b">
        <v>0</v>
      </c>
      <c r="F403" s="86" t="b">
        <v>0</v>
      </c>
      <c r="G403" s="86" t="b">
        <v>0</v>
      </c>
    </row>
    <row r="404" spans="1:7" ht="15">
      <c r="A404" s="87" t="s">
        <v>4368</v>
      </c>
      <c r="B404" s="86">
        <v>2</v>
      </c>
      <c r="C404" s="115">
        <v>0.0007071142993808518</v>
      </c>
      <c r="D404" s="86" t="s">
        <v>4451</v>
      </c>
      <c r="E404" s="86" t="b">
        <v>0</v>
      </c>
      <c r="F404" s="86" t="b">
        <v>0</v>
      </c>
      <c r="G404" s="86" t="b">
        <v>0</v>
      </c>
    </row>
    <row r="405" spans="1:7" ht="15">
      <c r="A405" s="87" t="s">
        <v>4369</v>
      </c>
      <c r="B405" s="86">
        <v>2</v>
      </c>
      <c r="C405" s="115">
        <v>0.0007071142993808518</v>
      </c>
      <c r="D405" s="86" t="s">
        <v>4451</v>
      </c>
      <c r="E405" s="86" t="b">
        <v>0</v>
      </c>
      <c r="F405" s="86" t="b">
        <v>0</v>
      </c>
      <c r="G405" s="86" t="b">
        <v>0</v>
      </c>
    </row>
    <row r="406" spans="1:7" ht="15">
      <c r="A406" s="87" t="s">
        <v>4370</v>
      </c>
      <c r="B406" s="86">
        <v>2</v>
      </c>
      <c r="C406" s="115">
        <v>0.0007071142993808518</v>
      </c>
      <c r="D406" s="86" t="s">
        <v>4451</v>
      </c>
      <c r="E406" s="86" t="b">
        <v>0</v>
      </c>
      <c r="F406" s="86" t="b">
        <v>0</v>
      </c>
      <c r="G406" s="86" t="b">
        <v>0</v>
      </c>
    </row>
    <row r="407" spans="1:7" ht="15">
      <c r="A407" s="87" t="s">
        <v>4371</v>
      </c>
      <c r="B407" s="86">
        <v>2</v>
      </c>
      <c r="C407" s="115">
        <v>0.0007071142993808518</v>
      </c>
      <c r="D407" s="86" t="s">
        <v>4451</v>
      </c>
      <c r="E407" s="86" t="b">
        <v>0</v>
      </c>
      <c r="F407" s="86" t="b">
        <v>0</v>
      </c>
      <c r="G407" s="86" t="b">
        <v>0</v>
      </c>
    </row>
    <row r="408" spans="1:7" ht="15">
      <c r="A408" s="87" t="s">
        <v>4372</v>
      </c>
      <c r="B408" s="86">
        <v>2</v>
      </c>
      <c r="C408" s="115">
        <v>0.0007071142993808518</v>
      </c>
      <c r="D408" s="86" t="s">
        <v>4451</v>
      </c>
      <c r="E408" s="86" t="b">
        <v>1</v>
      </c>
      <c r="F408" s="86" t="b">
        <v>0</v>
      </c>
      <c r="G408" s="86" t="b">
        <v>0</v>
      </c>
    </row>
    <row r="409" spans="1:7" ht="15">
      <c r="A409" s="87" t="s">
        <v>4373</v>
      </c>
      <c r="B409" s="86">
        <v>2</v>
      </c>
      <c r="C409" s="115">
        <v>0.0007071142993808518</v>
      </c>
      <c r="D409" s="86" t="s">
        <v>4451</v>
      </c>
      <c r="E409" s="86" t="b">
        <v>0</v>
      </c>
      <c r="F409" s="86" t="b">
        <v>0</v>
      </c>
      <c r="G409" s="86" t="b">
        <v>0</v>
      </c>
    </row>
    <row r="410" spans="1:7" ht="15">
      <c r="A410" s="87" t="s">
        <v>4374</v>
      </c>
      <c r="B410" s="86">
        <v>2</v>
      </c>
      <c r="C410" s="115">
        <v>0.0007071142993808518</v>
      </c>
      <c r="D410" s="86" t="s">
        <v>4451</v>
      </c>
      <c r="E410" s="86" t="b">
        <v>0</v>
      </c>
      <c r="F410" s="86" t="b">
        <v>0</v>
      </c>
      <c r="G410" s="86" t="b">
        <v>0</v>
      </c>
    </row>
    <row r="411" spans="1:7" ht="15">
      <c r="A411" s="87" t="s">
        <v>4375</v>
      </c>
      <c r="B411" s="86">
        <v>2</v>
      </c>
      <c r="C411" s="115">
        <v>0.0007071142993808518</v>
      </c>
      <c r="D411" s="86" t="s">
        <v>4451</v>
      </c>
      <c r="E411" s="86" t="b">
        <v>0</v>
      </c>
      <c r="F411" s="86" t="b">
        <v>0</v>
      </c>
      <c r="G411" s="86" t="b">
        <v>0</v>
      </c>
    </row>
    <row r="412" spans="1:7" ht="15">
      <c r="A412" s="87" t="s">
        <v>4376</v>
      </c>
      <c r="B412" s="86">
        <v>2</v>
      </c>
      <c r="C412" s="115">
        <v>0.0007071142993808518</v>
      </c>
      <c r="D412" s="86" t="s">
        <v>4451</v>
      </c>
      <c r="E412" s="86" t="b">
        <v>0</v>
      </c>
      <c r="F412" s="86" t="b">
        <v>0</v>
      </c>
      <c r="G412" s="86" t="b">
        <v>0</v>
      </c>
    </row>
    <row r="413" spans="1:7" ht="15">
      <c r="A413" s="87" t="s">
        <v>4377</v>
      </c>
      <c r="B413" s="86">
        <v>2</v>
      </c>
      <c r="C413" s="115">
        <v>0.0007071142993808518</v>
      </c>
      <c r="D413" s="86" t="s">
        <v>4451</v>
      </c>
      <c r="E413" s="86" t="b">
        <v>0</v>
      </c>
      <c r="F413" s="86" t="b">
        <v>0</v>
      </c>
      <c r="G413" s="86" t="b">
        <v>0</v>
      </c>
    </row>
    <row r="414" spans="1:7" ht="15">
      <c r="A414" s="87" t="s">
        <v>4378</v>
      </c>
      <c r="B414" s="86">
        <v>2</v>
      </c>
      <c r="C414" s="115">
        <v>0.0007071142993808518</v>
      </c>
      <c r="D414" s="86" t="s">
        <v>4451</v>
      </c>
      <c r="E414" s="86" t="b">
        <v>1</v>
      </c>
      <c r="F414" s="86" t="b">
        <v>0</v>
      </c>
      <c r="G414" s="86" t="b">
        <v>0</v>
      </c>
    </row>
    <row r="415" spans="1:7" ht="15">
      <c r="A415" s="87" t="s">
        <v>4379</v>
      </c>
      <c r="B415" s="86">
        <v>2</v>
      </c>
      <c r="C415" s="115">
        <v>0.0007071142993808518</v>
      </c>
      <c r="D415" s="86" t="s">
        <v>4451</v>
      </c>
      <c r="E415" s="86" t="b">
        <v>0</v>
      </c>
      <c r="F415" s="86" t="b">
        <v>0</v>
      </c>
      <c r="G415" s="86" t="b">
        <v>0</v>
      </c>
    </row>
    <row r="416" spans="1:7" ht="15">
      <c r="A416" s="87" t="s">
        <v>4380</v>
      </c>
      <c r="B416" s="86">
        <v>2</v>
      </c>
      <c r="C416" s="115">
        <v>0.0007071142993808518</v>
      </c>
      <c r="D416" s="86" t="s">
        <v>4451</v>
      </c>
      <c r="E416" s="86" t="b">
        <v>0</v>
      </c>
      <c r="F416" s="86" t="b">
        <v>0</v>
      </c>
      <c r="G416" s="86" t="b">
        <v>0</v>
      </c>
    </row>
    <row r="417" spans="1:7" ht="15">
      <c r="A417" s="87" t="s">
        <v>4381</v>
      </c>
      <c r="B417" s="86">
        <v>2</v>
      </c>
      <c r="C417" s="115">
        <v>0.0007071142993808518</v>
      </c>
      <c r="D417" s="86" t="s">
        <v>4451</v>
      </c>
      <c r="E417" s="86" t="b">
        <v>0</v>
      </c>
      <c r="F417" s="86" t="b">
        <v>0</v>
      </c>
      <c r="G417" s="86" t="b">
        <v>0</v>
      </c>
    </row>
    <row r="418" spans="1:7" ht="15">
      <c r="A418" s="87" t="s">
        <v>4382</v>
      </c>
      <c r="B418" s="86">
        <v>2</v>
      </c>
      <c r="C418" s="115">
        <v>0.0007071142993808518</v>
      </c>
      <c r="D418" s="86" t="s">
        <v>4451</v>
      </c>
      <c r="E418" s="86" t="b">
        <v>1</v>
      </c>
      <c r="F418" s="86" t="b">
        <v>0</v>
      </c>
      <c r="G418" s="86" t="b">
        <v>0</v>
      </c>
    </row>
    <row r="419" spans="1:7" ht="15">
      <c r="A419" s="87" t="s">
        <v>4383</v>
      </c>
      <c r="B419" s="86">
        <v>2</v>
      </c>
      <c r="C419" s="115">
        <v>0.0007071142993808518</v>
      </c>
      <c r="D419" s="86" t="s">
        <v>4451</v>
      </c>
      <c r="E419" s="86" t="b">
        <v>0</v>
      </c>
      <c r="F419" s="86" t="b">
        <v>0</v>
      </c>
      <c r="G419" s="86" t="b">
        <v>0</v>
      </c>
    </row>
    <row r="420" spans="1:7" ht="15">
      <c r="A420" s="87" t="s">
        <v>4384</v>
      </c>
      <c r="B420" s="86">
        <v>2</v>
      </c>
      <c r="C420" s="115">
        <v>0.0008013481374350015</v>
      </c>
      <c r="D420" s="86" t="s">
        <v>4451</v>
      </c>
      <c r="E420" s="86" t="b">
        <v>0</v>
      </c>
      <c r="F420" s="86" t="b">
        <v>0</v>
      </c>
      <c r="G420" s="86" t="b">
        <v>0</v>
      </c>
    </row>
    <row r="421" spans="1:7" ht="15">
      <c r="A421" s="87" t="s">
        <v>4385</v>
      </c>
      <c r="B421" s="86">
        <v>2</v>
      </c>
      <c r="C421" s="115">
        <v>0.0007071142993808518</v>
      </c>
      <c r="D421" s="86" t="s">
        <v>4451</v>
      </c>
      <c r="E421" s="86" t="b">
        <v>1</v>
      </c>
      <c r="F421" s="86" t="b">
        <v>0</v>
      </c>
      <c r="G421" s="86" t="b">
        <v>0</v>
      </c>
    </row>
    <row r="422" spans="1:7" ht="15">
      <c r="A422" s="87" t="s">
        <v>4386</v>
      </c>
      <c r="B422" s="86">
        <v>2</v>
      </c>
      <c r="C422" s="115">
        <v>0.0007071142993808518</v>
      </c>
      <c r="D422" s="86" t="s">
        <v>4451</v>
      </c>
      <c r="E422" s="86" t="b">
        <v>0</v>
      </c>
      <c r="F422" s="86" t="b">
        <v>0</v>
      </c>
      <c r="G422" s="86" t="b">
        <v>0</v>
      </c>
    </row>
    <row r="423" spans="1:7" ht="15">
      <c r="A423" s="87" t="s">
        <v>4387</v>
      </c>
      <c r="B423" s="86">
        <v>2</v>
      </c>
      <c r="C423" s="115">
        <v>0.0007071142993808518</v>
      </c>
      <c r="D423" s="86" t="s">
        <v>4451</v>
      </c>
      <c r="E423" s="86" t="b">
        <v>0</v>
      </c>
      <c r="F423" s="86" t="b">
        <v>0</v>
      </c>
      <c r="G423" s="86" t="b">
        <v>0</v>
      </c>
    </row>
    <row r="424" spans="1:7" ht="15">
      <c r="A424" s="87" t="s">
        <v>4388</v>
      </c>
      <c r="B424" s="86">
        <v>2</v>
      </c>
      <c r="C424" s="115">
        <v>0.0007071142993808518</v>
      </c>
      <c r="D424" s="86" t="s">
        <v>4451</v>
      </c>
      <c r="E424" s="86" t="b">
        <v>0</v>
      </c>
      <c r="F424" s="86" t="b">
        <v>0</v>
      </c>
      <c r="G424" s="86" t="b">
        <v>0</v>
      </c>
    </row>
    <row r="425" spans="1:7" ht="15">
      <c r="A425" s="87" t="s">
        <v>4389</v>
      </c>
      <c r="B425" s="86">
        <v>2</v>
      </c>
      <c r="C425" s="115">
        <v>0.0007071142993808518</v>
      </c>
      <c r="D425" s="86" t="s">
        <v>4451</v>
      </c>
      <c r="E425" s="86" t="b">
        <v>0</v>
      </c>
      <c r="F425" s="86" t="b">
        <v>0</v>
      </c>
      <c r="G425" s="86" t="b">
        <v>0</v>
      </c>
    </row>
    <row r="426" spans="1:7" ht="15">
      <c r="A426" s="87" t="s">
        <v>4390</v>
      </c>
      <c r="B426" s="86">
        <v>2</v>
      </c>
      <c r="C426" s="115">
        <v>0.0007071142993808518</v>
      </c>
      <c r="D426" s="86" t="s">
        <v>4451</v>
      </c>
      <c r="E426" s="86" t="b">
        <v>0</v>
      </c>
      <c r="F426" s="86" t="b">
        <v>0</v>
      </c>
      <c r="G426" s="86" t="b">
        <v>0</v>
      </c>
    </row>
    <row r="427" spans="1:7" ht="15">
      <c r="A427" s="87" t="s">
        <v>4391</v>
      </c>
      <c r="B427" s="86">
        <v>2</v>
      </c>
      <c r="C427" s="115">
        <v>0.0007071142993808518</v>
      </c>
      <c r="D427" s="86" t="s">
        <v>4451</v>
      </c>
      <c r="E427" s="86" t="b">
        <v>0</v>
      </c>
      <c r="F427" s="86" t="b">
        <v>0</v>
      </c>
      <c r="G427" s="86" t="b">
        <v>0</v>
      </c>
    </row>
    <row r="428" spans="1:7" ht="15">
      <c r="A428" s="87" t="s">
        <v>4392</v>
      </c>
      <c r="B428" s="86">
        <v>2</v>
      </c>
      <c r="C428" s="115">
        <v>0.0007071142993808518</v>
      </c>
      <c r="D428" s="86" t="s">
        <v>4451</v>
      </c>
      <c r="E428" s="86" t="b">
        <v>0</v>
      </c>
      <c r="F428" s="86" t="b">
        <v>0</v>
      </c>
      <c r="G428" s="86" t="b">
        <v>0</v>
      </c>
    </row>
    <row r="429" spans="1:7" ht="15">
      <c r="A429" s="87" t="s">
        <v>4393</v>
      </c>
      <c r="B429" s="86">
        <v>2</v>
      </c>
      <c r="C429" s="115">
        <v>0.0007071142993808518</v>
      </c>
      <c r="D429" s="86" t="s">
        <v>4451</v>
      </c>
      <c r="E429" s="86" t="b">
        <v>0</v>
      </c>
      <c r="F429" s="86" t="b">
        <v>0</v>
      </c>
      <c r="G429" s="86" t="b">
        <v>0</v>
      </c>
    </row>
    <row r="430" spans="1:7" ht="15">
      <c r="A430" s="87" t="s">
        <v>4394</v>
      </c>
      <c r="B430" s="86">
        <v>2</v>
      </c>
      <c r="C430" s="115">
        <v>0.0007071142993808518</v>
      </c>
      <c r="D430" s="86" t="s">
        <v>4451</v>
      </c>
      <c r="E430" s="86" t="b">
        <v>0</v>
      </c>
      <c r="F430" s="86" t="b">
        <v>0</v>
      </c>
      <c r="G430" s="86" t="b">
        <v>0</v>
      </c>
    </row>
    <row r="431" spans="1:7" ht="15">
      <c r="A431" s="87" t="s">
        <v>4395</v>
      </c>
      <c r="B431" s="86">
        <v>2</v>
      </c>
      <c r="C431" s="115">
        <v>0.0007071142993808518</v>
      </c>
      <c r="D431" s="86" t="s">
        <v>4451</v>
      </c>
      <c r="E431" s="86" t="b">
        <v>0</v>
      </c>
      <c r="F431" s="86" t="b">
        <v>0</v>
      </c>
      <c r="G431" s="86" t="b">
        <v>0</v>
      </c>
    </row>
    <row r="432" spans="1:7" ht="15">
      <c r="A432" s="87" t="s">
        <v>4396</v>
      </c>
      <c r="B432" s="86">
        <v>2</v>
      </c>
      <c r="C432" s="115">
        <v>0.0007071142993808518</v>
      </c>
      <c r="D432" s="86" t="s">
        <v>4451</v>
      </c>
      <c r="E432" s="86" t="b">
        <v>0</v>
      </c>
      <c r="F432" s="86" t="b">
        <v>0</v>
      </c>
      <c r="G432" s="86" t="b">
        <v>0</v>
      </c>
    </row>
    <row r="433" spans="1:7" ht="15">
      <c r="A433" s="87" t="s">
        <v>4397</v>
      </c>
      <c r="B433" s="86">
        <v>2</v>
      </c>
      <c r="C433" s="115">
        <v>0.0008013481374350015</v>
      </c>
      <c r="D433" s="86" t="s">
        <v>4451</v>
      </c>
      <c r="E433" s="86" t="b">
        <v>0</v>
      </c>
      <c r="F433" s="86" t="b">
        <v>0</v>
      </c>
      <c r="G433" s="86" t="b">
        <v>0</v>
      </c>
    </row>
    <row r="434" spans="1:7" ht="15">
      <c r="A434" s="87" t="s">
        <v>4398</v>
      </c>
      <c r="B434" s="86">
        <v>2</v>
      </c>
      <c r="C434" s="115">
        <v>0.0007071142993808518</v>
      </c>
      <c r="D434" s="86" t="s">
        <v>4451</v>
      </c>
      <c r="E434" s="86" t="b">
        <v>0</v>
      </c>
      <c r="F434" s="86" t="b">
        <v>0</v>
      </c>
      <c r="G434" s="86" t="b">
        <v>0</v>
      </c>
    </row>
    <row r="435" spans="1:7" ht="15">
      <c r="A435" s="87" t="s">
        <v>4399</v>
      </c>
      <c r="B435" s="86">
        <v>2</v>
      </c>
      <c r="C435" s="115">
        <v>0.0007071142993808518</v>
      </c>
      <c r="D435" s="86" t="s">
        <v>4451</v>
      </c>
      <c r="E435" s="86" t="b">
        <v>0</v>
      </c>
      <c r="F435" s="86" t="b">
        <v>0</v>
      </c>
      <c r="G435" s="86" t="b">
        <v>0</v>
      </c>
    </row>
    <row r="436" spans="1:7" ht="15">
      <c r="A436" s="87" t="s">
        <v>4400</v>
      </c>
      <c r="B436" s="86">
        <v>2</v>
      </c>
      <c r="C436" s="115">
        <v>0.0007071142993808518</v>
      </c>
      <c r="D436" s="86" t="s">
        <v>4451</v>
      </c>
      <c r="E436" s="86" t="b">
        <v>0</v>
      </c>
      <c r="F436" s="86" t="b">
        <v>0</v>
      </c>
      <c r="G436" s="86" t="b">
        <v>0</v>
      </c>
    </row>
    <row r="437" spans="1:7" ht="15">
      <c r="A437" s="87" t="s">
        <v>4401</v>
      </c>
      <c r="B437" s="86">
        <v>2</v>
      </c>
      <c r="C437" s="115">
        <v>0.0007071142993808518</v>
      </c>
      <c r="D437" s="86" t="s">
        <v>4451</v>
      </c>
      <c r="E437" s="86" t="b">
        <v>0</v>
      </c>
      <c r="F437" s="86" t="b">
        <v>0</v>
      </c>
      <c r="G437" s="86" t="b">
        <v>0</v>
      </c>
    </row>
    <row r="438" spans="1:7" ht="15">
      <c r="A438" s="87" t="s">
        <v>4402</v>
      </c>
      <c r="B438" s="86">
        <v>2</v>
      </c>
      <c r="C438" s="115">
        <v>0.0007071142993808518</v>
      </c>
      <c r="D438" s="86" t="s">
        <v>4451</v>
      </c>
      <c r="E438" s="86" t="b">
        <v>0</v>
      </c>
      <c r="F438" s="86" t="b">
        <v>0</v>
      </c>
      <c r="G438" s="86" t="b">
        <v>0</v>
      </c>
    </row>
    <row r="439" spans="1:7" ht="15">
      <c r="A439" s="87" t="s">
        <v>4403</v>
      </c>
      <c r="B439" s="86">
        <v>2</v>
      </c>
      <c r="C439" s="115">
        <v>0.0007071142993808518</v>
      </c>
      <c r="D439" s="86" t="s">
        <v>4451</v>
      </c>
      <c r="E439" s="86" t="b">
        <v>0</v>
      </c>
      <c r="F439" s="86" t="b">
        <v>0</v>
      </c>
      <c r="G439" s="86" t="b">
        <v>0</v>
      </c>
    </row>
    <row r="440" spans="1:7" ht="15">
      <c r="A440" s="87" t="s">
        <v>4404</v>
      </c>
      <c r="B440" s="86">
        <v>2</v>
      </c>
      <c r="C440" s="115">
        <v>0.0007071142993808518</v>
      </c>
      <c r="D440" s="86" t="s">
        <v>4451</v>
      </c>
      <c r="E440" s="86" t="b">
        <v>0</v>
      </c>
      <c r="F440" s="86" t="b">
        <v>0</v>
      </c>
      <c r="G440" s="86" t="b">
        <v>0</v>
      </c>
    </row>
    <row r="441" spans="1:7" ht="15">
      <c r="A441" s="87" t="s">
        <v>481</v>
      </c>
      <c r="B441" s="86">
        <v>2</v>
      </c>
      <c r="C441" s="115">
        <v>0.0007071142993808518</v>
      </c>
      <c r="D441" s="86" t="s">
        <v>4451</v>
      </c>
      <c r="E441" s="86" t="b">
        <v>0</v>
      </c>
      <c r="F441" s="86" t="b">
        <v>0</v>
      </c>
      <c r="G441" s="86" t="b">
        <v>0</v>
      </c>
    </row>
    <row r="442" spans="1:7" ht="15">
      <c r="A442" s="87" t="s">
        <v>3314</v>
      </c>
      <c r="B442" s="86">
        <v>2</v>
      </c>
      <c r="C442" s="115">
        <v>0.0007071142993808518</v>
      </c>
      <c r="D442" s="86" t="s">
        <v>4451</v>
      </c>
      <c r="E442" s="86" t="b">
        <v>0</v>
      </c>
      <c r="F442" s="86" t="b">
        <v>0</v>
      </c>
      <c r="G442" s="86" t="b">
        <v>0</v>
      </c>
    </row>
    <row r="443" spans="1:7" ht="15">
      <c r="A443" s="87" t="s">
        <v>4405</v>
      </c>
      <c r="B443" s="86">
        <v>2</v>
      </c>
      <c r="C443" s="115">
        <v>0.0007071142993808518</v>
      </c>
      <c r="D443" s="86" t="s">
        <v>4451</v>
      </c>
      <c r="E443" s="86" t="b">
        <v>0</v>
      </c>
      <c r="F443" s="86" t="b">
        <v>1</v>
      </c>
      <c r="G443" s="86" t="b">
        <v>0</v>
      </c>
    </row>
    <row r="444" spans="1:7" ht="15">
      <c r="A444" s="87" t="s">
        <v>4406</v>
      </c>
      <c r="B444" s="86">
        <v>2</v>
      </c>
      <c r="C444" s="115">
        <v>0.0007071142993808518</v>
      </c>
      <c r="D444" s="86" t="s">
        <v>4451</v>
      </c>
      <c r="E444" s="86" t="b">
        <v>0</v>
      </c>
      <c r="F444" s="86" t="b">
        <v>0</v>
      </c>
      <c r="G444" s="86" t="b">
        <v>0</v>
      </c>
    </row>
    <row r="445" spans="1:7" ht="15">
      <c r="A445" s="87" t="s">
        <v>4407</v>
      </c>
      <c r="B445" s="86">
        <v>2</v>
      </c>
      <c r="C445" s="115">
        <v>0.0007071142993808518</v>
      </c>
      <c r="D445" s="86" t="s">
        <v>4451</v>
      </c>
      <c r="E445" s="86" t="b">
        <v>0</v>
      </c>
      <c r="F445" s="86" t="b">
        <v>0</v>
      </c>
      <c r="G445" s="86" t="b">
        <v>0</v>
      </c>
    </row>
    <row r="446" spans="1:7" ht="15">
      <c r="A446" s="87" t="s">
        <v>4408</v>
      </c>
      <c r="B446" s="86">
        <v>2</v>
      </c>
      <c r="C446" s="115">
        <v>0.0007071142993808518</v>
      </c>
      <c r="D446" s="86" t="s">
        <v>4451</v>
      </c>
      <c r="E446" s="86" t="b">
        <v>0</v>
      </c>
      <c r="F446" s="86" t="b">
        <v>0</v>
      </c>
      <c r="G446" s="86" t="b">
        <v>0</v>
      </c>
    </row>
    <row r="447" spans="1:7" ht="15">
      <c r="A447" s="87" t="s">
        <v>4409</v>
      </c>
      <c r="B447" s="86">
        <v>2</v>
      </c>
      <c r="C447" s="115">
        <v>0.0007071142993808518</v>
      </c>
      <c r="D447" s="86" t="s">
        <v>4451</v>
      </c>
      <c r="E447" s="86" t="b">
        <v>0</v>
      </c>
      <c r="F447" s="86" t="b">
        <v>0</v>
      </c>
      <c r="G447" s="86" t="b">
        <v>0</v>
      </c>
    </row>
    <row r="448" spans="1:7" ht="15">
      <c r="A448" s="87" t="s">
        <v>4410</v>
      </c>
      <c r="B448" s="86">
        <v>2</v>
      </c>
      <c r="C448" s="115">
        <v>0.0008013481374350015</v>
      </c>
      <c r="D448" s="86" t="s">
        <v>4451</v>
      </c>
      <c r="E448" s="86" t="b">
        <v>0</v>
      </c>
      <c r="F448" s="86" t="b">
        <v>1</v>
      </c>
      <c r="G448" s="86" t="b">
        <v>0</v>
      </c>
    </row>
    <row r="449" spans="1:7" ht="15">
      <c r="A449" s="87" t="s">
        <v>4411</v>
      </c>
      <c r="B449" s="86">
        <v>2</v>
      </c>
      <c r="C449" s="115">
        <v>0.0007071142993808518</v>
      </c>
      <c r="D449" s="86" t="s">
        <v>4451</v>
      </c>
      <c r="E449" s="86" t="b">
        <v>0</v>
      </c>
      <c r="F449" s="86" t="b">
        <v>0</v>
      </c>
      <c r="G449" s="86" t="b">
        <v>0</v>
      </c>
    </row>
    <row r="450" spans="1:7" ht="15">
      <c r="A450" s="87" t="s">
        <v>4412</v>
      </c>
      <c r="B450" s="86">
        <v>2</v>
      </c>
      <c r="C450" s="115">
        <v>0.0007071142993808518</v>
      </c>
      <c r="D450" s="86" t="s">
        <v>4451</v>
      </c>
      <c r="E450" s="86" t="b">
        <v>0</v>
      </c>
      <c r="F450" s="86" t="b">
        <v>0</v>
      </c>
      <c r="G450" s="86" t="b">
        <v>0</v>
      </c>
    </row>
    <row r="451" spans="1:7" ht="15">
      <c r="A451" s="87" t="s">
        <v>4413</v>
      </c>
      <c r="B451" s="86">
        <v>2</v>
      </c>
      <c r="C451" s="115">
        <v>0.0007071142993808518</v>
      </c>
      <c r="D451" s="86" t="s">
        <v>4451</v>
      </c>
      <c r="E451" s="86" t="b">
        <v>0</v>
      </c>
      <c r="F451" s="86" t="b">
        <v>0</v>
      </c>
      <c r="G451" s="86" t="b">
        <v>0</v>
      </c>
    </row>
    <row r="452" spans="1:7" ht="15">
      <c r="A452" s="87" t="s">
        <v>4414</v>
      </c>
      <c r="B452" s="86">
        <v>2</v>
      </c>
      <c r="C452" s="115">
        <v>0.0007071142993808518</v>
      </c>
      <c r="D452" s="86" t="s">
        <v>4451</v>
      </c>
      <c r="E452" s="86" t="b">
        <v>0</v>
      </c>
      <c r="F452" s="86" t="b">
        <v>0</v>
      </c>
      <c r="G452" s="86" t="b">
        <v>0</v>
      </c>
    </row>
    <row r="453" spans="1:7" ht="15">
      <c r="A453" s="87" t="s">
        <v>4415</v>
      </c>
      <c r="B453" s="86">
        <v>2</v>
      </c>
      <c r="C453" s="115">
        <v>0.0007071142993808518</v>
      </c>
      <c r="D453" s="86" t="s">
        <v>4451</v>
      </c>
      <c r="E453" s="86" t="b">
        <v>0</v>
      </c>
      <c r="F453" s="86" t="b">
        <v>0</v>
      </c>
      <c r="G453" s="86" t="b">
        <v>0</v>
      </c>
    </row>
    <row r="454" spans="1:7" ht="15">
      <c r="A454" s="87" t="s">
        <v>4416</v>
      </c>
      <c r="B454" s="86">
        <v>2</v>
      </c>
      <c r="C454" s="115">
        <v>0.0007071142993808518</v>
      </c>
      <c r="D454" s="86" t="s">
        <v>4451</v>
      </c>
      <c r="E454" s="86" t="b">
        <v>0</v>
      </c>
      <c r="F454" s="86" t="b">
        <v>0</v>
      </c>
      <c r="G454" s="86" t="b">
        <v>0</v>
      </c>
    </row>
    <row r="455" spans="1:7" ht="15">
      <c r="A455" s="87" t="s">
        <v>4417</v>
      </c>
      <c r="B455" s="86">
        <v>2</v>
      </c>
      <c r="C455" s="115">
        <v>0.0007071142993808518</v>
      </c>
      <c r="D455" s="86" t="s">
        <v>4451</v>
      </c>
      <c r="E455" s="86" t="b">
        <v>0</v>
      </c>
      <c r="F455" s="86" t="b">
        <v>0</v>
      </c>
      <c r="G455" s="86" t="b">
        <v>0</v>
      </c>
    </row>
    <row r="456" spans="1:7" ht="15">
      <c r="A456" s="87" t="s">
        <v>4418</v>
      </c>
      <c r="B456" s="86">
        <v>2</v>
      </c>
      <c r="C456" s="115">
        <v>0.0007071142993808518</v>
      </c>
      <c r="D456" s="86" t="s">
        <v>4451</v>
      </c>
      <c r="E456" s="86" t="b">
        <v>0</v>
      </c>
      <c r="F456" s="86" t="b">
        <v>0</v>
      </c>
      <c r="G456" s="86" t="b">
        <v>0</v>
      </c>
    </row>
    <row r="457" spans="1:7" ht="15">
      <c r="A457" s="87" t="s">
        <v>4419</v>
      </c>
      <c r="B457" s="86">
        <v>2</v>
      </c>
      <c r="C457" s="115">
        <v>0.0007071142993808518</v>
      </c>
      <c r="D457" s="86" t="s">
        <v>4451</v>
      </c>
      <c r="E457" s="86" t="b">
        <v>0</v>
      </c>
      <c r="F457" s="86" t="b">
        <v>0</v>
      </c>
      <c r="G457" s="86" t="b">
        <v>0</v>
      </c>
    </row>
    <row r="458" spans="1:7" ht="15">
      <c r="A458" s="87" t="s">
        <v>4420</v>
      </c>
      <c r="B458" s="86">
        <v>2</v>
      </c>
      <c r="C458" s="115">
        <v>0.0008013481374350015</v>
      </c>
      <c r="D458" s="86" t="s">
        <v>4451</v>
      </c>
      <c r="E458" s="86" t="b">
        <v>0</v>
      </c>
      <c r="F458" s="86" t="b">
        <v>0</v>
      </c>
      <c r="G458" s="86" t="b">
        <v>0</v>
      </c>
    </row>
    <row r="459" spans="1:7" ht="15">
      <c r="A459" s="87" t="s">
        <v>4421</v>
      </c>
      <c r="B459" s="86">
        <v>2</v>
      </c>
      <c r="C459" s="115">
        <v>0.0008013481374350015</v>
      </c>
      <c r="D459" s="86" t="s">
        <v>4451</v>
      </c>
      <c r="E459" s="86" t="b">
        <v>1</v>
      </c>
      <c r="F459" s="86" t="b">
        <v>0</v>
      </c>
      <c r="G459" s="86" t="b">
        <v>0</v>
      </c>
    </row>
    <row r="460" spans="1:7" ht="15">
      <c r="A460" s="87" t="s">
        <v>4422</v>
      </c>
      <c r="B460" s="86">
        <v>2</v>
      </c>
      <c r="C460" s="115">
        <v>0.0007071142993808518</v>
      </c>
      <c r="D460" s="86" t="s">
        <v>4451</v>
      </c>
      <c r="E460" s="86" t="b">
        <v>0</v>
      </c>
      <c r="F460" s="86" t="b">
        <v>0</v>
      </c>
      <c r="G460" s="86" t="b">
        <v>0</v>
      </c>
    </row>
    <row r="461" spans="1:7" ht="15">
      <c r="A461" s="87" t="s">
        <v>4423</v>
      </c>
      <c r="B461" s="86">
        <v>2</v>
      </c>
      <c r="C461" s="115">
        <v>0.0007071142993808518</v>
      </c>
      <c r="D461" s="86" t="s">
        <v>4451</v>
      </c>
      <c r="E461" s="86" t="b">
        <v>0</v>
      </c>
      <c r="F461" s="86" t="b">
        <v>0</v>
      </c>
      <c r="G461" s="86" t="b">
        <v>0</v>
      </c>
    </row>
    <row r="462" spans="1:7" ht="15">
      <c r="A462" s="87" t="s">
        <v>4424</v>
      </c>
      <c r="B462" s="86">
        <v>2</v>
      </c>
      <c r="C462" s="115">
        <v>0.0007071142993808518</v>
      </c>
      <c r="D462" s="86" t="s">
        <v>4451</v>
      </c>
      <c r="E462" s="86" t="b">
        <v>0</v>
      </c>
      <c r="F462" s="86" t="b">
        <v>1</v>
      </c>
      <c r="G462" s="86" t="b">
        <v>0</v>
      </c>
    </row>
    <row r="463" spans="1:7" ht="15">
      <c r="A463" s="87" t="s">
        <v>4425</v>
      </c>
      <c r="B463" s="86">
        <v>2</v>
      </c>
      <c r="C463" s="115">
        <v>0.0007071142993808518</v>
      </c>
      <c r="D463" s="86" t="s">
        <v>4451</v>
      </c>
      <c r="E463" s="86" t="b">
        <v>0</v>
      </c>
      <c r="F463" s="86" t="b">
        <v>0</v>
      </c>
      <c r="G463" s="86" t="b">
        <v>0</v>
      </c>
    </row>
    <row r="464" spans="1:7" ht="15">
      <c r="A464" s="87" t="s">
        <v>4426</v>
      </c>
      <c r="B464" s="86">
        <v>2</v>
      </c>
      <c r="C464" s="115">
        <v>0.0007071142993808518</v>
      </c>
      <c r="D464" s="86" t="s">
        <v>4451</v>
      </c>
      <c r="E464" s="86" t="b">
        <v>0</v>
      </c>
      <c r="F464" s="86" t="b">
        <v>0</v>
      </c>
      <c r="G464" s="86" t="b">
        <v>0</v>
      </c>
    </row>
    <row r="465" spans="1:7" ht="15">
      <c r="A465" s="87" t="s">
        <v>4427</v>
      </c>
      <c r="B465" s="86">
        <v>2</v>
      </c>
      <c r="C465" s="115">
        <v>0.0007071142993808518</v>
      </c>
      <c r="D465" s="86" t="s">
        <v>4451</v>
      </c>
      <c r="E465" s="86" t="b">
        <v>0</v>
      </c>
      <c r="F465" s="86" t="b">
        <v>0</v>
      </c>
      <c r="G465" s="86" t="b">
        <v>0</v>
      </c>
    </row>
    <row r="466" spans="1:7" ht="15">
      <c r="A466" s="87" t="s">
        <v>4428</v>
      </c>
      <c r="B466" s="86">
        <v>2</v>
      </c>
      <c r="C466" s="115">
        <v>0.0007071142993808518</v>
      </c>
      <c r="D466" s="86" t="s">
        <v>4451</v>
      </c>
      <c r="E466" s="86" t="b">
        <v>0</v>
      </c>
      <c r="F466" s="86" t="b">
        <v>0</v>
      </c>
      <c r="G466" s="86" t="b">
        <v>0</v>
      </c>
    </row>
    <row r="467" spans="1:7" ht="15">
      <c r="A467" s="87" t="s">
        <v>4429</v>
      </c>
      <c r="B467" s="86">
        <v>2</v>
      </c>
      <c r="C467" s="115">
        <v>0.0007071142993808518</v>
      </c>
      <c r="D467" s="86" t="s">
        <v>4451</v>
      </c>
      <c r="E467" s="86" t="b">
        <v>0</v>
      </c>
      <c r="F467" s="86" t="b">
        <v>0</v>
      </c>
      <c r="G467" s="86" t="b">
        <v>0</v>
      </c>
    </row>
    <row r="468" spans="1:7" ht="15">
      <c r="A468" s="87" t="s">
        <v>4430</v>
      </c>
      <c r="B468" s="86">
        <v>2</v>
      </c>
      <c r="C468" s="115">
        <v>0.0007071142993808518</v>
      </c>
      <c r="D468" s="86" t="s">
        <v>4451</v>
      </c>
      <c r="E468" s="86" t="b">
        <v>0</v>
      </c>
      <c r="F468" s="86" t="b">
        <v>0</v>
      </c>
      <c r="G468" s="86" t="b">
        <v>0</v>
      </c>
    </row>
    <row r="469" spans="1:7" ht="15">
      <c r="A469" s="87" t="s">
        <v>4431</v>
      </c>
      <c r="B469" s="86">
        <v>2</v>
      </c>
      <c r="C469" s="115">
        <v>0.0007071142993808518</v>
      </c>
      <c r="D469" s="86" t="s">
        <v>4451</v>
      </c>
      <c r="E469" s="86" t="b">
        <v>0</v>
      </c>
      <c r="F469" s="86" t="b">
        <v>0</v>
      </c>
      <c r="G469" s="86" t="b">
        <v>0</v>
      </c>
    </row>
    <row r="470" spans="1:7" ht="15">
      <c r="A470" s="87" t="s">
        <v>4432</v>
      </c>
      <c r="B470" s="86">
        <v>2</v>
      </c>
      <c r="C470" s="115">
        <v>0.0007071142993808518</v>
      </c>
      <c r="D470" s="86" t="s">
        <v>4451</v>
      </c>
      <c r="E470" s="86" t="b">
        <v>0</v>
      </c>
      <c r="F470" s="86" t="b">
        <v>0</v>
      </c>
      <c r="G470" s="86" t="b">
        <v>0</v>
      </c>
    </row>
    <row r="471" spans="1:7" ht="15">
      <c r="A471" s="87" t="s">
        <v>3331</v>
      </c>
      <c r="B471" s="86">
        <v>2</v>
      </c>
      <c r="C471" s="115">
        <v>0.0008013481374350015</v>
      </c>
      <c r="D471" s="86" t="s">
        <v>4451</v>
      </c>
      <c r="E471" s="86" t="b">
        <v>0</v>
      </c>
      <c r="F471" s="86" t="b">
        <v>0</v>
      </c>
      <c r="G471" s="86" t="b">
        <v>0</v>
      </c>
    </row>
    <row r="472" spans="1:7" ht="15">
      <c r="A472" s="87" t="s">
        <v>3301</v>
      </c>
      <c r="B472" s="86">
        <v>2</v>
      </c>
      <c r="C472" s="115">
        <v>0.0007071142993808518</v>
      </c>
      <c r="D472" s="86" t="s">
        <v>4451</v>
      </c>
      <c r="E472" s="86" t="b">
        <v>0</v>
      </c>
      <c r="F472" s="86" t="b">
        <v>0</v>
      </c>
      <c r="G472" s="86" t="b">
        <v>0</v>
      </c>
    </row>
    <row r="473" spans="1:7" ht="15">
      <c r="A473" s="87" t="s">
        <v>476</v>
      </c>
      <c r="B473" s="86">
        <v>2</v>
      </c>
      <c r="C473" s="115">
        <v>0.0007071142993808518</v>
      </c>
      <c r="D473" s="86" t="s">
        <v>4451</v>
      </c>
      <c r="E473" s="86" t="b">
        <v>0</v>
      </c>
      <c r="F473" s="86" t="b">
        <v>0</v>
      </c>
      <c r="G473" s="86" t="b">
        <v>0</v>
      </c>
    </row>
    <row r="474" spans="1:7" ht="15">
      <c r="A474" s="87" t="s">
        <v>475</v>
      </c>
      <c r="B474" s="86">
        <v>2</v>
      </c>
      <c r="C474" s="115">
        <v>0.0008013481374350015</v>
      </c>
      <c r="D474" s="86" t="s">
        <v>4451</v>
      </c>
      <c r="E474" s="86" t="b">
        <v>0</v>
      </c>
      <c r="F474" s="86" t="b">
        <v>0</v>
      </c>
      <c r="G474" s="86" t="b">
        <v>0</v>
      </c>
    </row>
    <row r="475" spans="1:7" ht="15">
      <c r="A475" s="87" t="s">
        <v>458</v>
      </c>
      <c r="B475" s="86">
        <v>2</v>
      </c>
      <c r="C475" s="115">
        <v>0.0007071142993808518</v>
      </c>
      <c r="D475" s="86" t="s">
        <v>4451</v>
      </c>
      <c r="E475" s="86" t="b">
        <v>0</v>
      </c>
      <c r="F475" s="86" t="b">
        <v>0</v>
      </c>
      <c r="G475" s="86" t="b">
        <v>0</v>
      </c>
    </row>
    <row r="476" spans="1:7" ht="15">
      <c r="A476" s="87" t="s">
        <v>4433</v>
      </c>
      <c r="B476" s="86">
        <v>2</v>
      </c>
      <c r="C476" s="115">
        <v>0.0007071142993808518</v>
      </c>
      <c r="D476" s="86" t="s">
        <v>4451</v>
      </c>
      <c r="E476" s="86" t="b">
        <v>0</v>
      </c>
      <c r="F476" s="86" t="b">
        <v>0</v>
      </c>
      <c r="G476" s="86" t="b">
        <v>0</v>
      </c>
    </row>
    <row r="477" spans="1:7" ht="15">
      <c r="A477" s="87" t="s">
        <v>4434</v>
      </c>
      <c r="B477" s="86">
        <v>2</v>
      </c>
      <c r="C477" s="115">
        <v>0.0007071142993808518</v>
      </c>
      <c r="D477" s="86" t="s">
        <v>4451</v>
      </c>
      <c r="E477" s="86" t="b">
        <v>0</v>
      </c>
      <c r="F477" s="86" t="b">
        <v>0</v>
      </c>
      <c r="G477" s="86" t="b">
        <v>0</v>
      </c>
    </row>
    <row r="478" spans="1:7" ht="15">
      <c r="A478" s="87" t="s">
        <v>450</v>
      </c>
      <c r="B478" s="86">
        <v>2</v>
      </c>
      <c r="C478" s="115">
        <v>0.0007071142993808518</v>
      </c>
      <c r="D478" s="86" t="s">
        <v>4451</v>
      </c>
      <c r="E478" s="86" t="b">
        <v>0</v>
      </c>
      <c r="F478" s="86" t="b">
        <v>0</v>
      </c>
      <c r="G478" s="86" t="b">
        <v>0</v>
      </c>
    </row>
    <row r="479" spans="1:7" ht="15">
      <c r="A479" s="87" t="s">
        <v>4435</v>
      </c>
      <c r="B479" s="86">
        <v>2</v>
      </c>
      <c r="C479" s="115">
        <v>0.0007071142993808518</v>
      </c>
      <c r="D479" s="86" t="s">
        <v>4451</v>
      </c>
      <c r="E479" s="86" t="b">
        <v>0</v>
      </c>
      <c r="F479" s="86" t="b">
        <v>0</v>
      </c>
      <c r="G479" s="86" t="b">
        <v>0</v>
      </c>
    </row>
    <row r="480" spans="1:7" ht="15">
      <c r="A480" s="87" t="s">
        <v>466</v>
      </c>
      <c r="B480" s="86">
        <v>2</v>
      </c>
      <c r="C480" s="115">
        <v>0.0007071142993808518</v>
      </c>
      <c r="D480" s="86" t="s">
        <v>4451</v>
      </c>
      <c r="E480" s="86" t="b">
        <v>0</v>
      </c>
      <c r="F480" s="86" t="b">
        <v>0</v>
      </c>
      <c r="G480" s="86" t="b">
        <v>0</v>
      </c>
    </row>
    <row r="481" spans="1:7" ht="15">
      <c r="A481" s="87" t="s">
        <v>4436</v>
      </c>
      <c r="B481" s="86">
        <v>2</v>
      </c>
      <c r="C481" s="115">
        <v>0.0007071142993808518</v>
      </c>
      <c r="D481" s="86" t="s">
        <v>4451</v>
      </c>
      <c r="E481" s="86" t="b">
        <v>0</v>
      </c>
      <c r="F481" s="86" t="b">
        <v>0</v>
      </c>
      <c r="G481" s="86" t="b">
        <v>0</v>
      </c>
    </row>
    <row r="482" spans="1:7" ht="15">
      <c r="A482" s="87" t="s">
        <v>4437</v>
      </c>
      <c r="B482" s="86">
        <v>2</v>
      </c>
      <c r="C482" s="115">
        <v>0.0007071142993808518</v>
      </c>
      <c r="D482" s="86" t="s">
        <v>4451</v>
      </c>
      <c r="E482" s="86" t="b">
        <v>0</v>
      </c>
      <c r="F482" s="86" t="b">
        <v>0</v>
      </c>
      <c r="G482" s="86" t="b">
        <v>0</v>
      </c>
    </row>
    <row r="483" spans="1:7" ht="15">
      <c r="A483" s="87" t="s">
        <v>4438</v>
      </c>
      <c r="B483" s="86">
        <v>2</v>
      </c>
      <c r="C483" s="115">
        <v>0.0007071142993808518</v>
      </c>
      <c r="D483" s="86" t="s">
        <v>4451</v>
      </c>
      <c r="E483" s="86" t="b">
        <v>0</v>
      </c>
      <c r="F483" s="86" t="b">
        <v>0</v>
      </c>
      <c r="G483" s="86" t="b">
        <v>0</v>
      </c>
    </row>
    <row r="484" spans="1:7" ht="15">
      <c r="A484" s="87" t="s">
        <v>4439</v>
      </c>
      <c r="B484" s="86">
        <v>2</v>
      </c>
      <c r="C484" s="115">
        <v>0.0007071142993808518</v>
      </c>
      <c r="D484" s="86" t="s">
        <v>4451</v>
      </c>
      <c r="E484" s="86" t="b">
        <v>0</v>
      </c>
      <c r="F484" s="86" t="b">
        <v>0</v>
      </c>
      <c r="G484" s="86" t="b">
        <v>0</v>
      </c>
    </row>
    <row r="485" spans="1:7" ht="15">
      <c r="A485" s="87" t="s">
        <v>4440</v>
      </c>
      <c r="B485" s="86">
        <v>2</v>
      </c>
      <c r="C485" s="115">
        <v>0.0008013481374350015</v>
      </c>
      <c r="D485" s="86" t="s">
        <v>4451</v>
      </c>
      <c r="E485" s="86" t="b">
        <v>0</v>
      </c>
      <c r="F485" s="86" t="b">
        <v>0</v>
      </c>
      <c r="G485" s="86" t="b">
        <v>0</v>
      </c>
    </row>
    <row r="486" spans="1:7" ht="15">
      <c r="A486" s="87" t="s">
        <v>4441</v>
      </c>
      <c r="B486" s="86">
        <v>2</v>
      </c>
      <c r="C486" s="115">
        <v>0.0008013481374350015</v>
      </c>
      <c r="D486" s="86" t="s">
        <v>4451</v>
      </c>
      <c r="E486" s="86" t="b">
        <v>0</v>
      </c>
      <c r="F486" s="86" t="b">
        <v>0</v>
      </c>
      <c r="G486" s="86" t="b">
        <v>0</v>
      </c>
    </row>
    <row r="487" spans="1:7" ht="15">
      <c r="A487" s="87" t="s">
        <v>4442</v>
      </c>
      <c r="B487" s="86">
        <v>2</v>
      </c>
      <c r="C487" s="115">
        <v>0.0008013481374350015</v>
      </c>
      <c r="D487" s="86" t="s">
        <v>4451</v>
      </c>
      <c r="E487" s="86" t="b">
        <v>0</v>
      </c>
      <c r="F487" s="86" t="b">
        <v>0</v>
      </c>
      <c r="G487" s="86" t="b">
        <v>0</v>
      </c>
    </row>
    <row r="488" spans="1:7" ht="15">
      <c r="A488" s="87" t="s">
        <v>4443</v>
      </c>
      <c r="B488" s="86">
        <v>2</v>
      </c>
      <c r="C488" s="115">
        <v>0.0007071142993808518</v>
      </c>
      <c r="D488" s="86" t="s">
        <v>4451</v>
      </c>
      <c r="E488" s="86" t="b">
        <v>0</v>
      </c>
      <c r="F488" s="86" t="b">
        <v>0</v>
      </c>
      <c r="G488" s="86" t="b">
        <v>0</v>
      </c>
    </row>
    <row r="489" spans="1:7" ht="15">
      <c r="A489" s="87" t="s">
        <v>4444</v>
      </c>
      <c r="B489" s="86">
        <v>2</v>
      </c>
      <c r="C489" s="115">
        <v>0.0007071142993808518</v>
      </c>
      <c r="D489" s="86" t="s">
        <v>4451</v>
      </c>
      <c r="E489" s="86" t="b">
        <v>0</v>
      </c>
      <c r="F489" s="86" t="b">
        <v>0</v>
      </c>
      <c r="G489" s="86" t="b">
        <v>0</v>
      </c>
    </row>
    <row r="490" spans="1:7" ht="15">
      <c r="A490" s="87" t="s">
        <v>4445</v>
      </c>
      <c r="B490" s="86">
        <v>2</v>
      </c>
      <c r="C490" s="115">
        <v>0.0008013481374350015</v>
      </c>
      <c r="D490" s="86" t="s">
        <v>4451</v>
      </c>
      <c r="E490" s="86" t="b">
        <v>0</v>
      </c>
      <c r="F490" s="86" t="b">
        <v>0</v>
      </c>
      <c r="G490" s="86" t="b">
        <v>0</v>
      </c>
    </row>
    <row r="491" spans="1:7" ht="15">
      <c r="A491" s="87" t="s">
        <v>456</v>
      </c>
      <c r="B491" s="86">
        <v>2</v>
      </c>
      <c r="C491" s="115">
        <v>0.0007071142993808518</v>
      </c>
      <c r="D491" s="86" t="s">
        <v>4451</v>
      </c>
      <c r="E491" s="86" t="b">
        <v>0</v>
      </c>
      <c r="F491" s="86" t="b">
        <v>0</v>
      </c>
      <c r="G491" s="86" t="b">
        <v>0</v>
      </c>
    </row>
    <row r="492" spans="1:7" ht="15">
      <c r="A492" s="87" t="s">
        <v>455</v>
      </c>
      <c r="B492" s="86">
        <v>2</v>
      </c>
      <c r="C492" s="115">
        <v>0.0007071142993808518</v>
      </c>
      <c r="D492" s="86" t="s">
        <v>4451</v>
      </c>
      <c r="E492" s="86" t="b">
        <v>0</v>
      </c>
      <c r="F492" s="86" t="b">
        <v>0</v>
      </c>
      <c r="G492" s="86" t="b">
        <v>0</v>
      </c>
    </row>
    <row r="493" spans="1:7" ht="15">
      <c r="A493" s="87" t="s">
        <v>454</v>
      </c>
      <c r="B493" s="86">
        <v>2</v>
      </c>
      <c r="C493" s="115">
        <v>0.0007071142993808518</v>
      </c>
      <c r="D493" s="86" t="s">
        <v>4451</v>
      </c>
      <c r="E493" s="86" t="b">
        <v>0</v>
      </c>
      <c r="F493" s="86" t="b">
        <v>0</v>
      </c>
      <c r="G493" s="86" t="b">
        <v>0</v>
      </c>
    </row>
    <row r="494" spans="1:7" ht="15">
      <c r="A494" s="87" t="s">
        <v>3391</v>
      </c>
      <c r="B494" s="86">
        <v>2</v>
      </c>
      <c r="C494" s="115">
        <v>0.0007071142993808518</v>
      </c>
      <c r="D494" s="86" t="s">
        <v>4451</v>
      </c>
      <c r="E494" s="86" t="b">
        <v>0</v>
      </c>
      <c r="F494" s="86" t="b">
        <v>0</v>
      </c>
      <c r="G494" s="86" t="b">
        <v>0</v>
      </c>
    </row>
    <row r="495" spans="1:7" ht="15">
      <c r="A495" s="87" t="s">
        <v>3355</v>
      </c>
      <c r="B495" s="86">
        <v>152</v>
      </c>
      <c r="C495" s="115">
        <v>0.00597725202817846</v>
      </c>
      <c r="D495" s="86" t="s">
        <v>3161</v>
      </c>
      <c r="E495" s="86" t="b">
        <v>0</v>
      </c>
      <c r="F495" s="86" t="b">
        <v>0</v>
      </c>
      <c r="G495" s="86" t="b">
        <v>0</v>
      </c>
    </row>
    <row r="496" spans="1:7" ht="15">
      <c r="A496" s="87" t="s">
        <v>3356</v>
      </c>
      <c r="B496" s="86">
        <v>142</v>
      </c>
      <c r="C496" s="115">
        <v>0.0067952673978902344</v>
      </c>
      <c r="D496" s="86" t="s">
        <v>3161</v>
      </c>
      <c r="E496" s="86" t="b">
        <v>0</v>
      </c>
      <c r="F496" s="86" t="b">
        <v>0</v>
      </c>
      <c r="G496" s="86" t="b">
        <v>0</v>
      </c>
    </row>
    <row r="497" spans="1:7" ht="15">
      <c r="A497" s="87" t="s">
        <v>3354</v>
      </c>
      <c r="B497" s="86">
        <v>120</v>
      </c>
      <c r="C497" s="115">
        <v>0.007828590827366378</v>
      </c>
      <c r="D497" s="86" t="s">
        <v>3161</v>
      </c>
      <c r="E497" s="86" t="b">
        <v>0</v>
      </c>
      <c r="F497" s="86" t="b">
        <v>0</v>
      </c>
      <c r="G497" s="86" t="b">
        <v>0</v>
      </c>
    </row>
    <row r="498" spans="1:7" ht="15">
      <c r="A498" s="87" t="s">
        <v>3358</v>
      </c>
      <c r="B498" s="86">
        <v>96</v>
      </c>
      <c r="C498" s="115">
        <v>0.008678702640800767</v>
      </c>
      <c r="D498" s="86" t="s">
        <v>3161</v>
      </c>
      <c r="E498" s="86" t="b">
        <v>0</v>
      </c>
      <c r="F498" s="86" t="b">
        <v>0</v>
      </c>
      <c r="G498" s="86" t="b">
        <v>0</v>
      </c>
    </row>
    <row r="499" spans="1:7" ht="15">
      <c r="A499" s="87" t="s">
        <v>3307</v>
      </c>
      <c r="B499" s="86">
        <v>82</v>
      </c>
      <c r="C499" s="115">
        <v>0.009945846503442293</v>
      </c>
      <c r="D499" s="86" t="s">
        <v>3161</v>
      </c>
      <c r="E499" s="86" t="b">
        <v>0</v>
      </c>
      <c r="F499" s="86" t="b">
        <v>0</v>
      </c>
      <c r="G499" s="86" t="b">
        <v>0</v>
      </c>
    </row>
    <row r="500" spans="1:7" ht="15">
      <c r="A500" s="87" t="s">
        <v>3357</v>
      </c>
      <c r="B500" s="86">
        <v>81</v>
      </c>
      <c r="C500" s="115">
        <v>0.008874637525867004</v>
      </c>
      <c r="D500" s="86" t="s">
        <v>3161</v>
      </c>
      <c r="E500" s="86" t="b">
        <v>0</v>
      </c>
      <c r="F500" s="86" t="b">
        <v>0</v>
      </c>
      <c r="G500" s="86" t="b">
        <v>0</v>
      </c>
    </row>
    <row r="501" spans="1:7" ht="15">
      <c r="A501" s="87" t="s">
        <v>3361</v>
      </c>
      <c r="B501" s="86">
        <v>79</v>
      </c>
      <c r="C501" s="115">
        <v>0.00899174616516181</v>
      </c>
      <c r="D501" s="86" t="s">
        <v>3161</v>
      </c>
      <c r="E501" s="86" t="b">
        <v>0</v>
      </c>
      <c r="F501" s="86" t="b">
        <v>0</v>
      </c>
      <c r="G501" s="86" t="b">
        <v>0</v>
      </c>
    </row>
    <row r="502" spans="1:7" ht="15">
      <c r="A502" s="87" t="s">
        <v>3360</v>
      </c>
      <c r="B502" s="86">
        <v>77</v>
      </c>
      <c r="C502" s="115">
        <v>0.008876155468607266</v>
      </c>
      <c r="D502" s="86" t="s">
        <v>3161</v>
      </c>
      <c r="E502" s="86" t="b">
        <v>0</v>
      </c>
      <c r="F502" s="86" t="b">
        <v>0</v>
      </c>
      <c r="G502" s="86" t="b">
        <v>0</v>
      </c>
    </row>
    <row r="503" spans="1:7" ht="15">
      <c r="A503" s="87" t="s">
        <v>3363</v>
      </c>
      <c r="B503" s="86">
        <v>67</v>
      </c>
      <c r="C503" s="115">
        <v>0.008774528962202134</v>
      </c>
      <c r="D503" s="86" t="s">
        <v>3161</v>
      </c>
      <c r="E503" s="86" t="b">
        <v>0</v>
      </c>
      <c r="F503" s="86" t="b">
        <v>0</v>
      </c>
      <c r="G503" s="86" t="b">
        <v>0</v>
      </c>
    </row>
    <row r="504" spans="1:7" ht="15">
      <c r="A504" s="87" t="s">
        <v>3364</v>
      </c>
      <c r="B504" s="86">
        <v>61</v>
      </c>
      <c r="C504" s="115">
        <v>0.008634152230237304</v>
      </c>
      <c r="D504" s="86" t="s">
        <v>3161</v>
      </c>
      <c r="E504" s="86" t="b">
        <v>0</v>
      </c>
      <c r="F504" s="86" t="b">
        <v>0</v>
      </c>
      <c r="G504" s="86" t="b">
        <v>0</v>
      </c>
    </row>
    <row r="505" spans="1:7" ht="15">
      <c r="A505" s="87" t="s">
        <v>3327</v>
      </c>
      <c r="B505" s="86">
        <v>60</v>
      </c>
      <c r="C505" s="115">
        <v>0.009193213459178609</v>
      </c>
      <c r="D505" s="86" t="s">
        <v>3161</v>
      </c>
      <c r="E505" s="86" t="b">
        <v>0</v>
      </c>
      <c r="F505" s="86" t="b">
        <v>0</v>
      </c>
      <c r="G505" s="86" t="b">
        <v>0</v>
      </c>
    </row>
    <row r="506" spans="1:7" ht="15">
      <c r="A506" s="87" t="s">
        <v>3380</v>
      </c>
      <c r="B506" s="86">
        <v>60</v>
      </c>
      <c r="C506" s="115">
        <v>0.008833847516794394</v>
      </c>
      <c r="D506" s="86" t="s">
        <v>3161</v>
      </c>
      <c r="E506" s="86" t="b">
        <v>0</v>
      </c>
      <c r="F506" s="86" t="b">
        <v>0</v>
      </c>
      <c r="G506" s="86" t="b">
        <v>0</v>
      </c>
    </row>
    <row r="507" spans="1:7" ht="15">
      <c r="A507" s="87" t="s">
        <v>4022</v>
      </c>
      <c r="B507" s="86">
        <v>55</v>
      </c>
      <c r="C507" s="115">
        <v>0.008427112337580391</v>
      </c>
      <c r="D507" s="86" t="s">
        <v>3161</v>
      </c>
      <c r="E507" s="86" t="b">
        <v>0</v>
      </c>
      <c r="F507" s="86" t="b">
        <v>0</v>
      </c>
      <c r="G507" s="86" t="b">
        <v>0</v>
      </c>
    </row>
    <row r="508" spans="1:7" ht="15">
      <c r="A508" s="87" t="s">
        <v>4021</v>
      </c>
      <c r="B508" s="86">
        <v>55</v>
      </c>
      <c r="C508" s="115">
        <v>0.008427112337580391</v>
      </c>
      <c r="D508" s="86" t="s">
        <v>3161</v>
      </c>
      <c r="E508" s="86" t="b">
        <v>0</v>
      </c>
      <c r="F508" s="86" t="b">
        <v>1</v>
      </c>
      <c r="G508" s="86" t="b">
        <v>0</v>
      </c>
    </row>
    <row r="509" spans="1:7" ht="15">
      <c r="A509" s="87" t="s">
        <v>4023</v>
      </c>
      <c r="B509" s="86">
        <v>53</v>
      </c>
      <c r="C509" s="115">
        <v>0.008342069306327004</v>
      </c>
      <c r="D509" s="86" t="s">
        <v>3161</v>
      </c>
      <c r="E509" s="86" t="b">
        <v>0</v>
      </c>
      <c r="F509" s="86" t="b">
        <v>1</v>
      </c>
      <c r="G509" s="86" t="b">
        <v>0</v>
      </c>
    </row>
    <row r="510" spans="1:7" ht="15">
      <c r="A510" s="87" t="s">
        <v>4024</v>
      </c>
      <c r="B510" s="86">
        <v>51</v>
      </c>
      <c r="C510" s="115">
        <v>0.008248512973205396</v>
      </c>
      <c r="D510" s="86" t="s">
        <v>3161</v>
      </c>
      <c r="E510" s="86" t="b">
        <v>0</v>
      </c>
      <c r="F510" s="86" t="b">
        <v>0</v>
      </c>
      <c r="G510" s="86" t="b">
        <v>0</v>
      </c>
    </row>
    <row r="511" spans="1:7" ht="15">
      <c r="A511" s="87" t="s">
        <v>4025</v>
      </c>
      <c r="B511" s="86">
        <v>51</v>
      </c>
      <c r="C511" s="115">
        <v>0.008248512973205396</v>
      </c>
      <c r="D511" s="86" t="s">
        <v>3161</v>
      </c>
      <c r="E511" s="86" t="b">
        <v>0</v>
      </c>
      <c r="F511" s="86" t="b">
        <v>0</v>
      </c>
      <c r="G511" s="86" t="b">
        <v>0</v>
      </c>
    </row>
    <row r="512" spans="1:7" ht="15">
      <c r="A512" s="87" t="s">
        <v>4020</v>
      </c>
      <c r="B512" s="86">
        <v>49</v>
      </c>
      <c r="C512" s="115">
        <v>0.008146109315168315</v>
      </c>
      <c r="D512" s="86" t="s">
        <v>3161</v>
      </c>
      <c r="E512" s="86" t="b">
        <v>0</v>
      </c>
      <c r="F512" s="86" t="b">
        <v>1</v>
      </c>
      <c r="G512" s="86" t="b">
        <v>0</v>
      </c>
    </row>
    <row r="513" spans="1:7" ht="15">
      <c r="A513" s="87" t="s">
        <v>4026</v>
      </c>
      <c r="B513" s="86">
        <v>49</v>
      </c>
      <c r="C513" s="115">
        <v>0.008146109315168315</v>
      </c>
      <c r="D513" s="86" t="s">
        <v>3161</v>
      </c>
      <c r="E513" s="86" t="b">
        <v>0</v>
      </c>
      <c r="F513" s="86" t="b">
        <v>0</v>
      </c>
      <c r="G513" s="86" t="b">
        <v>0</v>
      </c>
    </row>
    <row r="514" spans="1:7" ht="15">
      <c r="A514" s="87" t="s">
        <v>4027</v>
      </c>
      <c r="B514" s="86">
        <v>47</v>
      </c>
      <c r="C514" s="115">
        <v>0.008034497020107308</v>
      </c>
      <c r="D514" s="86" t="s">
        <v>3161</v>
      </c>
      <c r="E514" s="86" t="b">
        <v>0</v>
      </c>
      <c r="F514" s="86" t="b">
        <v>0</v>
      </c>
      <c r="G514" s="86" t="b">
        <v>0</v>
      </c>
    </row>
    <row r="515" spans="1:7" ht="15">
      <c r="A515" s="87" t="s">
        <v>4028</v>
      </c>
      <c r="B515" s="86">
        <v>42</v>
      </c>
      <c r="C515" s="115">
        <v>0.009150918550928734</v>
      </c>
      <c r="D515" s="86" t="s">
        <v>3161</v>
      </c>
      <c r="E515" s="86" t="b">
        <v>0</v>
      </c>
      <c r="F515" s="86" t="b">
        <v>0</v>
      </c>
      <c r="G515" s="86" t="b">
        <v>0</v>
      </c>
    </row>
    <row r="516" spans="1:7" ht="15">
      <c r="A516" s="87" t="s">
        <v>4029</v>
      </c>
      <c r="B516" s="86">
        <v>40</v>
      </c>
      <c r="C516" s="115">
        <v>0.007565346995806061</v>
      </c>
      <c r="D516" s="86" t="s">
        <v>3161</v>
      </c>
      <c r="E516" s="86" t="b">
        <v>0</v>
      </c>
      <c r="F516" s="86" t="b">
        <v>0</v>
      </c>
      <c r="G516" s="86" t="b">
        <v>0</v>
      </c>
    </row>
    <row r="517" spans="1:7" ht="15">
      <c r="A517" s="87" t="s">
        <v>4030</v>
      </c>
      <c r="B517" s="86">
        <v>40</v>
      </c>
      <c r="C517" s="115">
        <v>0.007565346995806061</v>
      </c>
      <c r="D517" s="86" t="s">
        <v>3161</v>
      </c>
      <c r="E517" s="86" t="b">
        <v>0</v>
      </c>
      <c r="F517" s="86" t="b">
        <v>0</v>
      </c>
      <c r="G517" s="86" t="b">
        <v>0</v>
      </c>
    </row>
    <row r="518" spans="1:7" ht="15">
      <c r="A518" s="87" t="s">
        <v>4031</v>
      </c>
      <c r="B518" s="86">
        <v>40</v>
      </c>
      <c r="C518" s="115">
        <v>0.007565346995806061</v>
      </c>
      <c r="D518" s="86" t="s">
        <v>3161</v>
      </c>
      <c r="E518" s="86" t="b">
        <v>0</v>
      </c>
      <c r="F518" s="86" t="b">
        <v>0</v>
      </c>
      <c r="G518" s="86" t="b">
        <v>0</v>
      </c>
    </row>
    <row r="519" spans="1:7" ht="15">
      <c r="A519" s="87" t="s">
        <v>3382</v>
      </c>
      <c r="B519" s="86">
        <v>40</v>
      </c>
      <c r="C519" s="115">
        <v>0.007565346995806061</v>
      </c>
      <c r="D519" s="86" t="s">
        <v>3161</v>
      </c>
      <c r="E519" s="86" t="b">
        <v>0</v>
      </c>
      <c r="F519" s="86" t="b">
        <v>0</v>
      </c>
      <c r="G519" s="86" t="b">
        <v>0</v>
      </c>
    </row>
    <row r="520" spans="1:7" ht="15">
      <c r="A520" s="87" t="s">
        <v>3381</v>
      </c>
      <c r="B520" s="86">
        <v>36</v>
      </c>
      <c r="C520" s="115">
        <v>0.0074686197940923614</v>
      </c>
      <c r="D520" s="86" t="s">
        <v>3161</v>
      </c>
      <c r="E520" s="86" t="b">
        <v>0</v>
      </c>
      <c r="F520" s="86" t="b">
        <v>0</v>
      </c>
      <c r="G520" s="86" t="b">
        <v>0</v>
      </c>
    </row>
    <row r="521" spans="1:7" ht="15">
      <c r="A521" s="87" t="s">
        <v>4044</v>
      </c>
      <c r="B521" s="86">
        <v>34</v>
      </c>
      <c r="C521" s="115">
        <v>0.007937600704353913</v>
      </c>
      <c r="D521" s="86" t="s">
        <v>3161</v>
      </c>
      <c r="E521" s="86" t="b">
        <v>0</v>
      </c>
      <c r="F521" s="86" t="b">
        <v>0</v>
      </c>
      <c r="G521" s="86" t="b">
        <v>0</v>
      </c>
    </row>
    <row r="522" spans="1:7" ht="15">
      <c r="A522" s="87" t="s">
        <v>3359</v>
      </c>
      <c r="B522" s="86">
        <v>33</v>
      </c>
      <c r="C522" s="115">
        <v>0.007071852826789508</v>
      </c>
      <c r="D522" s="86" t="s">
        <v>3161</v>
      </c>
      <c r="E522" s="86" t="b">
        <v>0</v>
      </c>
      <c r="F522" s="86" t="b">
        <v>0</v>
      </c>
      <c r="G522" s="86" t="b">
        <v>0</v>
      </c>
    </row>
    <row r="523" spans="1:7" ht="15">
      <c r="A523" s="87" t="s">
        <v>4035</v>
      </c>
      <c r="B523" s="86">
        <v>32</v>
      </c>
      <c r="C523" s="115">
        <v>0.006857554256280736</v>
      </c>
      <c r="D523" s="86" t="s">
        <v>3161</v>
      </c>
      <c r="E523" s="86" t="b">
        <v>0</v>
      </c>
      <c r="F523" s="86" t="b">
        <v>0</v>
      </c>
      <c r="G523" s="86" t="b">
        <v>0</v>
      </c>
    </row>
    <row r="524" spans="1:7" ht="15">
      <c r="A524" s="87" t="s">
        <v>4034</v>
      </c>
      <c r="B524" s="86">
        <v>32</v>
      </c>
      <c r="C524" s="115">
        <v>0.006857554256280736</v>
      </c>
      <c r="D524" s="86" t="s">
        <v>3161</v>
      </c>
      <c r="E524" s="86" t="b">
        <v>0</v>
      </c>
      <c r="F524" s="86" t="b">
        <v>0</v>
      </c>
      <c r="G524" s="86" t="b">
        <v>0</v>
      </c>
    </row>
    <row r="525" spans="1:7" ht="15">
      <c r="A525" s="87" t="s">
        <v>4050</v>
      </c>
      <c r="B525" s="86">
        <v>30</v>
      </c>
      <c r="C525" s="115">
        <v>0.006647306039700299</v>
      </c>
      <c r="D525" s="86" t="s">
        <v>3161</v>
      </c>
      <c r="E525" s="86" t="b">
        <v>0</v>
      </c>
      <c r="F525" s="86" t="b">
        <v>0</v>
      </c>
      <c r="G525" s="86" t="b">
        <v>0</v>
      </c>
    </row>
    <row r="526" spans="1:7" ht="15">
      <c r="A526" s="87" t="s">
        <v>4032</v>
      </c>
      <c r="B526" s="86">
        <v>30</v>
      </c>
      <c r="C526" s="115">
        <v>0.006647306039700299</v>
      </c>
      <c r="D526" s="86" t="s">
        <v>3161</v>
      </c>
      <c r="E526" s="86" t="b">
        <v>0</v>
      </c>
      <c r="F526" s="86" t="b">
        <v>1</v>
      </c>
      <c r="G526" s="86" t="b">
        <v>0</v>
      </c>
    </row>
    <row r="527" spans="1:7" ht="15">
      <c r="A527" s="87" t="s">
        <v>3379</v>
      </c>
      <c r="B527" s="86">
        <v>29</v>
      </c>
      <c r="C527" s="115">
        <v>0.006536602827332332</v>
      </c>
      <c r="D527" s="86" t="s">
        <v>3161</v>
      </c>
      <c r="E527" s="86" t="b">
        <v>0</v>
      </c>
      <c r="F527" s="86" t="b">
        <v>0</v>
      </c>
      <c r="G527" s="86" t="b">
        <v>0</v>
      </c>
    </row>
    <row r="528" spans="1:7" ht="15">
      <c r="A528" s="87" t="s">
        <v>4036</v>
      </c>
      <c r="B528" s="86">
        <v>29</v>
      </c>
      <c r="C528" s="115">
        <v>0.006536602827332332</v>
      </c>
      <c r="D528" s="86" t="s">
        <v>3161</v>
      </c>
      <c r="E528" s="86" t="b">
        <v>0</v>
      </c>
      <c r="F528" s="86" t="b">
        <v>0</v>
      </c>
      <c r="G528" s="86" t="b">
        <v>0</v>
      </c>
    </row>
    <row r="529" spans="1:7" ht="15">
      <c r="A529" s="87" t="s">
        <v>3383</v>
      </c>
      <c r="B529" s="86">
        <v>28</v>
      </c>
      <c r="C529" s="115">
        <v>0.006422010069123658</v>
      </c>
      <c r="D529" s="86" t="s">
        <v>3161</v>
      </c>
      <c r="E529" s="86" t="b">
        <v>0</v>
      </c>
      <c r="F529" s="86" t="b">
        <v>0</v>
      </c>
      <c r="G529" s="86" t="b">
        <v>0</v>
      </c>
    </row>
    <row r="530" spans="1:7" ht="15">
      <c r="A530" s="87" t="s">
        <v>4042</v>
      </c>
      <c r="B530" s="86">
        <v>28</v>
      </c>
      <c r="C530" s="115">
        <v>0.006422010069123658</v>
      </c>
      <c r="D530" s="86" t="s">
        <v>3161</v>
      </c>
      <c r="E530" s="86" t="b">
        <v>0</v>
      </c>
      <c r="F530" s="86" t="b">
        <v>0</v>
      </c>
      <c r="G530" s="86" t="b">
        <v>0</v>
      </c>
    </row>
    <row r="531" spans="1:7" ht="15">
      <c r="A531" s="87" t="s">
        <v>4053</v>
      </c>
      <c r="B531" s="86">
        <v>27</v>
      </c>
      <c r="C531" s="115">
        <v>0.00630338879463399</v>
      </c>
      <c r="D531" s="86" t="s">
        <v>3161</v>
      </c>
      <c r="E531" s="86" t="b">
        <v>0</v>
      </c>
      <c r="F531" s="86" t="b">
        <v>0</v>
      </c>
      <c r="G531" s="86" t="b">
        <v>0</v>
      </c>
    </row>
    <row r="532" spans="1:7" ht="15">
      <c r="A532" s="87" t="s">
        <v>4033</v>
      </c>
      <c r="B532" s="86">
        <v>27</v>
      </c>
      <c r="C532" s="115">
        <v>0.00630338879463399</v>
      </c>
      <c r="D532" s="86" t="s">
        <v>3161</v>
      </c>
      <c r="E532" s="86" t="b">
        <v>0</v>
      </c>
      <c r="F532" s="86" t="b">
        <v>0</v>
      </c>
      <c r="G532" s="86" t="b">
        <v>0</v>
      </c>
    </row>
    <row r="533" spans="1:7" ht="15">
      <c r="A533" s="87" t="s">
        <v>462</v>
      </c>
      <c r="B533" s="86">
        <v>27</v>
      </c>
      <c r="C533" s="115">
        <v>0.00630338879463399</v>
      </c>
      <c r="D533" s="86" t="s">
        <v>3161</v>
      </c>
      <c r="E533" s="86" t="b">
        <v>0</v>
      </c>
      <c r="F533" s="86" t="b">
        <v>0</v>
      </c>
      <c r="G533" s="86" t="b">
        <v>0</v>
      </c>
    </row>
    <row r="534" spans="1:7" ht="15">
      <c r="A534" s="87" t="s">
        <v>4041</v>
      </c>
      <c r="B534" s="86">
        <v>27</v>
      </c>
      <c r="C534" s="115">
        <v>0.00666202761729805</v>
      </c>
      <c r="D534" s="86" t="s">
        <v>3161</v>
      </c>
      <c r="E534" s="86" t="b">
        <v>0</v>
      </c>
      <c r="F534" s="86" t="b">
        <v>0</v>
      </c>
      <c r="G534" s="86" t="b">
        <v>0</v>
      </c>
    </row>
    <row r="535" spans="1:7" ht="15">
      <c r="A535" s="87" t="s">
        <v>4048</v>
      </c>
      <c r="B535" s="86">
        <v>26</v>
      </c>
      <c r="C535" s="115">
        <v>0.006295590205558552</v>
      </c>
      <c r="D535" s="86" t="s">
        <v>3161</v>
      </c>
      <c r="E535" s="86" t="b">
        <v>0</v>
      </c>
      <c r="F535" s="86" t="b">
        <v>0</v>
      </c>
      <c r="G535" s="86" t="b">
        <v>0</v>
      </c>
    </row>
    <row r="536" spans="1:7" ht="15">
      <c r="A536" s="87" t="s">
        <v>4039</v>
      </c>
      <c r="B536" s="86">
        <v>26</v>
      </c>
      <c r="C536" s="115">
        <v>0.006180589732494857</v>
      </c>
      <c r="D536" s="86" t="s">
        <v>3161</v>
      </c>
      <c r="E536" s="86" t="b">
        <v>0</v>
      </c>
      <c r="F536" s="86" t="b">
        <v>0</v>
      </c>
      <c r="G536" s="86" t="b">
        <v>0</v>
      </c>
    </row>
    <row r="537" spans="1:7" ht="15">
      <c r="A537" s="87" t="s">
        <v>4037</v>
      </c>
      <c r="B537" s="86">
        <v>26</v>
      </c>
      <c r="C537" s="115">
        <v>0.006180589732494857</v>
      </c>
      <c r="D537" s="86" t="s">
        <v>3161</v>
      </c>
      <c r="E537" s="86" t="b">
        <v>0</v>
      </c>
      <c r="F537" s="86" t="b">
        <v>0</v>
      </c>
      <c r="G537" s="86" t="b">
        <v>0</v>
      </c>
    </row>
    <row r="538" spans="1:7" ht="15">
      <c r="A538" s="87" t="s">
        <v>4043</v>
      </c>
      <c r="B538" s="86">
        <v>26</v>
      </c>
      <c r="C538" s="115">
        <v>0.006180589732494857</v>
      </c>
      <c r="D538" s="86" t="s">
        <v>3161</v>
      </c>
      <c r="E538" s="86" t="b">
        <v>0</v>
      </c>
      <c r="F538" s="86" t="b">
        <v>0</v>
      </c>
      <c r="G538" s="86" t="b">
        <v>0</v>
      </c>
    </row>
    <row r="539" spans="1:7" ht="15">
      <c r="A539" s="87" t="s">
        <v>4051</v>
      </c>
      <c r="B539" s="86">
        <v>26</v>
      </c>
      <c r="C539" s="115">
        <v>0.006180589732494857</v>
      </c>
      <c r="D539" s="86" t="s">
        <v>3161</v>
      </c>
      <c r="E539" s="86" t="b">
        <v>0</v>
      </c>
      <c r="F539" s="86" t="b">
        <v>0</v>
      </c>
      <c r="G539" s="86" t="b">
        <v>0</v>
      </c>
    </row>
    <row r="540" spans="1:7" ht="15">
      <c r="A540" s="87" t="s">
        <v>3368</v>
      </c>
      <c r="B540" s="86">
        <v>26</v>
      </c>
      <c r="C540" s="115">
        <v>0.006415285853694419</v>
      </c>
      <c r="D540" s="86" t="s">
        <v>3161</v>
      </c>
      <c r="E540" s="86" t="b">
        <v>0</v>
      </c>
      <c r="F540" s="86" t="b">
        <v>0</v>
      </c>
      <c r="G540" s="86" t="b">
        <v>0</v>
      </c>
    </row>
    <row r="541" spans="1:7" ht="15">
      <c r="A541" s="87" t="s">
        <v>4045</v>
      </c>
      <c r="B541" s="86">
        <v>25</v>
      </c>
      <c r="C541" s="115">
        <v>0.006053452120729377</v>
      </c>
      <c r="D541" s="86" t="s">
        <v>3161</v>
      </c>
      <c r="E541" s="86" t="b">
        <v>0</v>
      </c>
      <c r="F541" s="86" t="b">
        <v>0</v>
      </c>
      <c r="G541" s="86" t="b">
        <v>0</v>
      </c>
    </row>
    <row r="542" spans="1:7" ht="15">
      <c r="A542" s="87" t="s">
        <v>4049</v>
      </c>
      <c r="B542" s="86">
        <v>25</v>
      </c>
      <c r="C542" s="115">
        <v>0.006053452120729377</v>
      </c>
      <c r="D542" s="86" t="s">
        <v>3161</v>
      </c>
      <c r="E542" s="86" t="b">
        <v>0</v>
      </c>
      <c r="F542" s="86" t="b">
        <v>0</v>
      </c>
      <c r="G542" s="86" t="b">
        <v>0</v>
      </c>
    </row>
    <row r="543" spans="1:7" ht="15">
      <c r="A543" s="87" t="s">
        <v>4046</v>
      </c>
      <c r="B543" s="86">
        <v>25</v>
      </c>
      <c r="C543" s="115">
        <v>0.006053452120729377</v>
      </c>
      <c r="D543" s="86" t="s">
        <v>3161</v>
      </c>
      <c r="E543" s="86" t="b">
        <v>0</v>
      </c>
      <c r="F543" s="86" t="b">
        <v>0</v>
      </c>
      <c r="G543" s="86" t="b">
        <v>0</v>
      </c>
    </row>
    <row r="544" spans="1:7" ht="15">
      <c r="A544" s="87" t="s">
        <v>4040</v>
      </c>
      <c r="B544" s="86">
        <v>25</v>
      </c>
      <c r="C544" s="115">
        <v>0.006053452120729377</v>
      </c>
      <c r="D544" s="86" t="s">
        <v>3161</v>
      </c>
      <c r="E544" s="86" t="b">
        <v>0</v>
      </c>
      <c r="F544" s="86" t="b">
        <v>0</v>
      </c>
      <c r="G544" s="86" t="b">
        <v>0</v>
      </c>
    </row>
    <row r="545" spans="1:7" ht="15">
      <c r="A545" s="87" t="s">
        <v>4038</v>
      </c>
      <c r="B545" s="86">
        <v>25</v>
      </c>
      <c r="C545" s="115">
        <v>0.006053452120729377</v>
      </c>
      <c r="D545" s="86" t="s">
        <v>3161</v>
      </c>
      <c r="E545" s="86" t="b">
        <v>0</v>
      </c>
      <c r="F545" s="86" t="b">
        <v>0</v>
      </c>
      <c r="G545" s="86" t="b">
        <v>0</v>
      </c>
    </row>
    <row r="546" spans="1:7" ht="15">
      <c r="A546" s="87" t="s">
        <v>4047</v>
      </c>
      <c r="B546" s="86">
        <v>25</v>
      </c>
      <c r="C546" s="115">
        <v>0.006053452120729377</v>
      </c>
      <c r="D546" s="86" t="s">
        <v>3161</v>
      </c>
      <c r="E546" s="86" t="b">
        <v>0</v>
      </c>
      <c r="F546" s="86" t="b">
        <v>0</v>
      </c>
      <c r="G546" s="86" t="b">
        <v>0</v>
      </c>
    </row>
    <row r="547" spans="1:7" ht="15">
      <c r="A547" s="87" t="s">
        <v>4052</v>
      </c>
      <c r="B547" s="86">
        <v>24</v>
      </c>
      <c r="C547" s="115">
        <v>0.005921802326487156</v>
      </c>
      <c r="D547" s="86" t="s">
        <v>3161</v>
      </c>
      <c r="E547" s="86" t="b">
        <v>0</v>
      </c>
      <c r="F547" s="86" t="b">
        <v>0</v>
      </c>
      <c r="G547" s="86" t="b">
        <v>0</v>
      </c>
    </row>
    <row r="548" spans="1:7" ht="15">
      <c r="A548" s="87" t="s">
        <v>3366</v>
      </c>
      <c r="B548" s="86">
        <v>24</v>
      </c>
      <c r="C548" s="115">
        <v>0.005921802326487156</v>
      </c>
      <c r="D548" s="86" t="s">
        <v>3161</v>
      </c>
      <c r="E548" s="86" t="b">
        <v>0</v>
      </c>
      <c r="F548" s="86" t="b">
        <v>0</v>
      </c>
      <c r="G548" s="86" t="b">
        <v>0</v>
      </c>
    </row>
    <row r="549" spans="1:7" ht="15">
      <c r="A549" s="87" t="s">
        <v>4056</v>
      </c>
      <c r="B549" s="86">
        <v>20</v>
      </c>
      <c r="C549" s="115">
        <v>0.005346059608855932</v>
      </c>
      <c r="D549" s="86" t="s">
        <v>3161</v>
      </c>
      <c r="E549" s="86" t="b">
        <v>0</v>
      </c>
      <c r="F549" s="86" t="b">
        <v>0</v>
      </c>
      <c r="G549" s="86" t="b">
        <v>0</v>
      </c>
    </row>
    <row r="550" spans="1:7" ht="15">
      <c r="A550" s="87" t="s">
        <v>4060</v>
      </c>
      <c r="B550" s="86">
        <v>19</v>
      </c>
      <c r="C550" s="115">
        <v>0.005188663535583193</v>
      </c>
      <c r="D550" s="86" t="s">
        <v>3161</v>
      </c>
      <c r="E550" s="86" t="b">
        <v>0</v>
      </c>
      <c r="F550" s="86" t="b">
        <v>0</v>
      </c>
      <c r="G550" s="86" t="b">
        <v>0</v>
      </c>
    </row>
    <row r="551" spans="1:7" ht="15">
      <c r="A551" s="87" t="s">
        <v>4055</v>
      </c>
      <c r="B551" s="86">
        <v>18</v>
      </c>
      <c r="C551" s="115">
        <v>0.005025329220572818</v>
      </c>
      <c r="D551" s="86" t="s">
        <v>3161</v>
      </c>
      <c r="E551" s="86" t="b">
        <v>0</v>
      </c>
      <c r="F551" s="86" t="b">
        <v>0</v>
      </c>
      <c r="G551" s="86" t="b">
        <v>0</v>
      </c>
    </row>
    <row r="552" spans="1:7" ht="15">
      <c r="A552" s="87" t="s">
        <v>4054</v>
      </c>
      <c r="B552" s="86">
        <v>18</v>
      </c>
      <c r="C552" s="115">
        <v>0.005685917314661742</v>
      </c>
      <c r="D552" s="86" t="s">
        <v>3161</v>
      </c>
      <c r="E552" s="86" t="b">
        <v>0</v>
      </c>
      <c r="F552" s="86" t="b">
        <v>0</v>
      </c>
      <c r="G552" s="86" t="b">
        <v>0</v>
      </c>
    </row>
    <row r="553" spans="1:7" ht="15">
      <c r="A553" s="87" t="s">
        <v>4061</v>
      </c>
      <c r="B553" s="86">
        <v>17</v>
      </c>
      <c r="C553" s="115">
        <v>0.0048557264304091375</v>
      </c>
      <c r="D553" s="86" t="s">
        <v>3161</v>
      </c>
      <c r="E553" s="86" t="b">
        <v>0</v>
      </c>
      <c r="F553" s="86" t="b">
        <v>1</v>
      </c>
      <c r="G553" s="86" t="b">
        <v>0</v>
      </c>
    </row>
    <row r="554" spans="1:7" ht="15">
      <c r="A554" s="87" t="s">
        <v>4064</v>
      </c>
      <c r="B554" s="86">
        <v>16</v>
      </c>
      <c r="C554" s="115">
        <v>0.004679486016902689</v>
      </c>
      <c r="D554" s="86" t="s">
        <v>3161</v>
      </c>
      <c r="E554" s="86" t="b">
        <v>0</v>
      </c>
      <c r="F554" s="86" t="b">
        <v>1</v>
      </c>
      <c r="G554" s="86" t="b">
        <v>0</v>
      </c>
    </row>
    <row r="555" spans="1:7" ht="15">
      <c r="A555" s="87" t="s">
        <v>4058</v>
      </c>
      <c r="B555" s="86">
        <v>16</v>
      </c>
      <c r="C555" s="115">
        <v>0.004920428928261554</v>
      </c>
      <c r="D555" s="86" t="s">
        <v>3161</v>
      </c>
      <c r="E555" s="86" t="b">
        <v>0</v>
      </c>
      <c r="F555" s="86" t="b">
        <v>0</v>
      </c>
      <c r="G555" s="86" t="b">
        <v>0</v>
      </c>
    </row>
    <row r="556" spans="1:7" ht="15">
      <c r="A556" s="87" t="s">
        <v>4063</v>
      </c>
      <c r="B556" s="86">
        <v>15</v>
      </c>
      <c r="C556" s="115">
        <v>0.004496192603064826</v>
      </c>
      <c r="D556" s="86" t="s">
        <v>3161</v>
      </c>
      <c r="E556" s="86" t="b">
        <v>0</v>
      </c>
      <c r="F556" s="86" t="b">
        <v>0</v>
      </c>
      <c r="G556" s="86" t="b">
        <v>0</v>
      </c>
    </row>
    <row r="557" spans="1:7" ht="15">
      <c r="A557" s="87" t="s">
        <v>4068</v>
      </c>
      <c r="B557" s="86">
        <v>15</v>
      </c>
      <c r="C557" s="115">
        <v>0.004496192603064826</v>
      </c>
      <c r="D557" s="86" t="s">
        <v>3161</v>
      </c>
      <c r="E557" s="86" t="b">
        <v>0</v>
      </c>
      <c r="F557" s="86" t="b">
        <v>0</v>
      </c>
      <c r="G557" s="86" t="b">
        <v>0</v>
      </c>
    </row>
    <row r="558" spans="1:7" ht="15">
      <c r="A558" s="87" t="s">
        <v>4065</v>
      </c>
      <c r="B558" s="86">
        <v>15</v>
      </c>
      <c r="C558" s="115">
        <v>0.004496192603064826</v>
      </c>
      <c r="D558" s="86" t="s">
        <v>3161</v>
      </c>
      <c r="E558" s="86" t="b">
        <v>0</v>
      </c>
      <c r="F558" s="86" t="b">
        <v>0</v>
      </c>
      <c r="G558" s="86" t="b">
        <v>0</v>
      </c>
    </row>
    <row r="559" spans="1:7" ht="15">
      <c r="A559" s="87" t="s">
        <v>4067</v>
      </c>
      <c r="B559" s="86">
        <v>15</v>
      </c>
      <c r="C559" s="115">
        <v>0.004496192603064826</v>
      </c>
      <c r="D559" s="86" t="s">
        <v>3161</v>
      </c>
      <c r="E559" s="86" t="b">
        <v>0</v>
      </c>
      <c r="F559" s="86" t="b">
        <v>0</v>
      </c>
      <c r="G559" s="86" t="b">
        <v>0</v>
      </c>
    </row>
    <row r="560" spans="1:7" ht="15">
      <c r="A560" s="87" t="s">
        <v>4066</v>
      </c>
      <c r="B560" s="86">
        <v>15</v>
      </c>
      <c r="C560" s="115">
        <v>0.004496192603064826</v>
      </c>
      <c r="D560" s="86" t="s">
        <v>3161</v>
      </c>
      <c r="E560" s="86" t="b">
        <v>0</v>
      </c>
      <c r="F560" s="86" t="b">
        <v>1</v>
      </c>
      <c r="G560" s="86" t="b">
        <v>0</v>
      </c>
    </row>
    <row r="561" spans="1:7" ht="15">
      <c r="A561" s="87" t="s">
        <v>4069</v>
      </c>
      <c r="B561" s="86">
        <v>15</v>
      </c>
      <c r="C561" s="115">
        <v>0.004496192603064826</v>
      </c>
      <c r="D561" s="86" t="s">
        <v>3161</v>
      </c>
      <c r="E561" s="86" t="b">
        <v>0</v>
      </c>
      <c r="F561" s="86" t="b">
        <v>0</v>
      </c>
      <c r="G561" s="86" t="b">
        <v>0</v>
      </c>
    </row>
    <row r="562" spans="1:7" ht="15">
      <c r="A562" s="87" t="s">
        <v>4062</v>
      </c>
      <c r="B562" s="86">
        <v>15</v>
      </c>
      <c r="C562" s="115">
        <v>0.004496192603064826</v>
      </c>
      <c r="D562" s="86" t="s">
        <v>3161</v>
      </c>
      <c r="E562" s="86" t="b">
        <v>0</v>
      </c>
      <c r="F562" s="86" t="b">
        <v>0</v>
      </c>
      <c r="G562" s="86" t="b">
        <v>0</v>
      </c>
    </row>
    <row r="563" spans="1:7" ht="15">
      <c r="A563" s="87" t="s">
        <v>4074</v>
      </c>
      <c r="B563" s="86">
        <v>14</v>
      </c>
      <c r="C563" s="115">
        <v>0.004305375312228859</v>
      </c>
      <c r="D563" s="86" t="s">
        <v>3161</v>
      </c>
      <c r="E563" s="86" t="b">
        <v>0</v>
      </c>
      <c r="F563" s="86" t="b">
        <v>0</v>
      </c>
      <c r="G563" s="86" t="b">
        <v>0</v>
      </c>
    </row>
    <row r="564" spans="1:7" ht="15">
      <c r="A564" s="87" t="s">
        <v>4057</v>
      </c>
      <c r="B564" s="86">
        <v>14</v>
      </c>
      <c r="C564" s="115">
        <v>0.004836612003866183</v>
      </c>
      <c r="D564" s="86" t="s">
        <v>3161</v>
      </c>
      <c r="E564" s="86" t="b">
        <v>0</v>
      </c>
      <c r="F564" s="86" t="b">
        <v>0</v>
      </c>
      <c r="G564" s="86" t="b">
        <v>0</v>
      </c>
    </row>
    <row r="565" spans="1:7" ht="15">
      <c r="A565" s="87" t="s">
        <v>4078</v>
      </c>
      <c r="B565" s="86">
        <v>13</v>
      </c>
      <c r="C565" s="115">
        <v>0.004106495838366814</v>
      </c>
      <c r="D565" s="86" t="s">
        <v>3161</v>
      </c>
      <c r="E565" s="86" t="b">
        <v>0</v>
      </c>
      <c r="F565" s="86" t="b">
        <v>0</v>
      </c>
      <c r="G565" s="86" t="b">
        <v>0</v>
      </c>
    </row>
    <row r="566" spans="1:7" ht="15">
      <c r="A566" s="87" t="s">
        <v>4070</v>
      </c>
      <c r="B566" s="86">
        <v>13</v>
      </c>
      <c r="C566" s="115">
        <v>0.004106495838366814</v>
      </c>
      <c r="D566" s="86" t="s">
        <v>3161</v>
      </c>
      <c r="E566" s="86" t="b">
        <v>0</v>
      </c>
      <c r="F566" s="86" t="b">
        <v>0</v>
      </c>
      <c r="G566" s="86" t="b">
        <v>0</v>
      </c>
    </row>
    <row r="567" spans="1:7" ht="15">
      <c r="A567" s="87" t="s">
        <v>4075</v>
      </c>
      <c r="B567" s="86">
        <v>13</v>
      </c>
      <c r="C567" s="115">
        <v>0.005014049476331899</v>
      </c>
      <c r="D567" s="86" t="s">
        <v>3161</v>
      </c>
      <c r="E567" s="86" t="b">
        <v>0</v>
      </c>
      <c r="F567" s="86" t="b">
        <v>0</v>
      </c>
      <c r="G567" s="86" t="b">
        <v>0</v>
      </c>
    </row>
    <row r="568" spans="1:7" ht="15">
      <c r="A568" s="87" t="s">
        <v>4080</v>
      </c>
      <c r="B568" s="86">
        <v>13</v>
      </c>
      <c r="C568" s="115">
        <v>0.004106495838366814</v>
      </c>
      <c r="D568" s="86" t="s">
        <v>3161</v>
      </c>
      <c r="E568" s="86" t="b">
        <v>1</v>
      </c>
      <c r="F568" s="86" t="b">
        <v>0</v>
      </c>
      <c r="G568" s="86" t="b">
        <v>0</v>
      </c>
    </row>
    <row r="569" spans="1:7" ht="15">
      <c r="A569" s="87" t="s">
        <v>4071</v>
      </c>
      <c r="B569" s="86">
        <v>13</v>
      </c>
      <c r="C569" s="115">
        <v>0.004106495838366814</v>
      </c>
      <c r="D569" s="86" t="s">
        <v>3161</v>
      </c>
      <c r="E569" s="86" t="b">
        <v>0</v>
      </c>
      <c r="F569" s="86" t="b">
        <v>0</v>
      </c>
      <c r="G569" s="86" t="b">
        <v>0</v>
      </c>
    </row>
    <row r="570" spans="1:7" ht="15">
      <c r="A570" s="87" t="s">
        <v>3376</v>
      </c>
      <c r="B570" s="86">
        <v>12</v>
      </c>
      <c r="C570" s="115">
        <v>0.004016684772342662</v>
      </c>
      <c r="D570" s="86" t="s">
        <v>3161</v>
      </c>
      <c r="E570" s="86" t="b">
        <v>0</v>
      </c>
      <c r="F570" s="86" t="b">
        <v>0</v>
      </c>
      <c r="G570" s="86" t="b">
        <v>0</v>
      </c>
    </row>
    <row r="571" spans="1:7" ht="15">
      <c r="A571" s="87" t="s">
        <v>4079</v>
      </c>
      <c r="B571" s="86">
        <v>12</v>
      </c>
      <c r="C571" s="115">
        <v>0.0038989328298153192</v>
      </c>
      <c r="D571" s="86" t="s">
        <v>3161</v>
      </c>
      <c r="E571" s="86" t="b">
        <v>0</v>
      </c>
      <c r="F571" s="86" t="b">
        <v>0</v>
      </c>
      <c r="G571" s="86" t="b">
        <v>0</v>
      </c>
    </row>
    <row r="572" spans="1:7" ht="15">
      <c r="A572" s="87" t="s">
        <v>4082</v>
      </c>
      <c r="B572" s="86">
        <v>11</v>
      </c>
      <c r="C572" s="115">
        <v>0.0036819610413141063</v>
      </c>
      <c r="D572" s="86" t="s">
        <v>3161</v>
      </c>
      <c r="E572" s="86" t="b">
        <v>0</v>
      </c>
      <c r="F572" s="86" t="b">
        <v>0</v>
      </c>
      <c r="G572" s="86" t="b">
        <v>0</v>
      </c>
    </row>
    <row r="573" spans="1:7" ht="15">
      <c r="A573" s="87" t="s">
        <v>4073</v>
      </c>
      <c r="B573" s="86">
        <v>10</v>
      </c>
      <c r="C573" s="115">
        <v>0.0035735426224613506</v>
      </c>
      <c r="D573" s="86" t="s">
        <v>3161</v>
      </c>
      <c r="E573" s="86" t="b">
        <v>0</v>
      </c>
      <c r="F573" s="86" t="b">
        <v>0</v>
      </c>
      <c r="G573" s="86" t="b">
        <v>0</v>
      </c>
    </row>
    <row r="574" spans="1:7" ht="15">
      <c r="A574" s="87" t="s">
        <v>4084</v>
      </c>
      <c r="B574" s="86">
        <v>10</v>
      </c>
      <c r="C574" s="115">
        <v>0.0034547228599044167</v>
      </c>
      <c r="D574" s="86" t="s">
        <v>3161</v>
      </c>
      <c r="E574" s="86" t="b">
        <v>0</v>
      </c>
      <c r="F574" s="86" t="b">
        <v>0</v>
      </c>
      <c r="G574" s="86" t="b">
        <v>0</v>
      </c>
    </row>
    <row r="575" spans="1:7" ht="15">
      <c r="A575" s="87" t="s">
        <v>4085</v>
      </c>
      <c r="B575" s="86">
        <v>9</v>
      </c>
      <c r="C575" s="115">
        <v>0.0033357346344365683</v>
      </c>
      <c r="D575" s="86" t="s">
        <v>3161</v>
      </c>
      <c r="E575" s="86" t="b">
        <v>0</v>
      </c>
      <c r="F575" s="86" t="b">
        <v>0</v>
      </c>
      <c r="G575" s="86" t="b">
        <v>0</v>
      </c>
    </row>
    <row r="576" spans="1:7" ht="15">
      <c r="A576" s="87" t="s">
        <v>4076</v>
      </c>
      <c r="B576" s="86">
        <v>9</v>
      </c>
      <c r="C576" s="115">
        <v>0.003216188360215215</v>
      </c>
      <c r="D576" s="86" t="s">
        <v>3161</v>
      </c>
      <c r="E576" s="86" t="b">
        <v>0</v>
      </c>
      <c r="F576" s="86" t="b">
        <v>0</v>
      </c>
      <c r="G576" s="86" t="b">
        <v>0</v>
      </c>
    </row>
    <row r="577" spans="1:7" ht="15">
      <c r="A577" s="87" t="s">
        <v>4072</v>
      </c>
      <c r="B577" s="86">
        <v>9</v>
      </c>
      <c r="C577" s="115">
        <v>0.0033357346344365683</v>
      </c>
      <c r="D577" s="86" t="s">
        <v>3161</v>
      </c>
      <c r="E577" s="86" t="b">
        <v>0</v>
      </c>
      <c r="F577" s="86" t="b">
        <v>0</v>
      </c>
      <c r="G577" s="86" t="b">
        <v>0</v>
      </c>
    </row>
    <row r="578" spans="1:7" ht="15">
      <c r="A578" s="87" t="s">
        <v>4077</v>
      </c>
      <c r="B578" s="86">
        <v>9</v>
      </c>
      <c r="C578" s="115">
        <v>0.003216188360215215</v>
      </c>
      <c r="D578" s="86" t="s">
        <v>3161</v>
      </c>
      <c r="E578" s="86" t="b">
        <v>0</v>
      </c>
      <c r="F578" s="86" t="b">
        <v>0</v>
      </c>
      <c r="G578" s="86" t="b">
        <v>0</v>
      </c>
    </row>
    <row r="579" spans="1:7" ht="15">
      <c r="A579" s="87" t="s">
        <v>4092</v>
      </c>
      <c r="B579" s="86">
        <v>9</v>
      </c>
      <c r="C579" s="115">
        <v>0.003216188360215215</v>
      </c>
      <c r="D579" s="86" t="s">
        <v>3161</v>
      </c>
      <c r="E579" s="86" t="b">
        <v>0</v>
      </c>
      <c r="F579" s="86" t="b">
        <v>0</v>
      </c>
      <c r="G579" s="86" t="b">
        <v>0</v>
      </c>
    </row>
    <row r="580" spans="1:7" ht="15">
      <c r="A580" s="87" t="s">
        <v>4109</v>
      </c>
      <c r="B580" s="86">
        <v>8</v>
      </c>
      <c r="C580" s="115">
        <v>0.0029650974528325053</v>
      </c>
      <c r="D580" s="86" t="s">
        <v>3161</v>
      </c>
      <c r="E580" s="86" t="b">
        <v>0</v>
      </c>
      <c r="F580" s="86" t="b">
        <v>0</v>
      </c>
      <c r="G580" s="86" t="b">
        <v>0</v>
      </c>
    </row>
    <row r="581" spans="1:7" ht="15">
      <c r="A581" s="87" t="s">
        <v>4100</v>
      </c>
      <c r="B581" s="86">
        <v>8</v>
      </c>
      <c r="C581" s="115">
        <v>0.0029650974528325053</v>
      </c>
      <c r="D581" s="86" t="s">
        <v>3161</v>
      </c>
      <c r="E581" s="86" t="b">
        <v>1</v>
      </c>
      <c r="F581" s="86" t="b">
        <v>0</v>
      </c>
      <c r="G581" s="86" t="b">
        <v>0</v>
      </c>
    </row>
    <row r="582" spans="1:7" ht="15">
      <c r="A582" s="87" t="s">
        <v>3318</v>
      </c>
      <c r="B582" s="86">
        <v>8</v>
      </c>
      <c r="C582" s="115">
        <v>0.003085568908511938</v>
      </c>
      <c r="D582" s="86" t="s">
        <v>3161</v>
      </c>
      <c r="E582" s="86" t="b">
        <v>0</v>
      </c>
      <c r="F582" s="86" t="b">
        <v>0</v>
      </c>
      <c r="G582" s="86" t="b">
        <v>0</v>
      </c>
    </row>
    <row r="583" spans="1:7" ht="15">
      <c r="A583" s="87" t="s">
        <v>4086</v>
      </c>
      <c r="B583" s="86">
        <v>7</v>
      </c>
      <c r="C583" s="115">
        <v>0.0026998727949479454</v>
      </c>
      <c r="D583" s="86" t="s">
        <v>3161</v>
      </c>
      <c r="E583" s="86" t="b">
        <v>0</v>
      </c>
      <c r="F583" s="86" t="b">
        <v>0</v>
      </c>
      <c r="G583" s="86" t="b">
        <v>0</v>
      </c>
    </row>
    <row r="584" spans="1:7" ht="15">
      <c r="A584" s="87" t="s">
        <v>4104</v>
      </c>
      <c r="B584" s="86">
        <v>7</v>
      </c>
      <c r="C584" s="115">
        <v>0.0026998727949479454</v>
      </c>
      <c r="D584" s="86" t="s">
        <v>3161</v>
      </c>
      <c r="E584" s="86" t="b">
        <v>0</v>
      </c>
      <c r="F584" s="86" t="b">
        <v>0</v>
      </c>
      <c r="G584" s="86" t="b">
        <v>0</v>
      </c>
    </row>
    <row r="585" spans="1:7" ht="15">
      <c r="A585" s="87" t="s">
        <v>4105</v>
      </c>
      <c r="B585" s="86">
        <v>7</v>
      </c>
      <c r="C585" s="115">
        <v>0.0026998727949479454</v>
      </c>
      <c r="D585" s="86" t="s">
        <v>3161</v>
      </c>
      <c r="E585" s="86" t="b">
        <v>0</v>
      </c>
      <c r="F585" s="86" t="b">
        <v>0</v>
      </c>
      <c r="G585" s="86" t="b">
        <v>0</v>
      </c>
    </row>
    <row r="586" spans="1:7" ht="15">
      <c r="A586" s="87" t="s">
        <v>4106</v>
      </c>
      <c r="B586" s="86">
        <v>7</v>
      </c>
      <c r="C586" s="115">
        <v>0.0026998727949479454</v>
      </c>
      <c r="D586" s="86" t="s">
        <v>3161</v>
      </c>
      <c r="E586" s="86" t="b">
        <v>0</v>
      </c>
      <c r="F586" s="86" t="b">
        <v>0</v>
      </c>
      <c r="G586" s="86" t="b">
        <v>0</v>
      </c>
    </row>
    <row r="587" spans="1:7" ht="15">
      <c r="A587" s="87" t="s">
        <v>4091</v>
      </c>
      <c r="B587" s="86">
        <v>7</v>
      </c>
      <c r="C587" s="115">
        <v>0.0026998727949479454</v>
      </c>
      <c r="D587" s="86" t="s">
        <v>3161</v>
      </c>
      <c r="E587" s="86" t="b">
        <v>0</v>
      </c>
      <c r="F587" s="86" t="b">
        <v>0</v>
      </c>
      <c r="G587" s="86" t="b">
        <v>0</v>
      </c>
    </row>
    <row r="588" spans="1:7" ht="15">
      <c r="A588" s="87" t="s">
        <v>4122</v>
      </c>
      <c r="B588" s="86">
        <v>7</v>
      </c>
      <c r="C588" s="115">
        <v>0.0026998727949479454</v>
      </c>
      <c r="D588" s="86" t="s">
        <v>3161</v>
      </c>
      <c r="E588" s="86" t="b">
        <v>0</v>
      </c>
      <c r="F588" s="86" t="b">
        <v>0</v>
      </c>
      <c r="G588" s="86" t="b">
        <v>0</v>
      </c>
    </row>
    <row r="589" spans="1:7" ht="15">
      <c r="A589" s="87" t="s">
        <v>4123</v>
      </c>
      <c r="B589" s="86">
        <v>7</v>
      </c>
      <c r="C589" s="115">
        <v>0.0026998727949479454</v>
      </c>
      <c r="D589" s="86" t="s">
        <v>3161</v>
      </c>
      <c r="E589" s="86" t="b">
        <v>0</v>
      </c>
      <c r="F589" s="86" t="b">
        <v>0</v>
      </c>
      <c r="G589" s="86" t="b">
        <v>0</v>
      </c>
    </row>
    <row r="590" spans="1:7" ht="15">
      <c r="A590" s="87" t="s">
        <v>4124</v>
      </c>
      <c r="B590" s="86">
        <v>7</v>
      </c>
      <c r="C590" s="115">
        <v>0.0026998727949479454</v>
      </c>
      <c r="D590" s="86" t="s">
        <v>3161</v>
      </c>
      <c r="E590" s="86" t="b">
        <v>0</v>
      </c>
      <c r="F590" s="86" t="b">
        <v>0</v>
      </c>
      <c r="G590" s="86" t="b">
        <v>0</v>
      </c>
    </row>
    <row r="591" spans="1:7" ht="15">
      <c r="A591" s="87" t="s">
        <v>4094</v>
      </c>
      <c r="B591" s="86">
        <v>7</v>
      </c>
      <c r="C591" s="115">
        <v>0.0026998727949479454</v>
      </c>
      <c r="D591" s="86" t="s">
        <v>3161</v>
      </c>
      <c r="E591" s="86" t="b">
        <v>0</v>
      </c>
      <c r="F591" s="86" t="b">
        <v>0</v>
      </c>
      <c r="G591" s="86" t="b">
        <v>0</v>
      </c>
    </row>
    <row r="592" spans="1:7" ht="15">
      <c r="A592" s="87" t="s">
        <v>4089</v>
      </c>
      <c r="B592" s="86">
        <v>7</v>
      </c>
      <c r="C592" s="115">
        <v>0.0026998727949479454</v>
      </c>
      <c r="D592" s="86" t="s">
        <v>3161</v>
      </c>
      <c r="E592" s="86" t="b">
        <v>0</v>
      </c>
      <c r="F592" s="86" t="b">
        <v>0</v>
      </c>
      <c r="G592" s="86" t="b">
        <v>0</v>
      </c>
    </row>
    <row r="593" spans="1:7" ht="15">
      <c r="A593" s="87" t="s">
        <v>4116</v>
      </c>
      <c r="B593" s="86">
        <v>7</v>
      </c>
      <c r="C593" s="115">
        <v>0.0026998727949479454</v>
      </c>
      <c r="D593" s="86" t="s">
        <v>3161</v>
      </c>
      <c r="E593" s="86" t="b">
        <v>0</v>
      </c>
      <c r="F593" s="86" t="b">
        <v>0</v>
      </c>
      <c r="G593" s="86" t="b">
        <v>0</v>
      </c>
    </row>
    <row r="594" spans="1:7" ht="15">
      <c r="A594" s="87" t="s">
        <v>4125</v>
      </c>
      <c r="B594" s="86">
        <v>7</v>
      </c>
      <c r="C594" s="115">
        <v>0.0026998727949479454</v>
      </c>
      <c r="D594" s="86" t="s">
        <v>3161</v>
      </c>
      <c r="E594" s="86" t="b">
        <v>0</v>
      </c>
      <c r="F594" s="86" t="b">
        <v>0</v>
      </c>
      <c r="G594" s="86" t="b">
        <v>0</v>
      </c>
    </row>
    <row r="595" spans="1:7" ht="15">
      <c r="A595" s="87" t="s">
        <v>4117</v>
      </c>
      <c r="B595" s="86">
        <v>6</v>
      </c>
      <c r="C595" s="115">
        <v>0.00241848224819353</v>
      </c>
      <c r="D595" s="86" t="s">
        <v>3161</v>
      </c>
      <c r="E595" s="86" t="b">
        <v>0</v>
      </c>
      <c r="F595" s="86" t="b">
        <v>0</v>
      </c>
      <c r="G595" s="86" t="b">
        <v>0</v>
      </c>
    </row>
    <row r="596" spans="1:7" ht="15">
      <c r="A596" s="87" t="s">
        <v>4103</v>
      </c>
      <c r="B596" s="86">
        <v>6</v>
      </c>
      <c r="C596" s="115">
        <v>0.00241848224819353</v>
      </c>
      <c r="D596" s="86" t="s">
        <v>3161</v>
      </c>
      <c r="E596" s="86" t="b">
        <v>0</v>
      </c>
      <c r="F596" s="86" t="b">
        <v>0</v>
      </c>
      <c r="G596" s="86" t="b">
        <v>0</v>
      </c>
    </row>
    <row r="597" spans="1:7" ht="15">
      <c r="A597" s="87" t="s">
        <v>4131</v>
      </c>
      <c r="B597" s="86">
        <v>6</v>
      </c>
      <c r="C597" s="115">
        <v>0.00241848224819353</v>
      </c>
      <c r="D597" s="86" t="s">
        <v>3161</v>
      </c>
      <c r="E597" s="86" t="b">
        <v>0</v>
      </c>
      <c r="F597" s="86" t="b">
        <v>0</v>
      </c>
      <c r="G597" s="86" t="b">
        <v>0</v>
      </c>
    </row>
    <row r="598" spans="1:7" ht="15">
      <c r="A598" s="87" t="s">
        <v>4126</v>
      </c>
      <c r="B598" s="86">
        <v>6</v>
      </c>
      <c r="C598" s="115">
        <v>0.00241848224819353</v>
      </c>
      <c r="D598" s="86" t="s">
        <v>3161</v>
      </c>
      <c r="E598" s="86" t="b">
        <v>0</v>
      </c>
      <c r="F598" s="86" t="b">
        <v>0</v>
      </c>
      <c r="G598" s="86" t="b">
        <v>0</v>
      </c>
    </row>
    <row r="599" spans="1:7" ht="15">
      <c r="A599" s="87" t="s">
        <v>4095</v>
      </c>
      <c r="B599" s="86">
        <v>6</v>
      </c>
      <c r="C599" s="115">
        <v>0.00241848224819353</v>
      </c>
      <c r="D599" s="86" t="s">
        <v>3161</v>
      </c>
      <c r="E599" s="86" t="b">
        <v>0</v>
      </c>
      <c r="F599" s="86" t="b">
        <v>0</v>
      </c>
      <c r="G599" s="86" t="b">
        <v>0</v>
      </c>
    </row>
    <row r="600" spans="1:7" ht="15">
      <c r="A600" s="87" t="s">
        <v>4140</v>
      </c>
      <c r="B600" s="86">
        <v>6</v>
      </c>
      <c r="C600" s="115">
        <v>0.00241848224819353</v>
      </c>
      <c r="D600" s="86" t="s">
        <v>3161</v>
      </c>
      <c r="E600" s="86" t="b">
        <v>0</v>
      </c>
      <c r="F600" s="86" t="b">
        <v>0</v>
      </c>
      <c r="G600" s="86" t="b">
        <v>0</v>
      </c>
    </row>
    <row r="601" spans="1:7" ht="15">
      <c r="A601" s="87" t="s">
        <v>4087</v>
      </c>
      <c r="B601" s="86">
        <v>6</v>
      </c>
      <c r="C601" s="115">
        <v>0.00241848224819353</v>
      </c>
      <c r="D601" s="86" t="s">
        <v>3161</v>
      </c>
      <c r="E601" s="86" t="b">
        <v>0</v>
      </c>
      <c r="F601" s="86" t="b">
        <v>0</v>
      </c>
      <c r="G601" s="86" t="b">
        <v>0</v>
      </c>
    </row>
    <row r="602" spans="1:7" ht="15">
      <c r="A602" s="87" t="s">
        <v>4098</v>
      </c>
      <c r="B602" s="86">
        <v>6</v>
      </c>
      <c r="C602" s="115">
        <v>0.00269283892291025</v>
      </c>
      <c r="D602" s="86" t="s">
        <v>3161</v>
      </c>
      <c r="E602" s="86" t="b">
        <v>0</v>
      </c>
      <c r="F602" s="86" t="b">
        <v>0</v>
      </c>
      <c r="G602" s="86" t="b">
        <v>0</v>
      </c>
    </row>
    <row r="603" spans="1:7" ht="15">
      <c r="A603" s="87" t="s">
        <v>4107</v>
      </c>
      <c r="B603" s="86">
        <v>6</v>
      </c>
      <c r="C603" s="115">
        <v>0.00241848224819353</v>
      </c>
      <c r="D603" s="86" t="s">
        <v>3161</v>
      </c>
      <c r="E603" s="86" t="b">
        <v>0</v>
      </c>
      <c r="F603" s="86" t="b">
        <v>0</v>
      </c>
      <c r="G603" s="86" t="b">
        <v>0</v>
      </c>
    </row>
    <row r="604" spans="1:7" ht="15">
      <c r="A604" s="87" t="s">
        <v>4101</v>
      </c>
      <c r="B604" s="86">
        <v>6</v>
      </c>
      <c r="C604" s="115">
        <v>0.00241848224819353</v>
      </c>
      <c r="D604" s="86" t="s">
        <v>3161</v>
      </c>
      <c r="E604" s="86" t="b">
        <v>0</v>
      </c>
      <c r="F604" s="86" t="b">
        <v>0</v>
      </c>
      <c r="G604" s="86" t="b">
        <v>0</v>
      </c>
    </row>
    <row r="605" spans="1:7" ht="15">
      <c r="A605" s="87" t="s">
        <v>4059</v>
      </c>
      <c r="B605" s="86">
        <v>6</v>
      </c>
      <c r="C605" s="115">
        <v>0.0025418495492285204</v>
      </c>
      <c r="D605" s="86" t="s">
        <v>3161</v>
      </c>
      <c r="E605" s="86" t="b">
        <v>0</v>
      </c>
      <c r="F605" s="86" t="b">
        <v>1</v>
      </c>
      <c r="G605" s="86" t="b">
        <v>0</v>
      </c>
    </row>
    <row r="606" spans="1:7" ht="15">
      <c r="A606" s="87" t="s">
        <v>4176</v>
      </c>
      <c r="B606" s="86">
        <v>5</v>
      </c>
      <c r="C606" s="115">
        <v>0.002118207957690434</v>
      </c>
      <c r="D606" s="86" t="s">
        <v>3161</v>
      </c>
      <c r="E606" s="86" t="b">
        <v>0</v>
      </c>
      <c r="F606" s="86" t="b">
        <v>0</v>
      </c>
      <c r="G606" s="86" t="b">
        <v>0</v>
      </c>
    </row>
    <row r="607" spans="1:7" ht="15">
      <c r="A607" s="87" t="s">
        <v>4114</v>
      </c>
      <c r="B607" s="86">
        <v>5</v>
      </c>
      <c r="C607" s="115">
        <v>0.002118207957690434</v>
      </c>
      <c r="D607" s="86" t="s">
        <v>3161</v>
      </c>
      <c r="E607" s="86" t="b">
        <v>0</v>
      </c>
      <c r="F607" s="86" t="b">
        <v>0</v>
      </c>
      <c r="G607" s="86" t="b">
        <v>0</v>
      </c>
    </row>
    <row r="608" spans="1:7" ht="15">
      <c r="A608" s="87" t="s">
        <v>4161</v>
      </c>
      <c r="B608" s="86">
        <v>5</v>
      </c>
      <c r="C608" s="115">
        <v>0.002118207957690434</v>
      </c>
      <c r="D608" s="86" t="s">
        <v>3161</v>
      </c>
      <c r="E608" s="86" t="b">
        <v>0</v>
      </c>
      <c r="F608" s="86" t="b">
        <v>0</v>
      </c>
      <c r="G608" s="86" t="b">
        <v>0</v>
      </c>
    </row>
    <row r="609" spans="1:7" ht="15">
      <c r="A609" s="87" t="s">
        <v>4163</v>
      </c>
      <c r="B609" s="86">
        <v>5</v>
      </c>
      <c r="C609" s="115">
        <v>0.002118207957690434</v>
      </c>
      <c r="D609" s="86" t="s">
        <v>3161</v>
      </c>
      <c r="E609" s="86" t="b">
        <v>1</v>
      </c>
      <c r="F609" s="86" t="b">
        <v>0</v>
      </c>
      <c r="G609" s="86" t="b">
        <v>0</v>
      </c>
    </row>
    <row r="610" spans="1:7" ht="15">
      <c r="A610" s="87" t="s">
        <v>4164</v>
      </c>
      <c r="B610" s="86">
        <v>5</v>
      </c>
      <c r="C610" s="115">
        <v>0.002118207957690434</v>
      </c>
      <c r="D610" s="86" t="s">
        <v>3161</v>
      </c>
      <c r="E610" s="86" t="b">
        <v>0</v>
      </c>
      <c r="F610" s="86" t="b">
        <v>0</v>
      </c>
      <c r="G610" s="86" t="b">
        <v>0</v>
      </c>
    </row>
    <row r="611" spans="1:7" ht="15">
      <c r="A611" s="87" t="s">
        <v>4134</v>
      </c>
      <c r="B611" s="86">
        <v>5</v>
      </c>
      <c r="C611" s="115">
        <v>0.002118207957690434</v>
      </c>
      <c r="D611" s="86" t="s">
        <v>3161</v>
      </c>
      <c r="E611" s="86" t="b">
        <v>0</v>
      </c>
      <c r="F611" s="86" t="b">
        <v>0</v>
      </c>
      <c r="G611" s="86" t="b">
        <v>0</v>
      </c>
    </row>
    <row r="612" spans="1:7" ht="15">
      <c r="A612" s="87" t="s">
        <v>4137</v>
      </c>
      <c r="B612" s="86">
        <v>5</v>
      </c>
      <c r="C612" s="115">
        <v>0.002118207957690434</v>
      </c>
      <c r="D612" s="86" t="s">
        <v>3161</v>
      </c>
      <c r="E612" s="86" t="b">
        <v>0</v>
      </c>
      <c r="F612" s="86" t="b">
        <v>0</v>
      </c>
      <c r="G612" s="86" t="b">
        <v>0</v>
      </c>
    </row>
    <row r="613" spans="1:7" ht="15">
      <c r="A613" s="87" t="s">
        <v>4175</v>
      </c>
      <c r="B613" s="86">
        <v>5</v>
      </c>
      <c r="C613" s="115">
        <v>0.002118207957690434</v>
      </c>
      <c r="D613" s="86" t="s">
        <v>3161</v>
      </c>
      <c r="E613" s="86" t="b">
        <v>0</v>
      </c>
      <c r="F613" s="86" t="b">
        <v>0</v>
      </c>
      <c r="G613" s="86" t="b">
        <v>0</v>
      </c>
    </row>
    <row r="614" spans="1:7" ht="15">
      <c r="A614" s="87" t="s">
        <v>4081</v>
      </c>
      <c r="B614" s="86">
        <v>5</v>
      </c>
      <c r="C614" s="115">
        <v>0.002118207957690434</v>
      </c>
      <c r="D614" s="86" t="s">
        <v>3161</v>
      </c>
      <c r="E614" s="86" t="b">
        <v>1</v>
      </c>
      <c r="F614" s="86" t="b">
        <v>0</v>
      </c>
      <c r="G614" s="86" t="b">
        <v>0</v>
      </c>
    </row>
    <row r="615" spans="1:7" ht="15">
      <c r="A615" s="87" t="s">
        <v>4130</v>
      </c>
      <c r="B615" s="86">
        <v>5</v>
      </c>
      <c r="C615" s="115">
        <v>0.002118207957690434</v>
      </c>
      <c r="D615" s="86" t="s">
        <v>3161</v>
      </c>
      <c r="E615" s="86" t="b">
        <v>0</v>
      </c>
      <c r="F615" s="86" t="b">
        <v>0</v>
      </c>
      <c r="G615" s="86" t="b">
        <v>0</v>
      </c>
    </row>
    <row r="616" spans="1:7" ht="15">
      <c r="A616" s="87" t="s">
        <v>4111</v>
      </c>
      <c r="B616" s="86">
        <v>5</v>
      </c>
      <c r="C616" s="115">
        <v>0.002118207957690434</v>
      </c>
      <c r="D616" s="86" t="s">
        <v>3161</v>
      </c>
      <c r="E616" s="86" t="b">
        <v>0</v>
      </c>
      <c r="F616" s="86" t="b">
        <v>0</v>
      </c>
      <c r="G616" s="86" t="b">
        <v>0</v>
      </c>
    </row>
    <row r="617" spans="1:7" ht="15">
      <c r="A617" s="87" t="s">
        <v>4097</v>
      </c>
      <c r="B617" s="86">
        <v>5</v>
      </c>
      <c r="C617" s="115">
        <v>0.002244032435758541</v>
      </c>
      <c r="D617" s="86" t="s">
        <v>3161</v>
      </c>
      <c r="E617" s="86" t="b">
        <v>0</v>
      </c>
      <c r="F617" s="86" t="b">
        <v>0</v>
      </c>
      <c r="G617" s="86" t="b">
        <v>0</v>
      </c>
    </row>
    <row r="618" spans="1:7" ht="15">
      <c r="A618" s="87" t="s">
        <v>4145</v>
      </c>
      <c r="B618" s="86">
        <v>5</v>
      </c>
      <c r="C618" s="115">
        <v>0.002118207957690434</v>
      </c>
      <c r="D618" s="86" t="s">
        <v>3161</v>
      </c>
      <c r="E618" s="86" t="b">
        <v>0</v>
      </c>
      <c r="F618" s="86" t="b">
        <v>0</v>
      </c>
      <c r="G618" s="86" t="b">
        <v>0</v>
      </c>
    </row>
    <row r="619" spans="1:7" ht="15">
      <c r="A619" s="87" t="s">
        <v>3367</v>
      </c>
      <c r="B619" s="86">
        <v>5</v>
      </c>
      <c r="C619" s="115">
        <v>0.002118207957690434</v>
      </c>
      <c r="D619" s="86" t="s">
        <v>3161</v>
      </c>
      <c r="E619" s="86" t="b">
        <v>0</v>
      </c>
      <c r="F619" s="86" t="b">
        <v>0</v>
      </c>
      <c r="G619" s="86" t="b">
        <v>0</v>
      </c>
    </row>
    <row r="620" spans="1:7" ht="15">
      <c r="A620" s="87" t="s">
        <v>4174</v>
      </c>
      <c r="B620" s="86">
        <v>4</v>
      </c>
      <c r="C620" s="115">
        <v>0.001795225948606833</v>
      </c>
      <c r="D620" s="86" t="s">
        <v>3161</v>
      </c>
      <c r="E620" s="86" t="b">
        <v>0</v>
      </c>
      <c r="F620" s="86" t="b">
        <v>0</v>
      </c>
      <c r="G620" s="86" t="b">
        <v>0</v>
      </c>
    </row>
    <row r="621" spans="1:7" ht="15">
      <c r="A621" s="87" t="s">
        <v>4167</v>
      </c>
      <c r="B621" s="86">
        <v>4</v>
      </c>
      <c r="C621" s="115">
        <v>0.001795225948606833</v>
      </c>
      <c r="D621" s="86" t="s">
        <v>3161</v>
      </c>
      <c r="E621" s="86" t="b">
        <v>0</v>
      </c>
      <c r="F621" s="86" t="b">
        <v>0</v>
      </c>
      <c r="G621" s="86" t="b">
        <v>0</v>
      </c>
    </row>
    <row r="622" spans="1:7" ht="15">
      <c r="A622" s="87" t="s">
        <v>4139</v>
      </c>
      <c r="B622" s="86">
        <v>4</v>
      </c>
      <c r="C622" s="115">
        <v>0.001795225948606833</v>
      </c>
      <c r="D622" s="86" t="s">
        <v>3161</v>
      </c>
      <c r="E622" s="86" t="b">
        <v>0</v>
      </c>
      <c r="F622" s="86" t="b">
        <v>0</v>
      </c>
      <c r="G622" s="86" t="b">
        <v>0</v>
      </c>
    </row>
    <row r="623" spans="1:7" ht="15">
      <c r="A623" s="87" t="s">
        <v>4187</v>
      </c>
      <c r="B623" s="86">
        <v>4</v>
      </c>
      <c r="C623" s="115">
        <v>0.001795225948606833</v>
      </c>
      <c r="D623" s="86" t="s">
        <v>3161</v>
      </c>
      <c r="E623" s="86" t="b">
        <v>0</v>
      </c>
      <c r="F623" s="86" t="b">
        <v>0</v>
      </c>
      <c r="G623" s="86" t="b">
        <v>0</v>
      </c>
    </row>
    <row r="624" spans="1:7" ht="15">
      <c r="A624" s="87" t="s">
        <v>4203</v>
      </c>
      <c r="B624" s="86">
        <v>4</v>
      </c>
      <c r="C624" s="115">
        <v>0.001795225948606833</v>
      </c>
      <c r="D624" s="86" t="s">
        <v>3161</v>
      </c>
      <c r="E624" s="86" t="b">
        <v>0</v>
      </c>
      <c r="F624" s="86" t="b">
        <v>0</v>
      </c>
      <c r="G624" s="86" t="b">
        <v>0</v>
      </c>
    </row>
    <row r="625" spans="1:7" ht="15">
      <c r="A625" s="87" t="s">
        <v>4172</v>
      </c>
      <c r="B625" s="86">
        <v>4</v>
      </c>
      <c r="C625" s="115">
        <v>0.001795225948606833</v>
      </c>
      <c r="D625" s="86" t="s">
        <v>3161</v>
      </c>
      <c r="E625" s="86" t="b">
        <v>0</v>
      </c>
      <c r="F625" s="86" t="b">
        <v>0</v>
      </c>
      <c r="G625" s="86" t="b">
        <v>0</v>
      </c>
    </row>
    <row r="626" spans="1:7" ht="15">
      <c r="A626" s="87" t="s">
        <v>4204</v>
      </c>
      <c r="B626" s="86">
        <v>4</v>
      </c>
      <c r="C626" s="115">
        <v>0.001795225948606833</v>
      </c>
      <c r="D626" s="86" t="s">
        <v>3161</v>
      </c>
      <c r="E626" s="86" t="b">
        <v>0</v>
      </c>
      <c r="F626" s="86" t="b">
        <v>0</v>
      </c>
      <c r="G626" s="86" t="b">
        <v>0</v>
      </c>
    </row>
    <row r="627" spans="1:7" ht="15">
      <c r="A627" s="87" t="s">
        <v>4108</v>
      </c>
      <c r="B627" s="86">
        <v>4</v>
      </c>
      <c r="C627" s="115">
        <v>0.001795225948606833</v>
      </c>
      <c r="D627" s="86" t="s">
        <v>3161</v>
      </c>
      <c r="E627" s="86" t="b">
        <v>0</v>
      </c>
      <c r="F627" s="86" t="b">
        <v>0</v>
      </c>
      <c r="G627" s="86" t="b">
        <v>0</v>
      </c>
    </row>
    <row r="628" spans="1:7" ht="15">
      <c r="A628" s="87" t="s">
        <v>4183</v>
      </c>
      <c r="B628" s="86">
        <v>4</v>
      </c>
      <c r="C628" s="115">
        <v>0.001795225948606833</v>
      </c>
      <c r="D628" s="86" t="s">
        <v>3161</v>
      </c>
      <c r="E628" s="86" t="b">
        <v>0</v>
      </c>
      <c r="F628" s="86" t="b">
        <v>0</v>
      </c>
      <c r="G628" s="86" t="b">
        <v>0</v>
      </c>
    </row>
    <row r="629" spans="1:7" ht="15">
      <c r="A629" s="87" t="s">
        <v>4162</v>
      </c>
      <c r="B629" s="86">
        <v>4</v>
      </c>
      <c r="C629" s="115">
        <v>0.001795225948606833</v>
      </c>
      <c r="D629" s="86" t="s">
        <v>3161</v>
      </c>
      <c r="E629" s="86" t="b">
        <v>0</v>
      </c>
      <c r="F629" s="86" t="b">
        <v>0</v>
      </c>
      <c r="G629" s="86" t="b">
        <v>0</v>
      </c>
    </row>
    <row r="630" spans="1:7" ht="15">
      <c r="A630" s="87" t="s">
        <v>4088</v>
      </c>
      <c r="B630" s="86">
        <v>4</v>
      </c>
      <c r="C630" s="115">
        <v>0.001795225948606833</v>
      </c>
      <c r="D630" s="86" t="s">
        <v>3161</v>
      </c>
      <c r="E630" s="86" t="b">
        <v>0</v>
      </c>
      <c r="F630" s="86" t="b">
        <v>0</v>
      </c>
      <c r="G630" s="86" t="b">
        <v>0</v>
      </c>
    </row>
    <row r="631" spans="1:7" ht="15">
      <c r="A631" s="87" t="s">
        <v>4113</v>
      </c>
      <c r="B631" s="86">
        <v>4</v>
      </c>
      <c r="C631" s="115">
        <v>0.001795225948606833</v>
      </c>
      <c r="D631" s="86" t="s">
        <v>3161</v>
      </c>
      <c r="E631" s="86" t="b">
        <v>1</v>
      </c>
      <c r="F631" s="86" t="b">
        <v>0</v>
      </c>
      <c r="G631" s="86" t="b">
        <v>0</v>
      </c>
    </row>
    <row r="632" spans="1:7" ht="15">
      <c r="A632" s="87" t="s">
        <v>4132</v>
      </c>
      <c r="B632" s="86">
        <v>4</v>
      </c>
      <c r="C632" s="115">
        <v>0.001795225948606833</v>
      </c>
      <c r="D632" s="86" t="s">
        <v>3161</v>
      </c>
      <c r="E632" s="86" t="b">
        <v>1</v>
      </c>
      <c r="F632" s="86" t="b">
        <v>0</v>
      </c>
      <c r="G632" s="86" t="b">
        <v>0</v>
      </c>
    </row>
    <row r="633" spans="1:7" ht="15">
      <c r="A633" s="87" t="s">
        <v>4142</v>
      </c>
      <c r="B633" s="86">
        <v>4</v>
      </c>
      <c r="C633" s="115">
        <v>0.001795225948606833</v>
      </c>
      <c r="D633" s="86" t="s">
        <v>3161</v>
      </c>
      <c r="E633" s="86" t="b">
        <v>0</v>
      </c>
      <c r="F633" s="86" t="b">
        <v>0</v>
      </c>
      <c r="G633" s="86" t="b">
        <v>0</v>
      </c>
    </row>
    <row r="634" spans="1:7" ht="15">
      <c r="A634" s="87" t="s">
        <v>4143</v>
      </c>
      <c r="B634" s="86">
        <v>4</v>
      </c>
      <c r="C634" s="115">
        <v>0.001795225948606833</v>
      </c>
      <c r="D634" s="86" t="s">
        <v>3161</v>
      </c>
      <c r="E634" s="86" t="b">
        <v>0</v>
      </c>
      <c r="F634" s="86" t="b">
        <v>0</v>
      </c>
      <c r="G634" s="86" t="b">
        <v>0</v>
      </c>
    </row>
    <row r="635" spans="1:7" ht="15">
      <c r="A635" s="87" t="s">
        <v>4120</v>
      </c>
      <c r="B635" s="86">
        <v>4</v>
      </c>
      <c r="C635" s="115">
        <v>0.0019249987209862668</v>
      </c>
      <c r="D635" s="86" t="s">
        <v>3161</v>
      </c>
      <c r="E635" s="86" t="b">
        <v>0</v>
      </c>
      <c r="F635" s="86" t="b">
        <v>0</v>
      </c>
      <c r="G635" s="86" t="b">
        <v>0</v>
      </c>
    </row>
    <row r="636" spans="1:7" ht="15">
      <c r="A636" s="87" t="s">
        <v>4127</v>
      </c>
      <c r="B636" s="86">
        <v>4</v>
      </c>
      <c r="C636" s="115">
        <v>0.001795225948606833</v>
      </c>
      <c r="D636" s="86" t="s">
        <v>3161</v>
      </c>
      <c r="E636" s="86" t="b">
        <v>0</v>
      </c>
      <c r="F636" s="86" t="b">
        <v>0</v>
      </c>
      <c r="G636" s="86" t="b">
        <v>0</v>
      </c>
    </row>
    <row r="637" spans="1:7" ht="15">
      <c r="A637" s="87" t="s">
        <v>4099</v>
      </c>
      <c r="B637" s="86">
        <v>4</v>
      </c>
      <c r="C637" s="115">
        <v>0.0019249987209862668</v>
      </c>
      <c r="D637" s="86" t="s">
        <v>3161</v>
      </c>
      <c r="E637" s="86" t="b">
        <v>0</v>
      </c>
      <c r="F637" s="86" t="b">
        <v>0</v>
      </c>
      <c r="G637" s="86" t="b">
        <v>0</v>
      </c>
    </row>
    <row r="638" spans="1:7" ht="15">
      <c r="A638" s="87" t="s">
        <v>4206</v>
      </c>
      <c r="B638" s="86">
        <v>4</v>
      </c>
      <c r="C638" s="115">
        <v>0.001795225948606833</v>
      </c>
      <c r="D638" s="86" t="s">
        <v>3161</v>
      </c>
      <c r="E638" s="86" t="b">
        <v>1</v>
      </c>
      <c r="F638" s="86" t="b">
        <v>0</v>
      </c>
      <c r="G638" s="86" t="b">
        <v>0</v>
      </c>
    </row>
    <row r="639" spans="1:7" ht="15">
      <c r="A639" s="87" t="s">
        <v>4207</v>
      </c>
      <c r="B639" s="86">
        <v>4</v>
      </c>
      <c r="C639" s="115">
        <v>0.001795225948606833</v>
      </c>
      <c r="D639" s="86" t="s">
        <v>3161</v>
      </c>
      <c r="E639" s="86" t="b">
        <v>0</v>
      </c>
      <c r="F639" s="86" t="b">
        <v>0</v>
      </c>
      <c r="G639" s="86" t="b">
        <v>0</v>
      </c>
    </row>
    <row r="640" spans="1:7" ht="15">
      <c r="A640" s="87" t="s">
        <v>4171</v>
      </c>
      <c r="B640" s="86">
        <v>4</v>
      </c>
      <c r="C640" s="115">
        <v>0.001795225948606833</v>
      </c>
      <c r="D640" s="86" t="s">
        <v>3161</v>
      </c>
      <c r="E640" s="86" t="b">
        <v>0</v>
      </c>
      <c r="F640" s="86" t="b">
        <v>0</v>
      </c>
      <c r="G640" s="86" t="b">
        <v>0</v>
      </c>
    </row>
    <row r="641" spans="1:7" ht="15">
      <c r="A641" s="87" t="s">
        <v>4153</v>
      </c>
      <c r="B641" s="86">
        <v>4</v>
      </c>
      <c r="C641" s="115">
        <v>0.001795225948606833</v>
      </c>
      <c r="D641" s="86" t="s">
        <v>3161</v>
      </c>
      <c r="E641" s="86" t="b">
        <v>0</v>
      </c>
      <c r="F641" s="86" t="b">
        <v>0</v>
      </c>
      <c r="G641" s="86" t="b">
        <v>0</v>
      </c>
    </row>
    <row r="642" spans="1:7" ht="15">
      <c r="A642" s="87" t="s">
        <v>4197</v>
      </c>
      <c r="B642" s="86">
        <v>3</v>
      </c>
      <c r="C642" s="115">
        <v>0.0014437490407397003</v>
      </c>
      <c r="D642" s="86" t="s">
        <v>3161</v>
      </c>
      <c r="E642" s="86" t="b">
        <v>0</v>
      </c>
      <c r="F642" s="86" t="b">
        <v>0</v>
      </c>
      <c r="G642" s="86" t="b">
        <v>0</v>
      </c>
    </row>
    <row r="643" spans="1:7" ht="15">
      <c r="A643" s="87" t="s">
        <v>4239</v>
      </c>
      <c r="B643" s="86">
        <v>3</v>
      </c>
      <c r="C643" s="115">
        <v>0.0014437490407397003</v>
      </c>
      <c r="D643" s="86" t="s">
        <v>3161</v>
      </c>
      <c r="E643" s="86" t="b">
        <v>0</v>
      </c>
      <c r="F643" s="86" t="b">
        <v>0</v>
      </c>
      <c r="G643" s="86" t="b">
        <v>0</v>
      </c>
    </row>
    <row r="644" spans="1:7" ht="15">
      <c r="A644" s="87" t="s">
        <v>4190</v>
      </c>
      <c r="B644" s="86">
        <v>3</v>
      </c>
      <c r="C644" s="115">
        <v>0.0014437490407397003</v>
      </c>
      <c r="D644" s="86" t="s">
        <v>3161</v>
      </c>
      <c r="E644" s="86" t="b">
        <v>0</v>
      </c>
      <c r="F644" s="86" t="b">
        <v>0</v>
      </c>
      <c r="G644" s="86" t="b">
        <v>0</v>
      </c>
    </row>
    <row r="645" spans="1:7" ht="15">
      <c r="A645" s="87" t="s">
        <v>4228</v>
      </c>
      <c r="B645" s="86">
        <v>3</v>
      </c>
      <c r="C645" s="115">
        <v>0.0014437490407397003</v>
      </c>
      <c r="D645" s="86" t="s">
        <v>3161</v>
      </c>
      <c r="E645" s="86" t="b">
        <v>0</v>
      </c>
      <c r="F645" s="86" t="b">
        <v>0</v>
      </c>
      <c r="G645" s="86" t="b">
        <v>0</v>
      </c>
    </row>
    <row r="646" spans="1:7" ht="15">
      <c r="A646" s="87" t="s">
        <v>4225</v>
      </c>
      <c r="B646" s="86">
        <v>3</v>
      </c>
      <c r="C646" s="115">
        <v>0.0014437490407397003</v>
      </c>
      <c r="D646" s="86" t="s">
        <v>3161</v>
      </c>
      <c r="E646" s="86" t="b">
        <v>0</v>
      </c>
      <c r="F646" s="86" t="b">
        <v>0</v>
      </c>
      <c r="G646" s="86" t="b">
        <v>0</v>
      </c>
    </row>
    <row r="647" spans="1:7" ht="15">
      <c r="A647" s="87" t="s">
        <v>4226</v>
      </c>
      <c r="B647" s="86">
        <v>3</v>
      </c>
      <c r="C647" s="115">
        <v>0.0014437490407397003</v>
      </c>
      <c r="D647" s="86" t="s">
        <v>3161</v>
      </c>
      <c r="E647" s="86" t="b">
        <v>0</v>
      </c>
      <c r="F647" s="86" t="b">
        <v>0</v>
      </c>
      <c r="G647" s="86" t="b">
        <v>0</v>
      </c>
    </row>
    <row r="648" spans="1:7" ht="15">
      <c r="A648" s="87" t="s">
        <v>4264</v>
      </c>
      <c r="B648" s="86">
        <v>3</v>
      </c>
      <c r="C648" s="115">
        <v>0.0014437490407397003</v>
      </c>
      <c r="D648" s="86" t="s">
        <v>3161</v>
      </c>
      <c r="E648" s="86" t="b">
        <v>0</v>
      </c>
      <c r="F648" s="86" t="b">
        <v>0</v>
      </c>
      <c r="G648" s="86" t="b">
        <v>0</v>
      </c>
    </row>
    <row r="649" spans="1:7" ht="15">
      <c r="A649" s="87" t="s">
        <v>4222</v>
      </c>
      <c r="B649" s="86">
        <v>3</v>
      </c>
      <c r="C649" s="115">
        <v>0.0014437490407397003</v>
      </c>
      <c r="D649" s="86" t="s">
        <v>3161</v>
      </c>
      <c r="E649" s="86" t="b">
        <v>0</v>
      </c>
      <c r="F649" s="86" t="b">
        <v>0</v>
      </c>
      <c r="G649" s="86" t="b">
        <v>0</v>
      </c>
    </row>
    <row r="650" spans="1:7" ht="15">
      <c r="A650" s="87" t="s">
        <v>4150</v>
      </c>
      <c r="B650" s="86">
        <v>3</v>
      </c>
      <c r="C650" s="115">
        <v>0.0014437490407397003</v>
      </c>
      <c r="D650" s="86" t="s">
        <v>3161</v>
      </c>
      <c r="E650" s="86" t="b">
        <v>1</v>
      </c>
      <c r="F650" s="86" t="b">
        <v>0</v>
      </c>
      <c r="G650" s="86" t="b">
        <v>0</v>
      </c>
    </row>
    <row r="651" spans="1:7" ht="15">
      <c r="A651" s="87" t="s">
        <v>4093</v>
      </c>
      <c r="B651" s="86">
        <v>3</v>
      </c>
      <c r="C651" s="115">
        <v>0.0014437490407397003</v>
      </c>
      <c r="D651" s="86" t="s">
        <v>3161</v>
      </c>
      <c r="E651" s="86" t="b">
        <v>0</v>
      </c>
      <c r="F651" s="86" t="b">
        <v>0</v>
      </c>
      <c r="G651" s="86" t="b">
        <v>0</v>
      </c>
    </row>
    <row r="652" spans="1:7" ht="15">
      <c r="A652" s="87" t="s">
        <v>4158</v>
      </c>
      <c r="B652" s="86">
        <v>3</v>
      </c>
      <c r="C652" s="115">
        <v>0.0014437490407397003</v>
      </c>
      <c r="D652" s="86" t="s">
        <v>3161</v>
      </c>
      <c r="E652" s="86" t="b">
        <v>0</v>
      </c>
      <c r="F652" s="86" t="b">
        <v>0</v>
      </c>
      <c r="G652" s="86" t="b">
        <v>0</v>
      </c>
    </row>
    <row r="653" spans="1:7" ht="15">
      <c r="A653" s="87" t="s">
        <v>4173</v>
      </c>
      <c r="B653" s="86">
        <v>3</v>
      </c>
      <c r="C653" s="115">
        <v>0.0015809273780980602</v>
      </c>
      <c r="D653" s="86" t="s">
        <v>3161</v>
      </c>
      <c r="E653" s="86" t="b">
        <v>0</v>
      </c>
      <c r="F653" s="86" t="b">
        <v>0</v>
      </c>
      <c r="G653" s="86" t="b">
        <v>0</v>
      </c>
    </row>
    <row r="654" spans="1:7" ht="15">
      <c r="A654" s="87" t="s">
        <v>4241</v>
      </c>
      <c r="B654" s="86">
        <v>3</v>
      </c>
      <c r="C654" s="115">
        <v>0.0014437490407397003</v>
      </c>
      <c r="D654" s="86" t="s">
        <v>3161</v>
      </c>
      <c r="E654" s="86" t="b">
        <v>0</v>
      </c>
      <c r="F654" s="86" t="b">
        <v>0</v>
      </c>
      <c r="G654" s="86" t="b">
        <v>0</v>
      </c>
    </row>
    <row r="655" spans="1:7" ht="15">
      <c r="A655" s="87" t="s">
        <v>4110</v>
      </c>
      <c r="B655" s="86">
        <v>3</v>
      </c>
      <c r="C655" s="115">
        <v>0.0014437490407397003</v>
      </c>
      <c r="D655" s="86" t="s">
        <v>3161</v>
      </c>
      <c r="E655" s="86" t="b">
        <v>0</v>
      </c>
      <c r="F655" s="86" t="b">
        <v>0</v>
      </c>
      <c r="G655" s="86" t="b">
        <v>0</v>
      </c>
    </row>
    <row r="656" spans="1:7" ht="15">
      <c r="A656" s="87" t="s">
        <v>4170</v>
      </c>
      <c r="B656" s="86">
        <v>3</v>
      </c>
      <c r="C656" s="115">
        <v>0.0014437490407397003</v>
      </c>
      <c r="D656" s="86" t="s">
        <v>3161</v>
      </c>
      <c r="E656" s="86" t="b">
        <v>0</v>
      </c>
      <c r="F656" s="86" t="b">
        <v>0</v>
      </c>
      <c r="G656" s="86" t="b">
        <v>0</v>
      </c>
    </row>
    <row r="657" spans="1:7" ht="15">
      <c r="A657" s="87" t="s">
        <v>4083</v>
      </c>
      <c r="B657" s="86">
        <v>3</v>
      </c>
      <c r="C657" s="115">
        <v>0.0014437490407397003</v>
      </c>
      <c r="D657" s="86" t="s">
        <v>3161</v>
      </c>
      <c r="E657" s="86" t="b">
        <v>0</v>
      </c>
      <c r="F657" s="86" t="b">
        <v>0</v>
      </c>
      <c r="G657" s="86" t="b">
        <v>0</v>
      </c>
    </row>
    <row r="658" spans="1:7" ht="15">
      <c r="A658" s="87" t="s">
        <v>4278</v>
      </c>
      <c r="B658" s="86">
        <v>3</v>
      </c>
      <c r="C658" s="115">
        <v>0.0014437490407397003</v>
      </c>
      <c r="D658" s="86" t="s">
        <v>3161</v>
      </c>
      <c r="E658" s="86" t="b">
        <v>0</v>
      </c>
      <c r="F658" s="86" t="b">
        <v>0</v>
      </c>
      <c r="G658" s="86" t="b">
        <v>0</v>
      </c>
    </row>
    <row r="659" spans="1:7" ht="15">
      <c r="A659" s="87" t="s">
        <v>4277</v>
      </c>
      <c r="B659" s="86">
        <v>3</v>
      </c>
      <c r="C659" s="115">
        <v>0.0015809273780980602</v>
      </c>
      <c r="D659" s="86" t="s">
        <v>3161</v>
      </c>
      <c r="E659" s="86" t="b">
        <v>0</v>
      </c>
      <c r="F659" s="86" t="b">
        <v>0</v>
      </c>
      <c r="G659" s="86" t="b">
        <v>0</v>
      </c>
    </row>
    <row r="660" spans="1:7" ht="15">
      <c r="A660" s="87" t="s">
        <v>4263</v>
      </c>
      <c r="B660" s="86">
        <v>3</v>
      </c>
      <c r="C660" s="115">
        <v>0.0014437490407397003</v>
      </c>
      <c r="D660" s="86" t="s">
        <v>3161</v>
      </c>
      <c r="E660" s="86" t="b">
        <v>0</v>
      </c>
      <c r="F660" s="86" t="b">
        <v>0</v>
      </c>
      <c r="G660" s="86" t="b">
        <v>0</v>
      </c>
    </row>
    <row r="661" spans="1:7" ht="15">
      <c r="A661" s="87" t="s">
        <v>4275</v>
      </c>
      <c r="B661" s="86">
        <v>3</v>
      </c>
      <c r="C661" s="115">
        <v>0.0014437490407397003</v>
      </c>
      <c r="D661" s="86" t="s">
        <v>3161</v>
      </c>
      <c r="E661" s="86" t="b">
        <v>0</v>
      </c>
      <c r="F661" s="86" t="b">
        <v>0</v>
      </c>
      <c r="G661" s="86" t="b">
        <v>0</v>
      </c>
    </row>
    <row r="662" spans="1:7" ht="15">
      <c r="A662" s="87" t="s">
        <v>4219</v>
      </c>
      <c r="B662" s="86">
        <v>3</v>
      </c>
      <c r="C662" s="115">
        <v>0.0014437490407397003</v>
      </c>
      <c r="D662" s="86" t="s">
        <v>3161</v>
      </c>
      <c r="E662" s="86" t="b">
        <v>0</v>
      </c>
      <c r="F662" s="86" t="b">
        <v>0</v>
      </c>
      <c r="G662" s="86" t="b">
        <v>0</v>
      </c>
    </row>
    <row r="663" spans="1:7" ht="15">
      <c r="A663" s="87" t="s">
        <v>4208</v>
      </c>
      <c r="B663" s="86">
        <v>3</v>
      </c>
      <c r="C663" s="115">
        <v>0.0014437490407397003</v>
      </c>
      <c r="D663" s="86" t="s">
        <v>3161</v>
      </c>
      <c r="E663" s="86" t="b">
        <v>0</v>
      </c>
      <c r="F663" s="86" t="b">
        <v>0</v>
      </c>
      <c r="G663" s="86" t="b">
        <v>0</v>
      </c>
    </row>
    <row r="664" spans="1:7" ht="15">
      <c r="A664" s="87" t="s">
        <v>4221</v>
      </c>
      <c r="B664" s="86">
        <v>3</v>
      </c>
      <c r="C664" s="115">
        <v>0.0014437490407397003</v>
      </c>
      <c r="D664" s="86" t="s">
        <v>3161</v>
      </c>
      <c r="E664" s="86" t="b">
        <v>0</v>
      </c>
      <c r="F664" s="86" t="b">
        <v>0</v>
      </c>
      <c r="G664" s="86" t="b">
        <v>0</v>
      </c>
    </row>
    <row r="665" spans="1:7" ht="15">
      <c r="A665" s="87" t="s">
        <v>3370</v>
      </c>
      <c r="B665" s="86">
        <v>3</v>
      </c>
      <c r="C665" s="115">
        <v>0.0014437490407397003</v>
      </c>
      <c r="D665" s="86" t="s">
        <v>3161</v>
      </c>
      <c r="E665" s="86" t="b">
        <v>0</v>
      </c>
      <c r="F665" s="86" t="b">
        <v>0</v>
      </c>
      <c r="G665" s="86" t="b">
        <v>0</v>
      </c>
    </row>
    <row r="666" spans="1:7" ht="15">
      <c r="A666" s="87" t="s">
        <v>4199</v>
      </c>
      <c r="B666" s="86">
        <v>3</v>
      </c>
      <c r="C666" s="115">
        <v>0.0014437490407397003</v>
      </c>
      <c r="D666" s="86" t="s">
        <v>3161</v>
      </c>
      <c r="E666" s="86" t="b">
        <v>0</v>
      </c>
      <c r="F666" s="86" t="b">
        <v>0</v>
      </c>
      <c r="G666" s="86" t="b">
        <v>0</v>
      </c>
    </row>
    <row r="667" spans="1:7" ht="15">
      <c r="A667" s="87" t="s">
        <v>3386</v>
      </c>
      <c r="B667" s="86">
        <v>3</v>
      </c>
      <c r="C667" s="115">
        <v>0.0014437490407397003</v>
      </c>
      <c r="D667" s="86" t="s">
        <v>3161</v>
      </c>
      <c r="E667" s="86" t="b">
        <v>0</v>
      </c>
      <c r="F667" s="86" t="b">
        <v>0</v>
      </c>
      <c r="G667" s="86" t="b">
        <v>0</v>
      </c>
    </row>
    <row r="668" spans="1:7" ht="15">
      <c r="A668" s="87" t="s">
        <v>4151</v>
      </c>
      <c r="B668" s="86">
        <v>3</v>
      </c>
      <c r="C668" s="115">
        <v>0.0014437490407397003</v>
      </c>
      <c r="D668" s="86" t="s">
        <v>3161</v>
      </c>
      <c r="E668" s="86" t="b">
        <v>0</v>
      </c>
      <c r="F668" s="86" t="b">
        <v>0</v>
      </c>
      <c r="G668" s="86" t="b">
        <v>0</v>
      </c>
    </row>
    <row r="669" spans="1:7" ht="15">
      <c r="A669" s="87" t="s">
        <v>4149</v>
      </c>
      <c r="B669" s="86">
        <v>3</v>
      </c>
      <c r="C669" s="115">
        <v>0.0014437490407397003</v>
      </c>
      <c r="D669" s="86" t="s">
        <v>3161</v>
      </c>
      <c r="E669" s="86" t="b">
        <v>0</v>
      </c>
      <c r="F669" s="86" t="b">
        <v>0</v>
      </c>
      <c r="G669" s="86" t="b">
        <v>0</v>
      </c>
    </row>
    <row r="670" spans="1:7" ht="15">
      <c r="A670" s="87" t="s">
        <v>4152</v>
      </c>
      <c r="B670" s="86">
        <v>3</v>
      </c>
      <c r="C670" s="115">
        <v>0.0014437490407397003</v>
      </c>
      <c r="D670" s="86" t="s">
        <v>3161</v>
      </c>
      <c r="E670" s="86" t="b">
        <v>0</v>
      </c>
      <c r="F670" s="86" t="b">
        <v>0</v>
      </c>
      <c r="G670" s="86" t="b">
        <v>0</v>
      </c>
    </row>
    <row r="671" spans="1:7" ht="15">
      <c r="A671" s="87" t="s">
        <v>3319</v>
      </c>
      <c r="B671" s="86">
        <v>3</v>
      </c>
      <c r="C671" s="115">
        <v>0.0014437490407397003</v>
      </c>
      <c r="D671" s="86" t="s">
        <v>3161</v>
      </c>
      <c r="E671" s="86" t="b">
        <v>0</v>
      </c>
      <c r="F671" s="86" t="b">
        <v>0</v>
      </c>
      <c r="G671" s="86" t="b">
        <v>0</v>
      </c>
    </row>
    <row r="672" spans="1:7" ht="15">
      <c r="A672" s="87" t="s">
        <v>4133</v>
      </c>
      <c r="B672" s="86">
        <v>3</v>
      </c>
      <c r="C672" s="115">
        <v>0.0014437490407397003</v>
      </c>
      <c r="D672" s="86" t="s">
        <v>3161</v>
      </c>
      <c r="E672" s="86" t="b">
        <v>0</v>
      </c>
      <c r="F672" s="86" t="b">
        <v>0</v>
      </c>
      <c r="G672" s="86" t="b">
        <v>0</v>
      </c>
    </row>
    <row r="673" spans="1:7" ht="15">
      <c r="A673" s="87" t="s">
        <v>4155</v>
      </c>
      <c r="B673" s="86">
        <v>3</v>
      </c>
      <c r="C673" s="115">
        <v>0.0014437490407397003</v>
      </c>
      <c r="D673" s="86" t="s">
        <v>3161</v>
      </c>
      <c r="E673" s="86" t="b">
        <v>0</v>
      </c>
      <c r="F673" s="86" t="b">
        <v>0</v>
      </c>
      <c r="G673" s="86" t="b">
        <v>0</v>
      </c>
    </row>
    <row r="674" spans="1:7" ht="15">
      <c r="A674" s="87" t="s">
        <v>3377</v>
      </c>
      <c r="B674" s="86">
        <v>3</v>
      </c>
      <c r="C674" s="115">
        <v>0.0014437490407397003</v>
      </c>
      <c r="D674" s="86" t="s">
        <v>3161</v>
      </c>
      <c r="E674" s="86" t="b">
        <v>1</v>
      </c>
      <c r="F674" s="86" t="b">
        <v>0</v>
      </c>
      <c r="G674" s="86" t="b">
        <v>0</v>
      </c>
    </row>
    <row r="675" spans="1:7" ht="15">
      <c r="A675" s="87" t="s">
        <v>4182</v>
      </c>
      <c r="B675" s="86">
        <v>3</v>
      </c>
      <c r="C675" s="115">
        <v>0.0014437490407397003</v>
      </c>
      <c r="D675" s="86" t="s">
        <v>3161</v>
      </c>
      <c r="E675" s="86" t="b">
        <v>0</v>
      </c>
      <c r="F675" s="86" t="b">
        <v>0</v>
      </c>
      <c r="G675" s="86" t="b">
        <v>0</v>
      </c>
    </row>
    <row r="676" spans="1:7" ht="15">
      <c r="A676" s="87" t="s">
        <v>4181</v>
      </c>
      <c r="B676" s="86">
        <v>3</v>
      </c>
      <c r="C676" s="115">
        <v>0.0014437490407397003</v>
      </c>
      <c r="D676" s="86" t="s">
        <v>3161</v>
      </c>
      <c r="E676" s="86" t="b">
        <v>0</v>
      </c>
      <c r="F676" s="86" t="b">
        <v>0</v>
      </c>
      <c r="G676" s="86" t="b">
        <v>0</v>
      </c>
    </row>
    <row r="677" spans="1:7" ht="15">
      <c r="A677" s="87" t="s">
        <v>4240</v>
      </c>
      <c r="B677" s="86">
        <v>2</v>
      </c>
      <c r="C677" s="115">
        <v>0.0010539515853987067</v>
      </c>
      <c r="D677" s="86" t="s">
        <v>3161</v>
      </c>
      <c r="E677" s="86" t="b">
        <v>0</v>
      </c>
      <c r="F677" s="86" t="b">
        <v>0</v>
      </c>
      <c r="G677" s="86" t="b">
        <v>0</v>
      </c>
    </row>
    <row r="678" spans="1:7" ht="15">
      <c r="A678" s="87" t="s">
        <v>4423</v>
      </c>
      <c r="B678" s="86">
        <v>2</v>
      </c>
      <c r="C678" s="115">
        <v>0.0010539515853987067</v>
      </c>
      <c r="D678" s="86" t="s">
        <v>3161</v>
      </c>
      <c r="E678" s="86" t="b">
        <v>0</v>
      </c>
      <c r="F678" s="86" t="b">
        <v>0</v>
      </c>
      <c r="G678" s="86" t="b">
        <v>0</v>
      </c>
    </row>
    <row r="679" spans="1:7" ht="15">
      <c r="A679" s="87" t="s">
        <v>4215</v>
      </c>
      <c r="B679" s="86">
        <v>2</v>
      </c>
      <c r="C679" s="115">
        <v>0.0010539515853987067</v>
      </c>
      <c r="D679" s="86" t="s">
        <v>3161</v>
      </c>
      <c r="E679" s="86" t="b">
        <v>0</v>
      </c>
      <c r="F679" s="86" t="b">
        <v>0</v>
      </c>
      <c r="G679" s="86" t="b">
        <v>0</v>
      </c>
    </row>
    <row r="680" spans="1:7" ht="15">
      <c r="A680" s="87" t="s">
        <v>4159</v>
      </c>
      <c r="B680" s="86">
        <v>2</v>
      </c>
      <c r="C680" s="115">
        <v>0.0010539515853987067</v>
      </c>
      <c r="D680" s="86" t="s">
        <v>3161</v>
      </c>
      <c r="E680" s="86" t="b">
        <v>0</v>
      </c>
      <c r="F680" s="86" t="b">
        <v>0</v>
      </c>
      <c r="G680" s="86" t="b">
        <v>0</v>
      </c>
    </row>
    <row r="681" spans="1:7" ht="15">
      <c r="A681" s="87" t="s">
        <v>4229</v>
      </c>
      <c r="B681" s="86">
        <v>2</v>
      </c>
      <c r="C681" s="115">
        <v>0.0010539515853987067</v>
      </c>
      <c r="D681" s="86" t="s">
        <v>3161</v>
      </c>
      <c r="E681" s="86" t="b">
        <v>0</v>
      </c>
      <c r="F681" s="86" t="b">
        <v>0</v>
      </c>
      <c r="G681" s="86" t="b">
        <v>0</v>
      </c>
    </row>
    <row r="682" spans="1:7" ht="15">
      <c r="A682" s="87" t="s">
        <v>4436</v>
      </c>
      <c r="B682" s="86">
        <v>2</v>
      </c>
      <c r="C682" s="115">
        <v>0.0010539515853987067</v>
      </c>
      <c r="D682" s="86" t="s">
        <v>3161</v>
      </c>
      <c r="E682" s="86" t="b">
        <v>0</v>
      </c>
      <c r="F682" s="86" t="b">
        <v>0</v>
      </c>
      <c r="G682" s="86" t="b">
        <v>0</v>
      </c>
    </row>
    <row r="683" spans="1:7" ht="15">
      <c r="A683" s="87" t="s">
        <v>4177</v>
      </c>
      <c r="B683" s="86">
        <v>2</v>
      </c>
      <c r="C683" s="115">
        <v>0.0010539515853987067</v>
      </c>
      <c r="D683" s="86" t="s">
        <v>3161</v>
      </c>
      <c r="E683" s="86" t="b">
        <v>0</v>
      </c>
      <c r="F683" s="86" t="b">
        <v>0</v>
      </c>
      <c r="G683" s="86" t="b">
        <v>0</v>
      </c>
    </row>
    <row r="684" spans="1:7" ht="15">
      <c r="A684" s="87" t="s">
        <v>4296</v>
      </c>
      <c r="B684" s="86">
        <v>2</v>
      </c>
      <c r="C684" s="115">
        <v>0.0010539515853987067</v>
      </c>
      <c r="D684" s="86" t="s">
        <v>3161</v>
      </c>
      <c r="E684" s="86" t="b">
        <v>0</v>
      </c>
      <c r="F684" s="86" t="b">
        <v>0</v>
      </c>
      <c r="G684" s="86" t="b">
        <v>0</v>
      </c>
    </row>
    <row r="685" spans="1:7" ht="15">
      <c r="A685" s="87" t="s">
        <v>4291</v>
      </c>
      <c r="B685" s="86">
        <v>2</v>
      </c>
      <c r="C685" s="115">
        <v>0.0010539515853987067</v>
      </c>
      <c r="D685" s="86" t="s">
        <v>3161</v>
      </c>
      <c r="E685" s="86" t="b">
        <v>0</v>
      </c>
      <c r="F685" s="86" t="b">
        <v>0</v>
      </c>
      <c r="G685" s="86" t="b">
        <v>0</v>
      </c>
    </row>
    <row r="686" spans="1:7" ht="15">
      <c r="A686" s="87" t="s">
        <v>4236</v>
      </c>
      <c r="B686" s="86">
        <v>2</v>
      </c>
      <c r="C686" s="115">
        <v>0.0010539515853987067</v>
      </c>
      <c r="D686" s="86" t="s">
        <v>3161</v>
      </c>
      <c r="E686" s="86" t="b">
        <v>0</v>
      </c>
      <c r="F686" s="86" t="b">
        <v>0</v>
      </c>
      <c r="G686" s="86" t="b">
        <v>0</v>
      </c>
    </row>
    <row r="687" spans="1:7" ht="15">
      <c r="A687" s="87" t="s">
        <v>4102</v>
      </c>
      <c r="B687" s="86">
        <v>2</v>
      </c>
      <c r="C687" s="115">
        <v>0.0010539515853987067</v>
      </c>
      <c r="D687" s="86" t="s">
        <v>3161</v>
      </c>
      <c r="E687" s="86" t="b">
        <v>0</v>
      </c>
      <c r="F687" s="86" t="b">
        <v>0</v>
      </c>
      <c r="G687" s="86" t="b">
        <v>0</v>
      </c>
    </row>
    <row r="688" spans="1:7" ht="15">
      <c r="A688" s="87" t="s">
        <v>4096</v>
      </c>
      <c r="B688" s="86">
        <v>2</v>
      </c>
      <c r="C688" s="115">
        <v>0.0010539515853987067</v>
      </c>
      <c r="D688" s="86" t="s">
        <v>3161</v>
      </c>
      <c r="E688" s="86" t="b">
        <v>0</v>
      </c>
      <c r="F688" s="86" t="b">
        <v>1</v>
      </c>
      <c r="G688" s="86" t="b">
        <v>0</v>
      </c>
    </row>
    <row r="689" spans="1:7" ht="15">
      <c r="A689" s="87" t="s">
        <v>4224</v>
      </c>
      <c r="B689" s="86">
        <v>2</v>
      </c>
      <c r="C689" s="115">
        <v>0.0010539515853987067</v>
      </c>
      <c r="D689" s="86" t="s">
        <v>3161</v>
      </c>
      <c r="E689" s="86" t="b">
        <v>0</v>
      </c>
      <c r="F689" s="86" t="b">
        <v>0</v>
      </c>
      <c r="G689" s="86" t="b">
        <v>0</v>
      </c>
    </row>
    <row r="690" spans="1:7" ht="15">
      <c r="A690" s="87" t="s">
        <v>4146</v>
      </c>
      <c r="B690" s="86">
        <v>2</v>
      </c>
      <c r="C690" s="115">
        <v>0.0010539515853987067</v>
      </c>
      <c r="D690" s="86" t="s">
        <v>3161</v>
      </c>
      <c r="E690" s="86" t="b">
        <v>0</v>
      </c>
      <c r="F690" s="86" t="b">
        <v>0</v>
      </c>
      <c r="G690" s="86" t="b">
        <v>0</v>
      </c>
    </row>
    <row r="691" spans="1:7" ht="15">
      <c r="A691" s="87" t="s">
        <v>4327</v>
      </c>
      <c r="B691" s="86">
        <v>2</v>
      </c>
      <c r="C691" s="115">
        <v>0.0010539515853987067</v>
      </c>
      <c r="D691" s="86" t="s">
        <v>3161</v>
      </c>
      <c r="E691" s="86" t="b">
        <v>0</v>
      </c>
      <c r="F691" s="86" t="b">
        <v>0</v>
      </c>
      <c r="G691" s="86" t="b">
        <v>0</v>
      </c>
    </row>
    <row r="692" spans="1:7" ht="15">
      <c r="A692" s="87" t="s">
        <v>4326</v>
      </c>
      <c r="B692" s="86">
        <v>2</v>
      </c>
      <c r="C692" s="115">
        <v>0.0010539515853987067</v>
      </c>
      <c r="D692" s="86" t="s">
        <v>3161</v>
      </c>
      <c r="E692" s="86" t="b">
        <v>0</v>
      </c>
      <c r="F692" s="86" t="b">
        <v>0</v>
      </c>
      <c r="G692" s="86" t="b">
        <v>0</v>
      </c>
    </row>
    <row r="693" spans="1:7" ht="15">
      <c r="A693" s="87" t="s">
        <v>4118</v>
      </c>
      <c r="B693" s="86">
        <v>2</v>
      </c>
      <c r="C693" s="115">
        <v>0.0010539515853987067</v>
      </c>
      <c r="D693" s="86" t="s">
        <v>3161</v>
      </c>
      <c r="E693" s="86" t="b">
        <v>0</v>
      </c>
      <c r="F693" s="86" t="b">
        <v>0</v>
      </c>
      <c r="G693" s="86" t="b">
        <v>0</v>
      </c>
    </row>
    <row r="694" spans="1:7" ht="15">
      <c r="A694" s="87" t="s">
        <v>4166</v>
      </c>
      <c r="B694" s="86">
        <v>2</v>
      </c>
      <c r="C694" s="115">
        <v>0.0010539515853987067</v>
      </c>
      <c r="D694" s="86" t="s">
        <v>3161</v>
      </c>
      <c r="E694" s="86" t="b">
        <v>0</v>
      </c>
      <c r="F694" s="86" t="b">
        <v>0</v>
      </c>
      <c r="G694" s="86" t="b">
        <v>0</v>
      </c>
    </row>
    <row r="695" spans="1:7" ht="15">
      <c r="A695" s="87" t="s">
        <v>4232</v>
      </c>
      <c r="B695" s="86">
        <v>2</v>
      </c>
      <c r="C695" s="115">
        <v>0.0010539515853987067</v>
      </c>
      <c r="D695" s="86" t="s">
        <v>3161</v>
      </c>
      <c r="E695" s="86" t="b">
        <v>0</v>
      </c>
      <c r="F695" s="86" t="b">
        <v>0</v>
      </c>
      <c r="G695" s="86" t="b">
        <v>0</v>
      </c>
    </row>
    <row r="696" spans="1:7" ht="15">
      <c r="A696" s="87" t="s">
        <v>4235</v>
      </c>
      <c r="B696" s="86">
        <v>2</v>
      </c>
      <c r="C696" s="115">
        <v>0.0010539515853987067</v>
      </c>
      <c r="D696" s="86" t="s">
        <v>3161</v>
      </c>
      <c r="E696" s="86" t="b">
        <v>0</v>
      </c>
      <c r="F696" s="86" t="b">
        <v>0</v>
      </c>
      <c r="G696" s="86" t="b">
        <v>0</v>
      </c>
    </row>
    <row r="697" spans="1:7" ht="15">
      <c r="A697" s="87" t="s">
        <v>4220</v>
      </c>
      <c r="B697" s="86">
        <v>2</v>
      </c>
      <c r="C697" s="115">
        <v>0.0010539515853987067</v>
      </c>
      <c r="D697" s="86" t="s">
        <v>3161</v>
      </c>
      <c r="E697" s="86" t="b">
        <v>0</v>
      </c>
      <c r="F697" s="86" t="b">
        <v>1</v>
      </c>
      <c r="G697" s="86" t="b">
        <v>1</v>
      </c>
    </row>
    <row r="698" spans="1:7" ht="15">
      <c r="A698" s="87" t="s">
        <v>4135</v>
      </c>
      <c r="B698" s="86">
        <v>2</v>
      </c>
      <c r="C698" s="115">
        <v>0.0010539515853987067</v>
      </c>
      <c r="D698" s="86" t="s">
        <v>3161</v>
      </c>
      <c r="E698" s="86" t="b">
        <v>0</v>
      </c>
      <c r="F698" s="86" t="b">
        <v>0</v>
      </c>
      <c r="G698" s="86" t="b">
        <v>0</v>
      </c>
    </row>
    <row r="699" spans="1:7" ht="15">
      <c r="A699" s="87" t="s">
        <v>4312</v>
      </c>
      <c r="B699" s="86">
        <v>2</v>
      </c>
      <c r="C699" s="115">
        <v>0.0010539515853987067</v>
      </c>
      <c r="D699" s="86" t="s">
        <v>3161</v>
      </c>
      <c r="E699" s="86" t="b">
        <v>0</v>
      </c>
      <c r="F699" s="86" t="b">
        <v>0</v>
      </c>
      <c r="G699" s="86" t="b">
        <v>0</v>
      </c>
    </row>
    <row r="700" spans="1:7" ht="15">
      <c r="A700" s="87" t="s">
        <v>4414</v>
      </c>
      <c r="B700" s="86">
        <v>2</v>
      </c>
      <c r="C700" s="115">
        <v>0.0010539515853987067</v>
      </c>
      <c r="D700" s="86" t="s">
        <v>3161</v>
      </c>
      <c r="E700" s="86" t="b">
        <v>0</v>
      </c>
      <c r="F700" s="86" t="b">
        <v>0</v>
      </c>
      <c r="G700" s="86" t="b">
        <v>0</v>
      </c>
    </row>
    <row r="701" spans="1:7" ht="15">
      <c r="A701" s="87" t="s">
        <v>4430</v>
      </c>
      <c r="B701" s="86">
        <v>2</v>
      </c>
      <c r="C701" s="115">
        <v>0.0010539515853987067</v>
      </c>
      <c r="D701" s="86" t="s">
        <v>3161</v>
      </c>
      <c r="E701" s="86" t="b">
        <v>0</v>
      </c>
      <c r="F701" s="86" t="b">
        <v>0</v>
      </c>
      <c r="G701" s="86" t="b">
        <v>0</v>
      </c>
    </row>
    <row r="702" spans="1:7" ht="15">
      <c r="A702" s="87" t="s">
        <v>4156</v>
      </c>
      <c r="B702" s="86">
        <v>2</v>
      </c>
      <c r="C702" s="115">
        <v>0.0010539515853987067</v>
      </c>
      <c r="D702" s="86" t="s">
        <v>3161</v>
      </c>
      <c r="E702" s="86" t="b">
        <v>0</v>
      </c>
      <c r="F702" s="86" t="b">
        <v>0</v>
      </c>
      <c r="G702" s="86" t="b">
        <v>0</v>
      </c>
    </row>
    <row r="703" spans="1:7" ht="15">
      <c r="A703" s="87" t="s">
        <v>3331</v>
      </c>
      <c r="B703" s="86">
        <v>2</v>
      </c>
      <c r="C703" s="115">
        <v>0.0012102901964939968</v>
      </c>
      <c r="D703" s="86" t="s">
        <v>3161</v>
      </c>
      <c r="E703" s="86" t="b">
        <v>0</v>
      </c>
      <c r="F703" s="86" t="b">
        <v>0</v>
      </c>
      <c r="G703" s="86" t="b">
        <v>0</v>
      </c>
    </row>
    <row r="704" spans="1:7" ht="15">
      <c r="A704" s="87" t="s">
        <v>4265</v>
      </c>
      <c r="B704" s="86">
        <v>2</v>
      </c>
      <c r="C704" s="115">
        <v>0.0010539515853987067</v>
      </c>
      <c r="D704" s="86" t="s">
        <v>3161</v>
      </c>
      <c r="E704" s="86" t="b">
        <v>0</v>
      </c>
      <c r="F704" s="86" t="b">
        <v>0</v>
      </c>
      <c r="G704" s="86" t="b">
        <v>0</v>
      </c>
    </row>
    <row r="705" spans="1:7" ht="15">
      <c r="A705" s="87" t="s">
        <v>4200</v>
      </c>
      <c r="B705" s="86">
        <v>2</v>
      </c>
      <c r="C705" s="115">
        <v>0.0010539515853987067</v>
      </c>
      <c r="D705" s="86" t="s">
        <v>3161</v>
      </c>
      <c r="E705" s="86" t="b">
        <v>0</v>
      </c>
      <c r="F705" s="86" t="b">
        <v>0</v>
      </c>
      <c r="G705" s="86" t="b">
        <v>0</v>
      </c>
    </row>
    <row r="706" spans="1:7" ht="15">
      <c r="A706" s="87" t="s">
        <v>4422</v>
      </c>
      <c r="B706" s="86">
        <v>2</v>
      </c>
      <c r="C706" s="115">
        <v>0.0010539515853987067</v>
      </c>
      <c r="D706" s="86" t="s">
        <v>3161</v>
      </c>
      <c r="E706" s="86" t="b">
        <v>0</v>
      </c>
      <c r="F706" s="86" t="b">
        <v>0</v>
      </c>
      <c r="G706" s="86" t="b">
        <v>0</v>
      </c>
    </row>
    <row r="707" spans="1:7" ht="15">
      <c r="A707" s="87" t="s">
        <v>4154</v>
      </c>
      <c r="B707" s="86">
        <v>2</v>
      </c>
      <c r="C707" s="115">
        <v>0.0010539515853987067</v>
      </c>
      <c r="D707" s="86" t="s">
        <v>3161</v>
      </c>
      <c r="E707" s="86" t="b">
        <v>0</v>
      </c>
      <c r="F707" s="86" t="b">
        <v>0</v>
      </c>
      <c r="G707" s="86" t="b">
        <v>0</v>
      </c>
    </row>
    <row r="708" spans="1:7" ht="15">
      <c r="A708" s="87" t="s">
        <v>4279</v>
      </c>
      <c r="B708" s="86">
        <v>2</v>
      </c>
      <c r="C708" s="115">
        <v>0.0010539515853987067</v>
      </c>
      <c r="D708" s="86" t="s">
        <v>3161</v>
      </c>
      <c r="E708" s="86" t="b">
        <v>0</v>
      </c>
      <c r="F708" s="86" t="b">
        <v>0</v>
      </c>
      <c r="G708" s="86" t="b">
        <v>0</v>
      </c>
    </row>
    <row r="709" spans="1:7" ht="15">
      <c r="A709" s="87" t="s">
        <v>4249</v>
      </c>
      <c r="B709" s="86">
        <v>2</v>
      </c>
      <c r="C709" s="115">
        <v>0.0010539515853987067</v>
      </c>
      <c r="D709" s="86" t="s">
        <v>3161</v>
      </c>
      <c r="E709" s="86" t="b">
        <v>0</v>
      </c>
      <c r="F709" s="86" t="b">
        <v>0</v>
      </c>
      <c r="G709" s="86" t="b">
        <v>0</v>
      </c>
    </row>
    <row r="710" spans="1:7" ht="15">
      <c r="A710" s="87" t="s">
        <v>4425</v>
      </c>
      <c r="B710" s="86">
        <v>2</v>
      </c>
      <c r="C710" s="115">
        <v>0.0010539515853987067</v>
      </c>
      <c r="D710" s="86" t="s">
        <v>3161</v>
      </c>
      <c r="E710" s="86" t="b">
        <v>0</v>
      </c>
      <c r="F710" s="86" t="b">
        <v>0</v>
      </c>
      <c r="G710" s="86" t="b">
        <v>0</v>
      </c>
    </row>
    <row r="711" spans="1:7" ht="15">
      <c r="A711" s="87" t="s">
        <v>4426</v>
      </c>
      <c r="B711" s="86">
        <v>2</v>
      </c>
      <c r="C711" s="115">
        <v>0.0010539515853987067</v>
      </c>
      <c r="D711" s="86" t="s">
        <v>3161</v>
      </c>
      <c r="E711" s="86" t="b">
        <v>0</v>
      </c>
      <c r="F711" s="86" t="b">
        <v>0</v>
      </c>
      <c r="G711" s="86" t="b">
        <v>0</v>
      </c>
    </row>
    <row r="712" spans="1:7" ht="15">
      <c r="A712" s="87" t="s">
        <v>4202</v>
      </c>
      <c r="B712" s="86">
        <v>2</v>
      </c>
      <c r="C712" s="115">
        <v>0.0010539515853987067</v>
      </c>
      <c r="D712" s="86" t="s">
        <v>3161</v>
      </c>
      <c r="E712" s="86" t="b">
        <v>0</v>
      </c>
      <c r="F712" s="86" t="b">
        <v>0</v>
      </c>
      <c r="G712" s="86" t="b">
        <v>0</v>
      </c>
    </row>
    <row r="713" spans="1:7" ht="15">
      <c r="A713" s="87" t="s">
        <v>4268</v>
      </c>
      <c r="B713" s="86">
        <v>2</v>
      </c>
      <c r="C713" s="115">
        <v>0.0010539515853987067</v>
      </c>
      <c r="D713" s="86" t="s">
        <v>3161</v>
      </c>
      <c r="E713" s="86" t="b">
        <v>1</v>
      </c>
      <c r="F713" s="86" t="b">
        <v>0</v>
      </c>
      <c r="G713" s="86" t="b">
        <v>0</v>
      </c>
    </row>
    <row r="714" spans="1:7" ht="15">
      <c r="A714" s="87" t="s">
        <v>4180</v>
      </c>
      <c r="B714" s="86">
        <v>2</v>
      </c>
      <c r="C714" s="115">
        <v>0.0010539515853987067</v>
      </c>
      <c r="D714" s="86" t="s">
        <v>3161</v>
      </c>
      <c r="E714" s="86" t="b">
        <v>0</v>
      </c>
      <c r="F714" s="86" t="b">
        <v>0</v>
      </c>
      <c r="G714" s="86" t="b">
        <v>0</v>
      </c>
    </row>
    <row r="715" spans="1:7" ht="15">
      <c r="A715" s="87" t="s">
        <v>4269</v>
      </c>
      <c r="B715" s="86">
        <v>2</v>
      </c>
      <c r="C715" s="115">
        <v>0.0010539515853987067</v>
      </c>
      <c r="D715" s="86" t="s">
        <v>3161</v>
      </c>
      <c r="E715" s="86" t="b">
        <v>0</v>
      </c>
      <c r="F715" s="86" t="b">
        <v>0</v>
      </c>
      <c r="G715" s="86" t="b">
        <v>0</v>
      </c>
    </row>
    <row r="716" spans="1:7" ht="15">
      <c r="A716" s="87" t="s">
        <v>4194</v>
      </c>
      <c r="B716" s="86">
        <v>2</v>
      </c>
      <c r="C716" s="115">
        <v>0.0010539515853987067</v>
      </c>
      <c r="D716" s="86" t="s">
        <v>3161</v>
      </c>
      <c r="E716" s="86" t="b">
        <v>0</v>
      </c>
      <c r="F716" s="86" t="b">
        <v>0</v>
      </c>
      <c r="G716" s="86" t="b">
        <v>0</v>
      </c>
    </row>
    <row r="717" spans="1:7" ht="15">
      <c r="A717" s="87" t="s">
        <v>4160</v>
      </c>
      <c r="B717" s="86">
        <v>2</v>
      </c>
      <c r="C717" s="115">
        <v>0.0010539515853987067</v>
      </c>
      <c r="D717" s="86" t="s">
        <v>3161</v>
      </c>
      <c r="E717" s="86" t="b">
        <v>0</v>
      </c>
      <c r="F717" s="86" t="b">
        <v>0</v>
      </c>
      <c r="G717" s="86" t="b">
        <v>0</v>
      </c>
    </row>
    <row r="718" spans="1:7" ht="15">
      <c r="A718" s="87" t="s">
        <v>4420</v>
      </c>
      <c r="B718" s="86">
        <v>2</v>
      </c>
      <c r="C718" s="115">
        <v>0.0012102901964939968</v>
      </c>
      <c r="D718" s="86" t="s">
        <v>3161</v>
      </c>
      <c r="E718" s="86" t="b">
        <v>0</v>
      </c>
      <c r="F718" s="86" t="b">
        <v>0</v>
      </c>
      <c r="G718" s="86" t="b">
        <v>0</v>
      </c>
    </row>
    <row r="719" spans="1:7" ht="15">
      <c r="A719" s="87" t="s">
        <v>4421</v>
      </c>
      <c r="B719" s="86">
        <v>2</v>
      </c>
      <c r="C719" s="115">
        <v>0.0012102901964939968</v>
      </c>
      <c r="D719" s="86" t="s">
        <v>3161</v>
      </c>
      <c r="E719" s="86" t="b">
        <v>1</v>
      </c>
      <c r="F719" s="86" t="b">
        <v>0</v>
      </c>
      <c r="G719" s="86" t="b">
        <v>0</v>
      </c>
    </row>
    <row r="720" spans="1:7" ht="15">
      <c r="A720" s="87" t="s">
        <v>4293</v>
      </c>
      <c r="B720" s="86">
        <v>2</v>
      </c>
      <c r="C720" s="115">
        <v>0.0010539515853987067</v>
      </c>
      <c r="D720" s="86" t="s">
        <v>3161</v>
      </c>
      <c r="E720" s="86" t="b">
        <v>0</v>
      </c>
      <c r="F720" s="86" t="b">
        <v>0</v>
      </c>
      <c r="G720" s="86" t="b">
        <v>0</v>
      </c>
    </row>
    <row r="721" spans="1:7" ht="15">
      <c r="A721" s="87" t="s">
        <v>4185</v>
      </c>
      <c r="B721" s="86">
        <v>2</v>
      </c>
      <c r="C721" s="115">
        <v>0.0010539515853987067</v>
      </c>
      <c r="D721" s="86" t="s">
        <v>3161</v>
      </c>
      <c r="E721" s="86" t="b">
        <v>0</v>
      </c>
      <c r="F721" s="86" t="b">
        <v>0</v>
      </c>
      <c r="G721" s="86" t="b">
        <v>0</v>
      </c>
    </row>
    <row r="722" spans="1:7" ht="15">
      <c r="A722" s="87" t="s">
        <v>4205</v>
      </c>
      <c r="B722" s="86">
        <v>2</v>
      </c>
      <c r="C722" s="115">
        <v>0.0010539515853987067</v>
      </c>
      <c r="D722" s="86" t="s">
        <v>3161</v>
      </c>
      <c r="E722" s="86" t="b">
        <v>0</v>
      </c>
      <c r="F722" s="86" t="b">
        <v>0</v>
      </c>
      <c r="G722" s="86" t="b">
        <v>0</v>
      </c>
    </row>
    <row r="723" spans="1:7" ht="15">
      <c r="A723" s="87" t="s">
        <v>4112</v>
      </c>
      <c r="B723" s="86">
        <v>2</v>
      </c>
      <c r="C723" s="115">
        <v>0.0010539515853987067</v>
      </c>
      <c r="D723" s="86" t="s">
        <v>3161</v>
      </c>
      <c r="E723" s="86" t="b">
        <v>1</v>
      </c>
      <c r="F723" s="86" t="b">
        <v>0</v>
      </c>
      <c r="G723" s="86" t="b">
        <v>0</v>
      </c>
    </row>
    <row r="724" spans="1:7" ht="15">
      <c r="A724" s="87" t="s">
        <v>4415</v>
      </c>
      <c r="B724" s="86">
        <v>2</v>
      </c>
      <c r="C724" s="115">
        <v>0.0010539515853987067</v>
      </c>
      <c r="D724" s="86" t="s">
        <v>3161</v>
      </c>
      <c r="E724" s="86" t="b">
        <v>0</v>
      </c>
      <c r="F724" s="86" t="b">
        <v>0</v>
      </c>
      <c r="G724" s="86" t="b">
        <v>0</v>
      </c>
    </row>
    <row r="725" spans="1:7" ht="15">
      <c r="A725" s="87" t="s">
        <v>3373</v>
      </c>
      <c r="B725" s="86">
        <v>2</v>
      </c>
      <c r="C725" s="115">
        <v>0.0010539515853987067</v>
      </c>
      <c r="D725" s="86" t="s">
        <v>3161</v>
      </c>
      <c r="E725" s="86" t="b">
        <v>0</v>
      </c>
      <c r="F725" s="86" t="b">
        <v>0</v>
      </c>
      <c r="G725" s="86" t="b">
        <v>0</v>
      </c>
    </row>
    <row r="726" spans="1:7" ht="15">
      <c r="A726" s="87" t="s">
        <v>4147</v>
      </c>
      <c r="B726" s="86">
        <v>2</v>
      </c>
      <c r="C726" s="115">
        <v>0.0010539515853987067</v>
      </c>
      <c r="D726" s="86" t="s">
        <v>3161</v>
      </c>
      <c r="E726" s="86" t="b">
        <v>0</v>
      </c>
      <c r="F726" s="86" t="b">
        <v>0</v>
      </c>
      <c r="G726" s="86" t="b">
        <v>0</v>
      </c>
    </row>
    <row r="727" spans="1:7" ht="15">
      <c r="A727" s="87" t="s">
        <v>4270</v>
      </c>
      <c r="B727" s="86">
        <v>2</v>
      </c>
      <c r="C727" s="115">
        <v>0.0010539515853987067</v>
      </c>
      <c r="D727" s="86" t="s">
        <v>3161</v>
      </c>
      <c r="E727" s="86" t="b">
        <v>0</v>
      </c>
      <c r="F727" s="86" t="b">
        <v>0</v>
      </c>
      <c r="G727" s="86" t="b">
        <v>0</v>
      </c>
    </row>
    <row r="728" spans="1:7" ht="15">
      <c r="A728" s="87" t="s">
        <v>4297</v>
      </c>
      <c r="B728" s="86">
        <v>2</v>
      </c>
      <c r="C728" s="115">
        <v>0.0010539515853987067</v>
      </c>
      <c r="D728" s="86" t="s">
        <v>3161</v>
      </c>
      <c r="E728" s="86" t="b">
        <v>0</v>
      </c>
      <c r="F728" s="86" t="b">
        <v>0</v>
      </c>
      <c r="G728" s="86" t="b">
        <v>0</v>
      </c>
    </row>
    <row r="729" spans="1:7" ht="15">
      <c r="A729" s="87" t="s">
        <v>4332</v>
      </c>
      <c r="B729" s="86">
        <v>2</v>
      </c>
      <c r="C729" s="115">
        <v>0.0010539515853987067</v>
      </c>
      <c r="D729" s="86" t="s">
        <v>3161</v>
      </c>
      <c r="E729" s="86" t="b">
        <v>0</v>
      </c>
      <c r="F729" s="86" t="b">
        <v>0</v>
      </c>
      <c r="G729" s="86" t="b">
        <v>0</v>
      </c>
    </row>
    <row r="730" spans="1:7" ht="15">
      <c r="A730" s="87" t="s">
        <v>4184</v>
      </c>
      <c r="B730" s="86">
        <v>2</v>
      </c>
      <c r="C730" s="115">
        <v>0.0010539515853987067</v>
      </c>
      <c r="D730" s="86" t="s">
        <v>3161</v>
      </c>
      <c r="E730" s="86" t="b">
        <v>0</v>
      </c>
      <c r="F730" s="86" t="b">
        <v>0</v>
      </c>
      <c r="G730" s="86" t="b">
        <v>0</v>
      </c>
    </row>
    <row r="731" spans="1:7" ht="15">
      <c r="A731" s="87" t="s">
        <v>4144</v>
      </c>
      <c r="B731" s="86">
        <v>2</v>
      </c>
      <c r="C731" s="115">
        <v>0.0010539515853987067</v>
      </c>
      <c r="D731" s="86" t="s">
        <v>3161</v>
      </c>
      <c r="E731" s="86" t="b">
        <v>0</v>
      </c>
      <c r="F731" s="86" t="b">
        <v>0</v>
      </c>
      <c r="G731" s="86" t="b">
        <v>0</v>
      </c>
    </row>
    <row r="732" spans="1:7" ht="15">
      <c r="A732" s="87" t="s">
        <v>4191</v>
      </c>
      <c r="B732" s="86">
        <v>2</v>
      </c>
      <c r="C732" s="115">
        <v>0.0010539515853987067</v>
      </c>
      <c r="D732" s="86" t="s">
        <v>3161</v>
      </c>
      <c r="E732" s="86" t="b">
        <v>0</v>
      </c>
      <c r="F732" s="86" t="b">
        <v>0</v>
      </c>
      <c r="G732" s="86" t="b">
        <v>0</v>
      </c>
    </row>
    <row r="733" spans="1:7" ht="15">
      <c r="A733" s="87" t="s">
        <v>4299</v>
      </c>
      <c r="B733" s="86">
        <v>2</v>
      </c>
      <c r="C733" s="115">
        <v>0.0010539515853987067</v>
      </c>
      <c r="D733" s="86" t="s">
        <v>3161</v>
      </c>
      <c r="E733" s="86" t="b">
        <v>0</v>
      </c>
      <c r="F733" s="86" t="b">
        <v>0</v>
      </c>
      <c r="G733" s="86" t="b">
        <v>0</v>
      </c>
    </row>
    <row r="734" spans="1:7" ht="15">
      <c r="A734" s="87" t="s">
        <v>4211</v>
      </c>
      <c r="B734" s="86">
        <v>2</v>
      </c>
      <c r="C734" s="115">
        <v>0.0010539515853987067</v>
      </c>
      <c r="D734" s="86" t="s">
        <v>3161</v>
      </c>
      <c r="E734" s="86" t="b">
        <v>0</v>
      </c>
      <c r="F734" s="86" t="b">
        <v>0</v>
      </c>
      <c r="G734" s="86" t="b">
        <v>0</v>
      </c>
    </row>
    <row r="735" spans="1:7" ht="15">
      <c r="A735" s="87" t="s">
        <v>4209</v>
      </c>
      <c r="B735" s="86">
        <v>2</v>
      </c>
      <c r="C735" s="115">
        <v>0.0010539515853987067</v>
      </c>
      <c r="D735" s="86" t="s">
        <v>3161</v>
      </c>
      <c r="E735" s="86" t="b">
        <v>0</v>
      </c>
      <c r="F735" s="86" t="b">
        <v>0</v>
      </c>
      <c r="G735" s="86" t="b">
        <v>0</v>
      </c>
    </row>
    <row r="736" spans="1:7" ht="15">
      <c r="A736" s="87" t="s">
        <v>4329</v>
      </c>
      <c r="B736" s="86">
        <v>2</v>
      </c>
      <c r="C736" s="115">
        <v>0.0010539515853987067</v>
      </c>
      <c r="D736" s="86" t="s">
        <v>3161</v>
      </c>
      <c r="E736" s="86" t="b">
        <v>1</v>
      </c>
      <c r="F736" s="86" t="b">
        <v>0</v>
      </c>
      <c r="G736" s="86" t="b">
        <v>0</v>
      </c>
    </row>
    <row r="737" spans="1:7" ht="15">
      <c r="A737" s="87" t="s">
        <v>4325</v>
      </c>
      <c r="B737" s="86">
        <v>2</v>
      </c>
      <c r="C737" s="115">
        <v>0.0012102901964939968</v>
      </c>
      <c r="D737" s="86" t="s">
        <v>3161</v>
      </c>
      <c r="E737" s="86" t="b">
        <v>0</v>
      </c>
      <c r="F737" s="86" t="b">
        <v>0</v>
      </c>
      <c r="G737" s="86" t="b">
        <v>0</v>
      </c>
    </row>
    <row r="738" spans="1:7" ht="15">
      <c r="A738" s="87" t="s">
        <v>4230</v>
      </c>
      <c r="B738" s="86">
        <v>2</v>
      </c>
      <c r="C738" s="115">
        <v>0.0012102901964939968</v>
      </c>
      <c r="D738" s="86" t="s">
        <v>3161</v>
      </c>
      <c r="E738" s="86" t="b">
        <v>0</v>
      </c>
      <c r="F738" s="86" t="b">
        <v>0</v>
      </c>
      <c r="G738" s="86" t="b">
        <v>0</v>
      </c>
    </row>
    <row r="739" spans="1:7" ht="15">
      <c r="A739" s="87" t="s">
        <v>4210</v>
      </c>
      <c r="B739" s="86">
        <v>2</v>
      </c>
      <c r="C739" s="115">
        <v>0.0010539515853987067</v>
      </c>
      <c r="D739" s="86" t="s">
        <v>3161</v>
      </c>
      <c r="E739" s="86" t="b">
        <v>0</v>
      </c>
      <c r="F739" s="86" t="b">
        <v>0</v>
      </c>
      <c r="G739" s="86" t="b">
        <v>0</v>
      </c>
    </row>
    <row r="740" spans="1:7" ht="15">
      <c r="A740" s="87" t="s">
        <v>4298</v>
      </c>
      <c r="B740" s="86">
        <v>2</v>
      </c>
      <c r="C740" s="115">
        <v>0.0010539515853987067</v>
      </c>
      <c r="D740" s="86" t="s">
        <v>3161</v>
      </c>
      <c r="E740" s="86" t="b">
        <v>0</v>
      </c>
      <c r="F740" s="86" t="b">
        <v>0</v>
      </c>
      <c r="G740" s="86" t="b">
        <v>0</v>
      </c>
    </row>
    <row r="741" spans="1:7" ht="15">
      <c r="A741" s="87" t="s">
        <v>4302</v>
      </c>
      <c r="B741" s="86">
        <v>2</v>
      </c>
      <c r="C741" s="115">
        <v>0.0010539515853987067</v>
      </c>
      <c r="D741" s="86" t="s">
        <v>3161</v>
      </c>
      <c r="E741" s="86" t="b">
        <v>0</v>
      </c>
      <c r="F741" s="86" t="b">
        <v>0</v>
      </c>
      <c r="G741" s="86" t="b">
        <v>0</v>
      </c>
    </row>
    <row r="742" spans="1:7" ht="15">
      <c r="A742" s="87" t="s">
        <v>4294</v>
      </c>
      <c r="B742" s="86">
        <v>2</v>
      </c>
      <c r="C742" s="115">
        <v>0.0010539515853987067</v>
      </c>
      <c r="D742" s="86" t="s">
        <v>3161</v>
      </c>
      <c r="E742" s="86" t="b">
        <v>0</v>
      </c>
      <c r="F742" s="86" t="b">
        <v>0</v>
      </c>
      <c r="G742" s="86" t="b">
        <v>0</v>
      </c>
    </row>
    <row r="743" spans="1:7" ht="15">
      <c r="A743" s="87" t="s">
        <v>3355</v>
      </c>
      <c r="B743" s="86">
        <v>26</v>
      </c>
      <c r="C743" s="115">
        <v>0.0027040370573061215</v>
      </c>
      <c r="D743" s="86" t="s">
        <v>3162</v>
      </c>
      <c r="E743" s="86" t="b">
        <v>0</v>
      </c>
      <c r="F743" s="86" t="b">
        <v>0</v>
      </c>
      <c r="G743" s="86" t="b">
        <v>0</v>
      </c>
    </row>
    <row r="744" spans="1:7" ht="15">
      <c r="A744" s="87" t="s">
        <v>3354</v>
      </c>
      <c r="B744" s="86">
        <v>21</v>
      </c>
      <c r="C744" s="115">
        <v>0.006455598172074063</v>
      </c>
      <c r="D744" s="86" t="s">
        <v>3162</v>
      </c>
      <c r="E744" s="86" t="b">
        <v>0</v>
      </c>
      <c r="F744" s="86" t="b">
        <v>0</v>
      </c>
      <c r="G744" s="86" t="b">
        <v>0</v>
      </c>
    </row>
    <row r="745" spans="1:7" ht="15">
      <c r="A745" s="87" t="s">
        <v>3356</v>
      </c>
      <c r="B745" s="86">
        <v>18</v>
      </c>
      <c r="C745" s="115">
        <v>0.008176006294565132</v>
      </c>
      <c r="D745" s="86" t="s">
        <v>3162</v>
      </c>
      <c r="E745" s="86" t="b">
        <v>0</v>
      </c>
      <c r="F745" s="86" t="b">
        <v>0</v>
      </c>
      <c r="G745" s="86" t="b">
        <v>0</v>
      </c>
    </row>
    <row r="746" spans="1:7" ht="15">
      <c r="A746" s="87" t="s">
        <v>3366</v>
      </c>
      <c r="B746" s="86">
        <v>14</v>
      </c>
      <c r="C746" s="115">
        <v>0.00971004269975889</v>
      </c>
      <c r="D746" s="86" t="s">
        <v>3162</v>
      </c>
      <c r="E746" s="86" t="b">
        <v>0</v>
      </c>
      <c r="F746" s="86" t="b">
        <v>0</v>
      </c>
      <c r="G746" s="86" t="b">
        <v>0</v>
      </c>
    </row>
    <row r="747" spans="1:7" ht="15">
      <c r="A747" s="87" t="s">
        <v>3367</v>
      </c>
      <c r="B747" s="86">
        <v>13</v>
      </c>
      <c r="C747" s="115">
        <v>0.009934014019073576</v>
      </c>
      <c r="D747" s="86" t="s">
        <v>3162</v>
      </c>
      <c r="E747" s="86" t="b">
        <v>0</v>
      </c>
      <c r="F747" s="86" t="b">
        <v>0</v>
      </c>
      <c r="G747" s="86" t="b">
        <v>0</v>
      </c>
    </row>
    <row r="748" spans="1:7" ht="15">
      <c r="A748" s="87" t="s">
        <v>3357</v>
      </c>
      <c r="B748" s="86">
        <v>12</v>
      </c>
      <c r="C748" s="115">
        <v>0.010084651364508717</v>
      </c>
      <c r="D748" s="86" t="s">
        <v>3162</v>
      </c>
      <c r="E748" s="86" t="b">
        <v>0</v>
      </c>
      <c r="F748" s="86" t="b">
        <v>0</v>
      </c>
      <c r="G748" s="86" t="b">
        <v>0</v>
      </c>
    </row>
    <row r="749" spans="1:7" ht="15">
      <c r="A749" s="87" t="s">
        <v>3368</v>
      </c>
      <c r="B749" s="86">
        <v>12</v>
      </c>
      <c r="C749" s="115">
        <v>0.010084651364508717</v>
      </c>
      <c r="D749" s="86" t="s">
        <v>3162</v>
      </c>
      <c r="E749" s="86" t="b">
        <v>0</v>
      </c>
      <c r="F749" s="86" t="b">
        <v>0</v>
      </c>
      <c r="G749" s="86" t="b">
        <v>0</v>
      </c>
    </row>
    <row r="750" spans="1:7" ht="15">
      <c r="A750" s="87" t="s">
        <v>3307</v>
      </c>
      <c r="B750" s="86">
        <v>11</v>
      </c>
      <c r="C750" s="115">
        <v>0.01225813678301742</v>
      </c>
      <c r="D750" s="86" t="s">
        <v>3162</v>
      </c>
      <c r="E750" s="86" t="b">
        <v>0</v>
      </c>
      <c r="F750" s="86" t="b">
        <v>0</v>
      </c>
      <c r="G750" s="86" t="b">
        <v>0</v>
      </c>
    </row>
    <row r="751" spans="1:7" ht="15">
      <c r="A751" s="87" t="s">
        <v>3358</v>
      </c>
      <c r="B751" s="86">
        <v>7</v>
      </c>
      <c r="C751" s="115">
        <v>0.00947609584472126</v>
      </c>
      <c r="D751" s="86" t="s">
        <v>3162</v>
      </c>
      <c r="E751" s="86" t="b">
        <v>0</v>
      </c>
      <c r="F751" s="86" t="b">
        <v>0</v>
      </c>
      <c r="G751" s="86" t="b">
        <v>0</v>
      </c>
    </row>
    <row r="752" spans="1:7" ht="15">
      <c r="A752" s="87" t="s">
        <v>3327</v>
      </c>
      <c r="B752" s="86">
        <v>7</v>
      </c>
      <c r="C752" s="115">
        <v>0.010503787790805234</v>
      </c>
      <c r="D752" s="86" t="s">
        <v>3162</v>
      </c>
      <c r="E752" s="86" t="b">
        <v>0</v>
      </c>
      <c r="F752" s="86" t="b">
        <v>0</v>
      </c>
      <c r="G752" s="86" t="b">
        <v>0</v>
      </c>
    </row>
    <row r="753" spans="1:7" ht="15">
      <c r="A753" s="87" t="s">
        <v>3381</v>
      </c>
      <c r="B753" s="86">
        <v>7</v>
      </c>
      <c r="C753" s="115">
        <v>0.010503787790805234</v>
      </c>
      <c r="D753" s="86" t="s">
        <v>3162</v>
      </c>
      <c r="E753" s="86" t="b">
        <v>0</v>
      </c>
      <c r="F753" s="86" t="b">
        <v>0</v>
      </c>
      <c r="G753" s="86" t="b">
        <v>0</v>
      </c>
    </row>
    <row r="754" spans="1:7" ht="15">
      <c r="A754" s="87" t="s">
        <v>3360</v>
      </c>
      <c r="B754" s="86">
        <v>5</v>
      </c>
      <c r="C754" s="115">
        <v>0.00837092098204975</v>
      </c>
      <c r="D754" s="86" t="s">
        <v>3162</v>
      </c>
      <c r="E754" s="86" t="b">
        <v>0</v>
      </c>
      <c r="F754" s="86" t="b">
        <v>0</v>
      </c>
      <c r="G754" s="86" t="b">
        <v>0</v>
      </c>
    </row>
    <row r="755" spans="1:7" ht="15">
      <c r="A755" s="87" t="s">
        <v>4020</v>
      </c>
      <c r="B755" s="86">
        <v>5</v>
      </c>
      <c r="C755" s="115">
        <v>0.00837092098204975</v>
      </c>
      <c r="D755" s="86" t="s">
        <v>3162</v>
      </c>
      <c r="E755" s="86" t="b">
        <v>0</v>
      </c>
      <c r="F755" s="86" t="b">
        <v>1</v>
      </c>
      <c r="G755" s="86" t="b">
        <v>0</v>
      </c>
    </row>
    <row r="756" spans="1:7" ht="15">
      <c r="A756" s="87" t="s">
        <v>3380</v>
      </c>
      <c r="B756" s="86">
        <v>5</v>
      </c>
      <c r="C756" s="115">
        <v>0.009433530773804755</v>
      </c>
      <c r="D756" s="86" t="s">
        <v>3162</v>
      </c>
      <c r="E756" s="86" t="b">
        <v>0</v>
      </c>
      <c r="F756" s="86" t="b">
        <v>0</v>
      </c>
      <c r="G756" s="86" t="b">
        <v>0</v>
      </c>
    </row>
    <row r="757" spans="1:7" ht="15">
      <c r="A757" s="87" t="s">
        <v>4115</v>
      </c>
      <c r="B757" s="86">
        <v>4</v>
      </c>
      <c r="C757" s="115">
        <v>0.008642778448941171</v>
      </c>
      <c r="D757" s="86" t="s">
        <v>3162</v>
      </c>
      <c r="E757" s="86" t="b">
        <v>0</v>
      </c>
      <c r="F757" s="86" t="b">
        <v>0</v>
      </c>
      <c r="G757" s="86" t="b">
        <v>0</v>
      </c>
    </row>
    <row r="758" spans="1:7" ht="15">
      <c r="A758" s="87" t="s">
        <v>3363</v>
      </c>
      <c r="B758" s="86">
        <v>4</v>
      </c>
      <c r="C758" s="115">
        <v>0.008642778448941171</v>
      </c>
      <c r="D758" s="86" t="s">
        <v>3162</v>
      </c>
      <c r="E758" s="86" t="b">
        <v>0</v>
      </c>
      <c r="F758" s="86" t="b">
        <v>0</v>
      </c>
      <c r="G758" s="86" t="b">
        <v>0</v>
      </c>
    </row>
    <row r="759" spans="1:7" ht="15">
      <c r="A759" s="87" t="s">
        <v>429</v>
      </c>
      <c r="B759" s="86">
        <v>4</v>
      </c>
      <c r="C759" s="115">
        <v>0.007546824619043804</v>
      </c>
      <c r="D759" s="86" t="s">
        <v>3162</v>
      </c>
      <c r="E759" s="86" t="b">
        <v>0</v>
      </c>
      <c r="F759" s="86" t="b">
        <v>0</v>
      </c>
      <c r="G759" s="86" t="b">
        <v>0</v>
      </c>
    </row>
    <row r="760" spans="1:7" ht="15">
      <c r="A760" s="87" t="s">
        <v>4033</v>
      </c>
      <c r="B760" s="86">
        <v>4</v>
      </c>
      <c r="C760" s="115">
        <v>0.007546824619043804</v>
      </c>
      <c r="D760" s="86" t="s">
        <v>3162</v>
      </c>
      <c r="E760" s="86" t="b">
        <v>0</v>
      </c>
      <c r="F760" s="86" t="b">
        <v>0</v>
      </c>
      <c r="G760" s="86" t="b">
        <v>0</v>
      </c>
    </row>
    <row r="761" spans="1:7" ht="15">
      <c r="A761" s="87" t="s">
        <v>381</v>
      </c>
      <c r="B761" s="86">
        <v>4</v>
      </c>
      <c r="C761" s="115">
        <v>0.007546824619043804</v>
      </c>
      <c r="D761" s="86" t="s">
        <v>3162</v>
      </c>
      <c r="E761" s="86" t="b">
        <v>0</v>
      </c>
      <c r="F761" s="86" t="b">
        <v>0</v>
      </c>
      <c r="G761" s="86" t="b">
        <v>0</v>
      </c>
    </row>
    <row r="762" spans="1:7" ht="15">
      <c r="A762" s="87" t="s">
        <v>493</v>
      </c>
      <c r="B762" s="86">
        <v>4</v>
      </c>
      <c r="C762" s="115">
        <v>0.007546824619043804</v>
      </c>
      <c r="D762" s="86" t="s">
        <v>3162</v>
      </c>
      <c r="E762" s="86" t="b">
        <v>0</v>
      </c>
      <c r="F762" s="86" t="b">
        <v>0</v>
      </c>
      <c r="G762" s="86" t="b">
        <v>0</v>
      </c>
    </row>
    <row r="763" spans="1:7" ht="15">
      <c r="A763" s="87" t="s">
        <v>4148</v>
      </c>
      <c r="B763" s="86">
        <v>3</v>
      </c>
      <c r="C763" s="115">
        <v>0.006482083836705879</v>
      </c>
      <c r="D763" s="86" t="s">
        <v>3162</v>
      </c>
      <c r="E763" s="86" t="b">
        <v>0</v>
      </c>
      <c r="F763" s="86" t="b">
        <v>0</v>
      </c>
      <c r="G763" s="86" t="b">
        <v>0</v>
      </c>
    </row>
    <row r="764" spans="1:7" ht="15">
      <c r="A764" s="87" t="s">
        <v>4025</v>
      </c>
      <c r="B764" s="86">
        <v>3</v>
      </c>
      <c r="C764" s="115">
        <v>0.006482083836705879</v>
      </c>
      <c r="D764" s="86" t="s">
        <v>3162</v>
      </c>
      <c r="E764" s="86" t="b">
        <v>0</v>
      </c>
      <c r="F764" s="86" t="b">
        <v>0</v>
      </c>
      <c r="G764" s="86" t="b">
        <v>0</v>
      </c>
    </row>
    <row r="765" spans="1:7" ht="15">
      <c r="A765" s="87" t="s">
        <v>4217</v>
      </c>
      <c r="B765" s="86">
        <v>3</v>
      </c>
      <c r="C765" s="115">
        <v>0.006482083836705879</v>
      </c>
      <c r="D765" s="86" t="s">
        <v>3162</v>
      </c>
      <c r="E765" s="86" t="b">
        <v>0</v>
      </c>
      <c r="F765" s="86" t="b">
        <v>0</v>
      </c>
      <c r="G765" s="86" t="b">
        <v>0</v>
      </c>
    </row>
    <row r="766" spans="1:7" ht="15">
      <c r="A766" s="87" t="s">
        <v>3364</v>
      </c>
      <c r="B766" s="86">
        <v>3</v>
      </c>
      <c r="C766" s="115">
        <v>0.006482083836705879</v>
      </c>
      <c r="D766" s="86" t="s">
        <v>3162</v>
      </c>
      <c r="E766" s="86" t="b">
        <v>0</v>
      </c>
      <c r="F766" s="86" t="b">
        <v>0</v>
      </c>
      <c r="G766" s="86" t="b">
        <v>0</v>
      </c>
    </row>
    <row r="767" spans="1:7" ht="15">
      <c r="A767" s="87" t="s">
        <v>3361</v>
      </c>
      <c r="B767" s="86">
        <v>3</v>
      </c>
      <c r="C767" s="115">
        <v>0.006482083836705879</v>
      </c>
      <c r="D767" s="86" t="s">
        <v>3162</v>
      </c>
      <c r="E767" s="86" t="b">
        <v>0</v>
      </c>
      <c r="F767" s="86" t="b">
        <v>0</v>
      </c>
      <c r="G767" s="86" t="b">
        <v>0</v>
      </c>
    </row>
    <row r="768" spans="1:7" ht="15">
      <c r="A768" s="87" t="s">
        <v>4021</v>
      </c>
      <c r="B768" s="86">
        <v>3</v>
      </c>
      <c r="C768" s="115">
        <v>0.006482083836705879</v>
      </c>
      <c r="D768" s="86" t="s">
        <v>3162</v>
      </c>
      <c r="E768" s="86" t="b">
        <v>0</v>
      </c>
      <c r="F768" s="86" t="b">
        <v>1</v>
      </c>
      <c r="G768" s="86" t="b">
        <v>0</v>
      </c>
    </row>
    <row r="769" spans="1:7" ht="15">
      <c r="A769" s="87" t="s">
        <v>4024</v>
      </c>
      <c r="B769" s="86">
        <v>3</v>
      </c>
      <c r="C769" s="115">
        <v>0.007640578962072203</v>
      </c>
      <c r="D769" s="86" t="s">
        <v>3162</v>
      </c>
      <c r="E769" s="86" t="b">
        <v>0</v>
      </c>
      <c r="F769" s="86" t="b">
        <v>0</v>
      </c>
      <c r="G769" s="86" t="b">
        <v>0</v>
      </c>
    </row>
    <row r="770" spans="1:7" ht="15">
      <c r="A770" s="87" t="s">
        <v>4037</v>
      </c>
      <c r="B770" s="86">
        <v>3</v>
      </c>
      <c r="C770" s="115">
        <v>0.006482083836705879</v>
      </c>
      <c r="D770" s="86" t="s">
        <v>3162</v>
      </c>
      <c r="E770" s="86" t="b">
        <v>0</v>
      </c>
      <c r="F770" s="86" t="b">
        <v>0</v>
      </c>
      <c r="G770" s="86" t="b">
        <v>0</v>
      </c>
    </row>
    <row r="771" spans="1:7" ht="15">
      <c r="A771" s="87" t="s">
        <v>4038</v>
      </c>
      <c r="B771" s="86">
        <v>3</v>
      </c>
      <c r="C771" s="115">
        <v>0.006482083836705879</v>
      </c>
      <c r="D771" s="86" t="s">
        <v>3162</v>
      </c>
      <c r="E771" s="86" t="b">
        <v>0</v>
      </c>
      <c r="F771" s="86" t="b">
        <v>0</v>
      </c>
      <c r="G771" s="86" t="b">
        <v>0</v>
      </c>
    </row>
    <row r="772" spans="1:7" ht="15">
      <c r="A772" s="87" t="s">
        <v>4039</v>
      </c>
      <c r="B772" s="86">
        <v>3</v>
      </c>
      <c r="C772" s="115">
        <v>0.006482083836705879</v>
      </c>
      <c r="D772" s="86" t="s">
        <v>3162</v>
      </c>
      <c r="E772" s="86" t="b">
        <v>0</v>
      </c>
      <c r="F772" s="86" t="b">
        <v>0</v>
      </c>
      <c r="G772" s="86" t="b">
        <v>0</v>
      </c>
    </row>
    <row r="773" spans="1:7" ht="15">
      <c r="A773" s="87" t="s">
        <v>3383</v>
      </c>
      <c r="B773" s="86">
        <v>3</v>
      </c>
      <c r="C773" s="115">
        <v>0.006482083836705879</v>
      </c>
      <c r="D773" s="86" t="s">
        <v>3162</v>
      </c>
      <c r="E773" s="86" t="b">
        <v>0</v>
      </c>
      <c r="F773" s="86" t="b">
        <v>0</v>
      </c>
      <c r="G773" s="86" t="b">
        <v>0</v>
      </c>
    </row>
    <row r="774" spans="1:7" ht="15">
      <c r="A774" s="87" t="s">
        <v>4036</v>
      </c>
      <c r="B774" s="86">
        <v>3</v>
      </c>
      <c r="C774" s="115">
        <v>0.006482083836705879</v>
      </c>
      <c r="D774" s="86" t="s">
        <v>3162</v>
      </c>
      <c r="E774" s="86" t="b">
        <v>0</v>
      </c>
      <c r="F774" s="86" t="b">
        <v>0</v>
      </c>
      <c r="G774" s="86" t="b">
        <v>0</v>
      </c>
    </row>
    <row r="775" spans="1:7" ht="15">
      <c r="A775" s="87" t="s">
        <v>3382</v>
      </c>
      <c r="B775" s="86">
        <v>3</v>
      </c>
      <c r="C775" s="115">
        <v>0.006482083836705879</v>
      </c>
      <c r="D775" s="86" t="s">
        <v>3162</v>
      </c>
      <c r="E775" s="86" t="b">
        <v>0</v>
      </c>
      <c r="F775" s="86" t="b">
        <v>0</v>
      </c>
      <c r="G775" s="86" t="b">
        <v>0</v>
      </c>
    </row>
    <row r="776" spans="1:7" ht="15">
      <c r="A776" s="87" t="s">
        <v>4041</v>
      </c>
      <c r="B776" s="86">
        <v>3</v>
      </c>
      <c r="C776" s="115">
        <v>0.006482083836705879</v>
      </c>
      <c r="D776" s="86" t="s">
        <v>3162</v>
      </c>
      <c r="E776" s="86" t="b">
        <v>0</v>
      </c>
      <c r="F776" s="86" t="b">
        <v>0</v>
      </c>
      <c r="G776" s="86" t="b">
        <v>0</v>
      </c>
    </row>
    <row r="777" spans="1:7" ht="15">
      <c r="A777" s="87" t="s">
        <v>4188</v>
      </c>
      <c r="B777" s="86">
        <v>3</v>
      </c>
      <c r="C777" s="115">
        <v>0.006482083836705879</v>
      </c>
      <c r="D777" s="86" t="s">
        <v>3162</v>
      </c>
      <c r="E777" s="86" t="b">
        <v>0</v>
      </c>
      <c r="F777" s="86" t="b">
        <v>0</v>
      </c>
      <c r="G777" s="86" t="b">
        <v>0</v>
      </c>
    </row>
    <row r="778" spans="1:7" ht="15">
      <c r="A778" s="87" t="s">
        <v>4284</v>
      </c>
      <c r="B778" s="86">
        <v>2</v>
      </c>
      <c r="C778" s="115">
        <v>0.005093719308048135</v>
      </c>
      <c r="D778" s="86" t="s">
        <v>3162</v>
      </c>
      <c r="E778" s="86" t="b">
        <v>0</v>
      </c>
      <c r="F778" s="86" t="b">
        <v>0</v>
      </c>
      <c r="G778" s="86" t="b">
        <v>0</v>
      </c>
    </row>
    <row r="779" spans="1:7" ht="15">
      <c r="A779" s="87" t="s">
        <v>4048</v>
      </c>
      <c r="B779" s="86">
        <v>2</v>
      </c>
      <c r="C779" s="115">
        <v>0.005093719308048135</v>
      </c>
      <c r="D779" s="86" t="s">
        <v>3162</v>
      </c>
      <c r="E779" s="86" t="b">
        <v>0</v>
      </c>
      <c r="F779" s="86" t="b">
        <v>0</v>
      </c>
      <c r="G779" s="86" t="b">
        <v>0</v>
      </c>
    </row>
    <row r="780" spans="1:7" ht="15">
      <c r="A780" s="87" t="s">
        <v>4099</v>
      </c>
      <c r="B780" s="86">
        <v>2</v>
      </c>
      <c r="C780" s="115">
        <v>0.005093719308048135</v>
      </c>
      <c r="D780" s="86" t="s">
        <v>3162</v>
      </c>
      <c r="E780" s="86" t="b">
        <v>0</v>
      </c>
      <c r="F780" s="86" t="b">
        <v>0</v>
      </c>
      <c r="G780" s="86" t="b">
        <v>0</v>
      </c>
    </row>
    <row r="781" spans="1:7" ht="15">
      <c r="A781" s="87" t="s">
        <v>4090</v>
      </c>
      <c r="B781" s="86">
        <v>2</v>
      </c>
      <c r="C781" s="115">
        <v>0.005093719308048135</v>
      </c>
      <c r="D781" s="86" t="s">
        <v>3162</v>
      </c>
      <c r="E781" s="86" t="b">
        <v>0</v>
      </c>
      <c r="F781" s="86" t="b">
        <v>0</v>
      </c>
      <c r="G781" s="86" t="b">
        <v>0</v>
      </c>
    </row>
    <row r="782" spans="1:7" ht="15">
      <c r="A782" s="87" t="s">
        <v>4077</v>
      </c>
      <c r="B782" s="86">
        <v>2</v>
      </c>
      <c r="C782" s="115">
        <v>0.005093719308048135</v>
      </c>
      <c r="D782" s="86" t="s">
        <v>3162</v>
      </c>
      <c r="E782" s="86" t="b">
        <v>0</v>
      </c>
      <c r="F782" s="86" t="b">
        <v>0</v>
      </c>
      <c r="G782" s="86" t="b">
        <v>0</v>
      </c>
    </row>
    <row r="783" spans="1:7" ht="15">
      <c r="A783" s="87" t="s">
        <v>4028</v>
      </c>
      <c r="B783" s="86">
        <v>2</v>
      </c>
      <c r="C783" s="115">
        <v>0.005093719308048135</v>
      </c>
      <c r="D783" s="86" t="s">
        <v>3162</v>
      </c>
      <c r="E783" s="86" t="b">
        <v>0</v>
      </c>
      <c r="F783" s="86" t="b">
        <v>0</v>
      </c>
      <c r="G783" s="86" t="b">
        <v>0</v>
      </c>
    </row>
    <row r="784" spans="1:7" ht="15">
      <c r="A784" s="87" t="s">
        <v>4045</v>
      </c>
      <c r="B784" s="86">
        <v>2</v>
      </c>
      <c r="C784" s="115">
        <v>0.005093719308048135</v>
      </c>
      <c r="D784" s="86" t="s">
        <v>3162</v>
      </c>
      <c r="E784" s="86" t="b">
        <v>0</v>
      </c>
      <c r="F784" s="86" t="b">
        <v>0</v>
      </c>
      <c r="G784" s="86" t="b">
        <v>0</v>
      </c>
    </row>
    <row r="785" spans="1:7" ht="15">
      <c r="A785" s="87" t="s">
        <v>4032</v>
      </c>
      <c r="B785" s="86">
        <v>2</v>
      </c>
      <c r="C785" s="115">
        <v>0.005093719308048135</v>
      </c>
      <c r="D785" s="86" t="s">
        <v>3162</v>
      </c>
      <c r="E785" s="86" t="b">
        <v>0</v>
      </c>
      <c r="F785" s="86" t="b">
        <v>1</v>
      </c>
      <c r="G785" s="86" t="b">
        <v>0</v>
      </c>
    </row>
    <row r="786" spans="1:7" ht="15">
      <c r="A786" s="87" t="s">
        <v>3379</v>
      </c>
      <c r="B786" s="86">
        <v>2</v>
      </c>
      <c r="C786" s="115">
        <v>0.005093719308048135</v>
      </c>
      <c r="D786" s="86" t="s">
        <v>3162</v>
      </c>
      <c r="E786" s="86" t="b">
        <v>0</v>
      </c>
      <c r="F786" s="86" t="b">
        <v>0</v>
      </c>
      <c r="G786" s="86" t="b">
        <v>0</v>
      </c>
    </row>
    <row r="787" spans="1:7" ht="15">
      <c r="A787" s="87" t="s">
        <v>4046</v>
      </c>
      <c r="B787" s="86">
        <v>2</v>
      </c>
      <c r="C787" s="115">
        <v>0.005093719308048135</v>
      </c>
      <c r="D787" s="86" t="s">
        <v>3162</v>
      </c>
      <c r="E787" s="86" t="b">
        <v>0</v>
      </c>
      <c r="F787" s="86" t="b">
        <v>0</v>
      </c>
      <c r="G787" s="86" t="b">
        <v>0</v>
      </c>
    </row>
    <row r="788" spans="1:7" ht="15">
      <c r="A788" s="87" t="s">
        <v>4040</v>
      </c>
      <c r="B788" s="86">
        <v>2</v>
      </c>
      <c r="C788" s="115">
        <v>0.005093719308048135</v>
      </c>
      <c r="D788" s="86" t="s">
        <v>3162</v>
      </c>
      <c r="E788" s="86" t="b">
        <v>0</v>
      </c>
      <c r="F788" s="86" t="b">
        <v>0</v>
      </c>
      <c r="G788" s="86" t="b">
        <v>0</v>
      </c>
    </row>
    <row r="789" spans="1:7" ht="15">
      <c r="A789" s="87" t="s">
        <v>4043</v>
      </c>
      <c r="B789" s="86">
        <v>2</v>
      </c>
      <c r="C789" s="115">
        <v>0.005093719308048135</v>
      </c>
      <c r="D789" s="86" t="s">
        <v>3162</v>
      </c>
      <c r="E789" s="86" t="b">
        <v>0</v>
      </c>
      <c r="F789" s="86" t="b">
        <v>0</v>
      </c>
      <c r="G789" s="86" t="b">
        <v>0</v>
      </c>
    </row>
    <row r="790" spans="1:7" ht="15">
      <c r="A790" s="87" t="s">
        <v>4047</v>
      </c>
      <c r="B790" s="86">
        <v>2</v>
      </c>
      <c r="C790" s="115">
        <v>0.005093719308048135</v>
      </c>
      <c r="D790" s="86" t="s">
        <v>3162</v>
      </c>
      <c r="E790" s="86" t="b">
        <v>0</v>
      </c>
      <c r="F790" s="86" t="b">
        <v>0</v>
      </c>
      <c r="G790" s="86" t="b">
        <v>0</v>
      </c>
    </row>
    <row r="791" spans="1:7" ht="15">
      <c r="A791" s="87" t="s">
        <v>4034</v>
      </c>
      <c r="B791" s="86">
        <v>2</v>
      </c>
      <c r="C791" s="115">
        <v>0.005093719308048135</v>
      </c>
      <c r="D791" s="86" t="s">
        <v>3162</v>
      </c>
      <c r="E791" s="86" t="b">
        <v>0</v>
      </c>
      <c r="F791" s="86" t="b">
        <v>0</v>
      </c>
      <c r="G791" s="86" t="b">
        <v>0</v>
      </c>
    </row>
    <row r="792" spans="1:7" ht="15">
      <c r="A792" s="87" t="s">
        <v>4339</v>
      </c>
      <c r="B792" s="86">
        <v>2</v>
      </c>
      <c r="C792" s="115">
        <v>0.005093719308048135</v>
      </c>
      <c r="D792" s="86" t="s">
        <v>3162</v>
      </c>
      <c r="E792" s="86" t="b">
        <v>0</v>
      </c>
      <c r="F792" s="86" t="b">
        <v>0</v>
      </c>
      <c r="G792" s="86" t="b">
        <v>0</v>
      </c>
    </row>
    <row r="793" spans="1:7" ht="15">
      <c r="A793" s="87" t="s">
        <v>4081</v>
      </c>
      <c r="B793" s="86">
        <v>2</v>
      </c>
      <c r="C793" s="115">
        <v>0.005093719308048135</v>
      </c>
      <c r="D793" s="86" t="s">
        <v>3162</v>
      </c>
      <c r="E793" s="86" t="b">
        <v>1</v>
      </c>
      <c r="F793" s="86" t="b">
        <v>0</v>
      </c>
      <c r="G793" s="86" t="b">
        <v>0</v>
      </c>
    </row>
    <row r="794" spans="1:7" ht="15">
      <c r="A794" s="87" t="s">
        <v>4054</v>
      </c>
      <c r="B794" s="86">
        <v>2</v>
      </c>
      <c r="C794" s="115">
        <v>0.005093719308048135</v>
      </c>
      <c r="D794" s="86" t="s">
        <v>3162</v>
      </c>
      <c r="E794" s="86" t="b">
        <v>0</v>
      </c>
      <c r="F794" s="86" t="b">
        <v>0</v>
      </c>
      <c r="G794" s="86" t="b">
        <v>0</v>
      </c>
    </row>
    <row r="795" spans="1:7" ht="15">
      <c r="A795" s="87" t="s">
        <v>4405</v>
      </c>
      <c r="B795" s="86">
        <v>2</v>
      </c>
      <c r="C795" s="115">
        <v>0.005093719308048135</v>
      </c>
      <c r="D795" s="86" t="s">
        <v>3162</v>
      </c>
      <c r="E795" s="86" t="b">
        <v>0</v>
      </c>
      <c r="F795" s="86" t="b">
        <v>1</v>
      </c>
      <c r="G795" s="86" t="b">
        <v>0</v>
      </c>
    </row>
    <row r="796" spans="1:7" ht="15">
      <c r="A796" s="87" t="s">
        <v>4406</v>
      </c>
      <c r="B796" s="86">
        <v>2</v>
      </c>
      <c r="C796" s="115">
        <v>0.005093719308048135</v>
      </c>
      <c r="D796" s="86" t="s">
        <v>3162</v>
      </c>
      <c r="E796" s="86" t="b">
        <v>0</v>
      </c>
      <c r="F796" s="86" t="b">
        <v>0</v>
      </c>
      <c r="G796" s="86" t="b">
        <v>0</v>
      </c>
    </row>
    <row r="797" spans="1:7" ht="15">
      <c r="A797" s="87" t="s">
        <v>4408</v>
      </c>
      <c r="B797" s="86">
        <v>2</v>
      </c>
      <c r="C797" s="115">
        <v>0.005093719308048135</v>
      </c>
      <c r="D797" s="86" t="s">
        <v>3162</v>
      </c>
      <c r="E797" s="86" t="b">
        <v>0</v>
      </c>
      <c r="F797" s="86" t="b">
        <v>0</v>
      </c>
      <c r="G797" s="86" t="b">
        <v>0</v>
      </c>
    </row>
    <row r="798" spans="1:7" ht="15">
      <c r="A798" s="87" t="s">
        <v>4133</v>
      </c>
      <c r="B798" s="86">
        <v>2</v>
      </c>
      <c r="C798" s="115">
        <v>0.005093719308048135</v>
      </c>
      <c r="D798" s="86" t="s">
        <v>3162</v>
      </c>
      <c r="E798" s="86" t="b">
        <v>0</v>
      </c>
      <c r="F798" s="86" t="b">
        <v>0</v>
      </c>
      <c r="G798" s="86" t="b">
        <v>0</v>
      </c>
    </row>
    <row r="799" spans="1:7" ht="15">
      <c r="A799" s="87" t="s">
        <v>4409</v>
      </c>
      <c r="B799" s="86">
        <v>2</v>
      </c>
      <c r="C799" s="115">
        <v>0.005093719308048135</v>
      </c>
      <c r="D799" s="86" t="s">
        <v>3162</v>
      </c>
      <c r="E799" s="86" t="b">
        <v>0</v>
      </c>
      <c r="F799" s="86" t="b">
        <v>0</v>
      </c>
      <c r="G799" s="86" t="b">
        <v>0</v>
      </c>
    </row>
    <row r="800" spans="1:7" ht="15">
      <c r="A800" s="87" t="s">
        <v>4410</v>
      </c>
      <c r="B800" s="86">
        <v>2</v>
      </c>
      <c r="C800" s="115">
        <v>0.006414026306574368</v>
      </c>
      <c r="D800" s="86" t="s">
        <v>3162</v>
      </c>
      <c r="E800" s="86" t="b">
        <v>0</v>
      </c>
      <c r="F800" s="86" t="b">
        <v>1</v>
      </c>
      <c r="G800" s="86" t="b">
        <v>0</v>
      </c>
    </row>
    <row r="801" spans="1:7" ht="15">
      <c r="A801" s="87" t="s">
        <v>4195</v>
      </c>
      <c r="B801" s="86">
        <v>2</v>
      </c>
      <c r="C801" s="115">
        <v>0.005093719308048135</v>
      </c>
      <c r="D801" s="86" t="s">
        <v>3162</v>
      </c>
      <c r="E801" s="86" t="b">
        <v>0</v>
      </c>
      <c r="F801" s="86" t="b">
        <v>0</v>
      </c>
      <c r="G801" s="86" t="b">
        <v>0</v>
      </c>
    </row>
    <row r="802" spans="1:7" ht="15">
      <c r="A802" s="87" t="s">
        <v>4023</v>
      </c>
      <c r="B802" s="86">
        <v>2</v>
      </c>
      <c r="C802" s="115">
        <v>0.005093719308048135</v>
      </c>
      <c r="D802" s="86" t="s">
        <v>3162</v>
      </c>
      <c r="E802" s="86" t="b">
        <v>0</v>
      </c>
      <c r="F802" s="86" t="b">
        <v>1</v>
      </c>
      <c r="G802" s="86" t="b">
        <v>0</v>
      </c>
    </row>
    <row r="803" spans="1:7" ht="15">
      <c r="A803" s="87" t="s">
        <v>4022</v>
      </c>
      <c r="B803" s="86">
        <v>2</v>
      </c>
      <c r="C803" s="115">
        <v>0.005093719308048135</v>
      </c>
      <c r="D803" s="86" t="s">
        <v>3162</v>
      </c>
      <c r="E803" s="86" t="b">
        <v>0</v>
      </c>
      <c r="F803" s="86" t="b">
        <v>0</v>
      </c>
      <c r="G803" s="86" t="b">
        <v>0</v>
      </c>
    </row>
    <row r="804" spans="1:7" ht="15">
      <c r="A804" s="87" t="s">
        <v>4407</v>
      </c>
      <c r="B804" s="86">
        <v>2</v>
      </c>
      <c r="C804" s="115">
        <v>0.005093719308048135</v>
      </c>
      <c r="D804" s="86" t="s">
        <v>3162</v>
      </c>
      <c r="E804" s="86" t="b">
        <v>0</v>
      </c>
      <c r="F804" s="86" t="b">
        <v>0</v>
      </c>
      <c r="G804" s="86" t="b">
        <v>0</v>
      </c>
    </row>
    <row r="805" spans="1:7" ht="15">
      <c r="A805" s="87" t="s">
        <v>4251</v>
      </c>
      <c r="B805" s="86">
        <v>2</v>
      </c>
      <c r="C805" s="115">
        <v>0.005093719308048135</v>
      </c>
      <c r="D805" s="86" t="s">
        <v>3162</v>
      </c>
      <c r="E805" s="86" t="b">
        <v>0</v>
      </c>
      <c r="F805" s="86" t="b">
        <v>0</v>
      </c>
      <c r="G805" s="86" t="b">
        <v>0</v>
      </c>
    </row>
    <row r="806" spans="1:7" ht="15">
      <c r="A806" s="87" t="s">
        <v>3359</v>
      </c>
      <c r="B806" s="86">
        <v>2</v>
      </c>
      <c r="C806" s="115">
        <v>0.005093719308048135</v>
      </c>
      <c r="D806" s="86" t="s">
        <v>3162</v>
      </c>
      <c r="E806" s="86" t="b">
        <v>0</v>
      </c>
      <c r="F806" s="86" t="b">
        <v>0</v>
      </c>
      <c r="G806" s="86" t="b">
        <v>0</v>
      </c>
    </row>
    <row r="807" spans="1:7" ht="15">
      <c r="A807" s="87" t="s">
        <v>4193</v>
      </c>
      <c r="B807" s="86">
        <v>2</v>
      </c>
      <c r="C807" s="115">
        <v>0.005093719308048135</v>
      </c>
      <c r="D807" s="86" t="s">
        <v>3162</v>
      </c>
      <c r="E807" s="86" t="b">
        <v>0</v>
      </c>
      <c r="F807" s="86" t="b">
        <v>0</v>
      </c>
      <c r="G807" s="86" t="b">
        <v>0</v>
      </c>
    </row>
    <row r="808" spans="1:7" ht="15">
      <c r="A808" s="87" t="s">
        <v>4267</v>
      </c>
      <c r="B808" s="86">
        <v>2</v>
      </c>
      <c r="C808" s="115">
        <v>0.005093719308048135</v>
      </c>
      <c r="D808" s="86" t="s">
        <v>3162</v>
      </c>
      <c r="E808" s="86" t="b">
        <v>0</v>
      </c>
      <c r="F808" s="86" t="b">
        <v>0</v>
      </c>
      <c r="G808" s="86" t="b">
        <v>0</v>
      </c>
    </row>
    <row r="809" spans="1:7" ht="15">
      <c r="A809" s="87" t="s">
        <v>4087</v>
      </c>
      <c r="B809" s="86">
        <v>2</v>
      </c>
      <c r="C809" s="115">
        <v>0.005093719308048135</v>
      </c>
      <c r="D809" s="86" t="s">
        <v>3162</v>
      </c>
      <c r="E809" s="86" t="b">
        <v>0</v>
      </c>
      <c r="F809" s="86" t="b">
        <v>0</v>
      </c>
      <c r="G809" s="86" t="b">
        <v>0</v>
      </c>
    </row>
    <row r="810" spans="1:7" ht="15">
      <c r="A810" s="87" t="s">
        <v>4192</v>
      </c>
      <c r="B810" s="86">
        <v>2</v>
      </c>
      <c r="C810" s="115">
        <v>0.005093719308048135</v>
      </c>
      <c r="D810" s="86" t="s">
        <v>3162</v>
      </c>
      <c r="E810" s="86" t="b">
        <v>0</v>
      </c>
      <c r="F810" s="86" t="b">
        <v>0</v>
      </c>
      <c r="G810" s="86" t="b">
        <v>0</v>
      </c>
    </row>
    <row r="811" spans="1:7" ht="15">
      <c r="A811" s="87" t="s">
        <v>4035</v>
      </c>
      <c r="B811" s="86">
        <v>2</v>
      </c>
      <c r="C811" s="115">
        <v>0.005093719308048135</v>
      </c>
      <c r="D811" s="86" t="s">
        <v>3162</v>
      </c>
      <c r="E811" s="86" t="b">
        <v>0</v>
      </c>
      <c r="F811" s="86" t="b">
        <v>0</v>
      </c>
      <c r="G811" s="86" t="b">
        <v>0</v>
      </c>
    </row>
    <row r="812" spans="1:7" ht="15">
      <c r="A812" s="87" t="s">
        <v>430</v>
      </c>
      <c r="B812" s="86">
        <v>2</v>
      </c>
      <c r="C812" s="115">
        <v>0.005093719308048135</v>
      </c>
      <c r="D812" s="86" t="s">
        <v>3162</v>
      </c>
      <c r="E812" s="86" t="b">
        <v>0</v>
      </c>
      <c r="F812" s="86" t="b">
        <v>0</v>
      </c>
      <c r="G812" s="86" t="b">
        <v>0</v>
      </c>
    </row>
    <row r="813" spans="1:7" ht="15">
      <c r="A813" s="87" t="s">
        <v>4128</v>
      </c>
      <c r="B813" s="86">
        <v>2</v>
      </c>
      <c r="C813" s="115">
        <v>0.005093719308048135</v>
      </c>
      <c r="D813" s="86" t="s">
        <v>3162</v>
      </c>
      <c r="E813" s="86" t="b">
        <v>1</v>
      </c>
      <c r="F813" s="86" t="b">
        <v>0</v>
      </c>
      <c r="G813" s="86" t="b">
        <v>0</v>
      </c>
    </row>
    <row r="814" spans="1:7" ht="15">
      <c r="A814" s="87" t="s">
        <v>4059</v>
      </c>
      <c r="B814" s="86">
        <v>2</v>
      </c>
      <c r="C814" s="115">
        <v>0.005093719308048135</v>
      </c>
      <c r="D814" s="86" t="s">
        <v>3162</v>
      </c>
      <c r="E814" s="86" t="b">
        <v>0</v>
      </c>
      <c r="F814" s="86" t="b">
        <v>1</v>
      </c>
      <c r="G814" s="86" t="b">
        <v>0</v>
      </c>
    </row>
    <row r="815" spans="1:7" ht="15">
      <c r="A815" s="87" t="s">
        <v>4146</v>
      </c>
      <c r="B815" s="86">
        <v>2</v>
      </c>
      <c r="C815" s="115">
        <v>0.005093719308048135</v>
      </c>
      <c r="D815" s="86" t="s">
        <v>3162</v>
      </c>
      <c r="E815" s="86" t="b">
        <v>0</v>
      </c>
      <c r="F815" s="86" t="b">
        <v>0</v>
      </c>
      <c r="G815" s="86" t="b">
        <v>0</v>
      </c>
    </row>
    <row r="816" spans="1:7" ht="15">
      <c r="A816" s="87" t="s">
        <v>4147</v>
      </c>
      <c r="B816" s="86">
        <v>2</v>
      </c>
      <c r="C816" s="115">
        <v>0.005093719308048135</v>
      </c>
      <c r="D816" s="86" t="s">
        <v>3162</v>
      </c>
      <c r="E816" s="86" t="b">
        <v>0</v>
      </c>
      <c r="F816" s="86" t="b">
        <v>0</v>
      </c>
      <c r="G816" s="86" t="b">
        <v>0</v>
      </c>
    </row>
    <row r="817" spans="1:7" ht="15">
      <c r="A817" s="87" t="s">
        <v>4073</v>
      </c>
      <c r="B817" s="86">
        <v>2</v>
      </c>
      <c r="C817" s="115">
        <v>0.005093719308048135</v>
      </c>
      <c r="D817" s="86" t="s">
        <v>3162</v>
      </c>
      <c r="E817" s="86" t="b">
        <v>0</v>
      </c>
      <c r="F817" s="86" t="b">
        <v>0</v>
      </c>
      <c r="G817" s="86" t="b">
        <v>0</v>
      </c>
    </row>
    <row r="818" spans="1:7" ht="15">
      <c r="A818" s="87" t="s">
        <v>4042</v>
      </c>
      <c r="B818" s="86">
        <v>2</v>
      </c>
      <c r="C818" s="115">
        <v>0.005093719308048135</v>
      </c>
      <c r="D818" s="86" t="s">
        <v>3162</v>
      </c>
      <c r="E818" s="86" t="b">
        <v>0</v>
      </c>
      <c r="F818" s="86" t="b">
        <v>0</v>
      </c>
      <c r="G818" s="86" t="b">
        <v>0</v>
      </c>
    </row>
    <row r="819" spans="1:7" ht="15">
      <c r="A819" s="87" t="s">
        <v>4413</v>
      </c>
      <c r="B819" s="86">
        <v>2</v>
      </c>
      <c r="C819" s="115">
        <v>0.005093719308048135</v>
      </c>
      <c r="D819" s="86" t="s">
        <v>3162</v>
      </c>
      <c r="E819" s="86" t="b">
        <v>0</v>
      </c>
      <c r="F819" s="86" t="b">
        <v>0</v>
      </c>
      <c r="G819" s="86" t="b">
        <v>0</v>
      </c>
    </row>
    <row r="820" spans="1:7" ht="15">
      <c r="A820" s="87" t="s">
        <v>466</v>
      </c>
      <c r="B820" s="86">
        <v>2</v>
      </c>
      <c r="C820" s="115">
        <v>0.005093719308048135</v>
      </c>
      <c r="D820" s="86" t="s">
        <v>3162</v>
      </c>
      <c r="E820" s="86" t="b">
        <v>0</v>
      </c>
      <c r="F820" s="86" t="b">
        <v>0</v>
      </c>
      <c r="G820" s="86" t="b">
        <v>0</v>
      </c>
    </row>
    <row r="821" spans="1:7" ht="15">
      <c r="A821" s="87" t="s">
        <v>3355</v>
      </c>
      <c r="B821" s="86">
        <v>5</v>
      </c>
      <c r="C821" s="115">
        <v>0.007238297257302298</v>
      </c>
      <c r="D821" s="86" t="s">
        <v>3163</v>
      </c>
      <c r="E821" s="86" t="b">
        <v>0</v>
      </c>
      <c r="F821" s="86" t="b">
        <v>0</v>
      </c>
      <c r="G821" s="86" t="b">
        <v>0</v>
      </c>
    </row>
    <row r="822" spans="1:7" ht="15">
      <c r="A822" s="87" t="s">
        <v>3356</v>
      </c>
      <c r="B822" s="86">
        <v>5</v>
      </c>
      <c r="C822" s="115">
        <v>0.007238297257302298</v>
      </c>
      <c r="D822" s="86" t="s">
        <v>3163</v>
      </c>
      <c r="E822" s="86" t="b">
        <v>0</v>
      </c>
      <c r="F822" s="86" t="b">
        <v>0</v>
      </c>
      <c r="G822" s="86" t="b">
        <v>0</v>
      </c>
    </row>
    <row r="823" spans="1:7" ht="15">
      <c r="A823" s="87" t="s">
        <v>3359</v>
      </c>
      <c r="B823" s="86">
        <v>5</v>
      </c>
      <c r="C823" s="115">
        <v>0.007238297257302298</v>
      </c>
      <c r="D823" s="86" t="s">
        <v>3163</v>
      </c>
      <c r="E823" s="86" t="b">
        <v>0</v>
      </c>
      <c r="F823" s="86" t="b">
        <v>0</v>
      </c>
      <c r="G823" s="86" t="b">
        <v>0</v>
      </c>
    </row>
    <row r="824" spans="1:7" ht="15">
      <c r="A824" s="87" t="s">
        <v>3367</v>
      </c>
      <c r="B824" s="86">
        <v>4</v>
      </c>
      <c r="C824" s="115">
        <v>0.008539858033020743</v>
      </c>
      <c r="D824" s="86" t="s">
        <v>3163</v>
      </c>
      <c r="E824" s="86" t="b">
        <v>0</v>
      </c>
      <c r="F824" s="86" t="b">
        <v>0</v>
      </c>
      <c r="G824" s="86" t="b">
        <v>0</v>
      </c>
    </row>
    <row r="825" spans="1:7" ht="15">
      <c r="A825" s="87" t="s">
        <v>3358</v>
      </c>
      <c r="B825" s="86">
        <v>3</v>
      </c>
      <c r="C825" s="115">
        <v>0.009063164516431512</v>
      </c>
      <c r="D825" s="86" t="s">
        <v>3163</v>
      </c>
      <c r="E825" s="86" t="b">
        <v>0</v>
      </c>
      <c r="F825" s="86" t="b">
        <v>0</v>
      </c>
      <c r="G825" s="86" t="b">
        <v>0</v>
      </c>
    </row>
    <row r="826" spans="1:7" ht="15">
      <c r="A826" s="87" t="s">
        <v>3366</v>
      </c>
      <c r="B826" s="86">
        <v>3</v>
      </c>
      <c r="C826" s="115">
        <v>0.009063164516431512</v>
      </c>
      <c r="D826" s="86" t="s">
        <v>3163</v>
      </c>
      <c r="E826" s="86" t="b">
        <v>0</v>
      </c>
      <c r="F826" s="86" t="b">
        <v>0</v>
      </c>
      <c r="G826" s="86" t="b">
        <v>0</v>
      </c>
    </row>
    <row r="827" spans="1:7" ht="15">
      <c r="A827" s="87" t="s">
        <v>3370</v>
      </c>
      <c r="B827" s="86">
        <v>3</v>
      </c>
      <c r="C827" s="115">
        <v>0.012809787049531115</v>
      </c>
      <c r="D827" s="86" t="s">
        <v>3163</v>
      </c>
      <c r="E827" s="86" t="b">
        <v>0</v>
      </c>
      <c r="F827" s="86" t="b">
        <v>0</v>
      </c>
      <c r="G827" s="86" t="b">
        <v>0</v>
      </c>
    </row>
    <row r="828" spans="1:7" ht="15">
      <c r="A828" s="87" t="s">
        <v>3307</v>
      </c>
      <c r="B828" s="86">
        <v>3</v>
      </c>
      <c r="C828" s="115">
        <v>0.009063164516431512</v>
      </c>
      <c r="D828" s="86" t="s">
        <v>3163</v>
      </c>
      <c r="E828" s="86" t="b">
        <v>0</v>
      </c>
      <c r="F828" s="86" t="b">
        <v>0</v>
      </c>
      <c r="G828" s="86" t="b">
        <v>0</v>
      </c>
    </row>
    <row r="829" spans="1:7" ht="15">
      <c r="A829" s="87" t="s">
        <v>420</v>
      </c>
      <c r="B829" s="86">
        <v>3</v>
      </c>
      <c r="C829" s="115">
        <v>0.009063164516431512</v>
      </c>
      <c r="D829" s="86" t="s">
        <v>3163</v>
      </c>
      <c r="E829" s="86" t="b">
        <v>0</v>
      </c>
      <c r="F829" s="86" t="b">
        <v>0</v>
      </c>
      <c r="G829" s="86" t="b">
        <v>0</v>
      </c>
    </row>
    <row r="830" spans="1:7" ht="15">
      <c r="A830" s="87" t="s">
        <v>3354</v>
      </c>
      <c r="B830" s="86">
        <v>3</v>
      </c>
      <c r="C830" s="115">
        <v>0.009063164516431512</v>
      </c>
      <c r="D830" s="86" t="s">
        <v>3163</v>
      </c>
      <c r="E830" s="86" t="b">
        <v>0</v>
      </c>
      <c r="F830" s="86" t="b">
        <v>0</v>
      </c>
      <c r="G830" s="86" t="b">
        <v>0</v>
      </c>
    </row>
    <row r="831" spans="1:7" ht="15">
      <c r="A831" s="87" t="s">
        <v>4083</v>
      </c>
      <c r="B831" s="86">
        <v>3</v>
      </c>
      <c r="C831" s="115">
        <v>0.01921468057429667</v>
      </c>
      <c r="D831" s="86" t="s">
        <v>3163</v>
      </c>
      <c r="E831" s="86" t="b">
        <v>0</v>
      </c>
      <c r="F831" s="86" t="b">
        <v>0</v>
      </c>
      <c r="G831" s="86" t="b">
        <v>0</v>
      </c>
    </row>
    <row r="832" spans="1:7" ht="15">
      <c r="A832" s="87" t="s">
        <v>3373</v>
      </c>
      <c r="B832" s="86">
        <v>2</v>
      </c>
      <c r="C832" s="115">
        <v>0.008539858033020743</v>
      </c>
      <c r="D832" s="86" t="s">
        <v>3163</v>
      </c>
      <c r="E832" s="86" t="b">
        <v>0</v>
      </c>
      <c r="F832" s="86" t="b">
        <v>0</v>
      </c>
      <c r="G832" s="86" t="b">
        <v>0</v>
      </c>
    </row>
    <row r="833" spans="1:7" ht="15">
      <c r="A833" s="87" t="s">
        <v>4112</v>
      </c>
      <c r="B833" s="86">
        <v>2</v>
      </c>
      <c r="C833" s="115">
        <v>0.008539858033020743</v>
      </c>
      <c r="D833" s="86" t="s">
        <v>3163</v>
      </c>
      <c r="E833" s="86" t="b">
        <v>1</v>
      </c>
      <c r="F833" s="86" t="b">
        <v>0</v>
      </c>
      <c r="G833" s="86" t="b">
        <v>0</v>
      </c>
    </row>
    <row r="834" spans="1:7" ht="15">
      <c r="A834" s="87" t="s">
        <v>4102</v>
      </c>
      <c r="B834" s="86">
        <v>2</v>
      </c>
      <c r="C834" s="115">
        <v>0.008539858033020743</v>
      </c>
      <c r="D834" s="86" t="s">
        <v>3163</v>
      </c>
      <c r="E834" s="86" t="b">
        <v>0</v>
      </c>
      <c r="F834" s="86" t="b">
        <v>0</v>
      </c>
      <c r="G834" s="86" t="b">
        <v>0</v>
      </c>
    </row>
    <row r="835" spans="1:7" ht="15">
      <c r="A835" s="87" t="s">
        <v>3376</v>
      </c>
      <c r="B835" s="86">
        <v>2</v>
      </c>
      <c r="C835" s="115">
        <v>0.008539858033020743</v>
      </c>
      <c r="D835" s="86" t="s">
        <v>3163</v>
      </c>
      <c r="E835" s="86" t="b">
        <v>0</v>
      </c>
      <c r="F835" s="86" t="b">
        <v>0</v>
      </c>
      <c r="G835" s="86" t="b">
        <v>0</v>
      </c>
    </row>
    <row r="836" spans="1:7" ht="15">
      <c r="A836" s="87" t="s">
        <v>4442</v>
      </c>
      <c r="B836" s="86">
        <v>2</v>
      </c>
      <c r="C836" s="115">
        <v>0.012809787049531113</v>
      </c>
      <c r="D836" s="86" t="s">
        <v>3163</v>
      </c>
      <c r="E836" s="86" t="b">
        <v>0</v>
      </c>
      <c r="F836" s="86" t="b">
        <v>0</v>
      </c>
      <c r="G836" s="86" t="b">
        <v>0</v>
      </c>
    </row>
    <row r="837" spans="1:7" ht="15">
      <c r="A837" s="87" t="s">
        <v>4201</v>
      </c>
      <c r="B837" s="86">
        <v>2</v>
      </c>
      <c r="C837" s="115">
        <v>0.012809787049531113</v>
      </c>
      <c r="D837" s="86" t="s">
        <v>3163</v>
      </c>
      <c r="E837" s="86" t="b">
        <v>0</v>
      </c>
      <c r="F837" s="86" t="b">
        <v>0</v>
      </c>
      <c r="G837" s="86" t="b">
        <v>0</v>
      </c>
    </row>
    <row r="838" spans="1:7" ht="15">
      <c r="A838" s="87" t="s">
        <v>4272</v>
      </c>
      <c r="B838" s="86">
        <v>2</v>
      </c>
      <c r="C838" s="115">
        <v>0.008539858033020743</v>
      </c>
      <c r="D838" s="86" t="s">
        <v>3163</v>
      </c>
      <c r="E838" s="86" t="b">
        <v>0</v>
      </c>
      <c r="F838" s="86" t="b">
        <v>0</v>
      </c>
      <c r="G838" s="86" t="b">
        <v>0</v>
      </c>
    </row>
    <row r="839" spans="1:7" ht="15">
      <c r="A839" s="87" t="s">
        <v>476</v>
      </c>
      <c r="B839" s="86">
        <v>2</v>
      </c>
      <c r="C839" s="115">
        <v>0.008539858033020743</v>
      </c>
      <c r="D839" s="86" t="s">
        <v>3163</v>
      </c>
      <c r="E839" s="86" t="b">
        <v>0</v>
      </c>
      <c r="F839" s="86" t="b">
        <v>0</v>
      </c>
      <c r="G839" s="86" t="b">
        <v>0</v>
      </c>
    </row>
    <row r="840" spans="1:7" ht="15">
      <c r="A840" s="87" t="s">
        <v>475</v>
      </c>
      <c r="B840" s="86">
        <v>2</v>
      </c>
      <c r="C840" s="115">
        <v>0.012809787049531113</v>
      </c>
      <c r="D840" s="86" t="s">
        <v>3163</v>
      </c>
      <c r="E840" s="86" t="b">
        <v>0</v>
      </c>
      <c r="F840" s="86" t="b">
        <v>0</v>
      </c>
      <c r="G840" s="86" t="b">
        <v>0</v>
      </c>
    </row>
    <row r="841" spans="1:7" ht="15">
      <c r="A841" s="87" t="s">
        <v>458</v>
      </c>
      <c r="B841" s="86">
        <v>2</v>
      </c>
      <c r="C841" s="115">
        <v>0.008539858033020743</v>
      </c>
      <c r="D841" s="86" t="s">
        <v>3163</v>
      </c>
      <c r="E841" s="86" t="b">
        <v>0</v>
      </c>
      <c r="F841" s="86" t="b">
        <v>0</v>
      </c>
      <c r="G841" s="86" t="b">
        <v>0</v>
      </c>
    </row>
    <row r="842" spans="1:7" ht="15">
      <c r="A842" s="87" t="s">
        <v>3372</v>
      </c>
      <c r="B842" s="86">
        <v>60</v>
      </c>
      <c r="C842" s="115">
        <v>0.0008756748005215407</v>
      </c>
      <c r="D842" s="86" t="s">
        <v>3164</v>
      </c>
      <c r="E842" s="86" t="b">
        <v>0</v>
      </c>
      <c r="F842" s="86" t="b">
        <v>0</v>
      </c>
      <c r="G842" s="86" t="b">
        <v>0</v>
      </c>
    </row>
    <row r="843" spans="1:7" ht="15">
      <c r="A843" s="87" t="s">
        <v>3354</v>
      </c>
      <c r="B843" s="86">
        <v>60</v>
      </c>
      <c r="C843" s="115">
        <v>0.00043418858631794614</v>
      </c>
      <c r="D843" s="86" t="s">
        <v>3164</v>
      </c>
      <c r="E843" s="86" t="b">
        <v>0</v>
      </c>
      <c r="F843" s="86" t="b">
        <v>0</v>
      </c>
      <c r="G843" s="86" t="b">
        <v>0</v>
      </c>
    </row>
    <row r="844" spans="1:7" ht="15">
      <c r="A844" s="87" t="s">
        <v>3359</v>
      </c>
      <c r="B844" s="86">
        <v>59</v>
      </c>
      <c r="C844" s="115">
        <v>0.0008610802205128483</v>
      </c>
      <c r="D844" s="86" t="s">
        <v>3164</v>
      </c>
      <c r="E844" s="86" t="b">
        <v>0</v>
      </c>
      <c r="F844" s="86" t="b">
        <v>0</v>
      </c>
      <c r="G844" s="86" t="b">
        <v>0</v>
      </c>
    </row>
    <row r="845" spans="1:7" ht="15">
      <c r="A845" s="87" t="s">
        <v>3373</v>
      </c>
      <c r="B845" s="86">
        <v>59</v>
      </c>
      <c r="C845" s="115">
        <v>0.0008610802205128483</v>
      </c>
      <c r="D845" s="86" t="s">
        <v>3164</v>
      </c>
      <c r="E845" s="86" t="b">
        <v>0</v>
      </c>
      <c r="F845" s="86" t="b">
        <v>0</v>
      </c>
      <c r="G845" s="86" t="b">
        <v>0</v>
      </c>
    </row>
    <row r="846" spans="1:7" ht="15">
      <c r="A846" s="87" t="s">
        <v>3374</v>
      </c>
      <c r="B846" s="86">
        <v>59</v>
      </c>
      <c r="C846" s="115">
        <v>0.0008610802205128483</v>
      </c>
      <c r="D846" s="86" t="s">
        <v>3164</v>
      </c>
      <c r="E846" s="86" t="b">
        <v>0</v>
      </c>
      <c r="F846" s="86" t="b">
        <v>0</v>
      </c>
      <c r="G846" s="86" t="b">
        <v>0</v>
      </c>
    </row>
    <row r="847" spans="1:7" ht="15">
      <c r="A847" s="87" t="s">
        <v>3357</v>
      </c>
      <c r="B847" s="86">
        <v>31</v>
      </c>
      <c r="C847" s="115">
        <v>0.009186504411765448</v>
      </c>
      <c r="D847" s="86" t="s">
        <v>3164</v>
      </c>
      <c r="E847" s="86" t="b">
        <v>0</v>
      </c>
      <c r="F847" s="86" t="b">
        <v>0</v>
      </c>
      <c r="G847" s="86" t="b">
        <v>0</v>
      </c>
    </row>
    <row r="848" spans="1:7" ht="15">
      <c r="A848" s="87" t="s">
        <v>3307</v>
      </c>
      <c r="B848" s="86">
        <v>14</v>
      </c>
      <c r="C848" s="115">
        <v>0.009965806699076603</v>
      </c>
      <c r="D848" s="86" t="s">
        <v>3164</v>
      </c>
      <c r="E848" s="86" t="b">
        <v>0</v>
      </c>
      <c r="F848" s="86" t="b">
        <v>0</v>
      </c>
      <c r="G848" s="86" t="b">
        <v>0</v>
      </c>
    </row>
    <row r="849" spans="1:7" ht="15">
      <c r="A849" s="87" t="s">
        <v>3375</v>
      </c>
      <c r="B849" s="86">
        <v>9</v>
      </c>
      <c r="C849" s="115">
        <v>0.007540106784418327</v>
      </c>
      <c r="D849" s="86" t="s">
        <v>3164</v>
      </c>
      <c r="E849" s="86" t="b">
        <v>0</v>
      </c>
      <c r="F849" s="86" t="b">
        <v>0</v>
      </c>
      <c r="G849" s="86" t="b">
        <v>0</v>
      </c>
    </row>
    <row r="850" spans="1:7" ht="15">
      <c r="A850" s="87" t="s">
        <v>3376</v>
      </c>
      <c r="B850" s="86">
        <v>7</v>
      </c>
      <c r="C850" s="115">
        <v>0.00663470016630602</v>
      </c>
      <c r="D850" s="86" t="s">
        <v>3164</v>
      </c>
      <c r="E850" s="86" t="b">
        <v>0</v>
      </c>
      <c r="F850" s="86" t="b">
        <v>0</v>
      </c>
      <c r="G850" s="86" t="b">
        <v>0</v>
      </c>
    </row>
    <row r="851" spans="1:7" ht="15">
      <c r="A851" s="87" t="s">
        <v>3377</v>
      </c>
      <c r="B851" s="86">
        <v>6</v>
      </c>
      <c r="C851" s="115">
        <v>0.0060918059554059874</v>
      </c>
      <c r="D851" s="86" t="s">
        <v>3164</v>
      </c>
      <c r="E851" s="86" t="b">
        <v>1</v>
      </c>
      <c r="F851" s="86" t="b">
        <v>0</v>
      </c>
      <c r="G851" s="86" t="b">
        <v>0</v>
      </c>
    </row>
    <row r="852" spans="1:7" ht="15">
      <c r="A852" s="87" t="s">
        <v>3327</v>
      </c>
      <c r="B852" s="86">
        <v>6</v>
      </c>
      <c r="C852" s="115">
        <v>0.0060918059554059874</v>
      </c>
      <c r="D852" s="86" t="s">
        <v>3164</v>
      </c>
      <c r="E852" s="86" t="b">
        <v>0</v>
      </c>
      <c r="F852" s="86" t="b">
        <v>0</v>
      </c>
      <c r="G852" s="86" t="b">
        <v>0</v>
      </c>
    </row>
    <row r="853" spans="1:7" ht="15">
      <c r="A853" s="87" t="s">
        <v>4020</v>
      </c>
      <c r="B853" s="86">
        <v>5</v>
      </c>
      <c r="C853" s="115">
        <v>0.0054756039852557874</v>
      </c>
      <c r="D853" s="86" t="s">
        <v>3164</v>
      </c>
      <c r="E853" s="86" t="b">
        <v>0</v>
      </c>
      <c r="F853" s="86" t="b">
        <v>1</v>
      </c>
      <c r="G853" s="86" t="b">
        <v>0</v>
      </c>
    </row>
    <row r="854" spans="1:7" ht="15">
      <c r="A854" s="87" t="s">
        <v>3381</v>
      </c>
      <c r="B854" s="86">
        <v>5</v>
      </c>
      <c r="C854" s="115">
        <v>0.005964061712110911</v>
      </c>
      <c r="D854" s="86" t="s">
        <v>3164</v>
      </c>
      <c r="E854" s="86" t="b">
        <v>0</v>
      </c>
      <c r="F854" s="86" t="b">
        <v>0</v>
      </c>
      <c r="G854" s="86" t="b">
        <v>0</v>
      </c>
    </row>
    <row r="855" spans="1:7" ht="15">
      <c r="A855" s="87" t="s">
        <v>4169</v>
      </c>
      <c r="B855" s="86">
        <v>5</v>
      </c>
      <c r="C855" s="115">
        <v>0.005964061712110911</v>
      </c>
      <c r="D855" s="86" t="s">
        <v>3164</v>
      </c>
      <c r="E855" s="86" t="b">
        <v>0</v>
      </c>
      <c r="F855" s="86" t="b">
        <v>0</v>
      </c>
      <c r="G855" s="86" t="b">
        <v>0</v>
      </c>
    </row>
    <row r="856" spans="1:7" ht="15">
      <c r="A856" s="87" t="s">
        <v>4081</v>
      </c>
      <c r="B856" s="86">
        <v>5</v>
      </c>
      <c r="C856" s="115">
        <v>0.0054756039852557874</v>
      </c>
      <c r="D856" s="86" t="s">
        <v>3164</v>
      </c>
      <c r="E856" s="86" t="b">
        <v>1</v>
      </c>
      <c r="F856" s="86" t="b">
        <v>0</v>
      </c>
      <c r="G856" s="86" t="b">
        <v>0</v>
      </c>
    </row>
    <row r="857" spans="1:7" ht="15">
      <c r="A857" s="87" t="s">
        <v>4165</v>
      </c>
      <c r="B857" s="86">
        <v>4</v>
      </c>
      <c r="C857" s="115">
        <v>0.004771249369688728</v>
      </c>
      <c r="D857" s="86" t="s">
        <v>3164</v>
      </c>
      <c r="E857" s="86" t="b">
        <v>0</v>
      </c>
      <c r="F857" s="86" t="b">
        <v>0</v>
      </c>
      <c r="G857" s="86" t="b">
        <v>0</v>
      </c>
    </row>
    <row r="858" spans="1:7" ht="15">
      <c r="A858" s="87" t="s">
        <v>4119</v>
      </c>
      <c r="B858" s="86">
        <v>4</v>
      </c>
      <c r="C858" s="115">
        <v>0.005275034597948002</v>
      </c>
      <c r="D858" s="86" t="s">
        <v>3164</v>
      </c>
      <c r="E858" s="86" t="b">
        <v>1</v>
      </c>
      <c r="F858" s="86" t="b">
        <v>0</v>
      </c>
      <c r="G858" s="86" t="b">
        <v>0</v>
      </c>
    </row>
    <row r="859" spans="1:7" ht="15">
      <c r="A859" s="87" t="s">
        <v>4135</v>
      </c>
      <c r="B859" s="86">
        <v>4</v>
      </c>
      <c r="C859" s="115">
        <v>0.004771249369688728</v>
      </c>
      <c r="D859" s="86" t="s">
        <v>3164</v>
      </c>
      <c r="E859" s="86" t="b">
        <v>0</v>
      </c>
      <c r="F859" s="86" t="b">
        <v>0</v>
      </c>
      <c r="G859" s="86" t="b">
        <v>0</v>
      </c>
    </row>
    <row r="860" spans="1:7" ht="15">
      <c r="A860" s="87" t="s">
        <v>4198</v>
      </c>
      <c r="B860" s="86">
        <v>4</v>
      </c>
      <c r="C860" s="115">
        <v>0.005275034597948002</v>
      </c>
      <c r="D860" s="86" t="s">
        <v>3164</v>
      </c>
      <c r="E860" s="86" t="b">
        <v>0</v>
      </c>
      <c r="F860" s="86" t="b">
        <v>0</v>
      </c>
      <c r="G860" s="86" t="b">
        <v>0</v>
      </c>
    </row>
    <row r="861" spans="1:7" ht="15">
      <c r="A861" s="87" t="s">
        <v>4059</v>
      </c>
      <c r="B861" s="86">
        <v>4</v>
      </c>
      <c r="C861" s="115">
        <v>0.004771249369688728</v>
      </c>
      <c r="D861" s="86" t="s">
        <v>3164</v>
      </c>
      <c r="E861" s="86" t="b">
        <v>0</v>
      </c>
      <c r="F861" s="86" t="b">
        <v>1</v>
      </c>
      <c r="G861" s="86" t="b">
        <v>0</v>
      </c>
    </row>
    <row r="862" spans="1:7" ht="15">
      <c r="A862" s="87" t="s">
        <v>4118</v>
      </c>
      <c r="B862" s="86">
        <v>4</v>
      </c>
      <c r="C862" s="115">
        <v>0.004771249369688728</v>
      </c>
      <c r="D862" s="86" t="s">
        <v>3164</v>
      </c>
      <c r="E862" s="86" t="b">
        <v>0</v>
      </c>
      <c r="F862" s="86" t="b">
        <v>0</v>
      </c>
      <c r="G862" s="86" t="b">
        <v>0</v>
      </c>
    </row>
    <row r="863" spans="1:7" ht="15">
      <c r="A863" s="87" t="s">
        <v>4244</v>
      </c>
      <c r="B863" s="86">
        <v>3</v>
      </c>
      <c r="C863" s="115">
        <v>0.003956275948461001</v>
      </c>
      <c r="D863" s="86" t="s">
        <v>3164</v>
      </c>
      <c r="E863" s="86" t="b">
        <v>0</v>
      </c>
      <c r="F863" s="86" t="b">
        <v>0</v>
      </c>
      <c r="G863" s="86" t="b">
        <v>0</v>
      </c>
    </row>
    <row r="864" spans="1:7" ht="15">
      <c r="A864" s="87" t="s">
        <v>4261</v>
      </c>
      <c r="B864" s="86">
        <v>3</v>
      </c>
      <c r="C864" s="115">
        <v>0.003956275948461001</v>
      </c>
      <c r="D864" s="86" t="s">
        <v>3164</v>
      </c>
      <c r="E864" s="86" t="b">
        <v>0</v>
      </c>
      <c r="F864" s="86" t="b">
        <v>0</v>
      </c>
      <c r="G864" s="86" t="b">
        <v>0</v>
      </c>
    </row>
    <row r="865" spans="1:7" ht="15">
      <c r="A865" s="87" t="s">
        <v>4072</v>
      </c>
      <c r="B865" s="86">
        <v>3</v>
      </c>
      <c r="C865" s="115">
        <v>0.003956275948461001</v>
      </c>
      <c r="D865" s="86" t="s">
        <v>3164</v>
      </c>
      <c r="E865" s="86" t="b">
        <v>0</v>
      </c>
      <c r="F865" s="86" t="b">
        <v>0</v>
      </c>
      <c r="G865" s="86" t="b">
        <v>0</v>
      </c>
    </row>
    <row r="866" spans="1:7" ht="15">
      <c r="A866" s="87" t="s">
        <v>4260</v>
      </c>
      <c r="B866" s="86">
        <v>3</v>
      </c>
      <c r="C866" s="115">
        <v>0.003956275948461001</v>
      </c>
      <c r="D866" s="86" t="s">
        <v>3164</v>
      </c>
      <c r="E866" s="86" t="b">
        <v>0</v>
      </c>
      <c r="F866" s="86" t="b">
        <v>0</v>
      </c>
      <c r="G866" s="86" t="b">
        <v>0</v>
      </c>
    </row>
    <row r="867" spans="1:7" ht="15">
      <c r="A867" s="87" t="s">
        <v>4093</v>
      </c>
      <c r="B867" s="86">
        <v>3</v>
      </c>
      <c r="C867" s="115">
        <v>0.003956275948461001</v>
      </c>
      <c r="D867" s="86" t="s">
        <v>3164</v>
      </c>
      <c r="E867" s="86" t="b">
        <v>0</v>
      </c>
      <c r="F867" s="86" t="b">
        <v>0</v>
      </c>
      <c r="G867" s="86" t="b">
        <v>0</v>
      </c>
    </row>
    <row r="868" spans="1:7" ht="15">
      <c r="A868" s="87" t="s">
        <v>4196</v>
      </c>
      <c r="B868" s="86">
        <v>3</v>
      </c>
      <c r="C868" s="115">
        <v>0.003956275948461001</v>
      </c>
      <c r="D868" s="86" t="s">
        <v>3164</v>
      </c>
      <c r="E868" s="86" t="b">
        <v>0</v>
      </c>
      <c r="F868" s="86" t="b">
        <v>0</v>
      </c>
      <c r="G868" s="86" t="b">
        <v>0</v>
      </c>
    </row>
    <row r="869" spans="1:7" ht="15">
      <c r="A869" s="87" t="s">
        <v>4083</v>
      </c>
      <c r="B869" s="86">
        <v>3</v>
      </c>
      <c r="C869" s="115">
        <v>0.003956275948461001</v>
      </c>
      <c r="D869" s="86" t="s">
        <v>3164</v>
      </c>
      <c r="E869" s="86" t="b">
        <v>0</v>
      </c>
      <c r="F869" s="86" t="b">
        <v>0</v>
      </c>
      <c r="G869" s="86" t="b">
        <v>0</v>
      </c>
    </row>
    <row r="870" spans="1:7" ht="15">
      <c r="A870" s="87" t="s">
        <v>4096</v>
      </c>
      <c r="B870" s="86">
        <v>3</v>
      </c>
      <c r="C870" s="115">
        <v>0.003956275948461001</v>
      </c>
      <c r="D870" s="86" t="s">
        <v>3164</v>
      </c>
      <c r="E870" s="86" t="b">
        <v>0</v>
      </c>
      <c r="F870" s="86" t="b">
        <v>1</v>
      </c>
      <c r="G870" s="86" t="b">
        <v>0</v>
      </c>
    </row>
    <row r="871" spans="1:7" ht="15">
      <c r="A871" s="87" t="s">
        <v>4102</v>
      </c>
      <c r="B871" s="86">
        <v>3</v>
      </c>
      <c r="C871" s="115">
        <v>0.003956275948461001</v>
      </c>
      <c r="D871" s="86" t="s">
        <v>3164</v>
      </c>
      <c r="E871" s="86" t="b">
        <v>0</v>
      </c>
      <c r="F871" s="86" t="b">
        <v>0</v>
      </c>
      <c r="G871" s="86" t="b">
        <v>0</v>
      </c>
    </row>
    <row r="872" spans="1:7" ht="15">
      <c r="A872" s="87" t="s">
        <v>3319</v>
      </c>
      <c r="B872" s="86">
        <v>3</v>
      </c>
      <c r="C872" s="115">
        <v>0.003956275948461001</v>
      </c>
      <c r="D872" s="86" t="s">
        <v>3164</v>
      </c>
      <c r="E872" s="86" t="b">
        <v>0</v>
      </c>
      <c r="F872" s="86" t="b">
        <v>0</v>
      </c>
      <c r="G872" s="86" t="b">
        <v>0</v>
      </c>
    </row>
    <row r="873" spans="1:7" ht="15">
      <c r="A873" s="87" t="s">
        <v>4247</v>
      </c>
      <c r="B873" s="86">
        <v>3</v>
      </c>
      <c r="C873" s="115">
        <v>0.003956275948461001</v>
      </c>
      <c r="D873" s="86" t="s">
        <v>3164</v>
      </c>
      <c r="E873" s="86" t="b">
        <v>0</v>
      </c>
      <c r="F873" s="86" t="b">
        <v>0</v>
      </c>
      <c r="G873" s="86" t="b">
        <v>0</v>
      </c>
    </row>
    <row r="874" spans="1:7" ht="15">
      <c r="A874" s="87" t="s">
        <v>4253</v>
      </c>
      <c r="B874" s="86">
        <v>3</v>
      </c>
      <c r="C874" s="115">
        <v>0.003956275948461001</v>
      </c>
      <c r="D874" s="86" t="s">
        <v>3164</v>
      </c>
      <c r="E874" s="86" t="b">
        <v>0</v>
      </c>
      <c r="F874" s="86" t="b">
        <v>0</v>
      </c>
      <c r="G874" s="86" t="b">
        <v>0</v>
      </c>
    </row>
    <row r="875" spans="1:7" ht="15">
      <c r="A875" s="87" t="s">
        <v>4121</v>
      </c>
      <c r="B875" s="86">
        <v>3</v>
      </c>
      <c r="C875" s="115">
        <v>0.003956275948461001</v>
      </c>
      <c r="D875" s="86" t="s">
        <v>3164</v>
      </c>
      <c r="E875" s="86" t="b">
        <v>0</v>
      </c>
      <c r="F875" s="86" t="b">
        <v>0</v>
      </c>
      <c r="G875" s="86" t="b">
        <v>0</v>
      </c>
    </row>
    <row r="876" spans="1:7" ht="15">
      <c r="A876" s="87" t="s">
        <v>4246</v>
      </c>
      <c r="B876" s="86">
        <v>3</v>
      </c>
      <c r="C876" s="115">
        <v>0.003956275948461001</v>
      </c>
      <c r="D876" s="86" t="s">
        <v>3164</v>
      </c>
      <c r="E876" s="86" t="b">
        <v>1</v>
      </c>
      <c r="F876" s="86" t="b">
        <v>0</v>
      </c>
      <c r="G876" s="86" t="b">
        <v>0</v>
      </c>
    </row>
    <row r="877" spans="1:7" ht="15">
      <c r="A877" s="87" t="s">
        <v>4256</v>
      </c>
      <c r="B877" s="86">
        <v>3</v>
      </c>
      <c r="C877" s="115">
        <v>0.004488809998024554</v>
      </c>
      <c r="D877" s="86" t="s">
        <v>3164</v>
      </c>
      <c r="E877" s="86" t="b">
        <v>0</v>
      </c>
      <c r="F877" s="86" t="b">
        <v>0</v>
      </c>
      <c r="G877" s="86" t="b">
        <v>0</v>
      </c>
    </row>
    <row r="878" spans="1:7" ht="15">
      <c r="A878" s="87" t="s">
        <v>4129</v>
      </c>
      <c r="B878" s="86">
        <v>3</v>
      </c>
      <c r="C878" s="115">
        <v>0.003956275948461001</v>
      </c>
      <c r="D878" s="86" t="s">
        <v>3164</v>
      </c>
      <c r="E878" s="86" t="b">
        <v>1</v>
      </c>
      <c r="F878" s="86" t="b">
        <v>0</v>
      </c>
      <c r="G878" s="86" t="b">
        <v>0</v>
      </c>
    </row>
    <row r="879" spans="1:7" ht="15">
      <c r="A879" s="87" t="s">
        <v>4088</v>
      </c>
      <c r="B879" s="86">
        <v>3</v>
      </c>
      <c r="C879" s="115">
        <v>0.003956275948461001</v>
      </c>
      <c r="D879" s="86" t="s">
        <v>3164</v>
      </c>
      <c r="E879" s="86" t="b">
        <v>0</v>
      </c>
      <c r="F879" s="86" t="b">
        <v>0</v>
      </c>
      <c r="G879" s="86" t="b">
        <v>0</v>
      </c>
    </row>
    <row r="880" spans="1:7" ht="15">
      <c r="A880" s="87" t="s">
        <v>4086</v>
      </c>
      <c r="B880" s="86">
        <v>3</v>
      </c>
      <c r="C880" s="115">
        <v>0.003956275948461001</v>
      </c>
      <c r="D880" s="86" t="s">
        <v>3164</v>
      </c>
      <c r="E880" s="86" t="b">
        <v>0</v>
      </c>
      <c r="F880" s="86" t="b">
        <v>0</v>
      </c>
      <c r="G880" s="86" t="b">
        <v>0</v>
      </c>
    </row>
    <row r="881" spans="1:7" ht="15">
      <c r="A881" s="87" t="s">
        <v>4090</v>
      </c>
      <c r="B881" s="86">
        <v>3</v>
      </c>
      <c r="C881" s="115">
        <v>0.003956275948461001</v>
      </c>
      <c r="D881" s="86" t="s">
        <v>3164</v>
      </c>
      <c r="E881" s="86" t="b">
        <v>0</v>
      </c>
      <c r="F881" s="86" t="b">
        <v>0</v>
      </c>
      <c r="G881" s="86" t="b">
        <v>0</v>
      </c>
    </row>
    <row r="882" spans="1:7" ht="15">
      <c r="A882" s="87" t="s">
        <v>4110</v>
      </c>
      <c r="B882" s="86">
        <v>3</v>
      </c>
      <c r="C882" s="115">
        <v>0.003956275948461001</v>
      </c>
      <c r="D882" s="86" t="s">
        <v>3164</v>
      </c>
      <c r="E882" s="86" t="b">
        <v>0</v>
      </c>
      <c r="F882" s="86" t="b">
        <v>0</v>
      </c>
      <c r="G882" s="86" t="b">
        <v>0</v>
      </c>
    </row>
    <row r="883" spans="1:7" ht="15">
      <c r="A883" s="87" t="s">
        <v>503</v>
      </c>
      <c r="B883" s="86">
        <v>3</v>
      </c>
      <c r="C883" s="115">
        <v>0.003956275948461001</v>
      </c>
      <c r="D883" s="86" t="s">
        <v>3164</v>
      </c>
      <c r="E883" s="86" t="b">
        <v>0</v>
      </c>
      <c r="F883" s="86" t="b">
        <v>0</v>
      </c>
      <c r="G883" s="86" t="b">
        <v>0</v>
      </c>
    </row>
    <row r="884" spans="1:7" ht="15">
      <c r="A884" s="87" t="s">
        <v>4245</v>
      </c>
      <c r="B884" s="86">
        <v>2</v>
      </c>
      <c r="C884" s="115">
        <v>0.002992539998683036</v>
      </c>
      <c r="D884" s="86" t="s">
        <v>3164</v>
      </c>
      <c r="E884" s="86" t="b">
        <v>0</v>
      </c>
      <c r="F884" s="86" t="b">
        <v>0</v>
      </c>
      <c r="G884" s="86" t="b">
        <v>0</v>
      </c>
    </row>
    <row r="885" spans="1:7" ht="15">
      <c r="A885" s="87" t="s">
        <v>4341</v>
      </c>
      <c r="B885" s="86">
        <v>2</v>
      </c>
      <c r="C885" s="115">
        <v>0.002992539998683036</v>
      </c>
      <c r="D885" s="86" t="s">
        <v>3164</v>
      </c>
      <c r="E885" s="86" t="b">
        <v>0</v>
      </c>
      <c r="F885" s="86" t="b">
        <v>0</v>
      </c>
      <c r="G885" s="86" t="b">
        <v>0</v>
      </c>
    </row>
    <row r="886" spans="1:7" ht="15">
      <c r="A886" s="87" t="s">
        <v>4342</v>
      </c>
      <c r="B886" s="86">
        <v>2</v>
      </c>
      <c r="C886" s="115">
        <v>0.002992539998683036</v>
      </c>
      <c r="D886" s="86" t="s">
        <v>3164</v>
      </c>
      <c r="E886" s="86" t="b">
        <v>0</v>
      </c>
      <c r="F886" s="86" t="b">
        <v>0</v>
      </c>
      <c r="G886" s="86" t="b">
        <v>0</v>
      </c>
    </row>
    <row r="887" spans="1:7" ht="15">
      <c r="A887" s="87" t="s">
        <v>3388</v>
      </c>
      <c r="B887" s="86">
        <v>2</v>
      </c>
      <c r="C887" s="115">
        <v>0.002992539998683036</v>
      </c>
      <c r="D887" s="86" t="s">
        <v>3164</v>
      </c>
      <c r="E887" s="86" t="b">
        <v>0</v>
      </c>
      <c r="F887" s="86" t="b">
        <v>0</v>
      </c>
      <c r="G887" s="86" t="b">
        <v>0</v>
      </c>
    </row>
    <row r="888" spans="1:7" ht="15">
      <c r="A888" s="87" t="s">
        <v>4352</v>
      </c>
      <c r="B888" s="86">
        <v>2</v>
      </c>
      <c r="C888" s="115">
        <v>0.002992539998683036</v>
      </c>
      <c r="D888" s="86" t="s">
        <v>3164</v>
      </c>
      <c r="E888" s="86" t="b">
        <v>0</v>
      </c>
      <c r="F888" s="86" t="b">
        <v>0</v>
      </c>
      <c r="G888" s="86" t="b">
        <v>0</v>
      </c>
    </row>
    <row r="889" spans="1:7" ht="15">
      <c r="A889" s="87" t="s">
        <v>4353</v>
      </c>
      <c r="B889" s="86">
        <v>2</v>
      </c>
      <c r="C889" s="115">
        <v>0.002992539998683036</v>
      </c>
      <c r="D889" s="86" t="s">
        <v>3164</v>
      </c>
      <c r="E889" s="86" t="b">
        <v>0</v>
      </c>
      <c r="F889" s="86" t="b">
        <v>0</v>
      </c>
      <c r="G889" s="86" t="b">
        <v>0</v>
      </c>
    </row>
    <row r="890" spans="1:7" ht="15">
      <c r="A890" s="87" t="s">
        <v>4120</v>
      </c>
      <c r="B890" s="86">
        <v>2</v>
      </c>
      <c r="C890" s="115">
        <v>0.002992539998683036</v>
      </c>
      <c r="D890" s="86" t="s">
        <v>3164</v>
      </c>
      <c r="E890" s="86" t="b">
        <v>0</v>
      </c>
      <c r="F890" s="86" t="b">
        <v>0</v>
      </c>
      <c r="G890" s="86" t="b">
        <v>0</v>
      </c>
    </row>
    <row r="891" spans="1:7" ht="15">
      <c r="A891" s="87" t="s">
        <v>4403</v>
      </c>
      <c r="B891" s="86">
        <v>2</v>
      </c>
      <c r="C891" s="115">
        <v>0.002992539998683036</v>
      </c>
      <c r="D891" s="86" t="s">
        <v>3164</v>
      </c>
      <c r="E891" s="86" t="b">
        <v>0</v>
      </c>
      <c r="F891" s="86" t="b">
        <v>0</v>
      </c>
      <c r="G891" s="86" t="b">
        <v>0</v>
      </c>
    </row>
    <row r="892" spans="1:7" ht="15">
      <c r="A892" s="87" t="s">
        <v>4388</v>
      </c>
      <c r="B892" s="86">
        <v>2</v>
      </c>
      <c r="C892" s="115">
        <v>0.002992539998683036</v>
      </c>
      <c r="D892" s="86" t="s">
        <v>3164</v>
      </c>
      <c r="E892" s="86" t="b">
        <v>0</v>
      </c>
      <c r="F892" s="86" t="b">
        <v>0</v>
      </c>
      <c r="G892" s="86" t="b">
        <v>0</v>
      </c>
    </row>
    <row r="893" spans="1:7" ht="15">
      <c r="A893" s="87" t="s">
        <v>4396</v>
      </c>
      <c r="B893" s="86">
        <v>2</v>
      </c>
      <c r="C893" s="115">
        <v>0.002992539998683036</v>
      </c>
      <c r="D893" s="86" t="s">
        <v>3164</v>
      </c>
      <c r="E893" s="86" t="b">
        <v>0</v>
      </c>
      <c r="F893" s="86" t="b">
        <v>0</v>
      </c>
      <c r="G893" s="86" t="b">
        <v>0</v>
      </c>
    </row>
    <row r="894" spans="1:7" ht="15">
      <c r="A894" s="87" t="s">
        <v>4387</v>
      </c>
      <c r="B894" s="86">
        <v>2</v>
      </c>
      <c r="C894" s="115">
        <v>0.002992539998683036</v>
      </c>
      <c r="D894" s="86" t="s">
        <v>3164</v>
      </c>
      <c r="E894" s="86" t="b">
        <v>0</v>
      </c>
      <c r="F894" s="86" t="b">
        <v>0</v>
      </c>
      <c r="G894" s="86" t="b">
        <v>0</v>
      </c>
    </row>
    <row r="895" spans="1:7" ht="15">
      <c r="A895" s="87" t="s">
        <v>4166</v>
      </c>
      <c r="B895" s="86">
        <v>2</v>
      </c>
      <c r="C895" s="115">
        <v>0.002992539998683036</v>
      </c>
      <c r="D895" s="86" t="s">
        <v>3164</v>
      </c>
      <c r="E895" s="86" t="b">
        <v>0</v>
      </c>
      <c r="F895" s="86" t="b">
        <v>0</v>
      </c>
      <c r="G895" s="86" t="b">
        <v>0</v>
      </c>
    </row>
    <row r="896" spans="1:7" ht="15">
      <c r="A896" s="87" t="s">
        <v>4350</v>
      </c>
      <c r="B896" s="86">
        <v>2</v>
      </c>
      <c r="C896" s="115">
        <v>0.002992539998683036</v>
      </c>
      <c r="D896" s="86" t="s">
        <v>3164</v>
      </c>
      <c r="E896" s="86" t="b">
        <v>0</v>
      </c>
      <c r="F896" s="86" t="b">
        <v>0</v>
      </c>
      <c r="G896" s="86" t="b">
        <v>0</v>
      </c>
    </row>
    <row r="897" spans="1:7" ht="15">
      <c r="A897" s="87" t="s">
        <v>4042</v>
      </c>
      <c r="B897" s="86">
        <v>2</v>
      </c>
      <c r="C897" s="115">
        <v>0.002992539998683036</v>
      </c>
      <c r="D897" s="86" t="s">
        <v>3164</v>
      </c>
      <c r="E897" s="86" t="b">
        <v>0</v>
      </c>
      <c r="F897" s="86" t="b">
        <v>0</v>
      </c>
      <c r="G897" s="86" t="b">
        <v>0</v>
      </c>
    </row>
    <row r="898" spans="1:7" ht="15">
      <c r="A898" s="87" t="s">
        <v>4346</v>
      </c>
      <c r="B898" s="86">
        <v>2</v>
      </c>
      <c r="C898" s="115">
        <v>0.002992539998683036</v>
      </c>
      <c r="D898" s="86" t="s">
        <v>3164</v>
      </c>
      <c r="E898" s="86" t="b">
        <v>0</v>
      </c>
      <c r="F898" s="86" t="b">
        <v>0</v>
      </c>
      <c r="G898" s="86" t="b">
        <v>0</v>
      </c>
    </row>
    <row r="899" spans="1:7" ht="15">
      <c r="A899" s="87" t="s">
        <v>4029</v>
      </c>
      <c r="B899" s="86">
        <v>2</v>
      </c>
      <c r="C899" s="115">
        <v>0.002992539998683036</v>
      </c>
      <c r="D899" s="86" t="s">
        <v>3164</v>
      </c>
      <c r="E899" s="86" t="b">
        <v>0</v>
      </c>
      <c r="F899" s="86" t="b">
        <v>0</v>
      </c>
      <c r="G899" s="86" t="b">
        <v>0</v>
      </c>
    </row>
    <row r="900" spans="1:7" ht="15">
      <c r="A900" s="87" t="s">
        <v>4394</v>
      </c>
      <c r="B900" s="86">
        <v>2</v>
      </c>
      <c r="C900" s="115">
        <v>0.002992539998683036</v>
      </c>
      <c r="D900" s="86" t="s">
        <v>3164</v>
      </c>
      <c r="E900" s="86" t="b">
        <v>0</v>
      </c>
      <c r="F900" s="86" t="b">
        <v>0</v>
      </c>
      <c r="G900" s="86" t="b">
        <v>0</v>
      </c>
    </row>
    <row r="901" spans="1:7" ht="15">
      <c r="A901" s="87" t="s">
        <v>4392</v>
      </c>
      <c r="B901" s="86">
        <v>2</v>
      </c>
      <c r="C901" s="115">
        <v>0.002992539998683036</v>
      </c>
      <c r="D901" s="86" t="s">
        <v>3164</v>
      </c>
      <c r="E901" s="86" t="b">
        <v>0</v>
      </c>
      <c r="F901" s="86" t="b">
        <v>0</v>
      </c>
      <c r="G901" s="86" t="b">
        <v>0</v>
      </c>
    </row>
    <row r="902" spans="1:7" ht="15">
      <c r="A902" s="87" t="s">
        <v>4393</v>
      </c>
      <c r="B902" s="86">
        <v>2</v>
      </c>
      <c r="C902" s="115">
        <v>0.002992539998683036</v>
      </c>
      <c r="D902" s="86" t="s">
        <v>3164</v>
      </c>
      <c r="E902" s="86" t="b">
        <v>0</v>
      </c>
      <c r="F902" s="86" t="b">
        <v>0</v>
      </c>
      <c r="G902" s="86" t="b">
        <v>0</v>
      </c>
    </row>
    <row r="903" spans="1:7" ht="15">
      <c r="A903" s="87" t="s">
        <v>4395</v>
      </c>
      <c r="B903" s="86">
        <v>2</v>
      </c>
      <c r="C903" s="115">
        <v>0.002992539998683036</v>
      </c>
      <c r="D903" s="86" t="s">
        <v>3164</v>
      </c>
      <c r="E903" s="86" t="b">
        <v>0</v>
      </c>
      <c r="F903" s="86" t="b">
        <v>0</v>
      </c>
      <c r="G903" s="86" t="b">
        <v>0</v>
      </c>
    </row>
    <row r="904" spans="1:7" ht="15">
      <c r="A904" s="87" t="s">
        <v>4397</v>
      </c>
      <c r="B904" s="86">
        <v>2</v>
      </c>
      <c r="C904" s="115">
        <v>0.003599455312521708</v>
      </c>
      <c r="D904" s="86" t="s">
        <v>3164</v>
      </c>
      <c r="E904" s="86" t="b">
        <v>0</v>
      </c>
      <c r="F904" s="86" t="b">
        <v>0</v>
      </c>
      <c r="G904" s="86" t="b">
        <v>0</v>
      </c>
    </row>
    <row r="905" spans="1:7" ht="15">
      <c r="A905" s="87" t="s">
        <v>4252</v>
      </c>
      <c r="B905" s="86">
        <v>2</v>
      </c>
      <c r="C905" s="115">
        <v>0.002992539998683036</v>
      </c>
      <c r="D905" s="86" t="s">
        <v>3164</v>
      </c>
      <c r="E905" s="86" t="b">
        <v>0</v>
      </c>
      <c r="F905" s="86" t="b">
        <v>0</v>
      </c>
      <c r="G905" s="86" t="b">
        <v>0</v>
      </c>
    </row>
    <row r="906" spans="1:7" ht="15">
      <c r="A906" s="87" t="s">
        <v>3379</v>
      </c>
      <c r="B906" s="86">
        <v>2</v>
      </c>
      <c r="C906" s="115">
        <v>0.002992539998683036</v>
      </c>
      <c r="D906" s="86" t="s">
        <v>3164</v>
      </c>
      <c r="E906" s="86" t="b">
        <v>0</v>
      </c>
      <c r="F906" s="86" t="b">
        <v>0</v>
      </c>
      <c r="G906" s="86" t="b">
        <v>0</v>
      </c>
    </row>
    <row r="907" spans="1:7" ht="15">
      <c r="A907" s="87" t="s">
        <v>4356</v>
      </c>
      <c r="B907" s="86">
        <v>2</v>
      </c>
      <c r="C907" s="115">
        <v>0.002992539998683036</v>
      </c>
      <c r="D907" s="86" t="s">
        <v>3164</v>
      </c>
      <c r="E907" s="86" t="b">
        <v>0</v>
      </c>
      <c r="F907" s="86" t="b">
        <v>0</v>
      </c>
      <c r="G907" s="86" t="b">
        <v>0</v>
      </c>
    </row>
    <row r="908" spans="1:7" ht="15">
      <c r="A908" s="87" t="s">
        <v>4363</v>
      </c>
      <c r="B908" s="86">
        <v>2</v>
      </c>
      <c r="C908" s="115">
        <v>0.002992539998683036</v>
      </c>
      <c r="D908" s="86" t="s">
        <v>3164</v>
      </c>
      <c r="E908" s="86" t="b">
        <v>0</v>
      </c>
      <c r="F908" s="86" t="b">
        <v>0</v>
      </c>
      <c r="G908" s="86" t="b">
        <v>0</v>
      </c>
    </row>
    <row r="909" spans="1:7" ht="15">
      <c r="A909" s="87" t="s">
        <v>4170</v>
      </c>
      <c r="B909" s="86">
        <v>2</v>
      </c>
      <c r="C909" s="115">
        <v>0.002992539998683036</v>
      </c>
      <c r="D909" s="86" t="s">
        <v>3164</v>
      </c>
      <c r="E909" s="86" t="b">
        <v>0</v>
      </c>
      <c r="F909" s="86" t="b">
        <v>0</v>
      </c>
      <c r="G909" s="86" t="b">
        <v>0</v>
      </c>
    </row>
    <row r="910" spans="1:7" ht="15">
      <c r="A910" s="87" t="s">
        <v>4355</v>
      </c>
      <c r="B910" s="86">
        <v>2</v>
      </c>
      <c r="C910" s="115">
        <v>0.002992539998683036</v>
      </c>
      <c r="D910" s="86" t="s">
        <v>3164</v>
      </c>
      <c r="E910" s="86" t="b">
        <v>0</v>
      </c>
      <c r="F910" s="86" t="b">
        <v>0</v>
      </c>
      <c r="G910" s="86" t="b">
        <v>0</v>
      </c>
    </row>
    <row r="911" spans="1:7" ht="15">
      <c r="A911" s="87" t="s">
        <v>4370</v>
      </c>
      <c r="B911" s="86">
        <v>2</v>
      </c>
      <c r="C911" s="115">
        <v>0.002992539998683036</v>
      </c>
      <c r="D911" s="86" t="s">
        <v>3164</v>
      </c>
      <c r="E911" s="86" t="b">
        <v>0</v>
      </c>
      <c r="F911" s="86" t="b">
        <v>0</v>
      </c>
      <c r="G911" s="86" t="b">
        <v>0</v>
      </c>
    </row>
    <row r="912" spans="1:7" ht="15">
      <c r="A912" s="87" t="s">
        <v>4384</v>
      </c>
      <c r="B912" s="86">
        <v>2</v>
      </c>
      <c r="C912" s="115">
        <v>0.003599455312521708</v>
      </c>
      <c r="D912" s="86" t="s">
        <v>3164</v>
      </c>
      <c r="E912" s="86" t="b">
        <v>0</v>
      </c>
      <c r="F912" s="86" t="b">
        <v>0</v>
      </c>
      <c r="G912" s="86" t="b">
        <v>0</v>
      </c>
    </row>
    <row r="913" spans="1:7" ht="15">
      <c r="A913" s="87" t="s">
        <v>4168</v>
      </c>
      <c r="B913" s="86">
        <v>2</v>
      </c>
      <c r="C913" s="115">
        <v>0.002992539998683036</v>
      </c>
      <c r="D913" s="86" t="s">
        <v>3164</v>
      </c>
      <c r="E913" s="86" t="b">
        <v>0</v>
      </c>
      <c r="F913" s="86" t="b">
        <v>0</v>
      </c>
      <c r="G913" s="86" t="b">
        <v>0</v>
      </c>
    </row>
    <row r="914" spans="1:7" ht="15">
      <c r="A914" s="87" t="s">
        <v>4382</v>
      </c>
      <c r="B914" s="86">
        <v>2</v>
      </c>
      <c r="C914" s="115">
        <v>0.002992539998683036</v>
      </c>
      <c r="D914" s="86" t="s">
        <v>3164</v>
      </c>
      <c r="E914" s="86" t="b">
        <v>1</v>
      </c>
      <c r="F914" s="86" t="b">
        <v>0</v>
      </c>
      <c r="G914" s="86" t="b">
        <v>0</v>
      </c>
    </row>
    <row r="915" spans="1:7" ht="15">
      <c r="A915" s="87" t="s">
        <v>4383</v>
      </c>
      <c r="B915" s="86">
        <v>2</v>
      </c>
      <c r="C915" s="115">
        <v>0.002992539998683036</v>
      </c>
      <c r="D915" s="86" t="s">
        <v>3164</v>
      </c>
      <c r="E915" s="86" t="b">
        <v>0</v>
      </c>
      <c r="F915" s="86" t="b">
        <v>0</v>
      </c>
      <c r="G915" s="86" t="b">
        <v>0</v>
      </c>
    </row>
    <row r="916" spans="1:7" ht="15">
      <c r="A916" s="87" t="s">
        <v>4223</v>
      </c>
      <c r="B916" s="86">
        <v>2</v>
      </c>
      <c r="C916" s="115">
        <v>0.002992539998683036</v>
      </c>
      <c r="D916" s="86" t="s">
        <v>3164</v>
      </c>
      <c r="E916" s="86" t="b">
        <v>0</v>
      </c>
      <c r="F916" s="86" t="b">
        <v>0</v>
      </c>
      <c r="G916" s="86" t="b">
        <v>0</v>
      </c>
    </row>
    <row r="917" spans="1:7" ht="15">
      <c r="A917" s="87" t="s">
        <v>3382</v>
      </c>
      <c r="B917" s="86">
        <v>2</v>
      </c>
      <c r="C917" s="115">
        <v>0.002992539998683036</v>
      </c>
      <c r="D917" s="86" t="s">
        <v>3164</v>
      </c>
      <c r="E917" s="86" t="b">
        <v>0</v>
      </c>
      <c r="F917" s="86" t="b">
        <v>0</v>
      </c>
      <c r="G917" s="86" t="b">
        <v>0</v>
      </c>
    </row>
    <row r="918" spans="1:7" ht="15">
      <c r="A918" s="87" t="s">
        <v>4254</v>
      </c>
      <c r="B918" s="86">
        <v>2</v>
      </c>
      <c r="C918" s="115">
        <v>0.002992539998683036</v>
      </c>
      <c r="D918" s="86" t="s">
        <v>3164</v>
      </c>
      <c r="E918" s="86" t="b">
        <v>0</v>
      </c>
      <c r="F918" s="86" t="b">
        <v>0</v>
      </c>
      <c r="G918" s="86" t="b">
        <v>0</v>
      </c>
    </row>
    <row r="919" spans="1:7" ht="15">
      <c r="A919" s="87" t="s">
        <v>4255</v>
      </c>
      <c r="B919" s="86">
        <v>2</v>
      </c>
      <c r="C919" s="115">
        <v>0.002992539998683036</v>
      </c>
      <c r="D919" s="86" t="s">
        <v>3164</v>
      </c>
      <c r="E919" s="86" t="b">
        <v>0</v>
      </c>
      <c r="F919" s="86" t="b">
        <v>0</v>
      </c>
      <c r="G919" s="86" t="b">
        <v>0</v>
      </c>
    </row>
    <row r="920" spans="1:7" ht="15">
      <c r="A920" s="87" t="s">
        <v>4373</v>
      </c>
      <c r="B920" s="86">
        <v>2</v>
      </c>
      <c r="C920" s="115">
        <v>0.002992539998683036</v>
      </c>
      <c r="D920" s="86" t="s">
        <v>3164</v>
      </c>
      <c r="E920" s="86" t="b">
        <v>0</v>
      </c>
      <c r="F920" s="86" t="b">
        <v>0</v>
      </c>
      <c r="G920" s="86" t="b">
        <v>0</v>
      </c>
    </row>
    <row r="921" spans="1:7" ht="15">
      <c r="A921" s="87" t="s">
        <v>4136</v>
      </c>
      <c r="B921" s="86">
        <v>2</v>
      </c>
      <c r="C921" s="115">
        <v>0.002992539998683036</v>
      </c>
      <c r="D921" s="86" t="s">
        <v>3164</v>
      </c>
      <c r="E921" s="86" t="b">
        <v>0</v>
      </c>
      <c r="F921" s="86" t="b">
        <v>0</v>
      </c>
      <c r="G921" s="86" t="b">
        <v>0</v>
      </c>
    </row>
    <row r="922" spans="1:7" ht="15">
      <c r="A922" s="87" t="s">
        <v>429</v>
      </c>
      <c r="B922" s="86">
        <v>2</v>
      </c>
      <c r="C922" s="115">
        <v>0.002992539998683036</v>
      </c>
      <c r="D922" s="86" t="s">
        <v>3164</v>
      </c>
      <c r="E922" s="86" t="b">
        <v>0</v>
      </c>
      <c r="F922" s="86" t="b">
        <v>0</v>
      </c>
      <c r="G922" s="86" t="b">
        <v>0</v>
      </c>
    </row>
    <row r="923" spans="1:7" ht="15">
      <c r="A923" s="87" t="s">
        <v>4374</v>
      </c>
      <c r="B923" s="86">
        <v>2</v>
      </c>
      <c r="C923" s="115">
        <v>0.002992539998683036</v>
      </c>
      <c r="D923" s="86" t="s">
        <v>3164</v>
      </c>
      <c r="E923" s="86" t="b">
        <v>0</v>
      </c>
      <c r="F923" s="86" t="b">
        <v>0</v>
      </c>
      <c r="G923" s="86" t="b">
        <v>0</v>
      </c>
    </row>
    <row r="924" spans="1:7" ht="15">
      <c r="A924" s="87" t="s">
        <v>4361</v>
      </c>
      <c r="B924" s="86">
        <v>2</v>
      </c>
      <c r="C924" s="115">
        <v>0.002992539998683036</v>
      </c>
      <c r="D924" s="86" t="s">
        <v>3164</v>
      </c>
      <c r="E924" s="86" t="b">
        <v>0</v>
      </c>
      <c r="F924" s="86" t="b">
        <v>0</v>
      </c>
      <c r="G924" s="86" t="b">
        <v>0</v>
      </c>
    </row>
    <row r="925" spans="1:7" ht="15">
      <c r="A925" s="87" t="s">
        <v>4099</v>
      </c>
      <c r="B925" s="86">
        <v>2</v>
      </c>
      <c r="C925" s="115">
        <v>0.002992539998683036</v>
      </c>
      <c r="D925" s="86" t="s">
        <v>3164</v>
      </c>
      <c r="E925" s="86" t="b">
        <v>0</v>
      </c>
      <c r="F925" s="86" t="b">
        <v>0</v>
      </c>
      <c r="G925" s="86" t="b">
        <v>0</v>
      </c>
    </row>
    <row r="926" spans="1:7" ht="15">
      <c r="A926" s="87" t="s">
        <v>4089</v>
      </c>
      <c r="B926" s="86">
        <v>2</v>
      </c>
      <c r="C926" s="115">
        <v>0.002992539998683036</v>
      </c>
      <c r="D926" s="86" t="s">
        <v>3164</v>
      </c>
      <c r="E926" s="86" t="b">
        <v>0</v>
      </c>
      <c r="F926" s="86" t="b">
        <v>0</v>
      </c>
      <c r="G926" s="86" t="b">
        <v>0</v>
      </c>
    </row>
    <row r="927" spans="1:7" ht="15">
      <c r="A927" s="87" t="s">
        <v>3361</v>
      </c>
      <c r="B927" s="86">
        <v>2</v>
      </c>
      <c r="C927" s="115">
        <v>0.002992539998683036</v>
      </c>
      <c r="D927" s="86" t="s">
        <v>3164</v>
      </c>
      <c r="E927" s="86" t="b">
        <v>0</v>
      </c>
      <c r="F927" s="86" t="b">
        <v>0</v>
      </c>
      <c r="G927" s="86" t="b">
        <v>0</v>
      </c>
    </row>
    <row r="928" spans="1:7" ht="15">
      <c r="A928" s="87" t="s">
        <v>386</v>
      </c>
      <c r="B928" s="86">
        <v>2</v>
      </c>
      <c r="C928" s="115">
        <v>0.002992539998683036</v>
      </c>
      <c r="D928" s="86" t="s">
        <v>3164</v>
      </c>
      <c r="E928" s="86" t="b">
        <v>0</v>
      </c>
      <c r="F928" s="86" t="b">
        <v>0</v>
      </c>
      <c r="G928" s="86" t="b">
        <v>0</v>
      </c>
    </row>
    <row r="929" spans="1:7" ht="15">
      <c r="A929" s="87" t="s">
        <v>4250</v>
      </c>
      <c r="B929" s="86">
        <v>2</v>
      </c>
      <c r="C929" s="115">
        <v>0.002992539998683036</v>
      </c>
      <c r="D929" s="86" t="s">
        <v>3164</v>
      </c>
      <c r="E929" s="86" t="b">
        <v>0</v>
      </c>
      <c r="F929" s="86" t="b">
        <v>0</v>
      </c>
      <c r="G929" s="86" t="b">
        <v>0</v>
      </c>
    </row>
    <row r="930" spans="1:7" ht="15">
      <c r="A930" s="87" t="s">
        <v>4054</v>
      </c>
      <c r="B930" s="86">
        <v>2</v>
      </c>
      <c r="C930" s="115">
        <v>0.002992539998683036</v>
      </c>
      <c r="D930" s="86" t="s">
        <v>3164</v>
      </c>
      <c r="E930" s="86" t="b">
        <v>0</v>
      </c>
      <c r="F930" s="86" t="b">
        <v>0</v>
      </c>
      <c r="G930" s="86" t="b">
        <v>0</v>
      </c>
    </row>
    <row r="931" spans="1:7" ht="15">
      <c r="A931" s="87" t="s">
        <v>4242</v>
      </c>
      <c r="B931" s="86">
        <v>2</v>
      </c>
      <c r="C931" s="115">
        <v>0.002992539998683036</v>
      </c>
      <c r="D931" s="86" t="s">
        <v>3164</v>
      </c>
      <c r="E931" s="86" t="b">
        <v>0</v>
      </c>
      <c r="F931" s="86" t="b">
        <v>0</v>
      </c>
      <c r="G931" s="86" t="b">
        <v>0</v>
      </c>
    </row>
    <row r="932" spans="1:7" ht="15">
      <c r="A932" s="87" t="s">
        <v>4035</v>
      </c>
      <c r="B932" s="86">
        <v>2</v>
      </c>
      <c r="C932" s="115">
        <v>0.002992539998683036</v>
      </c>
      <c r="D932" s="86" t="s">
        <v>3164</v>
      </c>
      <c r="E932" s="86" t="b">
        <v>0</v>
      </c>
      <c r="F932" s="86" t="b">
        <v>0</v>
      </c>
      <c r="G932" s="86" t="b">
        <v>0</v>
      </c>
    </row>
    <row r="933" spans="1:7" ht="15">
      <c r="A933" s="87" t="s">
        <v>502</v>
      </c>
      <c r="B933" s="86">
        <v>2</v>
      </c>
      <c r="C933" s="115">
        <v>0.002992539998683036</v>
      </c>
      <c r="D933" s="86" t="s">
        <v>3164</v>
      </c>
      <c r="E933" s="86" t="b">
        <v>0</v>
      </c>
      <c r="F933" s="86" t="b">
        <v>0</v>
      </c>
      <c r="G933" s="86" t="b">
        <v>0</v>
      </c>
    </row>
    <row r="934" spans="1:7" ht="15">
      <c r="A934" s="87" t="s">
        <v>4055</v>
      </c>
      <c r="B934" s="86">
        <v>2</v>
      </c>
      <c r="C934" s="115">
        <v>0.002992539998683036</v>
      </c>
      <c r="D934" s="86" t="s">
        <v>3164</v>
      </c>
      <c r="E934" s="86" t="b">
        <v>0</v>
      </c>
      <c r="F934" s="86" t="b">
        <v>0</v>
      </c>
      <c r="G934" s="86" t="b">
        <v>0</v>
      </c>
    </row>
    <row r="935" spans="1:7" ht="15">
      <c r="A935" s="87" t="s">
        <v>4231</v>
      </c>
      <c r="B935" s="86">
        <v>2</v>
      </c>
      <c r="C935" s="115">
        <v>0.003599455312521708</v>
      </c>
      <c r="D935" s="86" t="s">
        <v>3164</v>
      </c>
      <c r="E935" s="86" t="b">
        <v>0</v>
      </c>
      <c r="F935" s="86" t="b">
        <v>0</v>
      </c>
      <c r="G935" s="86" t="b">
        <v>0</v>
      </c>
    </row>
    <row r="936" spans="1:7" ht="15">
      <c r="A936" s="87" t="s">
        <v>4041</v>
      </c>
      <c r="B936" s="86">
        <v>2</v>
      </c>
      <c r="C936" s="115">
        <v>0.002992539998683036</v>
      </c>
      <c r="D936" s="86" t="s">
        <v>3164</v>
      </c>
      <c r="E936" s="86" t="b">
        <v>0</v>
      </c>
      <c r="F936" s="86" t="b">
        <v>0</v>
      </c>
      <c r="G936" s="86" t="b">
        <v>0</v>
      </c>
    </row>
    <row r="937" spans="1:7" ht="15">
      <c r="A937" s="87" t="s">
        <v>4344</v>
      </c>
      <c r="B937" s="86">
        <v>2</v>
      </c>
      <c r="C937" s="115">
        <v>0.002992539998683036</v>
      </c>
      <c r="D937" s="86" t="s">
        <v>3164</v>
      </c>
      <c r="E937" s="86" t="b">
        <v>0</v>
      </c>
      <c r="F937" s="86" t="b">
        <v>0</v>
      </c>
      <c r="G937" s="86" t="b">
        <v>0</v>
      </c>
    </row>
    <row r="938" spans="1:7" ht="15">
      <c r="A938" s="87" t="s">
        <v>4345</v>
      </c>
      <c r="B938" s="86">
        <v>2</v>
      </c>
      <c r="C938" s="115">
        <v>0.002992539998683036</v>
      </c>
      <c r="D938" s="86" t="s">
        <v>3164</v>
      </c>
      <c r="E938" s="86" t="b">
        <v>0</v>
      </c>
      <c r="F938" s="86" t="b">
        <v>0</v>
      </c>
      <c r="G938" s="86" t="b">
        <v>0</v>
      </c>
    </row>
    <row r="939" spans="1:7" ht="15">
      <c r="A939" s="87" t="s">
        <v>4040</v>
      </c>
      <c r="B939" s="86">
        <v>2</v>
      </c>
      <c r="C939" s="115">
        <v>0.002992539998683036</v>
      </c>
      <c r="D939" s="86" t="s">
        <v>3164</v>
      </c>
      <c r="E939" s="86" t="b">
        <v>0</v>
      </c>
      <c r="F939" s="86" t="b">
        <v>0</v>
      </c>
      <c r="G939" s="86" t="b">
        <v>0</v>
      </c>
    </row>
    <row r="940" spans="1:7" ht="15">
      <c r="A940" s="87" t="s">
        <v>3355</v>
      </c>
      <c r="B940" s="86">
        <v>2</v>
      </c>
      <c r="C940" s="115">
        <v>0.002992539998683036</v>
      </c>
      <c r="D940" s="86" t="s">
        <v>3164</v>
      </c>
      <c r="E940" s="86" t="b">
        <v>0</v>
      </c>
      <c r="F940" s="86" t="b">
        <v>0</v>
      </c>
      <c r="G940" s="86" t="b">
        <v>0</v>
      </c>
    </row>
    <row r="941" spans="1:7" ht="15">
      <c r="A941" s="87" t="s">
        <v>3356</v>
      </c>
      <c r="B941" s="86">
        <v>2</v>
      </c>
      <c r="C941" s="115">
        <v>0.002992539998683036</v>
      </c>
      <c r="D941" s="86" t="s">
        <v>3164</v>
      </c>
      <c r="E941" s="86" t="b">
        <v>0</v>
      </c>
      <c r="F941" s="86" t="b">
        <v>0</v>
      </c>
      <c r="G941" s="86" t="b">
        <v>0</v>
      </c>
    </row>
    <row r="942" spans="1:7" ht="15">
      <c r="A942" s="87" t="s">
        <v>3356</v>
      </c>
      <c r="B942" s="86">
        <v>19</v>
      </c>
      <c r="C942" s="115">
        <v>0</v>
      </c>
      <c r="D942" s="86" t="s">
        <v>3165</v>
      </c>
      <c r="E942" s="86" t="b">
        <v>0</v>
      </c>
      <c r="F942" s="86" t="b">
        <v>0</v>
      </c>
      <c r="G942" s="86" t="b">
        <v>0</v>
      </c>
    </row>
    <row r="943" spans="1:7" ht="15">
      <c r="A943" s="87" t="s">
        <v>3355</v>
      </c>
      <c r="B943" s="86">
        <v>14</v>
      </c>
      <c r="C943" s="115">
        <v>0.004431403135666524</v>
      </c>
      <c r="D943" s="86" t="s">
        <v>3165</v>
      </c>
      <c r="E943" s="86" t="b">
        <v>0</v>
      </c>
      <c r="F943" s="86" t="b">
        <v>0</v>
      </c>
      <c r="G943" s="86" t="b">
        <v>0</v>
      </c>
    </row>
    <row r="944" spans="1:7" ht="15">
      <c r="A944" s="87" t="s">
        <v>3379</v>
      </c>
      <c r="B944" s="86">
        <v>10</v>
      </c>
      <c r="C944" s="115">
        <v>0.0066528305716665615</v>
      </c>
      <c r="D944" s="86" t="s">
        <v>3165</v>
      </c>
      <c r="E944" s="86" t="b">
        <v>0</v>
      </c>
      <c r="F944" s="86" t="b">
        <v>0</v>
      </c>
      <c r="G944" s="86" t="b">
        <v>0</v>
      </c>
    </row>
    <row r="945" spans="1:7" ht="15">
      <c r="A945" s="87" t="s">
        <v>3380</v>
      </c>
      <c r="B945" s="86">
        <v>8</v>
      </c>
      <c r="C945" s="115">
        <v>0.008279819779256748</v>
      </c>
      <c r="D945" s="86" t="s">
        <v>3165</v>
      </c>
      <c r="E945" s="86" t="b">
        <v>0</v>
      </c>
      <c r="F945" s="86" t="b">
        <v>0</v>
      </c>
      <c r="G945" s="86" t="b">
        <v>0</v>
      </c>
    </row>
    <row r="946" spans="1:7" ht="15">
      <c r="A946" s="87" t="s">
        <v>3327</v>
      </c>
      <c r="B946" s="86">
        <v>8</v>
      </c>
      <c r="C946" s="115">
        <v>0.0071725749682269285</v>
      </c>
      <c r="D946" s="86" t="s">
        <v>3165</v>
      </c>
      <c r="E946" s="86" t="b">
        <v>0</v>
      </c>
      <c r="F946" s="86" t="b">
        <v>0</v>
      </c>
      <c r="G946" s="86" t="b">
        <v>0</v>
      </c>
    </row>
    <row r="947" spans="1:7" ht="15">
      <c r="A947" s="87" t="s">
        <v>3360</v>
      </c>
      <c r="B947" s="86">
        <v>8</v>
      </c>
      <c r="C947" s="115">
        <v>0.0071725749682269285</v>
      </c>
      <c r="D947" s="86" t="s">
        <v>3165</v>
      </c>
      <c r="E947" s="86" t="b">
        <v>0</v>
      </c>
      <c r="F947" s="86" t="b">
        <v>0</v>
      </c>
      <c r="G947" s="86" t="b">
        <v>0</v>
      </c>
    </row>
    <row r="948" spans="1:7" ht="15">
      <c r="A948" s="87" t="s">
        <v>427</v>
      </c>
      <c r="B948" s="86">
        <v>7</v>
      </c>
      <c r="C948" s="115">
        <v>0.007244842306849654</v>
      </c>
      <c r="D948" s="86" t="s">
        <v>3165</v>
      </c>
      <c r="E948" s="86" t="b">
        <v>0</v>
      </c>
      <c r="F948" s="86" t="b">
        <v>0</v>
      </c>
      <c r="G948" s="86" t="b">
        <v>0</v>
      </c>
    </row>
    <row r="949" spans="1:7" ht="15">
      <c r="A949" s="87" t="s">
        <v>3381</v>
      </c>
      <c r="B949" s="86">
        <v>7</v>
      </c>
      <c r="C949" s="115">
        <v>0.008363285093041283</v>
      </c>
      <c r="D949" s="86" t="s">
        <v>3165</v>
      </c>
      <c r="E949" s="86" t="b">
        <v>0</v>
      </c>
      <c r="F949" s="86" t="b">
        <v>0</v>
      </c>
      <c r="G949" s="86" t="b">
        <v>0</v>
      </c>
    </row>
    <row r="950" spans="1:7" ht="15">
      <c r="A950" s="87" t="s">
        <v>3382</v>
      </c>
      <c r="B950" s="86">
        <v>6</v>
      </c>
      <c r="C950" s="115">
        <v>0.0071685300797496715</v>
      </c>
      <c r="D950" s="86" t="s">
        <v>3165</v>
      </c>
      <c r="E950" s="86" t="b">
        <v>0</v>
      </c>
      <c r="F950" s="86" t="b">
        <v>0</v>
      </c>
      <c r="G950" s="86" t="b">
        <v>0</v>
      </c>
    </row>
    <row r="951" spans="1:7" ht="15">
      <c r="A951" s="87" t="s">
        <v>3383</v>
      </c>
      <c r="B951" s="86">
        <v>6</v>
      </c>
      <c r="C951" s="115">
        <v>0.0071685300797496715</v>
      </c>
      <c r="D951" s="86" t="s">
        <v>3165</v>
      </c>
      <c r="E951" s="86" t="b">
        <v>0</v>
      </c>
      <c r="F951" s="86" t="b">
        <v>0</v>
      </c>
      <c r="G951" s="86" t="b">
        <v>0</v>
      </c>
    </row>
    <row r="952" spans="1:7" ht="15">
      <c r="A952" s="87" t="s">
        <v>4033</v>
      </c>
      <c r="B952" s="86">
        <v>6</v>
      </c>
      <c r="C952" s="115">
        <v>0.0071685300797496715</v>
      </c>
      <c r="D952" s="86" t="s">
        <v>3165</v>
      </c>
      <c r="E952" s="86" t="b">
        <v>0</v>
      </c>
      <c r="F952" s="86" t="b">
        <v>0</v>
      </c>
      <c r="G952" s="86" t="b">
        <v>0</v>
      </c>
    </row>
    <row r="953" spans="1:7" ht="15">
      <c r="A953" s="87" t="s">
        <v>4038</v>
      </c>
      <c r="B953" s="86">
        <v>6</v>
      </c>
      <c r="C953" s="115">
        <v>0.008302390405013987</v>
      </c>
      <c r="D953" s="86" t="s">
        <v>3165</v>
      </c>
      <c r="E953" s="86" t="b">
        <v>0</v>
      </c>
      <c r="F953" s="86" t="b">
        <v>0</v>
      </c>
      <c r="G953" s="86" t="b">
        <v>0</v>
      </c>
    </row>
    <row r="954" spans="1:7" ht="15">
      <c r="A954" s="87" t="s">
        <v>462</v>
      </c>
      <c r="B954" s="86">
        <v>5</v>
      </c>
      <c r="C954" s="115">
        <v>0.006918658670844989</v>
      </c>
      <c r="D954" s="86" t="s">
        <v>3165</v>
      </c>
      <c r="E954" s="86" t="b">
        <v>0</v>
      </c>
      <c r="F954" s="86" t="b">
        <v>0</v>
      </c>
      <c r="G954" s="86" t="b">
        <v>0</v>
      </c>
    </row>
    <row r="955" spans="1:7" ht="15">
      <c r="A955" s="87" t="s">
        <v>4047</v>
      </c>
      <c r="B955" s="86">
        <v>5</v>
      </c>
      <c r="C955" s="115">
        <v>0.006918658670844989</v>
      </c>
      <c r="D955" s="86" t="s">
        <v>3165</v>
      </c>
      <c r="E955" s="86" t="b">
        <v>0</v>
      </c>
      <c r="F955" s="86" t="b">
        <v>0</v>
      </c>
      <c r="G955" s="86" t="b">
        <v>0</v>
      </c>
    </row>
    <row r="956" spans="1:7" ht="15">
      <c r="A956" s="87" t="s">
        <v>4138</v>
      </c>
      <c r="B956" s="86">
        <v>5</v>
      </c>
      <c r="C956" s="115">
        <v>0.009566018451469767</v>
      </c>
      <c r="D956" s="86" t="s">
        <v>3165</v>
      </c>
      <c r="E956" s="86" t="b">
        <v>0</v>
      </c>
      <c r="F956" s="86" t="b">
        <v>0</v>
      </c>
      <c r="G956" s="86" t="b">
        <v>0</v>
      </c>
    </row>
    <row r="957" spans="1:7" ht="15">
      <c r="A957" s="87" t="s">
        <v>4039</v>
      </c>
      <c r="B957" s="86">
        <v>5</v>
      </c>
      <c r="C957" s="115">
        <v>0.006918658670844989</v>
      </c>
      <c r="D957" s="86" t="s">
        <v>3165</v>
      </c>
      <c r="E957" s="86" t="b">
        <v>0</v>
      </c>
      <c r="F957" s="86" t="b">
        <v>0</v>
      </c>
      <c r="G957" s="86" t="b">
        <v>0</v>
      </c>
    </row>
    <row r="958" spans="1:7" ht="15">
      <c r="A958" s="87" t="s">
        <v>4045</v>
      </c>
      <c r="B958" s="86">
        <v>5</v>
      </c>
      <c r="C958" s="115">
        <v>0.006918658670844989</v>
      </c>
      <c r="D958" s="86" t="s">
        <v>3165</v>
      </c>
      <c r="E958" s="86" t="b">
        <v>0</v>
      </c>
      <c r="F958" s="86" t="b">
        <v>0</v>
      </c>
      <c r="G958" s="86" t="b">
        <v>0</v>
      </c>
    </row>
    <row r="959" spans="1:7" ht="15">
      <c r="A959" s="87" t="s">
        <v>4032</v>
      </c>
      <c r="B959" s="86">
        <v>5</v>
      </c>
      <c r="C959" s="115">
        <v>0.006918658670844989</v>
      </c>
      <c r="D959" s="86" t="s">
        <v>3165</v>
      </c>
      <c r="E959" s="86" t="b">
        <v>0</v>
      </c>
      <c r="F959" s="86" t="b">
        <v>1</v>
      </c>
      <c r="G959" s="86" t="b">
        <v>0</v>
      </c>
    </row>
    <row r="960" spans="1:7" ht="15">
      <c r="A960" s="87" t="s">
        <v>4037</v>
      </c>
      <c r="B960" s="86">
        <v>5</v>
      </c>
      <c r="C960" s="115">
        <v>0.006918658670844989</v>
      </c>
      <c r="D960" s="86" t="s">
        <v>3165</v>
      </c>
      <c r="E960" s="86" t="b">
        <v>0</v>
      </c>
      <c r="F960" s="86" t="b">
        <v>0</v>
      </c>
      <c r="G960" s="86" t="b">
        <v>0</v>
      </c>
    </row>
    <row r="961" spans="1:7" ht="15">
      <c r="A961" s="87" t="s">
        <v>3361</v>
      </c>
      <c r="B961" s="86">
        <v>4</v>
      </c>
      <c r="C961" s="115">
        <v>0.006460082192122831</v>
      </c>
      <c r="D961" s="86" t="s">
        <v>3165</v>
      </c>
      <c r="E961" s="86" t="b">
        <v>0</v>
      </c>
      <c r="F961" s="86" t="b">
        <v>0</v>
      </c>
      <c r="G961" s="86" t="b">
        <v>0</v>
      </c>
    </row>
    <row r="962" spans="1:7" ht="15">
      <c r="A962" s="87" t="s">
        <v>4025</v>
      </c>
      <c r="B962" s="86">
        <v>4</v>
      </c>
      <c r="C962" s="115">
        <v>0.006460082192122831</v>
      </c>
      <c r="D962" s="86" t="s">
        <v>3165</v>
      </c>
      <c r="E962" s="86" t="b">
        <v>0</v>
      </c>
      <c r="F962" s="86" t="b">
        <v>0</v>
      </c>
      <c r="G962" s="86" t="b">
        <v>0</v>
      </c>
    </row>
    <row r="963" spans="1:7" ht="15">
      <c r="A963" s="87" t="s">
        <v>4024</v>
      </c>
      <c r="B963" s="86">
        <v>4</v>
      </c>
      <c r="C963" s="115">
        <v>0.006460082192122831</v>
      </c>
      <c r="D963" s="86" t="s">
        <v>3165</v>
      </c>
      <c r="E963" s="86" t="b">
        <v>0</v>
      </c>
      <c r="F963" s="86" t="b">
        <v>0</v>
      </c>
      <c r="G963" s="86" t="b">
        <v>0</v>
      </c>
    </row>
    <row r="964" spans="1:7" ht="15">
      <c r="A964" s="87" t="s">
        <v>4022</v>
      </c>
      <c r="B964" s="86">
        <v>4</v>
      </c>
      <c r="C964" s="115">
        <v>0.006460082192122831</v>
      </c>
      <c r="D964" s="86" t="s">
        <v>3165</v>
      </c>
      <c r="E964" s="86" t="b">
        <v>0</v>
      </c>
      <c r="F964" s="86" t="b">
        <v>0</v>
      </c>
      <c r="G964" s="86" t="b">
        <v>0</v>
      </c>
    </row>
    <row r="965" spans="1:7" ht="15">
      <c r="A965" s="87" t="s">
        <v>4049</v>
      </c>
      <c r="B965" s="86">
        <v>4</v>
      </c>
      <c r="C965" s="115">
        <v>0.006460082192122831</v>
      </c>
      <c r="D965" s="86" t="s">
        <v>3165</v>
      </c>
      <c r="E965" s="86" t="b">
        <v>0</v>
      </c>
      <c r="F965" s="86" t="b">
        <v>0</v>
      </c>
      <c r="G965" s="86" t="b">
        <v>0</v>
      </c>
    </row>
    <row r="966" spans="1:7" ht="15">
      <c r="A966" s="87" t="s">
        <v>4046</v>
      </c>
      <c r="B966" s="86">
        <v>4</v>
      </c>
      <c r="C966" s="115">
        <v>0.006460082192122831</v>
      </c>
      <c r="D966" s="86" t="s">
        <v>3165</v>
      </c>
      <c r="E966" s="86" t="b">
        <v>0</v>
      </c>
      <c r="F966" s="86" t="b">
        <v>0</v>
      </c>
      <c r="G966" s="86" t="b">
        <v>0</v>
      </c>
    </row>
    <row r="967" spans="1:7" ht="15">
      <c r="A967" s="87" t="s">
        <v>4040</v>
      </c>
      <c r="B967" s="86">
        <v>4</v>
      </c>
      <c r="C967" s="115">
        <v>0.006460082192122831</v>
      </c>
      <c r="D967" s="86" t="s">
        <v>3165</v>
      </c>
      <c r="E967" s="86" t="b">
        <v>0</v>
      </c>
      <c r="F967" s="86" t="b">
        <v>0</v>
      </c>
      <c r="G967" s="86" t="b">
        <v>0</v>
      </c>
    </row>
    <row r="968" spans="1:7" ht="15">
      <c r="A968" s="87" t="s">
        <v>4036</v>
      </c>
      <c r="B968" s="86">
        <v>4</v>
      </c>
      <c r="C968" s="115">
        <v>0.006460082192122831</v>
      </c>
      <c r="D968" s="86" t="s">
        <v>3165</v>
      </c>
      <c r="E968" s="86" t="b">
        <v>0</v>
      </c>
      <c r="F968" s="86" t="b">
        <v>0</v>
      </c>
      <c r="G968" s="86" t="b">
        <v>0</v>
      </c>
    </row>
    <row r="969" spans="1:7" ht="15">
      <c r="A969" s="87" t="s">
        <v>4043</v>
      </c>
      <c r="B969" s="86">
        <v>4</v>
      </c>
      <c r="C969" s="115">
        <v>0.006460082192122831</v>
      </c>
      <c r="D969" s="86" t="s">
        <v>3165</v>
      </c>
      <c r="E969" s="86" t="b">
        <v>0</v>
      </c>
      <c r="F969" s="86" t="b">
        <v>0</v>
      </c>
      <c r="G969" s="86" t="b">
        <v>0</v>
      </c>
    </row>
    <row r="970" spans="1:7" ht="15">
      <c r="A970" s="87" t="s">
        <v>3319</v>
      </c>
      <c r="B970" s="86">
        <v>3</v>
      </c>
      <c r="C970" s="115">
        <v>0.007000407675099149</v>
      </c>
      <c r="D970" s="86" t="s">
        <v>3165</v>
      </c>
      <c r="E970" s="86" t="b">
        <v>0</v>
      </c>
      <c r="F970" s="86" t="b">
        <v>0</v>
      </c>
      <c r="G970" s="86" t="b">
        <v>0</v>
      </c>
    </row>
    <row r="971" spans="1:7" ht="15">
      <c r="A971" s="87" t="s">
        <v>4136</v>
      </c>
      <c r="B971" s="86">
        <v>3</v>
      </c>
      <c r="C971" s="115">
        <v>0.007000407675099149</v>
      </c>
      <c r="D971" s="86" t="s">
        <v>3165</v>
      </c>
      <c r="E971" s="86" t="b">
        <v>0</v>
      </c>
      <c r="F971" s="86" t="b">
        <v>0</v>
      </c>
      <c r="G971" s="86" t="b">
        <v>0</v>
      </c>
    </row>
    <row r="972" spans="1:7" ht="15">
      <c r="A972" s="87" t="s">
        <v>4096</v>
      </c>
      <c r="B972" s="86">
        <v>3</v>
      </c>
      <c r="C972" s="115">
        <v>0.005739611070881861</v>
      </c>
      <c r="D972" s="86" t="s">
        <v>3165</v>
      </c>
      <c r="E972" s="86" t="b">
        <v>0</v>
      </c>
      <c r="F972" s="86" t="b">
        <v>1</v>
      </c>
      <c r="G972" s="86" t="b">
        <v>0</v>
      </c>
    </row>
    <row r="973" spans="1:7" ht="15">
      <c r="A973" s="87" t="s">
        <v>3363</v>
      </c>
      <c r="B973" s="86">
        <v>3</v>
      </c>
      <c r="C973" s="115">
        <v>0.005739611070881861</v>
      </c>
      <c r="D973" s="86" t="s">
        <v>3165</v>
      </c>
      <c r="E973" s="86" t="b">
        <v>0</v>
      </c>
      <c r="F973" s="86" t="b">
        <v>0</v>
      </c>
      <c r="G973" s="86" t="b">
        <v>0</v>
      </c>
    </row>
    <row r="974" spans="1:7" ht="15">
      <c r="A974" s="87" t="s">
        <v>4020</v>
      </c>
      <c r="B974" s="86">
        <v>3</v>
      </c>
      <c r="C974" s="115">
        <v>0.005739611070881861</v>
      </c>
      <c r="D974" s="86" t="s">
        <v>3165</v>
      </c>
      <c r="E974" s="86" t="b">
        <v>0</v>
      </c>
      <c r="F974" s="86" t="b">
        <v>1</v>
      </c>
      <c r="G974" s="86" t="b">
        <v>0</v>
      </c>
    </row>
    <row r="975" spans="1:7" ht="15">
      <c r="A975" s="87" t="s">
        <v>4052</v>
      </c>
      <c r="B975" s="86">
        <v>3</v>
      </c>
      <c r="C975" s="115">
        <v>0.005739611070881861</v>
      </c>
      <c r="D975" s="86" t="s">
        <v>3165</v>
      </c>
      <c r="E975" s="86" t="b">
        <v>0</v>
      </c>
      <c r="F975" s="86" t="b">
        <v>0</v>
      </c>
      <c r="G975" s="86" t="b">
        <v>0</v>
      </c>
    </row>
    <row r="976" spans="1:7" ht="15">
      <c r="A976" s="87" t="s">
        <v>4034</v>
      </c>
      <c r="B976" s="86">
        <v>3</v>
      </c>
      <c r="C976" s="115">
        <v>0.005739611070881861</v>
      </c>
      <c r="D976" s="86" t="s">
        <v>3165</v>
      </c>
      <c r="E976" s="86" t="b">
        <v>0</v>
      </c>
      <c r="F976" s="86" t="b">
        <v>0</v>
      </c>
      <c r="G976" s="86" t="b">
        <v>0</v>
      </c>
    </row>
    <row r="977" spans="1:7" ht="15">
      <c r="A977" s="87" t="s">
        <v>3364</v>
      </c>
      <c r="B977" s="86">
        <v>3</v>
      </c>
      <c r="C977" s="115">
        <v>0.005739611070881861</v>
      </c>
      <c r="D977" s="86" t="s">
        <v>3165</v>
      </c>
      <c r="E977" s="86" t="b">
        <v>0</v>
      </c>
      <c r="F977" s="86" t="b">
        <v>0</v>
      </c>
      <c r="G977" s="86" t="b">
        <v>0</v>
      </c>
    </row>
    <row r="978" spans="1:7" ht="15">
      <c r="A978" s="87" t="s">
        <v>4021</v>
      </c>
      <c r="B978" s="86">
        <v>3</v>
      </c>
      <c r="C978" s="115">
        <v>0.005739611070881861</v>
      </c>
      <c r="D978" s="86" t="s">
        <v>3165</v>
      </c>
      <c r="E978" s="86" t="b">
        <v>0</v>
      </c>
      <c r="F978" s="86" t="b">
        <v>1</v>
      </c>
      <c r="G978" s="86" t="b">
        <v>0</v>
      </c>
    </row>
    <row r="979" spans="1:7" ht="15">
      <c r="A979" s="87" t="s">
        <v>3366</v>
      </c>
      <c r="B979" s="86">
        <v>3</v>
      </c>
      <c r="C979" s="115">
        <v>0.005739611070881861</v>
      </c>
      <c r="D979" s="86" t="s">
        <v>3165</v>
      </c>
      <c r="E979" s="86" t="b">
        <v>0</v>
      </c>
      <c r="F979" s="86" t="b">
        <v>0</v>
      </c>
      <c r="G979" s="86" t="b">
        <v>0</v>
      </c>
    </row>
    <row r="980" spans="1:7" ht="15">
      <c r="A980" s="87" t="s">
        <v>3368</v>
      </c>
      <c r="B980" s="86">
        <v>3</v>
      </c>
      <c r="C980" s="115">
        <v>0.005739611070881861</v>
      </c>
      <c r="D980" s="86" t="s">
        <v>3165</v>
      </c>
      <c r="E980" s="86" t="b">
        <v>0</v>
      </c>
      <c r="F980" s="86" t="b">
        <v>0</v>
      </c>
      <c r="G980" s="86" t="b">
        <v>0</v>
      </c>
    </row>
    <row r="981" spans="1:7" ht="15">
      <c r="A981" s="87" t="s">
        <v>4062</v>
      </c>
      <c r="B981" s="86">
        <v>3</v>
      </c>
      <c r="C981" s="115">
        <v>0.005739611070881861</v>
      </c>
      <c r="D981" s="86" t="s">
        <v>3165</v>
      </c>
      <c r="E981" s="86" t="b">
        <v>0</v>
      </c>
      <c r="F981" s="86" t="b">
        <v>0</v>
      </c>
      <c r="G981" s="86" t="b">
        <v>0</v>
      </c>
    </row>
    <row r="982" spans="1:7" ht="15">
      <c r="A982" s="87" t="s">
        <v>4048</v>
      </c>
      <c r="B982" s="86">
        <v>3</v>
      </c>
      <c r="C982" s="115">
        <v>0.005739611070881861</v>
      </c>
      <c r="D982" s="86" t="s">
        <v>3165</v>
      </c>
      <c r="E982" s="86" t="b">
        <v>0</v>
      </c>
      <c r="F982" s="86" t="b">
        <v>0</v>
      </c>
      <c r="G982" s="86" t="b">
        <v>0</v>
      </c>
    </row>
    <row r="983" spans="1:7" ht="15">
      <c r="A983" s="87" t="s">
        <v>4313</v>
      </c>
      <c r="B983" s="86">
        <v>2</v>
      </c>
      <c r="C983" s="115">
        <v>0.006103835804070782</v>
      </c>
      <c r="D983" s="86" t="s">
        <v>3165</v>
      </c>
      <c r="E983" s="86" t="b">
        <v>0</v>
      </c>
      <c r="F983" s="86" t="b">
        <v>0</v>
      </c>
      <c r="G983" s="86" t="b">
        <v>0</v>
      </c>
    </row>
    <row r="984" spans="1:7" ht="15">
      <c r="A984" s="87" t="s">
        <v>4070</v>
      </c>
      <c r="B984" s="86">
        <v>2</v>
      </c>
      <c r="C984" s="115">
        <v>0.004666938450066099</v>
      </c>
      <c r="D984" s="86" t="s">
        <v>3165</v>
      </c>
      <c r="E984" s="86" t="b">
        <v>0</v>
      </c>
      <c r="F984" s="86" t="b">
        <v>0</v>
      </c>
      <c r="G984" s="86" t="b">
        <v>0</v>
      </c>
    </row>
    <row r="985" spans="1:7" ht="15">
      <c r="A985" s="87" t="s">
        <v>4323</v>
      </c>
      <c r="B985" s="86">
        <v>2</v>
      </c>
      <c r="C985" s="115">
        <v>0.004666938450066099</v>
      </c>
      <c r="D985" s="86" t="s">
        <v>3165</v>
      </c>
      <c r="E985" s="86" t="b">
        <v>0</v>
      </c>
      <c r="F985" s="86" t="b">
        <v>0</v>
      </c>
      <c r="G985" s="86" t="b">
        <v>0</v>
      </c>
    </row>
    <row r="986" spans="1:7" ht="15">
      <c r="A986" s="87" t="s">
        <v>4156</v>
      </c>
      <c r="B986" s="86">
        <v>2</v>
      </c>
      <c r="C986" s="115">
        <v>0.004666938450066099</v>
      </c>
      <c r="D986" s="86" t="s">
        <v>3165</v>
      </c>
      <c r="E986" s="86" t="b">
        <v>0</v>
      </c>
      <c r="F986" s="86" t="b">
        <v>0</v>
      </c>
      <c r="G986" s="86" t="b">
        <v>0</v>
      </c>
    </row>
    <row r="987" spans="1:7" ht="15">
      <c r="A987" s="87" t="s">
        <v>4157</v>
      </c>
      <c r="B987" s="86">
        <v>2</v>
      </c>
      <c r="C987" s="115">
        <v>0.004666938450066099</v>
      </c>
      <c r="D987" s="86" t="s">
        <v>3165</v>
      </c>
      <c r="E987" s="86" t="b">
        <v>0</v>
      </c>
      <c r="F987" s="86" t="b">
        <v>0</v>
      </c>
      <c r="G987" s="86" t="b">
        <v>0</v>
      </c>
    </row>
    <row r="988" spans="1:7" ht="15">
      <c r="A988" s="87" t="s">
        <v>4189</v>
      </c>
      <c r="B988" s="86">
        <v>2</v>
      </c>
      <c r="C988" s="115">
        <v>0.004666938450066099</v>
      </c>
      <c r="D988" s="86" t="s">
        <v>3165</v>
      </c>
      <c r="E988" s="86" t="b">
        <v>0</v>
      </c>
      <c r="F988" s="86" t="b">
        <v>0</v>
      </c>
      <c r="G988" s="86" t="b">
        <v>0</v>
      </c>
    </row>
    <row r="989" spans="1:7" ht="15">
      <c r="A989" s="87" t="s">
        <v>4160</v>
      </c>
      <c r="B989" s="86">
        <v>2</v>
      </c>
      <c r="C989" s="115">
        <v>0.006103835804070782</v>
      </c>
      <c r="D989" s="86" t="s">
        <v>3165</v>
      </c>
      <c r="E989" s="86" t="b">
        <v>0</v>
      </c>
      <c r="F989" s="86" t="b">
        <v>0</v>
      </c>
      <c r="G989" s="86" t="b">
        <v>0</v>
      </c>
    </row>
    <row r="990" spans="1:7" ht="15">
      <c r="A990" s="87" t="s">
        <v>4042</v>
      </c>
      <c r="B990" s="86">
        <v>2</v>
      </c>
      <c r="C990" s="115">
        <v>0.004666938450066099</v>
      </c>
      <c r="D990" s="86" t="s">
        <v>3165</v>
      </c>
      <c r="E990" s="86" t="b">
        <v>0</v>
      </c>
      <c r="F990" s="86" t="b">
        <v>0</v>
      </c>
      <c r="G990" s="86" t="b">
        <v>0</v>
      </c>
    </row>
    <row r="991" spans="1:7" ht="15">
      <c r="A991" s="87" t="s">
        <v>4059</v>
      </c>
      <c r="B991" s="86">
        <v>2</v>
      </c>
      <c r="C991" s="115">
        <v>0.004666938450066099</v>
      </c>
      <c r="D991" s="86" t="s">
        <v>3165</v>
      </c>
      <c r="E991" s="86" t="b">
        <v>0</v>
      </c>
      <c r="F991" s="86" t="b">
        <v>1</v>
      </c>
      <c r="G991" s="86" t="b">
        <v>0</v>
      </c>
    </row>
    <row r="992" spans="1:7" ht="15">
      <c r="A992" s="87" t="s">
        <v>4098</v>
      </c>
      <c r="B992" s="86">
        <v>2</v>
      </c>
      <c r="C992" s="115">
        <v>0.006103835804070782</v>
      </c>
      <c r="D992" s="86" t="s">
        <v>3165</v>
      </c>
      <c r="E992" s="86" t="b">
        <v>0</v>
      </c>
      <c r="F992" s="86" t="b">
        <v>0</v>
      </c>
      <c r="G992" s="86" t="b">
        <v>0</v>
      </c>
    </row>
    <row r="993" spans="1:7" ht="15">
      <c r="A993" s="87" t="s">
        <v>4077</v>
      </c>
      <c r="B993" s="86">
        <v>2</v>
      </c>
      <c r="C993" s="115">
        <v>0.004666938450066099</v>
      </c>
      <c r="D993" s="86" t="s">
        <v>3165</v>
      </c>
      <c r="E993" s="86" t="b">
        <v>0</v>
      </c>
      <c r="F993" s="86" t="b">
        <v>0</v>
      </c>
      <c r="G993" s="86" t="b">
        <v>0</v>
      </c>
    </row>
    <row r="994" spans="1:7" ht="15">
      <c r="A994" s="87" t="s">
        <v>4152</v>
      </c>
      <c r="B994" s="86">
        <v>2</v>
      </c>
      <c r="C994" s="115">
        <v>0.004666938450066099</v>
      </c>
      <c r="D994" s="86" t="s">
        <v>3165</v>
      </c>
      <c r="E994" s="86" t="b">
        <v>0</v>
      </c>
      <c r="F994" s="86" t="b">
        <v>0</v>
      </c>
      <c r="G994" s="86" t="b">
        <v>0</v>
      </c>
    </row>
    <row r="995" spans="1:7" ht="15">
      <c r="A995" s="87" t="s">
        <v>3377</v>
      </c>
      <c r="B995" s="86">
        <v>2</v>
      </c>
      <c r="C995" s="115">
        <v>0.004666938450066099</v>
      </c>
      <c r="D995" s="86" t="s">
        <v>3165</v>
      </c>
      <c r="E995" s="86" t="b">
        <v>1</v>
      </c>
      <c r="F995" s="86" t="b">
        <v>0</v>
      </c>
      <c r="G995" s="86" t="b">
        <v>0</v>
      </c>
    </row>
    <row r="996" spans="1:7" ht="15">
      <c r="A996" s="87" t="s">
        <v>4186</v>
      </c>
      <c r="B996" s="86">
        <v>2</v>
      </c>
      <c r="C996" s="115">
        <v>0.004666938450066099</v>
      </c>
      <c r="D996" s="86" t="s">
        <v>3165</v>
      </c>
      <c r="E996" s="86" t="b">
        <v>0</v>
      </c>
      <c r="F996" s="86" t="b">
        <v>0</v>
      </c>
      <c r="G996" s="86" t="b">
        <v>0</v>
      </c>
    </row>
    <row r="997" spans="1:7" ht="15">
      <c r="A997" s="87" t="s">
        <v>4271</v>
      </c>
      <c r="B997" s="86">
        <v>2</v>
      </c>
      <c r="C997" s="115">
        <v>0.004666938450066099</v>
      </c>
      <c r="D997" s="86" t="s">
        <v>3165</v>
      </c>
      <c r="E997" s="86" t="b">
        <v>0</v>
      </c>
      <c r="F997" s="86" t="b">
        <v>1</v>
      </c>
      <c r="G997" s="86" t="b">
        <v>0</v>
      </c>
    </row>
    <row r="998" spans="1:7" ht="15">
      <c r="A998" s="87" t="s">
        <v>4088</v>
      </c>
      <c r="B998" s="86">
        <v>2</v>
      </c>
      <c r="C998" s="115">
        <v>0.004666938450066099</v>
      </c>
      <c r="D998" s="86" t="s">
        <v>3165</v>
      </c>
      <c r="E998" s="86" t="b">
        <v>0</v>
      </c>
      <c r="F998" s="86" t="b">
        <v>0</v>
      </c>
      <c r="G998" s="86" t="b">
        <v>0</v>
      </c>
    </row>
    <row r="999" spans="1:7" ht="15">
      <c r="A999" s="87" t="s">
        <v>4085</v>
      </c>
      <c r="B999" s="86">
        <v>2</v>
      </c>
      <c r="C999" s="115">
        <v>0.004666938450066099</v>
      </c>
      <c r="D999" s="86" t="s">
        <v>3165</v>
      </c>
      <c r="E999" s="86" t="b">
        <v>0</v>
      </c>
      <c r="F999" s="86" t="b">
        <v>0</v>
      </c>
      <c r="G999" s="86" t="b">
        <v>0</v>
      </c>
    </row>
    <row r="1000" spans="1:7" ht="15">
      <c r="A1000" s="87" t="s">
        <v>4194</v>
      </c>
      <c r="B1000" s="86">
        <v>2</v>
      </c>
      <c r="C1000" s="115">
        <v>0.004666938450066099</v>
      </c>
      <c r="D1000" s="86" t="s">
        <v>3165</v>
      </c>
      <c r="E1000" s="86" t="b">
        <v>0</v>
      </c>
      <c r="F1000" s="86" t="b">
        <v>0</v>
      </c>
      <c r="G1000" s="86" t="b">
        <v>0</v>
      </c>
    </row>
    <row r="1001" spans="1:7" ht="15">
      <c r="A1001" s="87" t="s">
        <v>4094</v>
      </c>
      <c r="B1001" s="86">
        <v>2</v>
      </c>
      <c r="C1001" s="115">
        <v>0.004666938450066099</v>
      </c>
      <c r="D1001" s="86" t="s">
        <v>3165</v>
      </c>
      <c r="E1001" s="86" t="b">
        <v>0</v>
      </c>
      <c r="F1001" s="86" t="b">
        <v>0</v>
      </c>
      <c r="G1001" s="86" t="b">
        <v>0</v>
      </c>
    </row>
    <row r="1002" spans="1:7" ht="15">
      <c r="A1002" s="87" t="s">
        <v>4090</v>
      </c>
      <c r="B1002" s="86">
        <v>2</v>
      </c>
      <c r="C1002" s="115">
        <v>0.006103835804070782</v>
      </c>
      <c r="D1002" s="86" t="s">
        <v>3165</v>
      </c>
      <c r="E1002" s="86" t="b">
        <v>0</v>
      </c>
      <c r="F1002" s="86" t="b">
        <v>0</v>
      </c>
      <c r="G1002" s="86" t="b">
        <v>0</v>
      </c>
    </row>
    <row r="1003" spans="1:7" ht="15">
      <c r="A1003" s="87" t="s">
        <v>4057</v>
      </c>
      <c r="B1003" s="86">
        <v>2</v>
      </c>
      <c r="C1003" s="115">
        <v>0.004666938450066099</v>
      </c>
      <c r="D1003" s="86" t="s">
        <v>3165</v>
      </c>
      <c r="E1003" s="86" t="b">
        <v>0</v>
      </c>
      <c r="F1003" s="86" t="b">
        <v>0</v>
      </c>
      <c r="G1003" s="86" t="b">
        <v>0</v>
      </c>
    </row>
    <row r="1004" spans="1:7" ht="15">
      <c r="A1004" s="87" t="s">
        <v>4023</v>
      </c>
      <c r="B1004" s="86">
        <v>2</v>
      </c>
      <c r="C1004" s="115">
        <v>0.004666938450066099</v>
      </c>
      <c r="D1004" s="86" t="s">
        <v>3165</v>
      </c>
      <c r="E1004" s="86" t="b">
        <v>0</v>
      </c>
      <c r="F1004" s="86" t="b">
        <v>1</v>
      </c>
      <c r="G1004" s="86" t="b">
        <v>0</v>
      </c>
    </row>
    <row r="1005" spans="1:7" ht="15">
      <c r="A1005" s="87" t="s">
        <v>4095</v>
      </c>
      <c r="B1005" s="86">
        <v>2</v>
      </c>
      <c r="C1005" s="115">
        <v>0.004666938450066099</v>
      </c>
      <c r="D1005" s="86" t="s">
        <v>3165</v>
      </c>
      <c r="E1005" s="86" t="b">
        <v>0</v>
      </c>
      <c r="F1005" s="86" t="b">
        <v>0</v>
      </c>
      <c r="G1005" s="86" t="b">
        <v>0</v>
      </c>
    </row>
    <row r="1006" spans="1:7" ht="15">
      <c r="A1006" s="87" t="s">
        <v>4076</v>
      </c>
      <c r="B1006" s="86">
        <v>2</v>
      </c>
      <c r="C1006" s="115">
        <v>0.004666938450066099</v>
      </c>
      <c r="D1006" s="86" t="s">
        <v>3165</v>
      </c>
      <c r="E1006" s="86" t="b">
        <v>0</v>
      </c>
      <c r="F1006" s="86" t="b">
        <v>0</v>
      </c>
      <c r="G1006" s="86" t="b">
        <v>0</v>
      </c>
    </row>
    <row r="1007" spans="1:7" ht="15">
      <c r="A1007" s="87" t="s">
        <v>4027</v>
      </c>
      <c r="B1007" s="86">
        <v>2</v>
      </c>
      <c r="C1007" s="115">
        <v>0.004666938450066099</v>
      </c>
      <c r="D1007" s="86" t="s">
        <v>3165</v>
      </c>
      <c r="E1007" s="86" t="b">
        <v>0</v>
      </c>
      <c r="F1007" s="86" t="b">
        <v>0</v>
      </c>
      <c r="G1007" s="86" t="b">
        <v>0</v>
      </c>
    </row>
    <row r="1008" spans="1:7" ht="15">
      <c r="A1008" s="87" t="s">
        <v>4026</v>
      </c>
      <c r="B1008" s="86">
        <v>2</v>
      </c>
      <c r="C1008" s="115">
        <v>0.004666938450066099</v>
      </c>
      <c r="D1008" s="86" t="s">
        <v>3165</v>
      </c>
      <c r="E1008" s="86" t="b">
        <v>0</v>
      </c>
      <c r="F1008" s="86" t="b">
        <v>0</v>
      </c>
      <c r="G1008" s="86" t="b">
        <v>0</v>
      </c>
    </row>
    <row r="1009" spans="1:7" ht="15">
      <c r="A1009" s="87" t="s">
        <v>3354</v>
      </c>
      <c r="B1009" s="86">
        <v>6</v>
      </c>
      <c r="C1009" s="115">
        <v>0</v>
      </c>
      <c r="D1009" s="86" t="s">
        <v>3166</v>
      </c>
      <c r="E1009" s="86" t="b">
        <v>0</v>
      </c>
      <c r="F1009" s="86" t="b">
        <v>0</v>
      </c>
      <c r="G1009" s="86" t="b">
        <v>0</v>
      </c>
    </row>
    <row r="1010" spans="1:7" ht="15">
      <c r="A1010" s="87" t="s">
        <v>3355</v>
      </c>
      <c r="B1010" s="86">
        <v>5</v>
      </c>
      <c r="C1010" s="115">
        <v>0.005822150444678296</v>
      </c>
      <c r="D1010" s="86" t="s">
        <v>3166</v>
      </c>
      <c r="E1010" s="86" t="b">
        <v>0</v>
      </c>
      <c r="F1010" s="86" t="b">
        <v>0</v>
      </c>
      <c r="G1010" s="86" t="b">
        <v>0</v>
      </c>
    </row>
    <row r="1011" spans="1:7" ht="15">
      <c r="A1011" s="87" t="s">
        <v>3357</v>
      </c>
      <c r="B1011" s="86">
        <v>4</v>
      </c>
      <c r="C1011" s="115">
        <v>0.010358309356216544</v>
      </c>
      <c r="D1011" s="86" t="s">
        <v>3166</v>
      </c>
      <c r="E1011" s="86" t="b">
        <v>0</v>
      </c>
      <c r="F1011" s="86" t="b">
        <v>0</v>
      </c>
      <c r="G1011" s="86" t="b">
        <v>0</v>
      </c>
    </row>
    <row r="1012" spans="1:7" ht="15">
      <c r="A1012" s="87" t="s">
        <v>3385</v>
      </c>
      <c r="B1012" s="86">
        <v>3</v>
      </c>
      <c r="C1012" s="115">
        <v>0.0132807351028227</v>
      </c>
      <c r="D1012" s="86" t="s">
        <v>3166</v>
      </c>
      <c r="E1012" s="86" t="b">
        <v>1</v>
      </c>
      <c r="F1012" s="86" t="b">
        <v>0</v>
      </c>
      <c r="G1012" s="86" t="b">
        <v>0</v>
      </c>
    </row>
    <row r="1013" spans="1:7" ht="15">
      <c r="A1013" s="87" t="s">
        <v>3386</v>
      </c>
      <c r="B1013" s="86">
        <v>2</v>
      </c>
      <c r="C1013" s="115">
        <v>0.014032978079990072</v>
      </c>
      <c r="D1013" s="86" t="s">
        <v>3166</v>
      </c>
      <c r="E1013" s="86" t="b">
        <v>0</v>
      </c>
      <c r="F1013" s="86" t="b">
        <v>0</v>
      </c>
      <c r="G1013" s="86" t="b">
        <v>0</v>
      </c>
    </row>
    <row r="1014" spans="1:7" ht="15">
      <c r="A1014" s="87" t="s">
        <v>518</v>
      </c>
      <c r="B1014" s="86">
        <v>2</v>
      </c>
      <c r="C1014" s="115">
        <v>0.014032978079990072</v>
      </c>
      <c r="D1014" s="86" t="s">
        <v>3166</v>
      </c>
      <c r="E1014" s="86" t="b">
        <v>0</v>
      </c>
      <c r="F1014" s="86" t="b">
        <v>0</v>
      </c>
      <c r="G1014" s="86" t="b">
        <v>0</v>
      </c>
    </row>
    <row r="1015" spans="1:7" ht="15">
      <c r="A1015" s="87" t="s">
        <v>409</v>
      </c>
      <c r="B1015" s="86">
        <v>2</v>
      </c>
      <c r="C1015" s="115">
        <v>0.02288680148187187</v>
      </c>
      <c r="D1015" s="86" t="s">
        <v>3166</v>
      </c>
      <c r="E1015" s="86" t="b">
        <v>0</v>
      </c>
      <c r="F1015" s="86" t="b">
        <v>0</v>
      </c>
      <c r="G1015" s="86" t="b">
        <v>0</v>
      </c>
    </row>
    <row r="1016" spans="1:7" ht="15">
      <c r="A1016" s="87" t="s">
        <v>3387</v>
      </c>
      <c r="B1016" s="86">
        <v>2</v>
      </c>
      <c r="C1016" s="115">
        <v>0.014032978079990072</v>
      </c>
      <c r="D1016" s="86" t="s">
        <v>3166</v>
      </c>
      <c r="E1016" s="86" t="b">
        <v>0</v>
      </c>
      <c r="F1016" s="86" t="b">
        <v>0</v>
      </c>
      <c r="G1016" s="86" t="b">
        <v>0</v>
      </c>
    </row>
    <row r="1017" spans="1:7" ht="15">
      <c r="A1017" s="87" t="s">
        <v>3388</v>
      </c>
      <c r="B1017" s="86">
        <v>2</v>
      </c>
      <c r="C1017" s="115">
        <v>0.014032978079990072</v>
      </c>
      <c r="D1017" s="86" t="s">
        <v>3166</v>
      </c>
      <c r="E1017" s="86" t="b">
        <v>0</v>
      </c>
      <c r="F1017" s="86" t="b">
        <v>0</v>
      </c>
      <c r="G1017" s="86" t="b">
        <v>0</v>
      </c>
    </row>
    <row r="1018" spans="1:7" ht="15">
      <c r="A1018" s="87" t="s">
        <v>408</v>
      </c>
      <c r="B1018" s="86">
        <v>2</v>
      </c>
      <c r="C1018" s="115">
        <v>0.014032978079990072</v>
      </c>
      <c r="D1018" s="86" t="s">
        <v>3166</v>
      </c>
      <c r="E1018" s="86" t="b">
        <v>0</v>
      </c>
      <c r="F1018" s="86" t="b">
        <v>0</v>
      </c>
      <c r="G1018" s="86" t="b">
        <v>0</v>
      </c>
    </row>
    <row r="1019" spans="1:7" ht="15">
      <c r="A1019" s="87" t="s">
        <v>456</v>
      </c>
      <c r="B1019" s="86">
        <v>2</v>
      </c>
      <c r="C1019" s="115">
        <v>0</v>
      </c>
      <c r="D1019" s="86" t="s">
        <v>3168</v>
      </c>
      <c r="E1019" s="86" t="b">
        <v>0</v>
      </c>
      <c r="F1019" s="86" t="b">
        <v>0</v>
      </c>
      <c r="G1019" s="86" t="b">
        <v>0</v>
      </c>
    </row>
    <row r="1020" spans="1:7" ht="15">
      <c r="A1020" s="87" t="s">
        <v>455</v>
      </c>
      <c r="B1020" s="86">
        <v>2</v>
      </c>
      <c r="C1020" s="115">
        <v>0</v>
      </c>
      <c r="D1020" s="86" t="s">
        <v>3168</v>
      </c>
      <c r="E1020" s="86" t="b">
        <v>0</v>
      </c>
      <c r="F1020" s="86" t="b">
        <v>0</v>
      </c>
      <c r="G1020" s="86" t="b">
        <v>0</v>
      </c>
    </row>
    <row r="1021" spans="1:7" ht="15">
      <c r="A1021" s="87" t="s">
        <v>454</v>
      </c>
      <c r="B1021" s="86">
        <v>2</v>
      </c>
      <c r="C1021" s="115">
        <v>0</v>
      </c>
      <c r="D1021" s="86" t="s">
        <v>3168</v>
      </c>
      <c r="E1021" s="86" t="b">
        <v>0</v>
      </c>
      <c r="F1021" s="86" t="b">
        <v>0</v>
      </c>
      <c r="G1021" s="86" t="b">
        <v>0</v>
      </c>
    </row>
    <row r="1022" spans="1:7" ht="15">
      <c r="A1022" s="87" t="s">
        <v>3373</v>
      </c>
      <c r="B1022" s="86">
        <v>2</v>
      </c>
      <c r="C1022" s="115">
        <v>0</v>
      </c>
      <c r="D1022" s="86" t="s">
        <v>3168</v>
      </c>
      <c r="E1022" s="86" t="b">
        <v>0</v>
      </c>
      <c r="F1022" s="86" t="b">
        <v>0</v>
      </c>
      <c r="G1022" s="86" t="b">
        <v>0</v>
      </c>
    </row>
    <row r="1023" spans="1:7" ht="15">
      <c r="A1023" s="87" t="s">
        <v>3391</v>
      </c>
      <c r="B1023" s="86">
        <v>2</v>
      </c>
      <c r="C1023" s="115">
        <v>0</v>
      </c>
      <c r="D1023" s="86" t="s">
        <v>3168</v>
      </c>
      <c r="E1023" s="86" t="b">
        <v>0</v>
      </c>
      <c r="F1023" s="86" t="b">
        <v>0</v>
      </c>
      <c r="G1023" s="86" t="b">
        <v>0</v>
      </c>
    </row>
    <row r="1024" spans="1:7" ht="15">
      <c r="A1024" s="87" t="s">
        <v>3357</v>
      </c>
      <c r="B1024" s="86">
        <v>2</v>
      </c>
      <c r="C1024" s="115">
        <v>0</v>
      </c>
      <c r="D1024" s="86" t="s">
        <v>3168</v>
      </c>
      <c r="E1024" s="86" t="b">
        <v>0</v>
      </c>
      <c r="F1024" s="86" t="b">
        <v>0</v>
      </c>
      <c r="G1024" s="86" t="b">
        <v>0</v>
      </c>
    </row>
    <row r="1025" spans="1:7" ht="15">
      <c r="A1025" s="87" t="s">
        <v>3367</v>
      </c>
      <c r="B1025" s="86">
        <v>2</v>
      </c>
      <c r="C1025" s="115">
        <v>0</v>
      </c>
      <c r="D1025" s="86" t="s">
        <v>3169</v>
      </c>
      <c r="E1025" s="86" t="b">
        <v>0</v>
      </c>
      <c r="F1025" s="86" t="b">
        <v>0</v>
      </c>
      <c r="G1025" s="86" t="b">
        <v>0</v>
      </c>
    </row>
    <row r="1026" spans="1:7" ht="15">
      <c r="A1026" s="87" t="s">
        <v>3358</v>
      </c>
      <c r="B1026" s="86">
        <v>2</v>
      </c>
      <c r="C1026" s="115">
        <v>0</v>
      </c>
      <c r="D1026" s="86" t="s">
        <v>3172</v>
      </c>
      <c r="E1026" s="86" t="b">
        <v>0</v>
      </c>
      <c r="F1026" s="86" t="b">
        <v>0</v>
      </c>
      <c r="G1026" s="86" t="b">
        <v>0</v>
      </c>
    </row>
    <row r="1027" spans="1:7" ht="15">
      <c r="A1027" s="87" t="s">
        <v>3356</v>
      </c>
      <c r="B1027" s="86">
        <v>2</v>
      </c>
      <c r="C1027" s="115">
        <v>0</v>
      </c>
      <c r="D1027" s="86" t="s">
        <v>3172</v>
      </c>
      <c r="E1027" s="86" t="b">
        <v>0</v>
      </c>
      <c r="F1027" s="86" t="b">
        <v>0</v>
      </c>
      <c r="G1027" s="86" t="b">
        <v>0</v>
      </c>
    </row>
    <row r="1028" spans="1:7" ht="15">
      <c r="A1028" s="87" t="s">
        <v>450</v>
      </c>
      <c r="B1028" s="86">
        <v>2</v>
      </c>
      <c r="C1028" s="115">
        <v>0</v>
      </c>
      <c r="D1028" s="86" t="s">
        <v>3173</v>
      </c>
      <c r="E1028" s="86" t="b">
        <v>0</v>
      </c>
      <c r="F1028" s="86" t="b">
        <v>0</v>
      </c>
      <c r="G1028" s="86" t="b">
        <v>0</v>
      </c>
    </row>
    <row r="1029" spans="1:7" ht="15">
      <c r="A1029" s="87" t="s">
        <v>4435</v>
      </c>
      <c r="B1029" s="86">
        <v>2</v>
      </c>
      <c r="C1029" s="115">
        <v>0</v>
      </c>
      <c r="D1029" s="86" t="s">
        <v>3173</v>
      </c>
      <c r="E1029" s="86" t="b">
        <v>0</v>
      </c>
      <c r="F1029" s="86" t="b">
        <v>0</v>
      </c>
      <c r="G1029" s="86" t="b">
        <v>0</v>
      </c>
    </row>
    <row r="1030" spans="1:7" ht="15">
      <c r="A1030" s="87" t="s">
        <v>3357</v>
      </c>
      <c r="B1030" s="86">
        <v>2</v>
      </c>
      <c r="C1030" s="115">
        <v>0</v>
      </c>
      <c r="D1030" s="86" t="s">
        <v>3173</v>
      </c>
      <c r="E1030" s="86" t="b">
        <v>0</v>
      </c>
      <c r="F1030" s="86" t="b">
        <v>0</v>
      </c>
      <c r="G1030" s="86" t="b">
        <v>0</v>
      </c>
    </row>
    <row r="1031" spans="1:7" ht="15">
      <c r="A1031" s="87" t="s">
        <v>4440</v>
      </c>
      <c r="B1031" s="86">
        <v>2</v>
      </c>
      <c r="C1031" s="115">
        <v>0</v>
      </c>
      <c r="D1031" s="86" t="s">
        <v>3174</v>
      </c>
      <c r="E1031" s="86" t="b">
        <v>0</v>
      </c>
      <c r="F1031" s="86" t="b">
        <v>0</v>
      </c>
      <c r="G1031" s="86" t="b">
        <v>0</v>
      </c>
    </row>
    <row r="1032" spans="1:7" ht="15">
      <c r="A1032" s="87" t="s">
        <v>4441</v>
      </c>
      <c r="B1032" s="86">
        <v>2</v>
      </c>
      <c r="C1032" s="115">
        <v>0</v>
      </c>
      <c r="D1032" s="86" t="s">
        <v>3174</v>
      </c>
      <c r="E1032" s="86" t="b">
        <v>0</v>
      </c>
      <c r="F1032" s="86" t="b">
        <v>0</v>
      </c>
      <c r="G1032" s="86" t="b">
        <v>0</v>
      </c>
    </row>
    <row r="1033" spans="1:7" ht="15">
      <c r="A1033" s="87" t="s">
        <v>3327</v>
      </c>
      <c r="B1033" s="86">
        <v>2</v>
      </c>
      <c r="C1033" s="115">
        <v>0</v>
      </c>
      <c r="D1033" s="86" t="s">
        <v>3181</v>
      </c>
      <c r="E1033" s="86" t="b">
        <v>0</v>
      </c>
      <c r="F1033" s="86" t="b">
        <v>0</v>
      </c>
      <c r="G1033" s="86" t="b">
        <v>0</v>
      </c>
    </row>
    <row r="1034" spans="1:7" ht="15">
      <c r="A1034" s="87" t="s">
        <v>3356</v>
      </c>
      <c r="B1034" s="86">
        <v>4</v>
      </c>
      <c r="C1034" s="115">
        <v>0</v>
      </c>
      <c r="D1034" s="86" t="s">
        <v>3185</v>
      </c>
      <c r="E1034" s="86" t="b">
        <v>0</v>
      </c>
      <c r="F1034" s="86" t="b">
        <v>0</v>
      </c>
      <c r="G1034" s="86" t="b">
        <v>0</v>
      </c>
    </row>
    <row r="1035" spans="1:7" ht="15">
      <c r="A1035" s="87" t="s">
        <v>3355</v>
      </c>
      <c r="B1035" s="86">
        <v>4</v>
      </c>
      <c r="C1035" s="115">
        <v>0</v>
      </c>
      <c r="D1035" s="86" t="s">
        <v>3185</v>
      </c>
      <c r="E1035" s="86" t="b">
        <v>0</v>
      </c>
      <c r="F1035" s="86" t="b">
        <v>0</v>
      </c>
      <c r="G1035" s="86" t="b">
        <v>0</v>
      </c>
    </row>
    <row r="1036" spans="1:7" ht="15">
      <c r="A1036" s="87" t="s">
        <v>3368</v>
      </c>
      <c r="B1036" s="86">
        <v>4</v>
      </c>
      <c r="C1036" s="115">
        <v>0</v>
      </c>
      <c r="D1036" s="86" t="s">
        <v>3185</v>
      </c>
      <c r="E1036" s="86" t="b">
        <v>0</v>
      </c>
      <c r="F1036" s="86" t="b">
        <v>0</v>
      </c>
      <c r="G1036" s="86" t="b">
        <v>0</v>
      </c>
    </row>
    <row r="1037" spans="1:7" ht="15">
      <c r="A1037" s="87" t="s">
        <v>4093</v>
      </c>
      <c r="B1037" s="86">
        <v>3</v>
      </c>
      <c r="C1037" s="115">
        <v>0.012371095712218404</v>
      </c>
      <c r="D1037" s="86" t="s">
        <v>3185</v>
      </c>
      <c r="E1037" s="86" t="b">
        <v>0</v>
      </c>
      <c r="F1037" s="86" t="b">
        <v>0</v>
      </c>
      <c r="G1037" s="86" t="b">
        <v>0</v>
      </c>
    </row>
    <row r="1038" spans="1:7" ht="15">
      <c r="A1038" s="87" t="s">
        <v>4059</v>
      </c>
      <c r="B1038" s="86">
        <v>2</v>
      </c>
      <c r="C1038" s="115">
        <v>0.008247397141478936</v>
      </c>
      <c r="D1038" s="86" t="s">
        <v>3185</v>
      </c>
      <c r="E1038" s="86" t="b">
        <v>0</v>
      </c>
      <c r="F1038" s="86" t="b">
        <v>1</v>
      </c>
      <c r="G1038" s="86" t="b">
        <v>0</v>
      </c>
    </row>
    <row r="1039" spans="1:7" ht="15">
      <c r="A1039" s="87" t="s">
        <v>4444</v>
      </c>
      <c r="B1039" s="86">
        <v>2</v>
      </c>
      <c r="C1039" s="115">
        <v>0.008247397141478936</v>
      </c>
      <c r="D1039" s="86" t="s">
        <v>3185</v>
      </c>
      <c r="E1039" s="86" t="b">
        <v>0</v>
      </c>
      <c r="F1039" s="86" t="b">
        <v>0</v>
      </c>
      <c r="G1039" s="86" t="b">
        <v>0</v>
      </c>
    </row>
    <row r="1040" spans="1:7" ht="15">
      <c r="A1040" s="87" t="s">
        <v>4445</v>
      </c>
      <c r="B1040" s="86">
        <v>2</v>
      </c>
      <c r="C1040" s="115">
        <v>0.016494794282957873</v>
      </c>
      <c r="D1040" s="86" t="s">
        <v>3185</v>
      </c>
      <c r="E1040" s="86" t="b">
        <v>0</v>
      </c>
      <c r="F1040" s="86" t="b">
        <v>0</v>
      </c>
      <c r="G1040" s="86" t="b">
        <v>0</v>
      </c>
    </row>
    <row r="1041" spans="1:7" ht="15">
      <c r="A1041" s="87" t="s">
        <v>4112</v>
      </c>
      <c r="B1041" s="86">
        <v>2</v>
      </c>
      <c r="C1041" s="115">
        <v>0.008247397141478936</v>
      </c>
      <c r="D1041" s="86" t="s">
        <v>3185</v>
      </c>
      <c r="E1041" s="86" t="b">
        <v>1</v>
      </c>
      <c r="F1041" s="86" t="b">
        <v>0</v>
      </c>
      <c r="G1041"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6F0513E-053D-45F3-8D77-D651A16C3D0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 Mackenzie</dc:creator>
  <cp:keywords/>
  <dc:description/>
  <cp:lastModifiedBy>Graham Mackenzie</cp:lastModifiedBy>
  <dcterms:created xsi:type="dcterms:W3CDTF">2008-01-30T00:41:58Z</dcterms:created>
  <dcterms:modified xsi:type="dcterms:W3CDTF">2021-12-06T18:34:27Z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